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njimeneo\Documents\1. PROCESOS\2026\OBRA BUENAVENTURA\"/>
    </mc:Choice>
  </mc:AlternateContent>
  <xr:revisionPtr revIDLastSave="0" documentId="13_ncr:1_{3D2E0346-50E1-4FCB-A447-876B9E75DD29}" xr6:coauthVersionLast="47" xr6:coauthVersionMax="47" xr10:uidLastSave="{00000000-0000-0000-0000-000000000000}"/>
  <bookViews>
    <workbookView xWindow="-120" yWindow="-120" windowWidth="29040" windowHeight="15720" tabRatio="707" xr2:uid="{00000000-000D-0000-FFFF-FFFF00000000}"/>
  </bookViews>
  <sheets>
    <sheet name="Buenaventura" sheetId="2" r:id="rId1"/>
    <sheet name="Memorias" sheetId="8" r:id="rId2"/>
    <sheet name="ACTA DE AJUSTE" sheetId="5" state="hidden" r:id="rId3"/>
  </sheets>
  <definedNames>
    <definedName name="_xlnm._FilterDatabase" localSheetId="0" hidden="1">Buenaventura!$A$18:$K$243</definedName>
    <definedName name="AA">#REF!</definedName>
    <definedName name="Adm">#REF!</definedName>
    <definedName name="_xlnm.Print_Area" localSheetId="0">Buenaventura!$A$1:$AB$252</definedName>
    <definedName name="BuscHSeguim">#REF!</definedName>
    <definedName name="BuscHSeguim2">#REF!</definedName>
    <definedName name="CDCT">#REF!</definedName>
    <definedName name="CDSeguim">#REF!</definedName>
    <definedName name="CLASIFTODOS">#REF!</definedName>
    <definedName name="CronogFechaFin">#REF!</definedName>
    <definedName name="CronogFechaInic">#REF!</definedName>
    <definedName name="Imprev">#REF!</definedName>
    <definedName name="inf">#REF!</definedName>
    <definedName name="IvaSUtl">#REF!</definedName>
    <definedName name="LISTADO">#REF!</definedName>
    <definedName name="NVOCD">#REF!</definedName>
    <definedName name="PALACIO_NACIONAL_BUGA">#REF!</definedName>
    <definedName name="PALACIO_NACIONAL_CALI">#REF!</definedName>
    <definedName name="PreciosBase">#REF!</definedName>
    <definedName name="SbtPpto">#REF!</definedName>
    <definedName name="TodosInsumos">#REF!</definedName>
    <definedName name="TtlCD">#REF!</definedName>
    <definedName name="TtlCDCronog">#REF!</definedName>
    <definedName name="Utilidad">#REF!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5754" i="8" l="1"/>
  <c r="H5597" i="8"/>
  <c r="H5575" i="8"/>
  <c r="H5553" i="8"/>
  <c r="H5531" i="8"/>
  <c r="H5509" i="8"/>
  <c r="H2356" i="8"/>
  <c r="H2357" i="8"/>
  <c r="H2358" i="8"/>
  <c r="I229" i="2"/>
  <c r="I230" i="2"/>
  <c r="I231" i="2"/>
  <c r="I232" i="2"/>
  <c r="I233" i="2"/>
  <c r="I234" i="2"/>
  <c r="I235" i="2"/>
  <c r="I236" i="2"/>
  <c r="I221" i="2"/>
  <c r="I222" i="2"/>
  <c r="I223" i="2"/>
  <c r="I224" i="2"/>
  <c r="I225" i="2"/>
  <c r="I226" i="2"/>
  <c r="I209" i="2"/>
  <c r="I210" i="2"/>
  <c r="I211" i="2"/>
  <c r="I212" i="2"/>
  <c r="I213" i="2"/>
  <c r="I214" i="2"/>
  <c r="I215" i="2"/>
  <c r="I216" i="2"/>
  <c r="I217" i="2"/>
  <c r="I218" i="2"/>
  <c r="I199" i="2"/>
  <c r="I200" i="2"/>
  <c r="I201" i="2"/>
  <c r="I202" i="2"/>
  <c r="I203" i="2"/>
  <c r="I204" i="2"/>
  <c r="I205" i="2"/>
  <c r="I206" i="2"/>
  <c r="I182" i="2"/>
  <c r="I183" i="2"/>
  <c r="I184" i="2"/>
  <c r="I185" i="2"/>
  <c r="I186" i="2"/>
  <c r="I187" i="2"/>
  <c r="I188" i="2"/>
  <c r="I189" i="2"/>
  <c r="I190" i="2"/>
  <c r="I191" i="2"/>
  <c r="I192" i="2"/>
  <c r="I193" i="2"/>
  <c r="I194" i="2"/>
  <c r="I195" i="2"/>
  <c r="I196" i="2"/>
  <c r="I123" i="2"/>
  <c r="I124" i="2"/>
  <c r="I125" i="2"/>
  <c r="I126" i="2"/>
  <c r="I127" i="2"/>
  <c r="I128" i="2"/>
  <c r="I129" i="2"/>
  <c r="I130" i="2"/>
  <c r="I131" i="2"/>
  <c r="I132" i="2"/>
  <c r="I133" i="2"/>
  <c r="I134" i="2"/>
  <c r="I135" i="2"/>
  <c r="I136" i="2"/>
  <c r="I137" i="2"/>
  <c r="I138" i="2"/>
  <c r="I139" i="2"/>
  <c r="I140" i="2"/>
  <c r="I141" i="2"/>
  <c r="I142" i="2"/>
  <c r="I143" i="2"/>
  <c r="I144" i="2"/>
  <c r="I145" i="2"/>
  <c r="I146" i="2"/>
  <c r="I147" i="2"/>
  <c r="I148" i="2"/>
  <c r="I149" i="2"/>
  <c r="I150" i="2"/>
  <c r="I151" i="2"/>
  <c r="I152" i="2"/>
  <c r="I153" i="2"/>
  <c r="I154" i="2"/>
  <c r="I155" i="2"/>
  <c r="I156" i="2"/>
  <c r="I157" i="2"/>
  <c r="I158" i="2"/>
  <c r="I159" i="2"/>
  <c r="I160" i="2"/>
  <c r="I161" i="2"/>
  <c r="I162" i="2"/>
  <c r="I163" i="2"/>
  <c r="I164" i="2"/>
  <c r="I165" i="2"/>
  <c r="I166" i="2"/>
  <c r="I167" i="2"/>
  <c r="I168" i="2"/>
  <c r="I169" i="2"/>
  <c r="I170" i="2"/>
  <c r="I171" i="2"/>
  <c r="I172" i="2"/>
  <c r="I173" i="2"/>
  <c r="I174" i="2"/>
  <c r="I175" i="2"/>
  <c r="I176" i="2"/>
  <c r="I102" i="2"/>
  <c r="I103" i="2"/>
  <c r="I104" i="2"/>
  <c r="I105" i="2"/>
  <c r="I106" i="2"/>
  <c r="I107" i="2"/>
  <c r="I108" i="2"/>
  <c r="I109" i="2"/>
  <c r="I110" i="2"/>
  <c r="I111" i="2"/>
  <c r="I112" i="2"/>
  <c r="I113" i="2"/>
  <c r="I114" i="2"/>
  <c r="I115" i="2"/>
  <c r="I116" i="2"/>
  <c r="I117" i="2"/>
  <c r="I118" i="2"/>
  <c r="I119" i="2"/>
  <c r="I120" i="2"/>
  <c r="I89" i="2"/>
  <c r="I90" i="2"/>
  <c r="I83" i="2"/>
  <c r="I84" i="2"/>
  <c r="I85" i="2"/>
  <c r="I86" i="2"/>
  <c r="I76" i="2"/>
  <c r="I77" i="2"/>
  <c r="I78" i="2"/>
  <c r="I79" i="2"/>
  <c r="I80" i="2"/>
  <c r="I71" i="2"/>
  <c r="I72" i="2"/>
  <c r="I73" i="2"/>
  <c r="I68" i="2"/>
  <c r="I70" i="2"/>
  <c r="I59" i="2"/>
  <c r="I60" i="2"/>
  <c r="I61" i="2"/>
  <c r="I62" i="2"/>
  <c r="I63" i="2"/>
  <c r="I64" i="2"/>
  <c r="I65" i="2"/>
  <c r="I66" i="2"/>
  <c r="I67" i="2"/>
  <c r="I52" i="2"/>
  <c r="I53" i="2"/>
  <c r="I54" i="2"/>
  <c r="I55" i="2"/>
  <c r="I56" i="2"/>
  <c r="I39" i="2"/>
  <c r="I40" i="2"/>
  <c r="I41" i="2"/>
  <c r="I42" i="2"/>
  <c r="I43" i="2"/>
  <c r="I44" i="2"/>
  <c r="I45" i="2"/>
  <c r="I46" i="2"/>
  <c r="I47" i="2"/>
  <c r="I48" i="2"/>
  <c r="I49" i="2"/>
  <c r="I30" i="2"/>
  <c r="I31" i="2"/>
  <c r="I32" i="2"/>
  <c r="I33" i="2"/>
  <c r="I34" i="2"/>
  <c r="I35" i="2"/>
  <c r="I36" i="2"/>
  <c r="I23" i="2"/>
  <c r="I24" i="2"/>
  <c r="I25" i="2"/>
  <c r="I26" i="2"/>
  <c r="I27" i="2"/>
  <c r="K232" i="2"/>
  <c r="K233" i="2"/>
  <c r="K234" i="2"/>
  <c r="K235" i="2"/>
  <c r="K206" i="2"/>
  <c r="K176" i="2"/>
  <c r="K177" i="2"/>
  <c r="K55" i="2"/>
  <c r="K31" i="2"/>
  <c r="K27" i="2"/>
  <c r="H2683" i="8"/>
  <c r="H2617" i="8"/>
  <c r="H2355" i="8"/>
  <c r="H2581" i="8"/>
  <c r="F3781" i="8"/>
  <c r="H3804" i="8"/>
  <c r="F3803" i="8"/>
  <c r="H3803" i="8" s="1"/>
  <c r="H4866" i="8"/>
  <c r="E4863" i="8"/>
  <c r="D4863" i="8"/>
  <c r="E176" i="2" s="1"/>
  <c r="C4863" i="8"/>
  <c r="D4861" i="8"/>
  <c r="H4551" i="8"/>
  <c r="D4548" i="8" s="1"/>
  <c r="E4548" i="8"/>
  <c r="C4548" i="8"/>
  <c r="D4546" i="8"/>
  <c r="H3693" i="8"/>
  <c r="H3341" i="8"/>
  <c r="H3185" i="8"/>
  <c r="D3182" i="8" s="1"/>
  <c r="E90" i="2" s="1"/>
  <c r="G90" i="2" s="1"/>
  <c r="K90" i="2" s="1"/>
  <c r="E3182" i="8"/>
  <c r="C3182" i="8"/>
  <c r="D3180" i="8"/>
  <c r="H6080" i="8"/>
  <c r="D6077" i="8" s="1"/>
  <c r="E236" i="2" s="1"/>
  <c r="J236" i="2" s="1"/>
  <c r="E6077" i="8"/>
  <c r="C6077" i="8"/>
  <c r="D6075" i="8"/>
  <c r="H6058" i="8"/>
  <c r="D6055" i="8" s="1"/>
  <c r="E235" i="2" s="1"/>
  <c r="J235" i="2" s="1"/>
  <c r="E6055" i="8"/>
  <c r="C6055" i="8"/>
  <c r="D6053" i="8"/>
  <c r="E6033" i="8" l="1"/>
  <c r="C6033" i="8"/>
  <c r="D6031" i="8"/>
  <c r="H6036" i="8"/>
  <c r="H5595" i="8"/>
  <c r="H5485" i="8"/>
  <c r="D5482" i="8" s="1"/>
  <c r="E206" i="2" s="1"/>
  <c r="J206" i="2" s="1"/>
  <c r="E5482" i="8"/>
  <c r="C5482" i="8"/>
  <c r="D5480" i="8"/>
  <c r="E6011" i="8"/>
  <c r="C6011" i="8"/>
  <c r="H6014" i="8"/>
  <c r="D5987" i="8"/>
  <c r="D6009" i="8"/>
  <c r="H5992" i="8" l="1"/>
  <c r="D5989" i="8" s="1"/>
  <c r="E232" i="2" s="1"/>
  <c r="J232" i="2" s="1"/>
  <c r="E5989" i="8"/>
  <c r="C5989" i="8"/>
  <c r="H5970" i="8"/>
  <c r="D5967" i="8" s="1"/>
  <c r="E231" i="2" s="1"/>
  <c r="C5967" i="8"/>
  <c r="E5967" i="8"/>
  <c r="D5965" i="8"/>
  <c r="H5949" i="8"/>
  <c r="H5950" i="8"/>
  <c r="H5951" i="8"/>
  <c r="H5948" i="8"/>
  <c r="H5905" i="8"/>
  <c r="H5906" i="8"/>
  <c r="H5907" i="8"/>
  <c r="H5904" i="8"/>
  <c r="E5945" i="8"/>
  <c r="C5945" i="8"/>
  <c r="D5943" i="8"/>
  <c r="E5923" i="8"/>
  <c r="C5923" i="8"/>
  <c r="D5921" i="8"/>
  <c r="H5926" i="8"/>
  <c r="D5923" i="8" s="1"/>
  <c r="E229" i="2" s="1"/>
  <c r="J229" i="2" s="1"/>
  <c r="E5901" i="8"/>
  <c r="C5901" i="8"/>
  <c r="D5899" i="8"/>
  <c r="D6033" i="8"/>
  <c r="E234" i="2" s="1"/>
  <c r="J234" i="2" s="1"/>
  <c r="D6011" i="8"/>
  <c r="E233" i="2" s="1"/>
  <c r="J233" i="2" s="1"/>
  <c r="H5882" i="8"/>
  <c r="H5883" i="8"/>
  <c r="H5884" i="8"/>
  <c r="H5885" i="8"/>
  <c r="H5881" i="8"/>
  <c r="D5876" i="8"/>
  <c r="Q228" i="2"/>
  <c r="Q229" i="2"/>
  <c r="Q230" i="2"/>
  <c r="Q231" i="2"/>
  <c r="Q236" i="2"/>
  <c r="V228" i="2"/>
  <c r="V229" i="2"/>
  <c r="V230" i="2"/>
  <c r="V231" i="2"/>
  <c r="V236" i="2"/>
  <c r="V223" i="2"/>
  <c r="T221" i="2"/>
  <c r="T222" i="2"/>
  <c r="T223" i="2"/>
  <c r="T224" i="2"/>
  <c r="T225" i="2"/>
  <c r="T226" i="2"/>
  <c r="T220" i="2"/>
  <c r="V221" i="2"/>
  <c r="V222" i="2"/>
  <c r="V224" i="2"/>
  <c r="V225" i="2"/>
  <c r="V226" i="2"/>
  <c r="V220" i="2"/>
  <c r="V209" i="2"/>
  <c r="V210" i="2"/>
  <c r="V211" i="2"/>
  <c r="V212" i="2"/>
  <c r="V213" i="2"/>
  <c r="V214" i="2"/>
  <c r="V215" i="2"/>
  <c r="V216" i="2"/>
  <c r="V217" i="2"/>
  <c r="V218" i="2"/>
  <c r="V208" i="2"/>
  <c r="T209" i="2"/>
  <c r="T210" i="2"/>
  <c r="T211" i="2"/>
  <c r="T212" i="2"/>
  <c r="T213" i="2"/>
  <c r="T214" i="2"/>
  <c r="T215" i="2"/>
  <c r="T216" i="2"/>
  <c r="T217" i="2"/>
  <c r="T218" i="2"/>
  <c r="T208" i="2"/>
  <c r="V205" i="2"/>
  <c r="V199" i="2"/>
  <c r="V200" i="2"/>
  <c r="V201" i="2"/>
  <c r="V202" i="2"/>
  <c r="V203" i="2"/>
  <c r="V204" i="2"/>
  <c r="V198" i="2"/>
  <c r="V179" i="2"/>
  <c r="V180" i="2"/>
  <c r="V181" i="2"/>
  <c r="V182" i="2"/>
  <c r="V183" i="2"/>
  <c r="V184" i="2"/>
  <c r="V185" i="2"/>
  <c r="V186" i="2"/>
  <c r="V187" i="2"/>
  <c r="V188" i="2"/>
  <c r="V189" i="2"/>
  <c r="V190" i="2"/>
  <c r="V191" i="2"/>
  <c r="V192" i="2"/>
  <c r="V193" i="2"/>
  <c r="V194" i="2"/>
  <c r="V195" i="2"/>
  <c r="V196" i="2"/>
  <c r="V178" i="2"/>
  <c r="V175" i="2"/>
  <c r="T199" i="2"/>
  <c r="T200" i="2"/>
  <c r="T201" i="2"/>
  <c r="T202" i="2"/>
  <c r="T203" i="2"/>
  <c r="T204" i="2"/>
  <c r="T205" i="2"/>
  <c r="T198" i="2"/>
  <c r="T182" i="2"/>
  <c r="T183" i="2"/>
  <c r="T184" i="2"/>
  <c r="T185" i="2"/>
  <c r="T186" i="2"/>
  <c r="T187" i="2"/>
  <c r="T188" i="2"/>
  <c r="T189" i="2"/>
  <c r="T190" i="2"/>
  <c r="T191" i="2"/>
  <c r="T192" i="2"/>
  <c r="T193" i="2"/>
  <c r="T194" i="2"/>
  <c r="T195" i="2"/>
  <c r="T196" i="2"/>
  <c r="T174" i="2"/>
  <c r="T123" i="2"/>
  <c r="T124" i="2"/>
  <c r="T125" i="2"/>
  <c r="T126" i="2"/>
  <c r="T127" i="2"/>
  <c r="T128" i="2"/>
  <c r="T129" i="2"/>
  <c r="T130" i="2"/>
  <c r="T131" i="2"/>
  <c r="T132" i="2"/>
  <c r="T133" i="2"/>
  <c r="T134" i="2"/>
  <c r="T135" i="2"/>
  <c r="T136" i="2"/>
  <c r="T137" i="2"/>
  <c r="T138" i="2"/>
  <c r="T139" i="2"/>
  <c r="T140" i="2"/>
  <c r="T141" i="2"/>
  <c r="T142" i="2"/>
  <c r="T143" i="2"/>
  <c r="T144" i="2"/>
  <c r="T145" i="2"/>
  <c r="T146" i="2"/>
  <c r="T147" i="2"/>
  <c r="T148" i="2"/>
  <c r="T149" i="2"/>
  <c r="T150" i="2"/>
  <c r="T151" i="2"/>
  <c r="T152" i="2"/>
  <c r="T153" i="2"/>
  <c r="T154" i="2"/>
  <c r="T155" i="2"/>
  <c r="T156" i="2"/>
  <c r="T157" i="2"/>
  <c r="T158" i="2"/>
  <c r="T159" i="2"/>
  <c r="T160" i="2"/>
  <c r="T161" i="2"/>
  <c r="T162" i="2"/>
  <c r="T163" i="2"/>
  <c r="T164" i="2"/>
  <c r="T165" i="2"/>
  <c r="T166" i="2"/>
  <c r="T167" i="2"/>
  <c r="T168" i="2"/>
  <c r="T169" i="2"/>
  <c r="T170" i="2"/>
  <c r="T171" i="2"/>
  <c r="T172" i="2"/>
  <c r="T173" i="2"/>
  <c r="T175" i="2"/>
  <c r="T122" i="2"/>
  <c r="V123" i="2"/>
  <c r="V124" i="2"/>
  <c r="V125" i="2"/>
  <c r="V126" i="2"/>
  <c r="V127" i="2"/>
  <c r="V128" i="2"/>
  <c r="V129" i="2"/>
  <c r="V130" i="2"/>
  <c r="V131" i="2"/>
  <c r="V132" i="2"/>
  <c r="V133" i="2"/>
  <c r="V134" i="2"/>
  <c r="V135" i="2"/>
  <c r="V136" i="2"/>
  <c r="V137" i="2"/>
  <c r="V138" i="2"/>
  <c r="V139" i="2"/>
  <c r="V140" i="2"/>
  <c r="V141" i="2"/>
  <c r="V142" i="2"/>
  <c r="V143" i="2"/>
  <c r="V144" i="2"/>
  <c r="V145" i="2"/>
  <c r="V146" i="2"/>
  <c r="V147" i="2"/>
  <c r="V148" i="2"/>
  <c r="V149" i="2"/>
  <c r="V150" i="2"/>
  <c r="V151" i="2"/>
  <c r="V152" i="2"/>
  <c r="V153" i="2"/>
  <c r="V154" i="2"/>
  <c r="V155" i="2"/>
  <c r="V156" i="2"/>
  <c r="V157" i="2"/>
  <c r="V158" i="2"/>
  <c r="V159" i="2"/>
  <c r="V160" i="2"/>
  <c r="V161" i="2"/>
  <c r="V162" i="2"/>
  <c r="V163" i="2"/>
  <c r="V164" i="2"/>
  <c r="V165" i="2"/>
  <c r="V166" i="2"/>
  <c r="V167" i="2"/>
  <c r="V168" i="2"/>
  <c r="V169" i="2"/>
  <c r="V170" i="2"/>
  <c r="V171" i="2"/>
  <c r="V172" i="2"/>
  <c r="V173" i="2"/>
  <c r="V174" i="2"/>
  <c r="V122" i="2"/>
  <c r="V119" i="2"/>
  <c r="V102" i="2"/>
  <c r="V103" i="2"/>
  <c r="V104" i="2"/>
  <c r="V105" i="2"/>
  <c r="V106" i="2"/>
  <c r="V107" i="2"/>
  <c r="V108" i="2"/>
  <c r="V109" i="2"/>
  <c r="V110" i="2"/>
  <c r="V111" i="2"/>
  <c r="V112" i="2"/>
  <c r="V113" i="2"/>
  <c r="V114" i="2"/>
  <c r="V115" i="2"/>
  <c r="V116" i="2"/>
  <c r="V117" i="2"/>
  <c r="V118" i="2"/>
  <c r="V120" i="2"/>
  <c r="V101" i="2"/>
  <c r="V83" i="2"/>
  <c r="V84" i="2"/>
  <c r="V85" i="2"/>
  <c r="V86" i="2"/>
  <c r="V87" i="2"/>
  <c r="V88" i="2"/>
  <c r="V89" i="2"/>
  <c r="V90" i="2"/>
  <c r="V82" i="2"/>
  <c r="V75" i="2"/>
  <c r="V76" i="2"/>
  <c r="V77" i="2"/>
  <c r="V78" i="2"/>
  <c r="V79" i="2"/>
  <c r="V80" i="2"/>
  <c r="V70" i="2"/>
  <c r="V71" i="2"/>
  <c r="V72" i="2"/>
  <c r="V73" i="2"/>
  <c r="V68" i="2"/>
  <c r="V59" i="2"/>
  <c r="V60" i="2"/>
  <c r="V61" i="2"/>
  <c r="V62" i="2"/>
  <c r="V63" i="2"/>
  <c r="V64" i="2"/>
  <c r="V65" i="2"/>
  <c r="V66" i="2"/>
  <c r="V67" i="2"/>
  <c r="V58" i="2"/>
  <c r="V52" i="2"/>
  <c r="V53" i="2"/>
  <c r="V54" i="2"/>
  <c r="V55" i="2"/>
  <c r="X55" i="2" s="1"/>
  <c r="V56" i="2"/>
  <c r="V51" i="2"/>
  <c r="V39" i="2"/>
  <c r="V40" i="2"/>
  <c r="V41" i="2"/>
  <c r="V42" i="2"/>
  <c r="V43" i="2"/>
  <c r="V44" i="2"/>
  <c r="V45" i="2"/>
  <c r="V46" i="2"/>
  <c r="V47" i="2"/>
  <c r="V48" i="2"/>
  <c r="V49" i="2"/>
  <c r="V38" i="2"/>
  <c r="V36" i="2"/>
  <c r="V30" i="2"/>
  <c r="V31" i="2"/>
  <c r="V32" i="2"/>
  <c r="V33" i="2"/>
  <c r="V34" i="2"/>
  <c r="V35" i="2"/>
  <c r="V29" i="2"/>
  <c r="V23" i="2"/>
  <c r="V24" i="2"/>
  <c r="V25" i="2"/>
  <c r="V26" i="2"/>
  <c r="V27" i="2"/>
  <c r="T102" i="2"/>
  <c r="T103" i="2"/>
  <c r="T104" i="2"/>
  <c r="T105" i="2"/>
  <c r="T106" i="2"/>
  <c r="T107" i="2"/>
  <c r="T108" i="2"/>
  <c r="T109" i="2"/>
  <c r="T110" i="2"/>
  <c r="T111" i="2"/>
  <c r="T112" i="2"/>
  <c r="T113" i="2"/>
  <c r="T114" i="2"/>
  <c r="T115" i="2"/>
  <c r="T116" i="2"/>
  <c r="T117" i="2"/>
  <c r="T118" i="2"/>
  <c r="T119" i="2"/>
  <c r="T120" i="2"/>
  <c r="T101" i="2"/>
  <c r="T83" i="2"/>
  <c r="T84" i="2"/>
  <c r="T85" i="2"/>
  <c r="T86" i="2"/>
  <c r="T87" i="2"/>
  <c r="T88" i="2"/>
  <c r="T89" i="2"/>
  <c r="T90" i="2"/>
  <c r="T82" i="2"/>
  <c r="T76" i="2"/>
  <c r="T77" i="2"/>
  <c r="T78" i="2"/>
  <c r="T79" i="2"/>
  <c r="T80" i="2"/>
  <c r="T75" i="2"/>
  <c r="T70" i="2"/>
  <c r="T71" i="2"/>
  <c r="T72" i="2"/>
  <c r="T73" i="2"/>
  <c r="T59" i="2"/>
  <c r="T60" i="2"/>
  <c r="T61" i="2"/>
  <c r="T62" i="2"/>
  <c r="T63" i="2"/>
  <c r="T64" i="2"/>
  <c r="T65" i="2"/>
  <c r="T66" i="2"/>
  <c r="T67" i="2"/>
  <c r="T68" i="2"/>
  <c r="T58" i="2"/>
  <c r="T52" i="2"/>
  <c r="T53" i="2"/>
  <c r="T54" i="2"/>
  <c r="T55" i="2"/>
  <c r="T56" i="2"/>
  <c r="T51" i="2"/>
  <c r="T39" i="2"/>
  <c r="T40" i="2"/>
  <c r="T41" i="2"/>
  <c r="T42" i="2"/>
  <c r="T43" i="2"/>
  <c r="T44" i="2"/>
  <c r="T45" i="2"/>
  <c r="T46" i="2"/>
  <c r="T47" i="2"/>
  <c r="T48" i="2"/>
  <c r="T49" i="2"/>
  <c r="T38" i="2"/>
  <c r="T30" i="2"/>
  <c r="T31" i="2"/>
  <c r="T32" i="2"/>
  <c r="T33" i="2"/>
  <c r="T34" i="2"/>
  <c r="T35" i="2"/>
  <c r="T36" i="2"/>
  <c r="T29" i="2"/>
  <c r="T23" i="2"/>
  <c r="T24" i="2"/>
  <c r="T25" i="2"/>
  <c r="T26" i="2"/>
  <c r="T27" i="2"/>
  <c r="T22" i="2"/>
  <c r="V22" i="2"/>
  <c r="Q221" i="2"/>
  <c r="Q222" i="2"/>
  <c r="Q223" i="2"/>
  <c r="Q224" i="2"/>
  <c r="Q225" i="2"/>
  <c r="Q226" i="2"/>
  <c r="Q220" i="2"/>
  <c r="Q209" i="2"/>
  <c r="Q210" i="2"/>
  <c r="Q211" i="2"/>
  <c r="Q212" i="2"/>
  <c r="Q213" i="2"/>
  <c r="Q214" i="2"/>
  <c r="Q215" i="2"/>
  <c r="Q216" i="2"/>
  <c r="Q217" i="2"/>
  <c r="Q218" i="2"/>
  <c r="Q208" i="2"/>
  <c r="Q205" i="2"/>
  <c r="Q199" i="2"/>
  <c r="Q200" i="2"/>
  <c r="Q201" i="2"/>
  <c r="Q202" i="2"/>
  <c r="Q203" i="2"/>
  <c r="Q204" i="2"/>
  <c r="Q198" i="2"/>
  <c r="Q182" i="2"/>
  <c r="Q183" i="2"/>
  <c r="Q184" i="2"/>
  <c r="Q185" i="2"/>
  <c r="Q186" i="2"/>
  <c r="Q187" i="2"/>
  <c r="Q188" i="2"/>
  <c r="Q189" i="2"/>
  <c r="Q190" i="2"/>
  <c r="Q191" i="2"/>
  <c r="Q192" i="2"/>
  <c r="Q193" i="2"/>
  <c r="Q194" i="2"/>
  <c r="Q195" i="2"/>
  <c r="Q196" i="2"/>
  <c r="Q123" i="2"/>
  <c r="Q124" i="2"/>
  <c r="Q125" i="2"/>
  <c r="Q126" i="2"/>
  <c r="Q127" i="2"/>
  <c r="Q128" i="2"/>
  <c r="Q129" i="2"/>
  <c r="Q130" i="2"/>
  <c r="Q131" i="2"/>
  <c r="Q132" i="2"/>
  <c r="Q133" i="2"/>
  <c r="Q134" i="2"/>
  <c r="Q135" i="2"/>
  <c r="Q136" i="2"/>
  <c r="Q137" i="2"/>
  <c r="Q138" i="2"/>
  <c r="Q139" i="2"/>
  <c r="Q140" i="2"/>
  <c r="Q141" i="2"/>
  <c r="Q142" i="2"/>
  <c r="Q143" i="2"/>
  <c r="Q144" i="2"/>
  <c r="Q145" i="2"/>
  <c r="Q146" i="2"/>
  <c r="Q147" i="2"/>
  <c r="Q148" i="2"/>
  <c r="Q149" i="2"/>
  <c r="Q150" i="2"/>
  <c r="Q151" i="2"/>
  <c r="Q152" i="2"/>
  <c r="Q153" i="2"/>
  <c r="Q154" i="2"/>
  <c r="Q155" i="2"/>
  <c r="Q156" i="2"/>
  <c r="Q157" i="2"/>
  <c r="Q158" i="2"/>
  <c r="Q159" i="2"/>
  <c r="Q160" i="2"/>
  <c r="Q161" i="2"/>
  <c r="Q162" i="2"/>
  <c r="Q163" i="2"/>
  <c r="Q164" i="2"/>
  <c r="Q165" i="2"/>
  <c r="Q166" i="2"/>
  <c r="Q167" i="2"/>
  <c r="Q168" i="2"/>
  <c r="Q169" i="2"/>
  <c r="Q170" i="2"/>
  <c r="Q171" i="2"/>
  <c r="Q172" i="2"/>
  <c r="Q173" i="2"/>
  <c r="Q174" i="2"/>
  <c r="Q175" i="2"/>
  <c r="Q122" i="2"/>
  <c r="Q102" i="2"/>
  <c r="Q103" i="2"/>
  <c r="Q104" i="2"/>
  <c r="Q105" i="2"/>
  <c r="Q106" i="2"/>
  <c r="Q107" i="2"/>
  <c r="Q108" i="2"/>
  <c r="Q109" i="2"/>
  <c r="Q110" i="2"/>
  <c r="Q111" i="2"/>
  <c r="Q112" i="2"/>
  <c r="Q113" i="2"/>
  <c r="Q114" i="2"/>
  <c r="Q115" i="2"/>
  <c r="Q116" i="2"/>
  <c r="Q117" i="2"/>
  <c r="Q118" i="2"/>
  <c r="Q119" i="2"/>
  <c r="Q120" i="2"/>
  <c r="Q101" i="2"/>
  <c r="Q83" i="2"/>
  <c r="Q84" i="2"/>
  <c r="Q85" i="2"/>
  <c r="Q86" i="2"/>
  <c r="Q87" i="2"/>
  <c r="Q88" i="2"/>
  <c r="Q89" i="2"/>
  <c r="Q90" i="2"/>
  <c r="Q82" i="2"/>
  <c r="Q76" i="2"/>
  <c r="Q77" i="2"/>
  <c r="Q78" i="2"/>
  <c r="Q79" i="2"/>
  <c r="Q80" i="2"/>
  <c r="Q75" i="2"/>
  <c r="Q70" i="2"/>
  <c r="Q71" i="2"/>
  <c r="Q72" i="2"/>
  <c r="Q73" i="2"/>
  <c r="Q59" i="2"/>
  <c r="Q60" i="2"/>
  <c r="Q61" i="2"/>
  <c r="Q62" i="2"/>
  <c r="Q63" i="2"/>
  <c r="Q64" i="2"/>
  <c r="Q65" i="2"/>
  <c r="Q66" i="2"/>
  <c r="Q67" i="2"/>
  <c r="Q68" i="2"/>
  <c r="Q58" i="2"/>
  <c r="Q53" i="2"/>
  <c r="Q52" i="2"/>
  <c r="Q54" i="2"/>
  <c r="Q55" i="2"/>
  <c r="Q56" i="2"/>
  <c r="Q51" i="2"/>
  <c r="Q39" i="2"/>
  <c r="Q40" i="2"/>
  <c r="Q41" i="2"/>
  <c r="Q42" i="2"/>
  <c r="Q43" i="2"/>
  <c r="Q44" i="2"/>
  <c r="Q45" i="2"/>
  <c r="Q46" i="2"/>
  <c r="Q47" i="2"/>
  <c r="Q48" i="2"/>
  <c r="Q49" i="2"/>
  <c r="Q38" i="2"/>
  <c r="Q30" i="2"/>
  <c r="Q31" i="2"/>
  <c r="Q32" i="2"/>
  <c r="Q33" i="2"/>
  <c r="Q34" i="2"/>
  <c r="Q35" i="2"/>
  <c r="Q36" i="2"/>
  <c r="Q29" i="2"/>
  <c r="Q23" i="2"/>
  <c r="Q24" i="2"/>
  <c r="Q25" i="2"/>
  <c r="Q26" i="2"/>
  <c r="Q27" i="2"/>
  <c r="N83" i="2"/>
  <c r="N84" i="2"/>
  <c r="N85" i="2"/>
  <c r="N86" i="2"/>
  <c r="N87" i="2"/>
  <c r="N88" i="2"/>
  <c r="N89" i="2"/>
  <c r="N90" i="2"/>
  <c r="N82" i="2"/>
  <c r="N76" i="2"/>
  <c r="N77" i="2"/>
  <c r="N78" i="2"/>
  <c r="N79" i="2"/>
  <c r="N80" i="2"/>
  <c r="N75" i="2"/>
  <c r="N70" i="2"/>
  <c r="N71" i="2"/>
  <c r="N72" i="2"/>
  <c r="N73" i="2"/>
  <c r="N59" i="2"/>
  <c r="N60" i="2"/>
  <c r="N61" i="2"/>
  <c r="N62" i="2"/>
  <c r="N63" i="2"/>
  <c r="N64" i="2"/>
  <c r="N65" i="2"/>
  <c r="N66" i="2"/>
  <c r="N67" i="2"/>
  <c r="N68" i="2"/>
  <c r="N58" i="2"/>
  <c r="N52" i="2"/>
  <c r="N53" i="2"/>
  <c r="N54" i="2"/>
  <c r="N55" i="2"/>
  <c r="N56" i="2"/>
  <c r="N51" i="2"/>
  <c r="N39" i="2"/>
  <c r="N40" i="2"/>
  <c r="N41" i="2"/>
  <c r="N42" i="2"/>
  <c r="N43" i="2"/>
  <c r="N44" i="2"/>
  <c r="N45" i="2"/>
  <c r="N46" i="2"/>
  <c r="N47" i="2"/>
  <c r="N48" i="2"/>
  <c r="N49" i="2"/>
  <c r="N38" i="2"/>
  <c r="N30" i="2"/>
  <c r="N31" i="2"/>
  <c r="N32" i="2"/>
  <c r="N33" i="2"/>
  <c r="N34" i="2"/>
  <c r="N35" i="2"/>
  <c r="N36" i="2"/>
  <c r="N29" i="2"/>
  <c r="N23" i="2"/>
  <c r="N24" i="2"/>
  <c r="N25" i="2"/>
  <c r="N26" i="2"/>
  <c r="N27" i="2"/>
  <c r="N22" i="2"/>
  <c r="J90" i="2"/>
  <c r="I228" i="2"/>
  <c r="I220" i="2"/>
  <c r="I208" i="2"/>
  <c r="I198" i="2"/>
  <c r="I122" i="2"/>
  <c r="I101" i="2"/>
  <c r="I88" i="2"/>
  <c r="I82" i="2"/>
  <c r="I75" i="2"/>
  <c r="Z69" i="2"/>
  <c r="I58" i="2"/>
  <c r="I51" i="2"/>
  <c r="I38" i="2"/>
  <c r="I22" i="2"/>
  <c r="I29" i="2"/>
  <c r="X229" i="2" l="1"/>
  <c r="D5878" i="8"/>
  <c r="W56" i="2"/>
  <c r="W54" i="2"/>
  <c r="W76" i="2"/>
  <c r="N91" i="2"/>
  <c r="W33" i="2"/>
  <c r="W80" i="2"/>
  <c r="W41" i="2"/>
  <c r="W60" i="2"/>
  <c r="W43" i="2"/>
  <c r="W75" i="2"/>
  <c r="W42" i="2"/>
  <c r="W83" i="2"/>
  <c r="W59" i="2"/>
  <c r="X236" i="2"/>
  <c r="G236" i="2"/>
  <c r="K236" i="2" s="1"/>
  <c r="W82" i="2"/>
  <c r="W47" i="2"/>
  <c r="X87" i="2"/>
  <c r="W65" i="2"/>
  <c r="W38" i="2"/>
  <c r="W46" i="2"/>
  <c r="W27" i="2"/>
  <c r="W70" i="2"/>
  <c r="W25" i="2"/>
  <c r="W88" i="2"/>
  <c r="W64" i="2"/>
  <c r="W73" i="2"/>
  <c r="W85" i="2"/>
  <c r="W63" i="2"/>
  <c r="W62" i="2"/>
  <c r="W26" i="2"/>
  <c r="J231" i="2"/>
  <c r="X231" i="2" s="1"/>
  <c r="G231" i="2"/>
  <c r="K231" i="2" s="1"/>
  <c r="W32" i="2"/>
  <c r="W45" i="2"/>
  <c r="W67" i="2"/>
  <c r="W49" i="2"/>
  <c r="W40" i="2"/>
  <c r="W44" i="2"/>
  <c r="W77" i="2"/>
  <c r="W31" i="2"/>
  <c r="W34" i="2"/>
  <c r="W86" i="2"/>
  <c r="W39" i="2"/>
  <c r="W78" i="2"/>
  <c r="W66" i="2"/>
  <c r="W71" i="2"/>
  <c r="W24" i="2"/>
  <c r="W55" i="2"/>
  <c r="W61" i="2"/>
  <c r="W89" i="2"/>
  <c r="W48" i="2"/>
  <c r="W87" i="2"/>
  <c r="X90" i="2"/>
  <c r="W30" i="2"/>
  <c r="W84" i="2"/>
  <c r="W68" i="2"/>
  <c r="W23" i="2"/>
  <c r="W79" i="2"/>
  <c r="W29" i="2"/>
  <c r="W36" i="2"/>
  <c r="G229" i="2"/>
  <c r="K229" i="2" s="1"/>
  <c r="W35" i="2"/>
  <c r="W90" i="2"/>
  <c r="W58" i="2"/>
  <c r="D5945" i="8"/>
  <c r="E230" i="2" s="1"/>
  <c r="W72" i="2"/>
  <c r="D5901" i="8"/>
  <c r="E228" i="2" s="1"/>
  <c r="G228" i="2" s="1"/>
  <c r="K228" i="2" s="1"/>
  <c r="H5860" i="8"/>
  <c r="H5859" i="8"/>
  <c r="H5840" i="8"/>
  <c r="H5839" i="8"/>
  <c r="H5838" i="8"/>
  <c r="H5837" i="8"/>
  <c r="H5816" i="8"/>
  <c r="H5817" i="8"/>
  <c r="H5818" i="8"/>
  <c r="H5815" i="8"/>
  <c r="H5793" i="8"/>
  <c r="H5771" i="8"/>
  <c r="H5750" i="8"/>
  <c r="H5752" i="8"/>
  <c r="H5751" i="8"/>
  <c r="H5749" i="8"/>
  <c r="D5746" i="8" s="1"/>
  <c r="Z197" i="2"/>
  <c r="Z219" i="2"/>
  <c r="D5812" i="8" l="1"/>
  <c r="E223" i="2" s="1"/>
  <c r="G223" i="2" s="1"/>
  <c r="K223" i="2" s="1"/>
  <c r="D5834" i="8"/>
  <c r="E224" i="2" s="1"/>
  <c r="G224" i="2" s="1"/>
  <c r="K224" i="2" s="1"/>
  <c r="J230" i="2"/>
  <c r="X230" i="2" s="1"/>
  <c r="G230" i="2"/>
  <c r="K230" i="2" s="1"/>
  <c r="J228" i="2"/>
  <c r="X228" i="2" s="1"/>
  <c r="E5878" i="8"/>
  <c r="E226" i="2"/>
  <c r="C5878" i="8"/>
  <c r="E5856" i="8"/>
  <c r="D5856" i="8"/>
  <c r="E225" i="2" s="1"/>
  <c r="C5856" i="8"/>
  <c r="D5854" i="8"/>
  <c r="E5834" i="8"/>
  <c r="C5834" i="8"/>
  <c r="D5832" i="8"/>
  <c r="E5812" i="8"/>
  <c r="C5812" i="8"/>
  <c r="D5810" i="8"/>
  <c r="E5790" i="8"/>
  <c r="C5790" i="8"/>
  <c r="D5788" i="8"/>
  <c r="D5744" i="8"/>
  <c r="E5702" i="8"/>
  <c r="C5702" i="8"/>
  <c r="D5700" i="8"/>
  <c r="E5768" i="8"/>
  <c r="C5768" i="8"/>
  <c r="D5766" i="8"/>
  <c r="E5746" i="8"/>
  <c r="C5746" i="8"/>
  <c r="H5727" i="8"/>
  <c r="E5724" i="8"/>
  <c r="D5724" i="8"/>
  <c r="E218" i="2" s="1"/>
  <c r="C5724" i="8"/>
  <c r="D5722" i="8"/>
  <c r="H5705" i="8"/>
  <c r="D5702" i="8" s="1"/>
  <c r="E217" i="2" s="1"/>
  <c r="E5680" i="8"/>
  <c r="C5680" i="8"/>
  <c r="D5678" i="8"/>
  <c r="H5683" i="8"/>
  <c r="D5656" i="8"/>
  <c r="E5658" i="8"/>
  <c r="C5658" i="8"/>
  <c r="H5661" i="8"/>
  <c r="D5658" i="8" s="1"/>
  <c r="E215" i="2" s="1"/>
  <c r="H5639" i="8"/>
  <c r="D5636" i="8" s="1"/>
  <c r="E214" i="2" s="1"/>
  <c r="D5634" i="8"/>
  <c r="E5636" i="8"/>
  <c r="C5636" i="8"/>
  <c r="E5614" i="8"/>
  <c r="C5614" i="8"/>
  <c r="D5612" i="8"/>
  <c r="E5592" i="8"/>
  <c r="C5592" i="8"/>
  <c r="D5590" i="8"/>
  <c r="C5570" i="8"/>
  <c r="E5570" i="8"/>
  <c r="D5568" i="8"/>
  <c r="H5574" i="8"/>
  <c r="H5573" i="8"/>
  <c r="H5552" i="8"/>
  <c r="H5551" i="8"/>
  <c r="E5548" i="8"/>
  <c r="C5548" i="8"/>
  <c r="D5546" i="8"/>
  <c r="E5526" i="8"/>
  <c r="C5526" i="8"/>
  <c r="D5524" i="8"/>
  <c r="H5530" i="8"/>
  <c r="H5529" i="8"/>
  <c r="H5508" i="8"/>
  <c r="H5507" i="8"/>
  <c r="H5398" i="8"/>
  <c r="H5399" i="8"/>
  <c r="H5376" i="8"/>
  <c r="H5334" i="8"/>
  <c r="H5464" i="8"/>
  <c r="H5332" i="8"/>
  <c r="H5333" i="8"/>
  <c r="D5502" i="8"/>
  <c r="D5526" i="8" l="1"/>
  <c r="E209" i="2" s="1"/>
  <c r="G209" i="2" s="1"/>
  <c r="K209" i="2" s="1"/>
  <c r="D5548" i="8"/>
  <c r="E210" i="2" s="1"/>
  <c r="G210" i="2" s="1"/>
  <c r="K210" i="2" s="1"/>
  <c r="J223" i="2"/>
  <c r="X223" i="2" s="1"/>
  <c r="J224" i="2"/>
  <c r="X224" i="2" s="1"/>
  <c r="D5504" i="8"/>
  <c r="E208" i="2" s="1"/>
  <c r="J208" i="2" s="1"/>
  <c r="X208" i="2" s="1"/>
  <c r="G214" i="2"/>
  <c r="K214" i="2" s="1"/>
  <c r="J214" i="2"/>
  <c r="X214" i="2" s="1"/>
  <c r="G215" i="2"/>
  <c r="K215" i="2" s="1"/>
  <c r="J215" i="2"/>
  <c r="X215" i="2" s="1"/>
  <c r="G225" i="2"/>
  <c r="K225" i="2" s="1"/>
  <c r="J225" i="2"/>
  <c r="X225" i="2" s="1"/>
  <c r="G218" i="2"/>
  <c r="K218" i="2" s="1"/>
  <c r="J218" i="2"/>
  <c r="X218" i="2" s="1"/>
  <c r="G217" i="2"/>
  <c r="K217" i="2" s="1"/>
  <c r="J217" i="2"/>
  <c r="X217" i="2" s="1"/>
  <c r="G226" i="2"/>
  <c r="K226" i="2" s="1"/>
  <c r="J226" i="2"/>
  <c r="X226" i="2" s="1"/>
  <c r="E220" i="2"/>
  <c r="D5790" i="8"/>
  <c r="E222" i="2" s="1"/>
  <c r="D5768" i="8"/>
  <c r="J209" i="2" l="1"/>
  <c r="X209" i="2" s="1"/>
  <c r="J210" i="2"/>
  <c r="X210" i="2" s="1"/>
  <c r="G208" i="2"/>
  <c r="K208" i="2" s="1"/>
  <c r="G222" i="2"/>
  <c r="K222" i="2" s="1"/>
  <c r="J222" i="2"/>
  <c r="X222" i="2" s="1"/>
  <c r="G220" i="2"/>
  <c r="K220" i="2" s="1"/>
  <c r="J220" i="2"/>
  <c r="X220" i="2" s="1"/>
  <c r="E221" i="2"/>
  <c r="D5680" i="8"/>
  <c r="E216" i="2" s="1"/>
  <c r="H5617" i="8"/>
  <c r="D5614" i="8" s="1"/>
  <c r="E213" i="2" s="1"/>
  <c r="D5592" i="8"/>
  <c r="E212" i="2" s="1"/>
  <c r="D5570" i="8"/>
  <c r="E211" i="2" s="1"/>
  <c r="E5504" i="8"/>
  <c r="C5504" i="8"/>
  <c r="H5463" i="8"/>
  <c r="D5460" i="8" s="1"/>
  <c r="E205" i="2" s="1"/>
  <c r="E5460" i="8"/>
  <c r="C5460" i="8"/>
  <c r="D5458" i="8"/>
  <c r="H5441" i="8"/>
  <c r="D5438" i="8" s="1"/>
  <c r="E204" i="2" s="1"/>
  <c r="E5438" i="8"/>
  <c r="C5438" i="8"/>
  <c r="D5436" i="8"/>
  <c r="H5419" i="8"/>
  <c r="D5416" i="8" s="1"/>
  <c r="E203" i="2" s="1"/>
  <c r="E5416" i="8"/>
  <c r="C5416" i="8"/>
  <c r="D5414" i="8"/>
  <c r="H5397" i="8"/>
  <c r="D5394" i="8" s="1"/>
  <c r="E202" i="2" s="1"/>
  <c r="E5394" i="8"/>
  <c r="C5394" i="8"/>
  <c r="D5392" i="8"/>
  <c r="H5375" i="8"/>
  <c r="D5372" i="8" s="1"/>
  <c r="E201" i="2" s="1"/>
  <c r="E5372" i="8"/>
  <c r="C5372" i="8"/>
  <c r="D5370" i="8"/>
  <c r="H5353" i="8"/>
  <c r="D5350" i="8" s="1"/>
  <c r="E200" i="2" s="1"/>
  <c r="E5350" i="8"/>
  <c r="C5350" i="8"/>
  <c r="D5348" i="8"/>
  <c r="H5331" i="8"/>
  <c r="D5328" i="8" s="1"/>
  <c r="E199" i="2" s="1"/>
  <c r="E5328" i="8"/>
  <c r="C5328" i="8"/>
  <c r="D5326" i="8"/>
  <c r="H5309" i="8"/>
  <c r="D5306" i="8" s="1"/>
  <c r="E198" i="2" s="1"/>
  <c r="E5306" i="8"/>
  <c r="C5306" i="8"/>
  <c r="D5304" i="8"/>
  <c r="E5284" i="8"/>
  <c r="C5284" i="8"/>
  <c r="H5287" i="8"/>
  <c r="D5282" i="8"/>
  <c r="E5262" i="8"/>
  <c r="D5260" i="8"/>
  <c r="C5262" i="8"/>
  <c r="H5265" i="8"/>
  <c r="H5243" i="8"/>
  <c r="D5238" i="8"/>
  <c r="E5240" i="8"/>
  <c r="C5240" i="8"/>
  <c r="H5221" i="8"/>
  <c r="E5218" i="8"/>
  <c r="D5216" i="8"/>
  <c r="C5218" i="8"/>
  <c r="D5194" i="8"/>
  <c r="E5196" i="8"/>
  <c r="C5196" i="8"/>
  <c r="H5199" i="8"/>
  <c r="E5174" i="8"/>
  <c r="C5174" i="8"/>
  <c r="D5172" i="8"/>
  <c r="H5177" i="8"/>
  <c r="H5155" i="8"/>
  <c r="D5150" i="8"/>
  <c r="E5152" i="8"/>
  <c r="C5152" i="8"/>
  <c r="E5130" i="8"/>
  <c r="C5130" i="8"/>
  <c r="D5128" i="8"/>
  <c r="H5133" i="8"/>
  <c r="E5108" i="8"/>
  <c r="C5108" i="8"/>
  <c r="D5106" i="8"/>
  <c r="H5111" i="8"/>
  <c r="E5086" i="8"/>
  <c r="C5086" i="8"/>
  <c r="H5089" i="8"/>
  <c r="D5084" i="8"/>
  <c r="H5067" i="8"/>
  <c r="H5046" i="8"/>
  <c r="H5045" i="8"/>
  <c r="H5024" i="8"/>
  <c r="H5023" i="8"/>
  <c r="H5002" i="8"/>
  <c r="H4980" i="8"/>
  <c r="E5042" i="8"/>
  <c r="C5042" i="8"/>
  <c r="D5040" i="8"/>
  <c r="H5001" i="8"/>
  <c r="E4998" i="8"/>
  <c r="C4998" i="8"/>
  <c r="D4996" i="8"/>
  <c r="C4976" i="8"/>
  <c r="E4976" i="8"/>
  <c r="D4974" i="8"/>
  <c r="H4979" i="8"/>
  <c r="E4954" i="8"/>
  <c r="C4954" i="8"/>
  <c r="H4957" i="8"/>
  <c r="D4952" i="8"/>
  <c r="H4935" i="8"/>
  <c r="E4932" i="8"/>
  <c r="C4932" i="8"/>
  <c r="D4930" i="8"/>
  <c r="H4913" i="8"/>
  <c r="E4910" i="8"/>
  <c r="C4910" i="8"/>
  <c r="D4908" i="8"/>
  <c r="H4891" i="8"/>
  <c r="H3163" i="8"/>
  <c r="D3160" i="8" s="1"/>
  <c r="E89" i="2" s="1"/>
  <c r="H3141" i="8"/>
  <c r="D3138" i="8" s="1"/>
  <c r="E88" i="2" s="1"/>
  <c r="J88" i="2" s="1"/>
  <c r="X88" i="2" s="1"/>
  <c r="E3138" i="8"/>
  <c r="C3138" i="8"/>
  <c r="D3136" i="8"/>
  <c r="D3158" i="8"/>
  <c r="C3160" i="8"/>
  <c r="E3160" i="8"/>
  <c r="E4888" i="8"/>
  <c r="C4888" i="8"/>
  <c r="D4886" i="8"/>
  <c r="H4844" i="8"/>
  <c r="E4841" i="8"/>
  <c r="C4841" i="8"/>
  <c r="D4839" i="8"/>
  <c r="E4819" i="8"/>
  <c r="C4819" i="8"/>
  <c r="H4823" i="8"/>
  <c r="D4817" i="8"/>
  <c r="H4822" i="8"/>
  <c r="H4800" i="8"/>
  <c r="E4797" i="8"/>
  <c r="C4797" i="8"/>
  <c r="D4795" i="8"/>
  <c r="H4778" i="8"/>
  <c r="D4773" i="8"/>
  <c r="E4775" i="8"/>
  <c r="C4775" i="8"/>
  <c r="H4756" i="8"/>
  <c r="E4753" i="8"/>
  <c r="C4753" i="8"/>
  <c r="D4751" i="8"/>
  <c r="H4734" i="8"/>
  <c r="E4731" i="8"/>
  <c r="C4731" i="8"/>
  <c r="D4729" i="8"/>
  <c r="H4712" i="8"/>
  <c r="E4709" i="8"/>
  <c r="C4709" i="8"/>
  <c r="D4707" i="8"/>
  <c r="H4690" i="8"/>
  <c r="H4673" i="8"/>
  <c r="H4672" i="8"/>
  <c r="H4671" i="8"/>
  <c r="H4670" i="8"/>
  <c r="H4669" i="8"/>
  <c r="H4668" i="8"/>
  <c r="E4665" i="8"/>
  <c r="C4665" i="8"/>
  <c r="D4663" i="8"/>
  <c r="H4646" i="8"/>
  <c r="H4629" i="8"/>
  <c r="H4628" i="8"/>
  <c r="H4627" i="8"/>
  <c r="H4626" i="8"/>
  <c r="H4625" i="8"/>
  <c r="H4624" i="8"/>
  <c r="H4607" i="8"/>
  <c r="H4606" i="8"/>
  <c r="H4605" i="8"/>
  <c r="H4604" i="8"/>
  <c r="H4603" i="8"/>
  <c r="H4602" i="8"/>
  <c r="H4582" i="8"/>
  <c r="H4583" i="8"/>
  <c r="H4584" i="8"/>
  <c r="H4581" i="8"/>
  <c r="H4585" i="8"/>
  <c r="H4580" i="8"/>
  <c r="H284" i="8"/>
  <c r="D72" i="8"/>
  <c r="E4643" i="8"/>
  <c r="C4643" i="8"/>
  <c r="D4641" i="8"/>
  <c r="D4619" i="8"/>
  <c r="E4621" i="8"/>
  <c r="C4621" i="8"/>
  <c r="E4599" i="8"/>
  <c r="C4599" i="8"/>
  <c r="D4597" i="8"/>
  <c r="H4024" i="8"/>
  <c r="H4025" i="8"/>
  <c r="E4577" i="8"/>
  <c r="C4577" i="8"/>
  <c r="D4575" i="8"/>
  <c r="H4529" i="8"/>
  <c r="E4526" i="8"/>
  <c r="C4526" i="8"/>
  <c r="D4524" i="8"/>
  <c r="H4507" i="8"/>
  <c r="E4504" i="8"/>
  <c r="C4504" i="8"/>
  <c r="D4502" i="8"/>
  <c r="H4485" i="8"/>
  <c r="E4482" i="8"/>
  <c r="C4482" i="8"/>
  <c r="D4480" i="8"/>
  <c r="H4463" i="8"/>
  <c r="E4460" i="8"/>
  <c r="C4460" i="8"/>
  <c r="D4458" i="8"/>
  <c r="H4441" i="8"/>
  <c r="H4419" i="8"/>
  <c r="E4416" i="8"/>
  <c r="C4416" i="8"/>
  <c r="D4414" i="8"/>
  <c r="H4397" i="8"/>
  <c r="E4394" i="8"/>
  <c r="C4394" i="8"/>
  <c r="D4392" i="8"/>
  <c r="H4375" i="8"/>
  <c r="D4370" i="8"/>
  <c r="E4372" i="8"/>
  <c r="C4372" i="8"/>
  <c r="H4353" i="8"/>
  <c r="E4350" i="8"/>
  <c r="C4350" i="8"/>
  <c r="D4348" i="8"/>
  <c r="H4331" i="8"/>
  <c r="H4309" i="8"/>
  <c r="D4304" i="8"/>
  <c r="E4306" i="8"/>
  <c r="C4306" i="8"/>
  <c r="H4287" i="8"/>
  <c r="E4284" i="8"/>
  <c r="C4284" i="8"/>
  <c r="D4282" i="8"/>
  <c r="H4265" i="8"/>
  <c r="E4262" i="8"/>
  <c r="C4262" i="8"/>
  <c r="D4260" i="8"/>
  <c r="H4243" i="8"/>
  <c r="E4240" i="8"/>
  <c r="C4240" i="8"/>
  <c r="D4238" i="8"/>
  <c r="H4221" i="8"/>
  <c r="E4218" i="8"/>
  <c r="C4218" i="8"/>
  <c r="D4216" i="8"/>
  <c r="H4199" i="8"/>
  <c r="D4194" i="8"/>
  <c r="E4196" i="8"/>
  <c r="C4196" i="8"/>
  <c r="H4177" i="8"/>
  <c r="D4172" i="8"/>
  <c r="E4174" i="8"/>
  <c r="C4174" i="8"/>
  <c r="H4155" i="8"/>
  <c r="E4152" i="8"/>
  <c r="C4152" i="8"/>
  <c r="D4150" i="8"/>
  <c r="H4133" i="8"/>
  <c r="E4130" i="8"/>
  <c r="C4130" i="8"/>
  <c r="D4128" i="8"/>
  <c r="H4114" i="8"/>
  <c r="H4113" i="8"/>
  <c r="H4112" i="8"/>
  <c r="H4111" i="8"/>
  <c r="D4106" i="8"/>
  <c r="E4108" i="8"/>
  <c r="C4108" i="8"/>
  <c r="H4089" i="8"/>
  <c r="E4086" i="8"/>
  <c r="C4086" i="8"/>
  <c r="D4084" i="8"/>
  <c r="H4067" i="8"/>
  <c r="E4064" i="8"/>
  <c r="C4064" i="8"/>
  <c r="D4062" i="8"/>
  <c r="H4045" i="8"/>
  <c r="E4042" i="8"/>
  <c r="C4042" i="8"/>
  <c r="D4040" i="8"/>
  <c r="H4023" i="8"/>
  <c r="E4020" i="8"/>
  <c r="D4018" i="8"/>
  <c r="C4020" i="8"/>
  <c r="H4001" i="8"/>
  <c r="E3998" i="8"/>
  <c r="D3996" i="8"/>
  <c r="C3998" i="8"/>
  <c r="H3979" i="8"/>
  <c r="E3976" i="8"/>
  <c r="C3976" i="8"/>
  <c r="D3974" i="8"/>
  <c r="H3957" i="8"/>
  <c r="E3954" i="8"/>
  <c r="C3954" i="8"/>
  <c r="D3952" i="8"/>
  <c r="E3932" i="8"/>
  <c r="C3932" i="8"/>
  <c r="D3930" i="8"/>
  <c r="H3935" i="8"/>
  <c r="H3913" i="8"/>
  <c r="E3910" i="8"/>
  <c r="D3908" i="8"/>
  <c r="C3910" i="8"/>
  <c r="H3891" i="8"/>
  <c r="E3888" i="8"/>
  <c r="C3888" i="8"/>
  <c r="D3886" i="8"/>
  <c r="H3870" i="8"/>
  <c r="H3871" i="8"/>
  <c r="F3869" i="8"/>
  <c r="H3869" i="8" s="1"/>
  <c r="E3866" i="8"/>
  <c r="C3866" i="8"/>
  <c r="D3864" i="8"/>
  <c r="H3849" i="8"/>
  <c r="H3848" i="8"/>
  <c r="H3847" i="8"/>
  <c r="E3844" i="8"/>
  <c r="C3844" i="8"/>
  <c r="D3842" i="8"/>
  <c r="H3825" i="8"/>
  <c r="C3822" i="8"/>
  <c r="E3822" i="8"/>
  <c r="D3820" i="8"/>
  <c r="E3800" i="8"/>
  <c r="C3800" i="8"/>
  <c r="D3798" i="8"/>
  <c r="H3781" i="8"/>
  <c r="E3778" i="8"/>
  <c r="C3778" i="8"/>
  <c r="D3776" i="8"/>
  <c r="H3760" i="8"/>
  <c r="H3761" i="8"/>
  <c r="H3762" i="8"/>
  <c r="H3759" i="8"/>
  <c r="H3737" i="8"/>
  <c r="E3756" i="8"/>
  <c r="D3754" i="8"/>
  <c r="C3756" i="8"/>
  <c r="E3734" i="8"/>
  <c r="C3734" i="8"/>
  <c r="D3732" i="8"/>
  <c r="H3715" i="8"/>
  <c r="E3712" i="8"/>
  <c r="C3712" i="8"/>
  <c r="D3710" i="8"/>
  <c r="H3651" i="8"/>
  <c r="H3652" i="8"/>
  <c r="E3690" i="8"/>
  <c r="D3688" i="8"/>
  <c r="C3690" i="8"/>
  <c r="H3671" i="8"/>
  <c r="H3650" i="8"/>
  <c r="H3649" i="8"/>
  <c r="E3668" i="8"/>
  <c r="C3668" i="8"/>
  <c r="D3666" i="8"/>
  <c r="E3646" i="8"/>
  <c r="C3646" i="8"/>
  <c r="D3644" i="8"/>
  <c r="H3627" i="8"/>
  <c r="E3624" i="8"/>
  <c r="C3624" i="8"/>
  <c r="D3622" i="8"/>
  <c r="E3602" i="8"/>
  <c r="C3602" i="8"/>
  <c r="D3600" i="8"/>
  <c r="H3606" i="8"/>
  <c r="H3605" i="8"/>
  <c r="H3584" i="8"/>
  <c r="H3585" i="8"/>
  <c r="H3583" i="8"/>
  <c r="D3578" i="8"/>
  <c r="E3580" i="8"/>
  <c r="C3580" i="8"/>
  <c r="E3558" i="8"/>
  <c r="C3558" i="8"/>
  <c r="H3561" i="8"/>
  <c r="H3539" i="8"/>
  <c r="H3518" i="8"/>
  <c r="H3519" i="8"/>
  <c r="H3517" i="8"/>
  <c r="H3495" i="8"/>
  <c r="H3477" i="8"/>
  <c r="H3476" i="8"/>
  <c r="H3475" i="8"/>
  <c r="H3474" i="8"/>
  <c r="H3473" i="8"/>
  <c r="H3452" i="8"/>
  <c r="H3453" i="8"/>
  <c r="H3454" i="8"/>
  <c r="H3455" i="8"/>
  <c r="H3451" i="8"/>
  <c r="D3248" i="8"/>
  <c r="J89" i="2" l="1"/>
  <c r="X89" i="2" s="1"/>
  <c r="G89" i="2"/>
  <c r="K89" i="2" s="1"/>
  <c r="G88" i="2"/>
  <c r="K88" i="2" s="1"/>
  <c r="G203" i="2"/>
  <c r="K203" i="2" s="1"/>
  <c r="J203" i="2"/>
  <c r="X203" i="2" s="1"/>
  <c r="G200" i="2"/>
  <c r="K200" i="2" s="1"/>
  <c r="J200" i="2"/>
  <c r="X200" i="2" s="1"/>
  <c r="J199" i="2"/>
  <c r="X199" i="2" s="1"/>
  <c r="G199" i="2"/>
  <c r="K199" i="2" s="1"/>
  <c r="J205" i="2"/>
  <c r="X205" i="2" s="1"/>
  <c r="G205" i="2"/>
  <c r="K205" i="2" s="1"/>
  <c r="J204" i="2"/>
  <c r="X204" i="2" s="1"/>
  <c r="G204" i="2"/>
  <c r="K204" i="2" s="1"/>
  <c r="G212" i="2"/>
  <c r="K212" i="2" s="1"/>
  <c r="J212" i="2"/>
  <c r="X212" i="2" s="1"/>
  <c r="G211" i="2"/>
  <c r="K211" i="2" s="1"/>
  <c r="J211" i="2"/>
  <c r="X211" i="2" s="1"/>
  <c r="G213" i="2"/>
  <c r="K213" i="2" s="1"/>
  <c r="J213" i="2"/>
  <c r="X213" i="2" s="1"/>
  <c r="J201" i="2"/>
  <c r="X201" i="2" s="1"/>
  <c r="G201" i="2"/>
  <c r="K201" i="2" s="1"/>
  <c r="G216" i="2"/>
  <c r="K216" i="2" s="1"/>
  <c r="J216" i="2"/>
  <c r="X216" i="2" s="1"/>
  <c r="G202" i="2"/>
  <c r="K202" i="2" s="1"/>
  <c r="J202" i="2"/>
  <c r="X202" i="2" s="1"/>
  <c r="G221" i="2"/>
  <c r="K221" i="2" s="1"/>
  <c r="J221" i="2"/>
  <c r="X221" i="2" s="1"/>
  <c r="G198" i="2"/>
  <c r="K198" i="2" s="1"/>
  <c r="J198" i="2"/>
  <c r="X198" i="2" s="1"/>
  <c r="D3602" i="8"/>
  <c r="E119" i="2" s="1"/>
  <c r="D4599" i="8"/>
  <c r="E164" i="2" s="1"/>
  <c r="D4665" i="8"/>
  <c r="E167" i="2" s="1"/>
  <c r="D3514" i="8"/>
  <c r="E115" i="2" s="1"/>
  <c r="D3756" i="8"/>
  <c r="D3470" i="8"/>
  <c r="E113" i="2" s="1"/>
  <c r="D3580" i="8"/>
  <c r="E118" i="2" s="1"/>
  <c r="D3646" i="8"/>
  <c r="E122" i="2" s="1"/>
  <c r="J122" i="2" s="1"/>
  <c r="X122" i="2" s="1"/>
  <c r="D4108" i="8"/>
  <c r="E143" i="2" s="1"/>
  <c r="D3448" i="8"/>
  <c r="E112" i="2" s="1"/>
  <c r="D4621" i="8"/>
  <c r="E165" i="2" s="1"/>
  <c r="J165" i="2" s="1"/>
  <c r="X165" i="2" s="1"/>
  <c r="D4577" i="8"/>
  <c r="E163" i="2" s="1"/>
  <c r="D5284" i="8"/>
  <c r="E196" i="2" s="1"/>
  <c r="D5262" i="8"/>
  <c r="E195" i="2" s="1"/>
  <c r="D5240" i="8"/>
  <c r="E194" i="2" s="1"/>
  <c r="D5218" i="8"/>
  <c r="E193" i="2" s="1"/>
  <c r="D5196" i="8"/>
  <c r="E192" i="2" s="1"/>
  <c r="D5174" i="8"/>
  <c r="E191" i="2" s="1"/>
  <c r="D5152" i="8"/>
  <c r="E190" i="2" s="1"/>
  <c r="D5130" i="8"/>
  <c r="E189" i="2" s="1"/>
  <c r="D5108" i="8"/>
  <c r="E188" i="2" s="1"/>
  <c r="D5086" i="8"/>
  <c r="E187" i="2" s="1"/>
  <c r="D5064" i="8"/>
  <c r="E186" i="2" s="1"/>
  <c r="D5042" i="8"/>
  <c r="D5020" i="8"/>
  <c r="D4998" i="8"/>
  <c r="E183" i="2" s="1"/>
  <c r="J183" i="2" s="1"/>
  <c r="X183" i="2" s="1"/>
  <c r="D4976" i="8"/>
  <c r="E182" i="2" s="1"/>
  <c r="J182" i="2" s="1"/>
  <c r="X182" i="2" s="1"/>
  <c r="D4954" i="8"/>
  <c r="E181" i="2" s="1"/>
  <c r="J181" i="2" s="1"/>
  <c r="X181" i="2" s="1"/>
  <c r="D4932" i="8"/>
  <c r="E180" i="2" s="1"/>
  <c r="J180" i="2" s="1"/>
  <c r="X180" i="2" s="1"/>
  <c r="D4910" i="8"/>
  <c r="E179" i="2" s="1"/>
  <c r="J179" i="2" s="1"/>
  <c r="X179" i="2" s="1"/>
  <c r="D4888" i="8"/>
  <c r="E178" i="2" s="1"/>
  <c r="J178" i="2" s="1"/>
  <c r="X178" i="2" s="1"/>
  <c r="D4841" i="8"/>
  <c r="E175" i="2" s="1"/>
  <c r="D4819" i="8"/>
  <c r="E174" i="2" s="1"/>
  <c r="D4797" i="8"/>
  <c r="E173" i="2" s="1"/>
  <c r="D4775" i="8"/>
  <c r="D4753" i="8"/>
  <c r="E171" i="2" s="1"/>
  <c r="J171" i="2" s="1"/>
  <c r="X171" i="2" s="1"/>
  <c r="D4731" i="8"/>
  <c r="E170" i="2" s="1"/>
  <c r="J170" i="2" s="1"/>
  <c r="X170" i="2" s="1"/>
  <c r="D4709" i="8"/>
  <c r="E169" i="2" s="1"/>
  <c r="J169" i="2" s="1"/>
  <c r="X169" i="2" s="1"/>
  <c r="D4687" i="8"/>
  <c r="E168" i="2" s="1"/>
  <c r="D4643" i="8"/>
  <c r="E166" i="2" s="1"/>
  <c r="D4526" i="8"/>
  <c r="E162" i="2" s="1"/>
  <c r="J162" i="2" s="1"/>
  <c r="D4504" i="8"/>
  <c r="E161" i="2" s="1"/>
  <c r="D4482" i="8"/>
  <c r="E160" i="2" s="1"/>
  <c r="J160" i="2" s="1"/>
  <c r="X160" i="2" s="1"/>
  <c r="D4460" i="8"/>
  <c r="E159" i="2" s="1"/>
  <c r="D4438" i="8"/>
  <c r="E158" i="2" s="1"/>
  <c r="D4416" i="8"/>
  <c r="E157" i="2" s="1"/>
  <c r="D4394" i="8"/>
  <c r="E156" i="2" s="1"/>
  <c r="D4372" i="8"/>
  <c r="E155" i="2" s="1"/>
  <c r="J155" i="2" s="1"/>
  <c r="X155" i="2" s="1"/>
  <c r="D4350" i="8"/>
  <c r="E154" i="2" s="1"/>
  <c r="J154" i="2" s="1"/>
  <c r="X154" i="2" s="1"/>
  <c r="D4328" i="8"/>
  <c r="E153" i="2" s="1"/>
  <c r="D4306" i="8"/>
  <c r="E152" i="2" s="1"/>
  <c r="D4284" i="8"/>
  <c r="E151" i="2" s="1"/>
  <c r="D4262" i="8"/>
  <c r="E150" i="2" s="1"/>
  <c r="D4240" i="8"/>
  <c r="E149" i="2" s="1"/>
  <c r="D4218" i="8"/>
  <c r="E148" i="2" s="1"/>
  <c r="D4196" i="8"/>
  <c r="E147" i="2" s="1"/>
  <c r="D4174" i="8"/>
  <c r="E146" i="2" s="1"/>
  <c r="D4152" i="8"/>
  <c r="E145" i="2" s="1"/>
  <c r="D4130" i="8"/>
  <c r="E144" i="2" s="1"/>
  <c r="D4086" i="8"/>
  <c r="E142" i="2" s="1"/>
  <c r="D4064" i="8"/>
  <c r="E141" i="2" s="1"/>
  <c r="D4042" i="8"/>
  <c r="E140" i="2" s="1"/>
  <c r="D4020" i="8"/>
  <c r="E139" i="2" s="1"/>
  <c r="J139" i="2" s="1"/>
  <c r="X139" i="2" s="1"/>
  <c r="D3998" i="8"/>
  <c r="E138" i="2" s="1"/>
  <c r="J138" i="2" s="1"/>
  <c r="X138" i="2" s="1"/>
  <c r="D3976" i="8"/>
  <c r="E137" i="2" s="1"/>
  <c r="J137" i="2" s="1"/>
  <c r="X137" i="2" s="1"/>
  <c r="D3954" i="8"/>
  <c r="E136" i="2" s="1"/>
  <c r="J136" i="2" s="1"/>
  <c r="X136" i="2" s="1"/>
  <c r="D3932" i="8"/>
  <c r="E135" i="2" s="1"/>
  <c r="D3888" i="8"/>
  <c r="E133" i="2" s="1"/>
  <c r="J133" i="2" s="1"/>
  <c r="X133" i="2" s="1"/>
  <c r="D3866" i="8"/>
  <c r="E132" i="2" s="1"/>
  <c r="J132" i="2" s="1"/>
  <c r="X132" i="2" s="1"/>
  <c r="D3844" i="8"/>
  <c r="E131" i="2" s="1"/>
  <c r="J131" i="2" s="1"/>
  <c r="X131" i="2" s="1"/>
  <c r="D3822" i="8"/>
  <c r="E130" i="2" s="1"/>
  <c r="J130" i="2" s="1"/>
  <c r="X130" i="2" s="1"/>
  <c r="D3800" i="8"/>
  <c r="D3778" i="8"/>
  <c r="E128" i="2" s="1"/>
  <c r="J128" i="2" s="1"/>
  <c r="X128" i="2" s="1"/>
  <c r="D3734" i="8"/>
  <c r="E126" i="2" s="1"/>
  <c r="J126" i="2" s="1"/>
  <c r="X126" i="2" s="1"/>
  <c r="D3712" i="8"/>
  <c r="E125" i="2" s="1"/>
  <c r="J125" i="2" s="1"/>
  <c r="X125" i="2" s="1"/>
  <c r="D3690" i="8"/>
  <c r="E124" i="2" s="1"/>
  <c r="J124" i="2" s="1"/>
  <c r="X124" i="2" s="1"/>
  <c r="D3668" i="8"/>
  <c r="E123" i="2" s="1"/>
  <c r="J123" i="2" s="1"/>
  <c r="X123" i="2" s="1"/>
  <c r="D3624" i="8"/>
  <c r="E120" i="2" s="1"/>
  <c r="D3558" i="8"/>
  <c r="D3556" i="8"/>
  <c r="E3536" i="8"/>
  <c r="C3536" i="8"/>
  <c r="C3514" i="8"/>
  <c r="E3514" i="8"/>
  <c r="E3492" i="8"/>
  <c r="C3492" i="8"/>
  <c r="D3536" i="8"/>
  <c r="D3534" i="8"/>
  <c r="D3512" i="8"/>
  <c r="D3492" i="8"/>
  <c r="E114" i="2" s="1"/>
  <c r="D3490" i="8"/>
  <c r="E129" i="2" l="1"/>
  <c r="J129" i="2" s="1"/>
  <c r="X129" i="2" s="1"/>
  <c r="E127" i="2"/>
  <c r="J127" i="2" s="1"/>
  <c r="X127" i="2" s="1"/>
  <c r="G151" i="2"/>
  <c r="K151" i="2" s="1"/>
  <c r="J151" i="2"/>
  <c r="X151" i="2" s="1"/>
  <c r="G175" i="2"/>
  <c r="K175" i="2" s="1"/>
  <c r="J175" i="2"/>
  <c r="X175" i="2" s="1"/>
  <c r="G163" i="2"/>
  <c r="K163" i="2" s="1"/>
  <c r="J163" i="2"/>
  <c r="X163" i="2" s="1"/>
  <c r="G152" i="2"/>
  <c r="K152" i="2" s="1"/>
  <c r="J152" i="2"/>
  <c r="X152" i="2" s="1"/>
  <c r="G153" i="2"/>
  <c r="K153" i="2" s="1"/>
  <c r="J153" i="2"/>
  <c r="X153" i="2" s="1"/>
  <c r="G112" i="2"/>
  <c r="K112" i="2" s="1"/>
  <c r="J112" i="2"/>
  <c r="X112" i="2" s="1"/>
  <c r="G143" i="2"/>
  <c r="K143" i="2" s="1"/>
  <c r="J143" i="2"/>
  <c r="X143" i="2" s="1"/>
  <c r="G158" i="2"/>
  <c r="K158" i="2" s="1"/>
  <c r="J158" i="2"/>
  <c r="X158" i="2" s="1"/>
  <c r="G118" i="2"/>
  <c r="K118" i="2" s="1"/>
  <c r="J118" i="2"/>
  <c r="X118" i="2" s="1"/>
  <c r="G113" i="2"/>
  <c r="K113" i="2" s="1"/>
  <c r="J113" i="2"/>
  <c r="X113" i="2" s="1"/>
  <c r="G186" i="2"/>
  <c r="K186" i="2" s="1"/>
  <c r="J186" i="2"/>
  <c r="X186" i="2" s="1"/>
  <c r="G157" i="2"/>
  <c r="K157" i="2" s="1"/>
  <c r="J157" i="2"/>
  <c r="X157" i="2" s="1"/>
  <c r="G159" i="2"/>
  <c r="K159" i="2" s="1"/>
  <c r="J159" i="2"/>
  <c r="X159" i="2" s="1"/>
  <c r="G140" i="2"/>
  <c r="K140" i="2" s="1"/>
  <c r="J140" i="2"/>
  <c r="X140" i="2" s="1"/>
  <c r="G161" i="2"/>
  <c r="K161" i="2" s="1"/>
  <c r="J161" i="2"/>
  <c r="X161" i="2" s="1"/>
  <c r="J187" i="2"/>
  <c r="X187" i="2" s="1"/>
  <c r="G187" i="2"/>
  <c r="K187" i="2" s="1"/>
  <c r="G115" i="2"/>
  <c r="K115" i="2" s="1"/>
  <c r="J115" i="2"/>
  <c r="X115" i="2" s="1"/>
  <c r="G141" i="2"/>
  <c r="K141" i="2" s="1"/>
  <c r="J141" i="2"/>
  <c r="X141" i="2" s="1"/>
  <c r="G189" i="2"/>
  <c r="K189" i="2" s="1"/>
  <c r="J189" i="2"/>
  <c r="X189" i="2" s="1"/>
  <c r="G164" i="2"/>
  <c r="K164" i="2" s="1"/>
  <c r="J164" i="2"/>
  <c r="X164" i="2" s="1"/>
  <c r="G144" i="2"/>
  <c r="K144" i="2" s="1"/>
  <c r="J144" i="2"/>
  <c r="X144" i="2" s="1"/>
  <c r="G168" i="2"/>
  <c r="K168" i="2" s="1"/>
  <c r="J168" i="2"/>
  <c r="X168" i="2" s="1"/>
  <c r="G191" i="2"/>
  <c r="K191" i="2" s="1"/>
  <c r="J191" i="2"/>
  <c r="X191" i="2" s="1"/>
  <c r="G135" i="2"/>
  <c r="K135" i="2" s="1"/>
  <c r="J135" i="2"/>
  <c r="X135" i="2" s="1"/>
  <c r="G188" i="2"/>
  <c r="K188" i="2" s="1"/>
  <c r="J188" i="2"/>
  <c r="X188" i="2" s="1"/>
  <c r="G166" i="2"/>
  <c r="K166" i="2" s="1"/>
  <c r="J166" i="2"/>
  <c r="X166" i="2" s="1"/>
  <c r="J192" i="2"/>
  <c r="X192" i="2" s="1"/>
  <c r="G192" i="2"/>
  <c r="K192" i="2" s="1"/>
  <c r="G167" i="2"/>
  <c r="K167" i="2" s="1"/>
  <c r="J167" i="2"/>
  <c r="X167" i="2" s="1"/>
  <c r="J190" i="2"/>
  <c r="X190" i="2" s="1"/>
  <c r="G190" i="2"/>
  <c r="K190" i="2" s="1"/>
  <c r="G147" i="2"/>
  <c r="K147" i="2" s="1"/>
  <c r="J147" i="2"/>
  <c r="X147" i="2" s="1"/>
  <c r="J193" i="2"/>
  <c r="X193" i="2" s="1"/>
  <c r="G193" i="2"/>
  <c r="K193" i="2" s="1"/>
  <c r="G114" i="2"/>
  <c r="K114" i="2" s="1"/>
  <c r="J114" i="2"/>
  <c r="X114" i="2" s="1"/>
  <c r="X162" i="2"/>
  <c r="Z162" i="2"/>
  <c r="G142" i="2"/>
  <c r="K142" i="2" s="1"/>
  <c r="J142" i="2"/>
  <c r="X142" i="2" s="1"/>
  <c r="G120" i="2"/>
  <c r="K120" i="2" s="1"/>
  <c r="J120" i="2"/>
  <c r="X120" i="2" s="1"/>
  <c r="G194" i="2"/>
  <c r="K194" i="2" s="1"/>
  <c r="J194" i="2"/>
  <c r="X194" i="2" s="1"/>
  <c r="G156" i="2"/>
  <c r="K156" i="2" s="1"/>
  <c r="J156" i="2"/>
  <c r="X156" i="2" s="1"/>
  <c r="G119" i="2"/>
  <c r="K119" i="2" s="1"/>
  <c r="J119" i="2"/>
  <c r="X119" i="2" s="1"/>
  <c r="G145" i="2"/>
  <c r="K145" i="2" s="1"/>
  <c r="J145" i="2"/>
  <c r="X145" i="2" s="1"/>
  <c r="G146" i="2"/>
  <c r="K146" i="2" s="1"/>
  <c r="J146" i="2"/>
  <c r="X146" i="2" s="1"/>
  <c r="G148" i="2"/>
  <c r="K148" i="2" s="1"/>
  <c r="J148" i="2"/>
  <c r="X148" i="2" s="1"/>
  <c r="G149" i="2"/>
  <c r="K149" i="2" s="1"/>
  <c r="J149" i="2"/>
  <c r="X149" i="2" s="1"/>
  <c r="G173" i="2"/>
  <c r="K173" i="2" s="1"/>
  <c r="J173" i="2"/>
  <c r="X173" i="2" s="1"/>
  <c r="G195" i="2"/>
  <c r="K195" i="2" s="1"/>
  <c r="J195" i="2"/>
  <c r="X195" i="2" s="1"/>
  <c r="G150" i="2"/>
  <c r="K150" i="2" s="1"/>
  <c r="J150" i="2"/>
  <c r="X150" i="2" s="1"/>
  <c r="G174" i="2"/>
  <c r="K174" i="2" s="1"/>
  <c r="J174" i="2"/>
  <c r="X174" i="2" s="1"/>
  <c r="G196" i="2"/>
  <c r="K196" i="2" s="1"/>
  <c r="J196" i="2"/>
  <c r="X196" i="2" s="1"/>
  <c r="E185" i="2"/>
  <c r="E184" i="2"/>
  <c r="G162" i="2"/>
  <c r="K162" i="2" s="1"/>
  <c r="E172" i="2"/>
  <c r="E117" i="2"/>
  <c r="E116" i="2"/>
  <c r="H3429" i="8"/>
  <c r="H3407" i="8"/>
  <c r="H3385" i="8"/>
  <c r="H3363" i="8"/>
  <c r="H3342" i="8"/>
  <c r="H3253" i="8"/>
  <c r="H3275" i="8"/>
  <c r="H3301" i="8"/>
  <c r="H3300" i="8"/>
  <c r="H3299" i="8"/>
  <c r="H3298" i="8"/>
  <c r="H3297" i="8"/>
  <c r="H3324" i="8"/>
  <c r="H3323" i="8"/>
  <c r="H3322" i="8"/>
  <c r="H3321" i="8"/>
  <c r="H3320" i="8"/>
  <c r="H3319" i="8"/>
  <c r="D3270" i="8"/>
  <c r="G116" i="2" l="1"/>
  <c r="K116" i="2" s="1"/>
  <c r="J116" i="2"/>
  <c r="X116" i="2" s="1"/>
  <c r="G184" i="2"/>
  <c r="K184" i="2" s="1"/>
  <c r="J184" i="2"/>
  <c r="X184" i="2" s="1"/>
  <c r="G117" i="2"/>
  <c r="K117" i="2" s="1"/>
  <c r="J117" i="2"/>
  <c r="X117" i="2" s="1"/>
  <c r="AB162" i="2"/>
  <c r="AA162" i="2"/>
  <c r="G172" i="2"/>
  <c r="K172" i="2" s="1"/>
  <c r="J172" i="2"/>
  <c r="X172" i="2" s="1"/>
  <c r="G185" i="2"/>
  <c r="K185" i="2" s="1"/>
  <c r="J185" i="2"/>
  <c r="X185" i="2" s="1"/>
  <c r="D3316" i="8"/>
  <c r="E106" i="2" s="1"/>
  <c r="D3294" i="8"/>
  <c r="E105" i="2" s="1"/>
  <c r="H3230" i="8"/>
  <c r="H3231" i="8"/>
  <c r="H3208" i="8"/>
  <c r="H3120" i="8"/>
  <c r="H3121" i="8"/>
  <c r="H3122" i="8"/>
  <c r="H3123" i="8"/>
  <c r="H3124" i="8"/>
  <c r="H3125" i="8"/>
  <c r="H3126" i="8"/>
  <c r="H3119" i="8"/>
  <c r="H3097" i="8"/>
  <c r="H3075" i="8"/>
  <c r="H3053" i="8"/>
  <c r="H3031" i="8"/>
  <c r="H3011" i="8"/>
  <c r="H2994" i="8"/>
  <c r="H2993" i="8"/>
  <c r="H2992" i="8"/>
  <c r="H2991" i="8"/>
  <c r="H2990" i="8"/>
  <c r="H2989" i="8"/>
  <c r="H2968" i="8"/>
  <c r="H2969" i="8"/>
  <c r="H2970" i="8"/>
  <c r="H2971" i="8"/>
  <c r="H2967" i="8"/>
  <c r="H2948" i="8"/>
  <c r="D2964" i="8" l="1"/>
  <c r="E78" i="2" s="1"/>
  <c r="J78" i="2" s="1"/>
  <c r="X78" i="2" s="1"/>
  <c r="D3116" i="8"/>
  <c r="D2986" i="8"/>
  <c r="E79" i="2" s="1"/>
  <c r="J79" i="2" s="1"/>
  <c r="X79" i="2" s="1"/>
  <c r="H2896" i="8"/>
  <c r="H2928" i="8"/>
  <c r="H2927" i="8"/>
  <c r="H2926" i="8"/>
  <c r="H2925" i="8"/>
  <c r="H2924" i="8"/>
  <c r="H2921" i="8"/>
  <c r="H2922" i="8"/>
  <c r="H2923" i="8"/>
  <c r="H2920" i="8"/>
  <c r="H2919" i="8"/>
  <c r="H2918" i="8"/>
  <c r="H2917" i="8"/>
  <c r="H2916" i="8"/>
  <c r="H2915" i="8"/>
  <c r="H2914" i="8"/>
  <c r="H2913" i="8"/>
  <c r="H2895" i="8"/>
  <c r="H2894" i="8"/>
  <c r="H2891" i="8"/>
  <c r="H2892" i="8"/>
  <c r="H2893" i="8"/>
  <c r="H2890" i="8"/>
  <c r="D3426" i="8"/>
  <c r="E111" i="2" s="1"/>
  <c r="D3404" i="8"/>
  <c r="E110" i="2" s="1"/>
  <c r="E3382" i="8"/>
  <c r="D3380" i="8"/>
  <c r="C3382" i="8"/>
  <c r="E3360" i="8"/>
  <c r="C3360" i="8"/>
  <c r="D3358" i="8"/>
  <c r="C3338" i="8"/>
  <c r="E3338" i="8"/>
  <c r="D3336" i="8"/>
  <c r="D3292" i="8"/>
  <c r="E3294" i="8"/>
  <c r="C3294" i="8"/>
  <c r="E3272" i="8"/>
  <c r="C3272" i="8"/>
  <c r="E3250" i="8"/>
  <c r="C3250" i="8"/>
  <c r="D3382" i="8"/>
  <c r="E109" i="2" s="1"/>
  <c r="D3360" i="8"/>
  <c r="E108" i="2" s="1"/>
  <c r="D3338" i="8"/>
  <c r="E107" i="2" s="1"/>
  <c r="D3272" i="8"/>
  <c r="E104" i="2" s="1"/>
  <c r="D3250" i="8"/>
  <c r="E103" i="2" s="1"/>
  <c r="D3227" i="8"/>
  <c r="E102" i="2" s="1"/>
  <c r="D3205" i="8"/>
  <c r="E101" i="2" s="1"/>
  <c r="E3094" i="8"/>
  <c r="C3094" i="8"/>
  <c r="D3092" i="8"/>
  <c r="E3072" i="8"/>
  <c r="C3072" i="8"/>
  <c r="D3070" i="8"/>
  <c r="E3050" i="8"/>
  <c r="C3050" i="8"/>
  <c r="D3048" i="8"/>
  <c r="E3008" i="8"/>
  <c r="C3008" i="8"/>
  <c r="D3006" i="8"/>
  <c r="E2986" i="8"/>
  <c r="D2984" i="8"/>
  <c r="C2986" i="8"/>
  <c r="C2964" i="8"/>
  <c r="E2964" i="8"/>
  <c r="D2962" i="8"/>
  <c r="D2943" i="8"/>
  <c r="E2945" i="8"/>
  <c r="C2945" i="8"/>
  <c r="E2910" i="8"/>
  <c r="C2910" i="8"/>
  <c r="D3094" i="8"/>
  <c r="D3072" i="8"/>
  <c r="E84" i="2" s="1"/>
  <c r="D3050" i="8"/>
  <c r="E83" i="2" s="1"/>
  <c r="D3028" i="8"/>
  <c r="E82" i="2" s="1"/>
  <c r="J82" i="2" s="1"/>
  <c r="X82" i="2" s="1"/>
  <c r="D3008" i="8"/>
  <c r="E80" i="2" s="1"/>
  <c r="J80" i="2" s="1"/>
  <c r="X80" i="2" s="1"/>
  <c r="D2945" i="8"/>
  <c r="E77" i="2" s="1"/>
  <c r="J77" i="2" s="1"/>
  <c r="X77" i="2" s="1"/>
  <c r="D2908" i="8"/>
  <c r="C2887" i="8"/>
  <c r="E2887" i="8"/>
  <c r="D2885" i="8"/>
  <c r="G104" i="2" l="1"/>
  <c r="K104" i="2" s="1"/>
  <c r="J104" i="2"/>
  <c r="X104" i="2" s="1"/>
  <c r="G102" i="2"/>
  <c r="K102" i="2" s="1"/>
  <c r="J102" i="2"/>
  <c r="X102" i="2" s="1"/>
  <c r="G110" i="2"/>
  <c r="K110" i="2" s="1"/>
  <c r="J110" i="2"/>
  <c r="X110" i="2" s="1"/>
  <c r="G83" i="2"/>
  <c r="K83" i="2" s="1"/>
  <c r="J83" i="2"/>
  <c r="X83" i="2" s="1"/>
  <c r="G84" i="2"/>
  <c r="K84" i="2" s="1"/>
  <c r="J84" i="2"/>
  <c r="X84" i="2" s="1"/>
  <c r="G101" i="2"/>
  <c r="K101" i="2" s="1"/>
  <c r="J101" i="2"/>
  <c r="X101" i="2" s="1"/>
  <c r="G103" i="2"/>
  <c r="K103" i="2" s="1"/>
  <c r="J103" i="2"/>
  <c r="X103" i="2" s="1"/>
  <c r="G109" i="2"/>
  <c r="K109" i="2" s="1"/>
  <c r="J109" i="2"/>
  <c r="X109" i="2" s="1"/>
  <c r="G106" i="2"/>
  <c r="K106" i="2" s="1"/>
  <c r="J106" i="2"/>
  <c r="X106" i="2" s="1"/>
  <c r="G105" i="2"/>
  <c r="K105" i="2" s="1"/>
  <c r="J105" i="2"/>
  <c r="X105" i="2" s="1"/>
  <c r="G107" i="2"/>
  <c r="K107" i="2" s="1"/>
  <c r="J107" i="2"/>
  <c r="X107" i="2" s="1"/>
  <c r="G108" i="2"/>
  <c r="K108" i="2" s="1"/>
  <c r="J108" i="2"/>
  <c r="X108" i="2" s="1"/>
  <c r="G111" i="2"/>
  <c r="K111" i="2" s="1"/>
  <c r="J111" i="2"/>
  <c r="X111" i="2" s="1"/>
  <c r="D2887" i="8"/>
  <c r="E75" i="2" s="1"/>
  <c r="E86" i="2"/>
  <c r="E85" i="2"/>
  <c r="D2910" i="8"/>
  <c r="E76" i="2" s="1"/>
  <c r="J76" i="2" s="1"/>
  <c r="X76" i="2" s="1"/>
  <c r="G86" i="2" l="1"/>
  <c r="K86" i="2" s="1"/>
  <c r="J86" i="2"/>
  <c r="X86" i="2" s="1"/>
  <c r="G85" i="2"/>
  <c r="K85" i="2" s="1"/>
  <c r="J85" i="2"/>
  <c r="X85" i="2" s="1"/>
  <c r="G75" i="2"/>
  <c r="K75" i="2" s="1"/>
  <c r="J75" i="2"/>
  <c r="X75" i="2" s="1"/>
  <c r="D2349" i="8"/>
  <c r="H2296" i="8"/>
  <c r="D2293" i="8" s="1"/>
  <c r="E68" i="2" s="1"/>
  <c r="H2270" i="8"/>
  <c r="E1996" i="8"/>
  <c r="E2244" i="8"/>
  <c r="H2247" i="8"/>
  <c r="D2244" i="8" s="1"/>
  <c r="E66" i="2" s="1"/>
  <c r="H2156" i="8"/>
  <c r="D2153" i="8" s="1"/>
  <c r="E65" i="2" s="1"/>
  <c r="H2133" i="8"/>
  <c r="D2130" i="8" s="1"/>
  <c r="E64" i="2" s="1"/>
  <c r="E2130" i="8"/>
  <c r="H2071" i="8"/>
  <c r="D2068" i="8" s="1"/>
  <c r="E63" i="2" s="1"/>
  <c r="H2048" i="8"/>
  <c r="D2045" i="8" s="1"/>
  <c r="E62" i="2" s="1"/>
  <c r="H2023" i="8"/>
  <c r="D2020" i="8" s="1"/>
  <c r="E61" i="2" s="1"/>
  <c r="H1999" i="8"/>
  <c r="D1996" i="8" s="1"/>
  <c r="E60" i="2" s="1"/>
  <c r="E1936" i="8"/>
  <c r="H1939" i="8"/>
  <c r="D1936" i="8" s="1"/>
  <c r="H1913" i="8"/>
  <c r="D1910" i="8" s="1"/>
  <c r="E58" i="2" s="1"/>
  <c r="E1910" i="8"/>
  <c r="E1877" i="8"/>
  <c r="H1889" i="8"/>
  <c r="H1888" i="8"/>
  <c r="H1887" i="8"/>
  <c r="H1886" i="8"/>
  <c r="H1885" i="8"/>
  <c r="H1884" i="8"/>
  <c r="H1883" i="8"/>
  <c r="H1882" i="8"/>
  <c r="H1881" i="8"/>
  <c r="H1880" i="8"/>
  <c r="H1846" i="8"/>
  <c r="H1847" i="8"/>
  <c r="H1848" i="8"/>
  <c r="H1849" i="8"/>
  <c r="H1850" i="8"/>
  <c r="H1851" i="8"/>
  <c r="H1852" i="8"/>
  <c r="H1853" i="8"/>
  <c r="H1854" i="8"/>
  <c r="H1845" i="8"/>
  <c r="H1818" i="8"/>
  <c r="D1815" i="8" s="1"/>
  <c r="H1793" i="8"/>
  <c r="D1790" i="8" s="1"/>
  <c r="E53" i="2" s="1"/>
  <c r="H1762" i="8"/>
  <c r="D1759" i="8" s="1"/>
  <c r="E52" i="2" s="1"/>
  <c r="H1646" i="8"/>
  <c r="E2680" i="8"/>
  <c r="C2680" i="8"/>
  <c r="D2678" i="8"/>
  <c r="E2614" i="8"/>
  <c r="E2578" i="8"/>
  <c r="C2578" i="8"/>
  <c r="D2576" i="8"/>
  <c r="C2351" i="8"/>
  <c r="E2351" i="8"/>
  <c r="E2293" i="8"/>
  <c r="C2293" i="8"/>
  <c r="D2291" i="8"/>
  <c r="E2267" i="8"/>
  <c r="C2267" i="8"/>
  <c r="D2265" i="8"/>
  <c r="D2242" i="8"/>
  <c r="C2244" i="8"/>
  <c r="E2153" i="8"/>
  <c r="C2153" i="8"/>
  <c r="D2151" i="8"/>
  <c r="C2130" i="8"/>
  <c r="D2128" i="8"/>
  <c r="E2068" i="8"/>
  <c r="D2066" i="8"/>
  <c r="C2068" i="8"/>
  <c r="C2045" i="8"/>
  <c r="E2045" i="8"/>
  <c r="D2043" i="8"/>
  <c r="E2020" i="8"/>
  <c r="D2018" i="8"/>
  <c r="C2020" i="8"/>
  <c r="D1994" i="8"/>
  <c r="C1996" i="8"/>
  <c r="D1934" i="8"/>
  <c r="C1936" i="8"/>
  <c r="C1910" i="8"/>
  <c r="D1908" i="8"/>
  <c r="C1877" i="8"/>
  <c r="D1875" i="8"/>
  <c r="C1842" i="8"/>
  <c r="E1842" i="8"/>
  <c r="D1840" i="8"/>
  <c r="C1815" i="8"/>
  <c r="E1815" i="8"/>
  <c r="D1813" i="8"/>
  <c r="C2614" i="8"/>
  <c r="D2612" i="8"/>
  <c r="H1731" i="8"/>
  <c r="H1732" i="8"/>
  <c r="H1733" i="8"/>
  <c r="H1734" i="8"/>
  <c r="H1735" i="8"/>
  <c r="H1736" i="8"/>
  <c r="H1737" i="8"/>
  <c r="H1738" i="8"/>
  <c r="H1739" i="8"/>
  <c r="H1730" i="8"/>
  <c r="C1727" i="8"/>
  <c r="E1727" i="8"/>
  <c r="C1759" i="8"/>
  <c r="E1790" i="8"/>
  <c r="C1790" i="8"/>
  <c r="D1788" i="8"/>
  <c r="E1759" i="8"/>
  <c r="D1757" i="8"/>
  <c r="D1725" i="8"/>
  <c r="H1705" i="8"/>
  <c r="D1702" i="8" s="1"/>
  <c r="E49" i="2" s="1"/>
  <c r="J49" i="2" s="1"/>
  <c r="X49" i="2" s="1"/>
  <c r="C1702" i="8"/>
  <c r="E1702" i="8"/>
  <c r="D1700" i="8"/>
  <c r="H1645" i="8"/>
  <c r="H1613" i="8"/>
  <c r="H1612" i="8"/>
  <c r="E1609" i="8"/>
  <c r="E1642" i="8"/>
  <c r="D1640" i="8"/>
  <c r="D1607" i="8"/>
  <c r="C1544" i="8"/>
  <c r="C1609" i="8"/>
  <c r="C1642" i="8"/>
  <c r="H1548" i="8"/>
  <c r="H1547" i="8"/>
  <c r="D1542" i="8"/>
  <c r="E1544" i="8"/>
  <c r="H1515" i="8"/>
  <c r="H1514" i="8"/>
  <c r="C1511" i="8"/>
  <c r="D1509" i="8"/>
  <c r="E1511" i="8"/>
  <c r="H1488" i="8"/>
  <c r="D1485" i="8" s="1"/>
  <c r="E42" i="2" s="1"/>
  <c r="J42" i="2" s="1"/>
  <c r="X42" i="2" s="1"/>
  <c r="D1483" i="8"/>
  <c r="E1485" i="8"/>
  <c r="C1485" i="8"/>
  <c r="H1425" i="8"/>
  <c r="H1426" i="8"/>
  <c r="H1427" i="8"/>
  <c r="H1454" i="8"/>
  <c r="H1455" i="8"/>
  <c r="H1456" i="8"/>
  <c r="H1453" i="8"/>
  <c r="E1450" i="8"/>
  <c r="C1450" i="8"/>
  <c r="D1448" i="8"/>
  <c r="H1424" i="8"/>
  <c r="E1421" i="8"/>
  <c r="C1421" i="8"/>
  <c r="D1419" i="8"/>
  <c r="H1397" i="8"/>
  <c r="H1398" i="8"/>
  <c r="H1396" i="8"/>
  <c r="E1393" i="8"/>
  <c r="C1393" i="8"/>
  <c r="H1361" i="8"/>
  <c r="H1362" i="8"/>
  <c r="H1360" i="8"/>
  <c r="E1357" i="8"/>
  <c r="C1357" i="8"/>
  <c r="D1391" i="8"/>
  <c r="D1355" i="8"/>
  <c r="H652" i="8"/>
  <c r="D649" i="8" s="1"/>
  <c r="H618" i="8"/>
  <c r="D615" i="8" s="1"/>
  <c r="E649" i="8"/>
  <c r="C649" i="8"/>
  <c r="D647" i="8"/>
  <c r="H177" i="8"/>
  <c r="F176" i="8"/>
  <c r="H176" i="8" s="1"/>
  <c r="F175" i="8"/>
  <c r="H175" i="8" s="1"/>
  <c r="F174" i="8"/>
  <c r="H174" i="8" s="1"/>
  <c r="F173" i="8"/>
  <c r="H173" i="8" s="1"/>
  <c r="F172" i="8"/>
  <c r="H172" i="8" s="1"/>
  <c r="H171" i="8"/>
  <c r="F170" i="8"/>
  <c r="H170" i="8" s="1"/>
  <c r="F169" i="8"/>
  <c r="H169" i="8" s="1"/>
  <c r="F168" i="8"/>
  <c r="H168" i="8" s="1"/>
  <c r="F167" i="8"/>
  <c r="H167" i="8" s="1"/>
  <c r="F166" i="8"/>
  <c r="H166" i="8" s="1"/>
  <c r="F165" i="8"/>
  <c r="H165" i="8" s="1"/>
  <c r="F164" i="8"/>
  <c r="H164" i="8" s="1"/>
  <c r="H163" i="8"/>
  <c r="F162" i="8"/>
  <c r="H162" i="8" s="1"/>
  <c r="F26" i="8"/>
  <c r="F25" i="8"/>
  <c r="F24" i="8"/>
  <c r="F23" i="8"/>
  <c r="F22" i="8"/>
  <c r="F20" i="8"/>
  <c r="F19" i="8"/>
  <c r="F18" i="8"/>
  <c r="F17" i="8"/>
  <c r="F16" i="8"/>
  <c r="F15" i="8"/>
  <c r="F14" i="8"/>
  <c r="F12" i="8"/>
  <c r="F49" i="8"/>
  <c r="E159" i="8"/>
  <c r="C159" i="8"/>
  <c r="D157" i="8"/>
  <c r="E615" i="8"/>
  <c r="C615" i="8"/>
  <c r="D613" i="8"/>
  <c r="H590" i="8"/>
  <c r="D587" i="8" s="1"/>
  <c r="D585" i="8"/>
  <c r="E587" i="8"/>
  <c r="C587" i="8"/>
  <c r="H427" i="8"/>
  <c r="H428" i="8"/>
  <c r="F426" i="8"/>
  <c r="H426" i="8" s="1"/>
  <c r="F425" i="8"/>
  <c r="H425" i="8" s="1"/>
  <c r="F424" i="8"/>
  <c r="H424" i="8" s="1"/>
  <c r="F395" i="8"/>
  <c r="H395" i="8" s="1"/>
  <c r="F396" i="8"/>
  <c r="H396" i="8" s="1"/>
  <c r="E421" i="8"/>
  <c r="D419" i="8"/>
  <c r="C421" i="8"/>
  <c r="E392" i="8"/>
  <c r="C392" i="8"/>
  <c r="D390" i="8"/>
  <c r="E281" i="8"/>
  <c r="C281" i="8"/>
  <c r="D279" i="8"/>
  <c r="D281" i="8"/>
  <c r="E31" i="2" s="1"/>
  <c r="J31" i="2" s="1"/>
  <c r="X31" i="2" s="1"/>
  <c r="D219" i="8"/>
  <c r="H224" i="8"/>
  <c r="D221" i="8" s="1"/>
  <c r="E30" i="2" s="1"/>
  <c r="J30" i="2" s="1"/>
  <c r="X30" i="2" s="1"/>
  <c r="E221" i="8"/>
  <c r="C221" i="8"/>
  <c r="H195" i="8"/>
  <c r="H193" i="8"/>
  <c r="E190" i="8"/>
  <c r="C190" i="8"/>
  <c r="D188" i="8"/>
  <c r="D2578" i="8" l="1"/>
  <c r="E71" i="2" s="1"/>
  <c r="D2614" i="8"/>
  <c r="E72" i="2" s="1"/>
  <c r="D2351" i="8"/>
  <c r="E70" i="2" s="1"/>
  <c r="D1877" i="8"/>
  <c r="E56" i="2" s="1"/>
  <c r="D1842" i="8"/>
  <c r="E55" i="2" s="1"/>
  <c r="D1727" i="8"/>
  <c r="E51" i="2" s="1"/>
  <c r="D1544" i="8"/>
  <c r="D1609" i="8"/>
  <c r="E47" i="2" s="1"/>
  <c r="J47" i="2" s="1"/>
  <c r="X47" i="2" s="1"/>
  <c r="E54" i="2"/>
  <c r="D1450" i="8"/>
  <c r="E41" i="2" s="1"/>
  <c r="J41" i="2" s="1"/>
  <c r="X41" i="2" s="1"/>
  <c r="D1393" i="8"/>
  <c r="E39" i="2" s="1"/>
  <c r="J39" i="2" s="1"/>
  <c r="X39" i="2" s="1"/>
  <c r="D1642" i="8"/>
  <c r="E48" i="2" s="1"/>
  <c r="J48" i="2" s="1"/>
  <c r="X48" i="2" s="1"/>
  <c r="D1357" i="8"/>
  <c r="E38" i="2" s="1"/>
  <c r="J38" i="2" s="1"/>
  <c r="X38" i="2" s="1"/>
  <c r="D1421" i="8"/>
  <c r="E40" i="2" s="1"/>
  <c r="J40" i="2" s="1"/>
  <c r="X40" i="2" s="1"/>
  <c r="D1511" i="8"/>
  <c r="D159" i="8"/>
  <c r="E27" i="2" s="1"/>
  <c r="J27" i="2" s="1"/>
  <c r="X27" i="2" s="1"/>
  <c r="D421" i="8"/>
  <c r="D392" i="8"/>
  <c r="G72" i="2" l="1"/>
  <c r="K72" i="2" s="1"/>
  <c r="J72" i="2"/>
  <c r="X72" i="2" s="1"/>
  <c r="G70" i="2"/>
  <c r="K70" i="2" s="1"/>
  <c r="J70" i="2"/>
  <c r="X70" i="2" s="1"/>
  <c r="E45" i="2"/>
  <c r="J45" i="2" s="1"/>
  <c r="X45" i="2" s="1"/>
  <c r="E43" i="2"/>
  <c r="E46" i="2"/>
  <c r="Z227" i="2"/>
  <c r="Z81" i="2"/>
  <c r="G82" i="2"/>
  <c r="K82" i="2" s="1"/>
  <c r="G183" i="2"/>
  <c r="K183" i="2" s="1"/>
  <c r="G182" i="2"/>
  <c r="K182" i="2" s="1"/>
  <c r="F181" i="2"/>
  <c r="I181" i="2" s="1"/>
  <c r="F180" i="2"/>
  <c r="I180" i="2" s="1"/>
  <c r="F179" i="2"/>
  <c r="I179" i="2" s="1"/>
  <c r="F178" i="2"/>
  <c r="Z177" i="2"/>
  <c r="G171" i="2"/>
  <c r="K171" i="2" s="1"/>
  <c r="G170" i="2"/>
  <c r="K170" i="2" s="1"/>
  <c r="G169" i="2"/>
  <c r="K169" i="2" s="1"/>
  <c r="G165" i="2"/>
  <c r="K165" i="2" s="1"/>
  <c r="G160" i="2"/>
  <c r="K160" i="2" s="1"/>
  <c r="G155" i="2"/>
  <c r="K155" i="2" s="1"/>
  <c r="G154" i="2"/>
  <c r="K154" i="2" s="1"/>
  <c r="G139" i="2"/>
  <c r="K139" i="2" s="1"/>
  <c r="G138" i="2"/>
  <c r="K138" i="2" s="1"/>
  <c r="G137" i="2"/>
  <c r="K137" i="2" s="1"/>
  <c r="G136" i="2"/>
  <c r="K136" i="2" s="1"/>
  <c r="G133" i="2"/>
  <c r="K133" i="2" s="1"/>
  <c r="G132" i="2"/>
  <c r="K132" i="2" s="1"/>
  <c r="G131" i="2"/>
  <c r="K131" i="2" s="1"/>
  <c r="G130" i="2"/>
  <c r="K130" i="2" s="1"/>
  <c r="G129" i="2"/>
  <c r="K129" i="2" s="1"/>
  <c r="G128" i="2"/>
  <c r="K128" i="2" s="1"/>
  <c r="G127" i="2"/>
  <c r="K127" i="2" s="1"/>
  <c r="G126" i="2"/>
  <c r="K126" i="2" s="1"/>
  <c r="G125" i="2"/>
  <c r="K125" i="2" s="1"/>
  <c r="G124" i="2"/>
  <c r="K124" i="2" s="1"/>
  <c r="G123" i="2"/>
  <c r="K123" i="2" s="1"/>
  <c r="G122" i="2"/>
  <c r="K122" i="2" s="1"/>
  <c r="Z121" i="2"/>
  <c r="G56" i="2"/>
  <c r="K56" i="2" s="1"/>
  <c r="G76" i="2"/>
  <c r="K76" i="2" s="1"/>
  <c r="G77" i="2"/>
  <c r="K77" i="2" s="1"/>
  <c r="G78" i="2"/>
  <c r="K78" i="2" s="1"/>
  <c r="G79" i="2"/>
  <c r="K79" i="2" s="1"/>
  <c r="G80" i="2"/>
  <c r="K80" i="2" s="1"/>
  <c r="G60" i="2"/>
  <c r="K60" i="2" s="1"/>
  <c r="G61" i="2"/>
  <c r="K61" i="2" s="1"/>
  <c r="G62" i="2"/>
  <c r="K62" i="2" s="1"/>
  <c r="G63" i="2"/>
  <c r="K63" i="2" s="1"/>
  <c r="G64" i="2"/>
  <c r="K64" i="2" s="1"/>
  <c r="G65" i="2"/>
  <c r="K65" i="2" s="1"/>
  <c r="G66" i="2"/>
  <c r="K66" i="2" s="1"/>
  <c r="G68" i="2"/>
  <c r="K68" i="2" s="1"/>
  <c r="G58" i="2"/>
  <c r="K58" i="2" s="1"/>
  <c r="G52" i="2"/>
  <c r="K52" i="2" s="1"/>
  <c r="G53" i="2"/>
  <c r="K53" i="2" s="1"/>
  <c r="G54" i="2"/>
  <c r="K54" i="2" s="1"/>
  <c r="G51" i="2"/>
  <c r="K51" i="2" s="1"/>
  <c r="G39" i="2"/>
  <c r="K39" i="2" s="1"/>
  <c r="G40" i="2"/>
  <c r="K40" i="2" s="1"/>
  <c r="G41" i="2"/>
  <c r="K41" i="2" s="1"/>
  <c r="G42" i="2"/>
  <c r="K42" i="2" s="1"/>
  <c r="G47" i="2"/>
  <c r="K47" i="2" s="1"/>
  <c r="G48" i="2"/>
  <c r="K48" i="2" s="1"/>
  <c r="G49" i="2"/>
  <c r="K49" i="2" s="1"/>
  <c r="G38" i="2"/>
  <c r="K38" i="2" s="1"/>
  <c r="G46" i="2" l="1"/>
  <c r="K46" i="2" s="1"/>
  <c r="J46" i="2"/>
  <c r="X46" i="2" s="1"/>
  <c r="G43" i="2"/>
  <c r="K43" i="2" s="1"/>
  <c r="J43" i="2"/>
  <c r="X43" i="2" s="1"/>
  <c r="G178" i="2"/>
  <c r="Q178" i="2"/>
  <c r="I178" i="2"/>
  <c r="T178" i="2"/>
  <c r="G180" i="2"/>
  <c r="K180" i="2" s="1"/>
  <c r="T180" i="2"/>
  <c r="Q180" i="2"/>
  <c r="G179" i="2"/>
  <c r="K179" i="2" s="1"/>
  <c r="T179" i="2"/>
  <c r="Q179" i="2"/>
  <c r="G181" i="2"/>
  <c r="K181" i="2" s="1"/>
  <c r="T181" i="2"/>
  <c r="Q181" i="2"/>
  <c r="C135" i="8"/>
  <c r="E135" i="8"/>
  <c r="D133" i="8"/>
  <c r="F138" i="8"/>
  <c r="H138" i="8" s="1"/>
  <c r="D135" i="8" s="1"/>
  <c r="E26" i="2" s="1"/>
  <c r="F108" i="8"/>
  <c r="H108" i="8" s="1"/>
  <c r="D105" i="8" s="1"/>
  <c r="E25" i="2" s="1"/>
  <c r="D103" i="8"/>
  <c r="D42" i="8"/>
  <c r="E105" i="8"/>
  <c r="C105" i="8"/>
  <c r="H78" i="8"/>
  <c r="H86" i="8"/>
  <c r="H92" i="8"/>
  <c r="F91" i="8"/>
  <c r="H91" i="8" s="1"/>
  <c r="F90" i="8"/>
  <c r="H90" i="8" s="1"/>
  <c r="F89" i="8"/>
  <c r="H89" i="8" s="1"/>
  <c r="F88" i="8"/>
  <c r="H88" i="8" s="1"/>
  <c r="F87" i="8"/>
  <c r="H87" i="8" s="1"/>
  <c r="F85" i="8"/>
  <c r="H85" i="8" s="1"/>
  <c r="F84" i="8"/>
  <c r="H84" i="8" s="1"/>
  <c r="F83" i="8"/>
  <c r="H83" i="8" s="1"/>
  <c r="F82" i="8"/>
  <c r="H82" i="8" s="1"/>
  <c r="F81" i="8"/>
  <c r="H81" i="8" s="1"/>
  <c r="F80" i="8"/>
  <c r="H80" i="8" s="1"/>
  <c r="F79" i="8"/>
  <c r="H79" i="8" s="1"/>
  <c r="F77" i="8"/>
  <c r="H77" i="8" s="1"/>
  <c r="E74" i="8"/>
  <c r="C74" i="8"/>
  <c r="E44" i="8"/>
  <c r="C44" i="8"/>
  <c r="E9" i="8"/>
  <c r="D7" i="8"/>
  <c r="C9" i="8"/>
  <c r="K178" i="2" l="1"/>
  <c r="G26" i="2"/>
  <c r="K26" i="2" s="1"/>
  <c r="J26" i="2"/>
  <c r="X26" i="2" s="1"/>
  <c r="G25" i="2"/>
  <c r="K25" i="2" s="1"/>
  <c r="J25" i="2"/>
  <c r="X25" i="2" s="1"/>
  <c r="G30" i="2"/>
  <c r="K30" i="2" s="1"/>
  <c r="D74" i="8"/>
  <c r="H62" i="8"/>
  <c r="F61" i="8"/>
  <c r="H61" i="8" s="1"/>
  <c r="F60" i="8"/>
  <c r="H60" i="8" s="1"/>
  <c r="F59" i="8"/>
  <c r="H59" i="8" s="1"/>
  <c r="F58" i="8"/>
  <c r="H58" i="8" s="1"/>
  <c r="F57" i="8"/>
  <c r="H57" i="8" s="1"/>
  <c r="H56" i="8"/>
  <c r="F55" i="8"/>
  <c r="H55" i="8" s="1"/>
  <c r="F54" i="8"/>
  <c r="H54" i="8" s="1"/>
  <c r="F53" i="8"/>
  <c r="H53" i="8" s="1"/>
  <c r="F52" i="8"/>
  <c r="H52" i="8" s="1"/>
  <c r="F51" i="8"/>
  <c r="H51" i="8" s="1"/>
  <c r="F50" i="8"/>
  <c r="H50" i="8" s="1"/>
  <c r="H49" i="8"/>
  <c r="H48" i="8"/>
  <c r="F47" i="8"/>
  <c r="H47" i="8" s="1"/>
  <c r="D44" i="8" l="1"/>
  <c r="H26" i="8" l="1"/>
  <c r="H27" i="8"/>
  <c r="H22" i="8"/>
  <c r="H25" i="8"/>
  <c r="H24" i="8"/>
  <c r="H23" i="8"/>
  <c r="H19" i="8"/>
  <c r="H18" i="8"/>
  <c r="H20" i="8"/>
  <c r="H17" i="8" l="1"/>
  <c r="H15" i="8"/>
  <c r="H16" i="8"/>
  <c r="H21" i="8"/>
  <c r="H13" i="8"/>
  <c r="H14" i="8"/>
  <c r="H12" i="8"/>
  <c r="H2857" i="8"/>
  <c r="H2856" i="8"/>
  <c r="F2823" i="8"/>
  <c r="H2823" i="8" s="1"/>
  <c r="H2808" i="8"/>
  <c r="H2807" i="8"/>
  <c r="H2806" i="8"/>
  <c r="H2805" i="8"/>
  <c r="H2804" i="8"/>
  <c r="H2803" i="8"/>
  <c r="H2802" i="8"/>
  <c r="H2801" i="8"/>
  <c r="H2800" i="8"/>
  <c r="H2799" i="8"/>
  <c r="H2798" i="8"/>
  <c r="H2797" i="8"/>
  <c r="H2796" i="8"/>
  <c r="H2795" i="8"/>
  <c r="H2794" i="8"/>
  <c r="H2793" i="8"/>
  <c r="H2792" i="8"/>
  <c r="H2791" i="8"/>
  <c r="H2790" i="8"/>
  <c r="H2789" i="8"/>
  <c r="H2788" i="8"/>
  <c r="H2787" i="8"/>
  <c r="H2771" i="8"/>
  <c r="H2770" i="8"/>
  <c r="H2769" i="8"/>
  <c r="H2768" i="8"/>
  <c r="H2766" i="8"/>
  <c r="H2764" i="8"/>
  <c r="H2762" i="8"/>
  <c r="H2760" i="8"/>
  <c r="H2758" i="8"/>
  <c r="H2756" i="8"/>
  <c r="H2755" i="8"/>
  <c r="H2754" i="8"/>
  <c r="H2753" i="8"/>
  <c r="H2752" i="8"/>
  <c r="H2751" i="8"/>
  <c r="H2750" i="8"/>
  <c r="H2717" i="8"/>
  <c r="D2714" i="8" s="1"/>
  <c r="D2680" i="8"/>
  <c r="E73" i="2" s="1"/>
  <c r="H2650" i="8"/>
  <c r="D2647" i="8" s="1"/>
  <c r="H2548" i="8"/>
  <c r="D2545" i="8" s="1"/>
  <c r="H2516" i="8"/>
  <c r="D2513" i="8" s="1"/>
  <c r="H2490" i="8"/>
  <c r="H2489" i="8"/>
  <c r="H2488" i="8"/>
  <c r="H2487" i="8"/>
  <c r="H2486" i="8"/>
  <c r="H2485" i="8"/>
  <c r="H2484" i="8"/>
  <c r="H2483" i="8"/>
  <c r="D2446" i="8"/>
  <c r="H2421" i="8"/>
  <c r="H2420" i="8"/>
  <c r="H2419" i="8"/>
  <c r="H2418" i="8"/>
  <c r="H2417" i="8"/>
  <c r="H2416" i="8"/>
  <c r="H2383" i="8"/>
  <c r="D2380" i="8" s="1"/>
  <c r="H2323" i="8"/>
  <c r="H2322" i="8"/>
  <c r="H2320" i="8"/>
  <c r="D2267" i="8"/>
  <c r="E67" i="2" s="1"/>
  <c r="G67" i="2" s="1"/>
  <c r="K67" i="2" s="1"/>
  <c r="H2214" i="8"/>
  <c r="D2211" i="8" s="1"/>
  <c r="H2181" i="8"/>
  <c r="D2178" i="8" s="1"/>
  <c r="H2102" i="8"/>
  <c r="H2101" i="8"/>
  <c r="H2099" i="8"/>
  <c r="F1984" i="8"/>
  <c r="H1984" i="8" s="1"/>
  <c r="F1983" i="8"/>
  <c r="H1983" i="8" s="1"/>
  <c r="F1981" i="8"/>
  <c r="H1981" i="8" s="1"/>
  <c r="H1980" i="8"/>
  <c r="F1979" i="8"/>
  <c r="H1979" i="8" s="1"/>
  <c r="F1977" i="8"/>
  <c r="H1977" i="8" s="1"/>
  <c r="H1976" i="8"/>
  <c r="F1975" i="8"/>
  <c r="H1975" i="8" s="1"/>
  <c r="F1973" i="8"/>
  <c r="H1973" i="8" s="1"/>
  <c r="H1972" i="8"/>
  <c r="F1971" i="8"/>
  <c r="H1971" i="8" s="1"/>
  <c r="F1969" i="8"/>
  <c r="H1969" i="8" s="1"/>
  <c r="H1968" i="8"/>
  <c r="F1967" i="8"/>
  <c r="H1967" i="8" s="1"/>
  <c r="F1965" i="8"/>
  <c r="H1965" i="8" s="1"/>
  <c r="F1963" i="8"/>
  <c r="H1963" i="8" s="1"/>
  <c r="E59" i="2"/>
  <c r="G59" i="2" s="1"/>
  <c r="K59" i="2" s="1"/>
  <c r="H1674" i="8"/>
  <c r="H1673" i="8"/>
  <c r="G45" i="2"/>
  <c r="K45" i="2" s="1"/>
  <c r="H1586" i="8"/>
  <c r="H1585" i="8"/>
  <c r="H1583" i="8"/>
  <c r="E44" i="2"/>
  <c r="H1327" i="8"/>
  <c r="D1324" i="8" s="1"/>
  <c r="H1297" i="8"/>
  <c r="H1296" i="8"/>
  <c r="H1295" i="8"/>
  <c r="H1294" i="8"/>
  <c r="H1264" i="8"/>
  <c r="H1263" i="8"/>
  <c r="H1262" i="8"/>
  <c r="H1261" i="8"/>
  <c r="H1231" i="8"/>
  <c r="H1230" i="8"/>
  <c r="H1229" i="8"/>
  <c r="H1228" i="8"/>
  <c r="H1198" i="8"/>
  <c r="H1197" i="8"/>
  <c r="H1196" i="8"/>
  <c r="H1195" i="8"/>
  <c r="H1169" i="8"/>
  <c r="H1168" i="8"/>
  <c r="H1167" i="8"/>
  <c r="H1166" i="8"/>
  <c r="H1165" i="8"/>
  <c r="H1164" i="8"/>
  <c r="H1163" i="8"/>
  <c r="H1162" i="8"/>
  <c r="H1161" i="8"/>
  <c r="H1160" i="8"/>
  <c r="H1159" i="8"/>
  <c r="H1158" i="8"/>
  <c r="H1157" i="8"/>
  <c r="H1156" i="8"/>
  <c r="H1155" i="8"/>
  <c r="H1154" i="8"/>
  <c r="H1153" i="8"/>
  <c r="H1152" i="8"/>
  <c r="H1150" i="8"/>
  <c r="H1149" i="8"/>
  <c r="H1148" i="8"/>
  <c r="H1147" i="8"/>
  <c r="H1146" i="8"/>
  <c r="H1145" i="8"/>
  <c r="H1144" i="8"/>
  <c r="H1117" i="8"/>
  <c r="H1116" i="8"/>
  <c r="H1115" i="8"/>
  <c r="H1114" i="8"/>
  <c r="H1113" i="8"/>
  <c r="H1112" i="8"/>
  <c r="F1111" i="8"/>
  <c r="H1111" i="8" s="1"/>
  <c r="H1095" i="8"/>
  <c r="H1094" i="8"/>
  <c r="F1093" i="8"/>
  <c r="H1093" i="8" s="1"/>
  <c r="F1092" i="8"/>
  <c r="H1092" i="8" s="1"/>
  <c r="F1091" i="8"/>
  <c r="H1091" i="8" s="1"/>
  <c r="F1090" i="8"/>
  <c r="H1090" i="8" s="1"/>
  <c r="F1089" i="8"/>
  <c r="H1089" i="8" s="1"/>
  <c r="F1088" i="8"/>
  <c r="H1088" i="8" s="1"/>
  <c r="F1087" i="8"/>
  <c r="H1087" i="8" s="1"/>
  <c r="F1086" i="8"/>
  <c r="H1086" i="8" s="1"/>
  <c r="F1085" i="8"/>
  <c r="H1085" i="8" s="1"/>
  <c r="F1084" i="8"/>
  <c r="H1084" i="8" s="1"/>
  <c r="F1083" i="8"/>
  <c r="H1083" i="8" s="1"/>
  <c r="F1082" i="8"/>
  <c r="H1082" i="8" s="1"/>
  <c r="F1081" i="8"/>
  <c r="H1081" i="8" s="1"/>
  <c r="F1080" i="8"/>
  <c r="H1080" i="8" s="1"/>
  <c r="F1079" i="8"/>
  <c r="H1079" i="8" s="1"/>
  <c r="F1078" i="8"/>
  <c r="H1078" i="8" s="1"/>
  <c r="F1077" i="8"/>
  <c r="H1077" i="8" s="1"/>
  <c r="F1076" i="8"/>
  <c r="H1076" i="8" s="1"/>
  <c r="F1075" i="8"/>
  <c r="H1075" i="8" s="1"/>
  <c r="F1074" i="8"/>
  <c r="H1074" i="8" s="1"/>
  <c r="F1073" i="8"/>
  <c r="H1073" i="8" s="1"/>
  <c r="F1072" i="8"/>
  <c r="H1072" i="8" s="1"/>
  <c r="H1071" i="8"/>
  <c r="F1070" i="8"/>
  <c r="H1070" i="8" s="1"/>
  <c r="F1069" i="8"/>
  <c r="H1069" i="8" s="1"/>
  <c r="F1068" i="8"/>
  <c r="H1068" i="8" s="1"/>
  <c r="F1067" i="8"/>
  <c r="H1067" i="8" s="1"/>
  <c r="F1066" i="8"/>
  <c r="H1066" i="8" s="1"/>
  <c r="F1065" i="8"/>
  <c r="H1065" i="8" s="1"/>
  <c r="F1064" i="8"/>
  <c r="H1064" i="8" s="1"/>
  <c r="F1063" i="8"/>
  <c r="H1063" i="8" s="1"/>
  <c r="F1062" i="8"/>
  <c r="H1062" i="8" s="1"/>
  <c r="H1047" i="8"/>
  <c r="H1046" i="8"/>
  <c r="F1045" i="8"/>
  <c r="H1045" i="8" s="1"/>
  <c r="F1044" i="8"/>
  <c r="H1044" i="8" s="1"/>
  <c r="F1043" i="8"/>
  <c r="H1043" i="8" s="1"/>
  <c r="F1042" i="8"/>
  <c r="H1042" i="8" s="1"/>
  <c r="F1041" i="8"/>
  <c r="H1041" i="8" s="1"/>
  <c r="F1040" i="8"/>
  <c r="H1040" i="8" s="1"/>
  <c r="F1039" i="8"/>
  <c r="H1039" i="8" s="1"/>
  <c r="F1038" i="8"/>
  <c r="H1038" i="8" s="1"/>
  <c r="F1037" i="8"/>
  <c r="H1037" i="8" s="1"/>
  <c r="F1036" i="8"/>
  <c r="H1036" i="8" s="1"/>
  <c r="F1035" i="8"/>
  <c r="H1035" i="8" s="1"/>
  <c r="F1034" i="8"/>
  <c r="H1034" i="8" s="1"/>
  <c r="F1033" i="8"/>
  <c r="H1033" i="8" s="1"/>
  <c r="F1032" i="8"/>
  <c r="H1032" i="8" s="1"/>
  <c r="F1031" i="8"/>
  <c r="H1031" i="8" s="1"/>
  <c r="F1030" i="8"/>
  <c r="H1030" i="8" s="1"/>
  <c r="F1029" i="8"/>
  <c r="H1029" i="8" s="1"/>
  <c r="F1028" i="8"/>
  <c r="H1028" i="8" s="1"/>
  <c r="F1027" i="8"/>
  <c r="H1027" i="8" s="1"/>
  <c r="F1026" i="8"/>
  <c r="H1026" i="8" s="1"/>
  <c r="F1025" i="8"/>
  <c r="H1025" i="8" s="1"/>
  <c r="F1024" i="8"/>
  <c r="H1024" i="8" s="1"/>
  <c r="H1023" i="8"/>
  <c r="F1022" i="8"/>
  <c r="H1022" i="8" s="1"/>
  <c r="F1021" i="8"/>
  <c r="H1021" i="8" s="1"/>
  <c r="F1020" i="8"/>
  <c r="H1020" i="8" s="1"/>
  <c r="F1019" i="8"/>
  <c r="H1019" i="8" s="1"/>
  <c r="F1018" i="8"/>
  <c r="H1018" i="8" s="1"/>
  <c r="F1017" i="8"/>
  <c r="H1017" i="8" s="1"/>
  <c r="F1016" i="8"/>
  <c r="H1016" i="8" s="1"/>
  <c r="F1015" i="8"/>
  <c r="H1015" i="8" s="1"/>
  <c r="F1014" i="8"/>
  <c r="H1014" i="8" s="1"/>
  <c r="H1001" i="8"/>
  <c r="H1000" i="8"/>
  <c r="F999" i="8"/>
  <c r="H999" i="8" s="1"/>
  <c r="F998" i="8"/>
  <c r="H998" i="8" s="1"/>
  <c r="F997" i="8"/>
  <c r="H997" i="8" s="1"/>
  <c r="F996" i="8"/>
  <c r="H996" i="8" s="1"/>
  <c r="F995" i="8"/>
  <c r="H995" i="8" s="1"/>
  <c r="F994" i="8"/>
  <c r="H994" i="8" s="1"/>
  <c r="F993" i="8"/>
  <c r="H993" i="8" s="1"/>
  <c r="F992" i="8"/>
  <c r="H992" i="8" s="1"/>
  <c r="F991" i="8"/>
  <c r="H991" i="8" s="1"/>
  <c r="F990" i="8"/>
  <c r="H990" i="8" s="1"/>
  <c r="F989" i="8"/>
  <c r="H989" i="8" s="1"/>
  <c r="F988" i="8"/>
  <c r="H988" i="8" s="1"/>
  <c r="F987" i="8"/>
  <c r="H987" i="8" s="1"/>
  <c r="F986" i="8"/>
  <c r="H986" i="8" s="1"/>
  <c r="F985" i="8"/>
  <c r="H985" i="8" s="1"/>
  <c r="F984" i="8"/>
  <c r="H984" i="8" s="1"/>
  <c r="F983" i="8"/>
  <c r="H983" i="8" s="1"/>
  <c r="F982" i="8"/>
  <c r="H982" i="8" s="1"/>
  <c r="F981" i="8"/>
  <c r="H981" i="8" s="1"/>
  <c r="F980" i="8"/>
  <c r="H980" i="8" s="1"/>
  <c r="F979" i="8"/>
  <c r="H979" i="8" s="1"/>
  <c r="F978" i="8"/>
  <c r="H978" i="8" s="1"/>
  <c r="H977" i="8"/>
  <c r="F976" i="8"/>
  <c r="H976" i="8" s="1"/>
  <c r="F975" i="8"/>
  <c r="H975" i="8" s="1"/>
  <c r="F974" i="8"/>
  <c r="H974" i="8" s="1"/>
  <c r="F973" i="8"/>
  <c r="H973" i="8" s="1"/>
  <c r="F972" i="8"/>
  <c r="H972" i="8" s="1"/>
  <c r="F971" i="8"/>
  <c r="H971" i="8" s="1"/>
  <c r="F970" i="8"/>
  <c r="H970" i="8" s="1"/>
  <c r="F969" i="8"/>
  <c r="H969" i="8" s="1"/>
  <c r="F968" i="8"/>
  <c r="H968" i="8" s="1"/>
  <c r="H953" i="8"/>
  <c r="H952" i="8"/>
  <c r="F951" i="8"/>
  <c r="H951" i="8" s="1"/>
  <c r="F950" i="8"/>
  <c r="H950" i="8" s="1"/>
  <c r="F949" i="8"/>
  <c r="H949" i="8" s="1"/>
  <c r="F948" i="8"/>
  <c r="H948" i="8" s="1"/>
  <c r="F947" i="8"/>
  <c r="H947" i="8" s="1"/>
  <c r="F946" i="8"/>
  <c r="H946" i="8" s="1"/>
  <c r="F945" i="8"/>
  <c r="H945" i="8" s="1"/>
  <c r="F944" i="8"/>
  <c r="H944" i="8" s="1"/>
  <c r="F943" i="8"/>
  <c r="H943" i="8" s="1"/>
  <c r="F942" i="8"/>
  <c r="H942" i="8" s="1"/>
  <c r="F941" i="8"/>
  <c r="H941" i="8" s="1"/>
  <c r="F940" i="8"/>
  <c r="H940" i="8" s="1"/>
  <c r="F939" i="8"/>
  <c r="H939" i="8" s="1"/>
  <c r="F938" i="8"/>
  <c r="H938" i="8" s="1"/>
  <c r="F937" i="8"/>
  <c r="H937" i="8" s="1"/>
  <c r="F936" i="8"/>
  <c r="H936" i="8" s="1"/>
  <c r="F935" i="8"/>
  <c r="H935" i="8" s="1"/>
  <c r="F934" i="8"/>
  <c r="H934" i="8" s="1"/>
  <c r="F933" i="8"/>
  <c r="H933" i="8" s="1"/>
  <c r="F932" i="8"/>
  <c r="H932" i="8" s="1"/>
  <c r="F931" i="8"/>
  <c r="H931" i="8" s="1"/>
  <c r="F930" i="8"/>
  <c r="H930" i="8" s="1"/>
  <c r="H929" i="8"/>
  <c r="F928" i="8"/>
  <c r="H928" i="8" s="1"/>
  <c r="F927" i="8"/>
  <c r="H927" i="8" s="1"/>
  <c r="F926" i="8"/>
  <c r="H926" i="8" s="1"/>
  <c r="F925" i="8"/>
  <c r="H925" i="8" s="1"/>
  <c r="F924" i="8"/>
  <c r="H924" i="8" s="1"/>
  <c r="F923" i="8"/>
  <c r="H923" i="8" s="1"/>
  <c r="F922" i="8"/>
  <c r="H922" i="8" s="1"/>
  <c r="F921" i="8"/>
  <c r="H921" i="8" s="1"/>
  <c r="F920" i="8"/>
  <c r="H920" i="8" s="1"/>
  <c r="H893" i="8"/>
  <c r="D890" i="8" s="1"/>
  <c r="H866" i="8"/>
  <c r="H865" i="8"/>
  <c r="H837" i="8"/>
  <c r="D834" i="8" s="1"/>
  <c r="H813" i="8"/>
  <c r="H812" i="8"/>
  <c r="H783" i="8"/>
  <c r="H782" i="8"/>
  <c r="H781" i="8"/>
  <c r="H780" i="8"/>
  <c r="H779" i="8"/>
  <c r="H762" i="8"/>
  <c r="H761" i="8"/>
  <c r="H758" i="8"/>
  <c r="H757" i="8"/>
  <c r="H753" i="8"/>
  <c r="H750" i="8"/>
  <c r="H748" i="8"/>
  <c r="H747" i="8"/>
  <c r="H730" i="8"/>
  <c r="H729" i="8"/>
  <c r="H728" i="8"/>
  <c r="H727" i="8"/>
  <c r="H726" i="8"/>
  <c r="H725" i="8"/>
  <c r="H724" i="8"/>
  <c r="H723" i="8"/>
  <c r="H722" i="8"/>
  <c r="H721" i="8"/>
  <c r="H720" i="8"/>
  <c r="H719" i="8"/>
  <c r="H718" i="8"/>
  <c r="H717" i="8"/>
  <c r="H716" i="8"/>
  <c r="H699" i="8"/>
  <c r="H698" i="8"/>
  <c r="H697" i="8"/>
  <c r="H696" i="8"/>
  <c r="H695" i="8"/>
  <c r="H694" i="8"/>
  <c r="H693" i="8"/>
  <c r="H692" i="8"/>
  <c r="H691" i="8"/>
  <c r="H690" i="8"/>
  <c r="H689" i="8"/>
  <c r="H688" i="8"/>
  <c r="H687" i="8"/>
  <c r="H686" i="8"/>
  <c r="H685" i="8"/>
  <c r="E36" i="2"/>
  <c r="E35" i="2"/>
  <c r="E34" i="2"/>
  <c r="H557" i="8"/>
  <c r="H556" i="8"/>
  <c r="H524" i="8"/>
  <c r="H523" i="8"/>
  <c r="H508" i="8"/>
  <c r="H507" i="8"/>
  <c r="H506" i="8"/>
  <c r="H505" i="8"/>
  <c r="H504" i="8"/>
  <c r="H503" i="8"/>
  <c r="H502" i="8"/>
  <c r="H501" i="8"/>
  <c r="H500" i="8"/>
  <c r="H499" i="8"/>
  <c r="H498" i="8"/>
  <c r="H497" i="8"/>
  <c r="H496" i="8"/>
  <c r="H495" i="8"/>
  <c r="H494" i="8"/>
  <c r="H493" i="8"/>
  <c r="H492" i="8"/>
  <c r="H491" i="8"/>
  <c r="H490" i="8"/>
  <c r="H489" i="8"/>
  <c r="H457" i="8"/>
  <c r="H456" i="8"/>
  <c r="E32" i="2"/>
  <c r="J32" i="2" s="1"/>
  <c r="X32" i="2" s="1"/>
  <c r="H377" i="8"/>
  <c r="H376" i="8"/>
  <c r="H375" i="8"/>
  <c r="H374" i="8"/>
  <c r="H373" i="8"/>
  <c r="H372" i="8"/>
  <c r="H371" i="8"/>
  <c r="H370" i="8"/>
  <c r="H369" i="8"/>
  <c r="H368" i="8"/>
  <c r="H367" i="8"/>
  <c r="H366" i="8"/>
  <c r="H365" i="8"/>
  <c r="H364" i="8"/>
  <c r="H363" i="8"/>
  <c r="H362" i="8"/>
  <c r="H361" i="8"/>
  <c r="H360" i="8"/>
  <c r="H359" i="8"/>
  <c r="H358" i="8"/>
  <c r="H340" i="8"/>
  <c r="H339" i="8"/>
  <c r="H338" i="8"/>
  <c r="H337" i="8"/>
  <c r="H336" i="8"/>
  <c r="H335" i="8"/>
  <c r="H334" i="8"/>
  <c r="H333" i="8"/>
  <c r="H332" i="8"/>
  <c r="H331" i="8"/>
  <c r="H330" i="8"/>
  <c r="H329" i="8"/>
  <c r="H328" i="8"/>
  <c r="H327" i="8"/>
  <c r="H326" i="8"/>
  <c r="H325" i="8"/>
  <c r="H324" i="8"/>
  <c r="H323" i="8"/>
  <c r="H322" i="8"/>
  <c r="H321" i="8"/>
  <c r="H320" i="8"/>
  <c r="H264" i="8"/>
  <c r="H263" i="8"/>
  <c r="H262" i="8"/>
  <c r="H261" i="8"/>
  <c r="H260" i="8"/>
  <c r="H259" i="8"/>
  <c r="H258" i="8"/>
  <c r="H257" i="8"/>
  <c r="H256" i="8"/>
  <c r="H255" i="8"/>
  <c r="H254" i="8"/>
  <c r="H253" i="8"/>
  <c r="H252" i="8"/>
  <c r="H251" i="8"/>
  <c r="H250" i="8"/>
  <c r="S20" i="2"/>
  <c r="T20" i="2"/>
  <c r="T91" i="2" s="1"/>
  <c r="W51" i="2"/>
  <c r="W52" i="2"/>
  <c r="W53" i="2"/>
  <c r="G73" i="2" l="1"/>
  <c r="K73" i="2" s="1"/>
  <c r="J73" i="2"/>
  <c r="X73" i="2" s="1"/>
  <c r="G36" i="2"/>
  <c r="K36" i="2" s="1"/>
  <c r="J36" i="2"/>
  <c r="X36" i="2" s="1"/>
  <c r="G34" i="2"/>
  <c r="K34" i="2" s="1"/>
  <c r="J34" i="2"/>
  <c r="X34" i="2" s="1"/>
  <c r="G71" i="2"/>
  <c r="K71" i="2" s="1"/>
  <c r="J71" i="2"/>
  <c r="X71" i="2" s="1"/>
  <c r="G35" i="2"/>
  <c r="K35" i="2" s="1"/>
  <c r="J35" i="2"/>
  <c r="X35" i="2" s="1"/>
  <c r="G44" i="2"/>
  <c r="K44" i="2" s="1"/>
  <c r="J44" i="2"/>
  <c r="X44" i="2" s="1"/>
  <c r="D9" i="8"/>
  <c r="E22" i="2" s="1"/>
  <c r="G32" i="2"/>
  <c r="K32" i="2" s="1"/>
  <c r="D2096" i="8"/>
  <c r="D809" i="8"/>
  <c r="D744" i="8"/>
  <c r="D553" i="8"/>
  <c r="D2853" i="8"/>
  <c r="D1670" i="8"/>
  <c r="D1258" i="8"/>
  <c r="D2317" i="8"/>
  <c r="D862" i="8"/>
  <c r="D1108" i="8"/>
  <c r="E33" i="2"/>
  <c r="J33" i="2" s="1"/>
  <c r="X33" i="2" s="1"/>
  <c r="D1291" i="8"/>
  <c r="D2480" i="8"/>
  <c r="D1192" i="8"/>
  <c r="D355" i="8"/>
  <c r="D453" i="8"/>
  <c r="D247" i="8"/>
  <c r="D776" i="8"/>
  <c r="D317" i="8"/>
  <c r="D1141" i="8"/>
  <c r="D713" i="8"/>
  <c r="D520" i="8"/>
  <c r="D2413" i="8"/>
  <c r="D1225" i="8"/>
  <c r="D2784" i="8"/>
  <c r="D2747" i="8"/>
  <c r="D682" i="8"/>
  <c r="D486" i="8"/>
  <c r="D1580" i="8"/>
  <c r="E23" i="2"/>
  <c r="D1959" i="8"/>
  <c r="D1011" i="8"/>
  <c r="D1059" i="8"/>
  <c r="E24" i="2"/>
  <c r="D965" i="8"/>
  <c r="D917" i="8"/>
  <c r="T239" i="2"/>
  <c r="T92" i="2"/>
  <c r="Z207" i="2"/>
  <c r="Z37" i="2"/>
  <c r="Z50" i="2"/>
  <c r="Z57" i="2"/>
  <c r="Z74" i="2"/>
  <c r="G24" i="2" l="1"/>
  <c r="K24" i="2" s="1"/>
  <c r="J24" i="2"/>
  <c r="X24" i="2" s="1"/>
  <c r="G23" i="2"/>
  <c r="K23" i="2" s="1"/>
  <c r="J23" i="2"/>
  <c r="X23" i="2" s="1"/>
  <c r="G33" i="2"/>
  <c r="K33" i="2" s="1"/>
  <c r="J22" i="2"/>
  <c r="G22" i="2"/>
  <c r="K22" i="2" s="1"/>
  <c r="T238" i="2"/>
  <c r="T240" i="2"/>
  <c r="T241" i="2" s="1"/>
  <c r="T93" i="2"/>
  <c r="T94" i="2"/>
  <c r="T95" i="2" s="1"/>
  <c r="T242" i="2" l="1"/>
  <c r="T96" i="2"/>
  <c r="T245" i="2" l="1"/>
  <c r="T247" i="2" s="1"/>
  <c r="T248" i="2" l="1"/>
  <c r="T249" i="2" s="1"/>
  <c r="T246" i="2"/>
  <c r="T250" i="2" l="1"/>
  <c r="Z105" i="2" l="1"/>
  <c r="Z103" i="2"/>
  <c r="J68" i="2"/>
  <c r="X68" i="2" s="1"/>
  <c r="J67" i="2"/>
  <c r="X67" i="2" s="1"/>
  <c r="J66" i="2"/>
  <c r="X66" i="2" s="1"/>
  <c r="J65" i="2"/>
  <c r="X65" i="2" s="1"/>
  <c r="J64" i="2"/>
  <c r="X64" i="2" s="1"/>
  <c r="J63" i="2"/>
  <c r="X63" i="2" s="1"/>
  <c r="J62" i="2"/>
  <c r="X62" i="2" s="1"/>
  <c r="J61" i="2"/>
  <c r="X61" i="2" s="1"/>
  <c r="J60" i="2"/>
  <c r="X60" i="2" s="1"/>
  <c r="J59" i="2"/>
  <c r="X59" i="2" s="1"/>
  <c r="J58" i="2"/>
  <c r="X58" i="2" s="1"/>
  <c r="J56" i="2"/>
  <c r="X56" i="2" s="1"/>
  <c r="J54" i="2"/>
  <c r="X54" i="2" s="1"/>
  <c r="J53" i="2"/>
  <c r="X53" i="2" s="1"/>
  <c r="J52" i="2"/>
  <c r="X52" i="2" s="1"/>
  <c r="J51" i="2"/>
  <c r="X51" i="2" s="1"/>
  <c r="E118" i="5" l="1"/>
  <c r="E117" i="5"/>
  <c r="C113" i="5"/>
  <c r="C103" i="5"/>
  <c r="E98" i="5"/>
  <c r="E106" i="5" s="1"/>
  <c r="A93" i="5"/>
  <c r="A84" i="5"/>
  <c r="E67" i="5"/>
  <c r="E77" i="5" s="1"/>
  <c r="E62" i="5"/>
  <c r="E76" i="5" s="1"/>
  <c r="E52" i="5"/>
  <c r="A52" i="5"/>
  <c r="A51" i="5"/>
  <c r="B51" i="5" s="1"/>
  <c r="A50" i="5"/>
  <c r="B50" i="5" s="1"/>
  <c r="A49" i="5"/>
  <c r="B49" i="5" s="1"/>
  <c r="E48" i="5"/>
  <c r="A48" i="5"/>
  <c r="B48" i="5" s="1"/>
  <c r="A47" i="5"/>
  <c r="B47" i="5" s="1"/>
  <c r="A46" i="5"/>
  <c r="B46" i="5" s="1"/>
  <c r="A45" i="5"/>
  <c r="B45" i="5" s="1"/>
  <c r="A44" i="5"/>
  <c r="B44" i="5" s="1"/>
  <c r="E43" i="5"/>
  <c r="A43" i="5"/>
  <c r="B43" i="5" s="1"/>
  <c r="A42" i="5"/>
  <c r="B42" i="5" s="1"/>
  <c r="E41" i="5"/>
  <c r="A41" i="5"/>
  <c r="B41" i="5" s="1"/>
  <c r="A40" i="5"/>
  <c r="B40" i="5" s="1"/>
  <c r="A39" i="5"/>
  <c r="B39" i="5" s="1"/>
  <c r="A38" i="5"/>
  <c r="B38" i="5" s="1"/>
  <c r="E37" i="5"/>
  <c r="A37" i="5"/>
  <c r="B37" i="5" s="1"/>
  <c r="A36" i="5"/>
  <c r="A35" i="5"/>
  <c r="B35" i="5" s="1"/>
  <c r="A34" i="5"/>
  <c r="B34" i="5" s="1"/>
  <c r="A33" i="5"/>
  <c r="B33" i="5" s="1"/>
  <c r="A32" i="5"/>
  <c r="B32" i="5" s="1"/>
  <c r="A31" i="5"/>
  <c r="B31" i="5" s="1"/>
  <c r="E30" i="5"/>
  <c r="A30" i="5"/>
  <c r="B30" i="5" s="1"/>
  <c r="A29" i="5"/>
  <c r="B29" i="5" s="1"/>
  <c r="A28" i="5"/>
  <c r="B28" i="5" s="1"/>
  <c r="A27" i="5"/>
  <c r="B27" i="5" s="1"/>
  <c r="A26" i="5"/>
  <c r="B26" i="5" s="1"/>
  <c r="A25" i="5"/>
  <c r="B25" i="5" s="1"/>
  <c r="A24" i="5"/>
  <c r="B24" i="5" s="1"/>
  <c r="A23" i="5"/>
  <c r="B23" i="5" s="1"/>
  <c r="A22" i="5"/>
  <c r="B22" i="5" s="1"/>
  <c r="E21" i="5"/>
  <c r="A21" i="5"/>
  <c r="B21" i="5" s="1"/>
  <c r="E20" i="5"/>
  <c r="A20" i="5"/>
  <c r="B20" i="5" s="1"/>
  <c r="B15" i="5"/>
  <c r="B13" i="5"/>
  <c r="B12" i="5"/>
  <c r="B7" i="5"/>
  <c r="B5" i="5"/>
  <c r="B2" i="5"/>
  <c r="E49" i="5"/>
  <c r="E44" i="5"/>
  <c r="E42" i="5"/>
  <c r="E38" i="5"/>
  <c r="W20" i="2"/>
  <c r="V20" i="2"/>
  <c r="Q20" i="2"/>
  <c r="P20" i="2"/>
  <c r="N20" i="2"/>
  <c r="M20" i="2"/>
  <c r="K20" i="2"/>
  <c r="J20" i="2"/>
  <c r="I20" i="2"/>
  <c r="I91" i="2" s="1"/>
  <c r="H20" i="2"/>
  <c r="G14" i="2"/>
  <c r="J14" i="2" s="1"/>
  <c r="M14" i="2" s="1"/>
  <c r="M13" i="2"/>
  <c r="J13" i="2"/>
  <c r="G13" i="2"/>
  <c r="J9" i="2"/>
  <c r="I94" i="2" l="1"/>
  <c r="I93" i="2"/>
  <c r="I92" i="2"/>
  <c r="C105" i="5"/>
  <c r="C106" i="5" s="1"/>
  <c r="Z68" i="2"/>
  <c r="AB68" i="2" s="1"/>
  <c r="Z44" i="2"/>
  <c r="AB44" i="2" s="1"/>
  <c r="Q22" i="2"/>
  <c r="Q91" i="2" s="1"/>
  <c r="Z48" i="2"/>
  <c r="E28" i="5"/>
  <c r="E45" i="5"/>
  <c r="E26" i="5"/>
  <c r="E22" i="5"/>
  <c r="E27" i="5"/>
  <c r="E36" i="5"/>
  <c r="E46" i="5"/>
  <c r="E51" i="5"/>
  <c r="E24" i="5"/>
  <c r="E29" i="5"/>
  <c r="E31" i="5"/>
  <c r="E39" i="5"/>
  <c r="E40" i="5"/>
  <c r="E50" i="5"/>
  <c r="E23" i="5"/>
  <c r="Z212" i="2"/>
  <c r="E35" i="5"/>
  <c r="E25" i="5"/>
  <c r="E34" i="5"/>
  <c r="E33" i="5"/>
  <c r="Z161" i="2"/>
  <c r="E47" i="5"/>
  <c r="E32" i="5"/>
  <c r="AA68" i="2" l="1"/>
  <c r="AA44" i="2"/>
  <c r="Z62" i="2"/>
  <c r="AB62" i="2" s="1"/>
  <c r="Z42" i="2"/>
  <c r="Z66" i="2"/>
  <c r="AB66" i="2" s="1"/>
  <c r="Z56" i="2"/>
  <c r="AA56" i="2" s="1"/>
  <c r="Z75" i="2"/>
  <c r="Z22" i="2"/>
  <c r="E54" i="5"/>
  <c r="Z39" i="2"/>
  <c r="Z102" i="2"/>
  <c r="Z63" i="2"/>
  <c r="Z40" i="2"/>
  <c r="Z23" i="2"/>
  <c r="Z59" i="2"/>
  <c r="Z24" i="2"/>
  <c r="AB212" i="2"/>
  <c r="AA212" i="2"/>
  <c r="Z51" i="2"/>
  <c r="Z208" i="2"/>
  <c r="Z47" i="2"/>
  <c r="Z101" i="2"/>
  <c r="Z61" i="2"/>
  <c r="Z64" i="2"/>
  <c r="Z209" i="2"/>
  <c r="Z210" i="2"/>
  <c r="Z106" i="2"/>
  <c r="Z28" i="2"/>
  <c r="Z67" i="2"/>
  <c r="I238" i="2"/>
  <c r="I240" i="2"/>
  <c r="I239" i="2"/>
  <c r="Z45" i="2"/>
  <c r="Z76" i="2"/>
  <c r="AA48" i="2"/>
  <c r="AB48" i="2"/>
  <c r="Z60" i="2"/>
  <c r="Z41" i="2"/>
  <c r="Z65" i="2"/>
  <c r="Z107" i="2"/>
  <c r="Z211" i="2"/>
  <c r="W22" i="2"/>
  <c r="W91" i="2" s="1"/>
  <c r="AA66" i="2" l="1"/>
  <c r="Z53" i="2"/>
  <c r="AA53" i="2" s="1"/>
  <c r="AB56" i="2"/>
  <c r="Z58" i="2"/>
  <c r="AB58" i="2" s="1"/>
  <c r="Z38" i="2"/>
  <c r="AB38" i="2" s="1"/>
  <c r="Z54" i="2"/>
  <c r="AB54" i="2" s="1"/>
  <c r="Z46" i="2"/>
  <c r="AA46" i="2" s="1"/>
  <c r="AA62" i="2"/>
  <c r="Y48" i="2"/>
  <c r="I241" i="2"/>
  <c r="X22" i="2"/>
  <c r="AA42" i="2"/>
  <c r="AB42" i="2"/>
  <c r="AA75" i="2"/>
  <c r="AB75" i="2"/>
  <c r="AB22" i="2"/>
  <c r="AA22" i="2"/>
  <c r="AA161" i="2"/>
  <c r="AB161" i="2"/>
  <c r="AA54" i="2" l="1"/>
  <c r="Z52" i="2"/>
  <c r="AB52" i="2" s="1"/>
  <c r="Q92" i="2"/>
  <c r="Q94" i="2"/>
  <c r="Q95" i="2" s="1"/>
  <c r="Q93" i="2"/>
  <c r="Q245" i="2"/>
  <c r="Q239" i="2"/>
  <c r="Q240" i="2"/>
  <c r="Q238" i="2"/>
  <c r="I242" i="2"/>
  <c r="AA38" i="2"/>
  <c r="AB53" i="2"/>
  <c r="AB46" i="2"/>
  <c r="AA58" i="2"/>
  <c r="W94" i="2"/>
  <c r="W95" i="2" s="1"/>
  <c r="AA76" i="2"/>
  <c r="AB76" i="2"/>
  <c r="AB64" i="2"/>
  <c r="AA64" i="2"/>
  <c r="AA41" i="2"/>
  <c r="AB41" i="2"/>
  <c r="AA65" i="2"/>
  <c r="AB65" i="2"/>
  <c r="AA61" i="2"/>
  <c r="AB61" i="2"/>
  <c r="AB101" i="2"/>
  <c r="AA101" i="2"/>
  <c r="AB210" i="2"/>
  <c r="AA210" i="2"/>
  <c r="AB24" i="2"/>
  <c r="AA24" i="2"/>
  <c r="AA67" i="2"/>
  <c r="AB67" i="2"/>
  <c r="AB208" i="2"/>
  <c r="AA208" i="2"/>
  <c r="AB60" i="2"/>
  <c r="AA60" i="2"/>
  <c r="AB39" i="2"/>
  <c r="AA39" i="2"/>
  <c r="AB211" i="2"/>
  <c r="AA211" i="2"/>
  <c r="AB28" i="2"/>
  <c r="AA28" i="2"/>
  <c r="AA102" i="2"/>
  <c r="AB102" i="2"/>
  <c r="AB59" i="2"/>
  <c r="AA59" i="2"/>
  <c r="AB40" i="2"/>
  <c r="AA40" i="2"/>
  <c r="AA107" i="2"/>
  <c r="AB107" i="2"/>
  <c r="AB209" i="2"/>
  <c r="AA209" i="2"/>
  <c r="N94" i="2"/>
  <c r="N92" i="2"/>
  <c r="N93" i="2"/>
  <c r="AB45" i="2"/>
  <c r="AA45" i="2"/>
  <c r="AA51" i="2"/>
  <c r="AB51" i="2"/>
  <c r="AA47" i="2"/>
  <c r="AB47" i="2"/>
  <c r="AB23" i="2"/>
  <c r="AA23" i="2"/>
  <c r="AB63" i="2"/>
  <c r="AA63" i="2"/>
  <c r="AB106" i="2"/>
  <c r="AA106" i="2"/>
  <c r="N95" i="2" l="1"/>
  <c r="N224" i="2"/>
  <c r="W224" i="2" s="1"/>
  <c r="N201" i="2"/>
  <c r="W201" i="2" s="1"/>
  <c r="N189" i="2"/>
  <c r="W189" i="2" s="1"/>
  <c r="N130" i="2"/>
  <c r="W130" i="2" s="1"/>
  <c r="N146" i="2"/>
  <c r="W146" i="2" s="1"/>
  <c r="N162" i="2"/>
  <c r="W162" i="2" s="1"/>
  <c r="N103" i="2"/>
  <c r="W103" i="2" s="1"/>
  <c r="N119" i="2"/>
  <c r="W119" i="2" s="1"/>
  <c r="N202" i="2"/>
  <c r="W202" i="2" s="1"/>
  <c r="N190" i="2"/>
  <c r="W190" i="2" s="1"/>
  <c r="N131" i="2"/>
  <c r="W131" i="2" s="1"/>
  <c r="N147" i="2"/>
  <c r="W147" i="2" s="1"/>
  <c r="N163" i="2"/>
  <c r="W163" i="2" s="1"/>
  <c r="N104" i="2"/>
  <c r="W104" i="2" s="1"/>
  <c r="N120" i="2"/>
  <c r="W120" i="2" s="1"/>
  <c r="N203" i="2"/>
  <c r="W203" i="2" s="1"/>
  <c r="N132" i="2"/>
  <c r="W132" i="2" s="1"/>
  <c r="N164" i="2"/>
  <c r="W164" i="2" s="1"/>
  <c r="N105" i="2"/>
  <c r="W105" i="2" s="1"/>
  <c r="N101" i="2"/>
  <c r="N198" i="2"/>
  <c r="W198" i="2" s="1"/>
  <c r="N108" i="2"/>
  <c r="W108" i="2" s="1"/>
  <c r="N180" i="2"/>
  <c r="W180" i="2" s="1"/>
  <c r="N178" i="2"/>
  <c r="W178" i="2" s="1"/>
  <c r="N216" i="2"/>
  <c r="W216" i="2" s="1"/>
  <c r="N124" i="2"/>
  <c r="W124" i="2" s="1"/>
  <c r="N172" i="2"/>
  <c r="W172" i="2" s="1"/>
  <c r="N217" i="2"/>
  <c r="W217" i="2" s="1"/>
  <c r="N125" i="2"/>
  <c r="W125" i="2" s="1"/>
  <c r="N173" i="2"/>
  <c r="W173" i="2" s="1"/>
  <c r="N220" i="2"/>
  <c r="W220" i="2" s="1"/>
  <c r="N158" i="2"/>
  <c r="W158" i="2" s="1"/>
  <c r="N115" i="2"/>
  <c r="W115" i="2" s="1"/>
  <c r="N221" i="2"/>
  <c r="W221" i="2" s="1"/>
  <c r="N186" i="2"/>
  <c r="W186" i="2" s="1"/>
  <c r="N143" i="2"/>
  <c r="W143" i="2" s="1"/>
  <c r="N175" i="2"/>
  <c r="W175" i="2" s="1"/>
  <c r="N187" i="2"/>
  <c r="W187" i="2" s="1"/>
  <c r="N144" i="2"/>
  <c r="W144" i="2" s="1"/>
  <c r="N122" i="2"/>
  <c r="W122" i="2" s="1"/>
  <c r="N102" i="2"/>
  <c r="W102" i="2" s="1"/>
  <c r="N225" i="2"/>
  <c r="W225" i="2" s="1"/>
  <c r="N167" i="2"/>
  <c r="W167" i="2" s="1"/>
  <c r="N214" i="2"/>
  <c r="W214" i="2" s="1"/>
  <c r="N140" i="2"/>
  <c r="W140" i="2" s="1"/>
  <c r="N226" i="2"/>
  <c r="W226" i="2" s="1"/>
  <c r="N191" i="2"/>
  <c r="W191" i="2" s="1"/>
  <c r="N148" i="2"/>
  <c r="W148" i="2" s="1"/>
  <c r="N151" i="2"/>
  <c r="W151" i="2" s="1"/>
  <c r="N138" i="2"/>
  <c r="W138" i="2" s="1"/>
  <c r="N145" i="2"/>
  <c r="W145" i="2" s="1"/>
  <c r="N209" i="2"/>
  <c r="W209" i="2" s="1"/>
  <c r="N204" i="2"/>
  <c r="W204" i="2" s="1"/>
  <c r="N192" i="2"/>
  <c r="W192" i="2" s="1"/>
  <c r="N133" i="2"/>
  <c r="W133" i="2" s="1"/>
  <c r="N149" i="2"/>
  <c r="W149" i="2" s="1"/>
  <c r="N165" i="2"/>
  <c r="W165" i="2" s="1"/>
  <c r="N106" i="2"/>
  <c r="N135" i="2"/>
  <c r="W135" i="2" s="1"/>
  <c r="N154" i="2"/>
  <c r="W154" i="2" s="1"/>
  <c r="N156" i="2"/>
  <c r="W156" i="2" s="1"/>
  <c r="N129" i="2"/>
  <c r="W129" i="2" s="1"/>
  <c r="N210" i="2"/>
  <c r="W210" i="2" s="1"/>
  <c r="N205" i="2"/>
  <c r="W205" i="2" s="1"/>
  <c r="N193" i="2"/>
  <c r="W193" i="2" s="1"/>
  <c r="N134" i="2"/>
  <c r="W134" i="2" s="1"/>
  <c r="N150" i="2"/>
  <c r="W150" i="2" s="1"/>
  <c r="N166" i="2"/>
  <c r="W166" i="2" s="1"/>
  <c r="N107" i="2"/>
  <c r="W107" i="2" s="1"/>
  <c r="N194" i="2"/>
  <c r="W194" i="2" s="1"/>
  <c r="N170" i="2"/>
  <c r="W170" i="2" s="1"/>
  <c r="N113" i="2"/>
  <c r="W113" i="2" s="1"/>
  <c r="N118" i="2"/>
  <c r="W118" i="2" s="1"/>
  <c r="N211" i="2"/>
  <c r="W211" i="2" s="1"/>
  <c r="N200" i="2"/>
  <c r="W200" i="2" s="1"/>
  <c r="N228" i="2"/>
  <c r="W228" i="2" s="1"/>
  <c r="N212" i="2"/>
  <c r="W212" i="2" s="1"/>
  <c r="N179" i="2"/>
  <c r="W179" i="2" s="1"/>
  <c r="N195" i="2"/>
  <c r="W195" i="2" s="1"/>
  <c r="N136" i="2"/>
  <c r="W136" i="2" s="1"/>
  <c r="N152" i="2"/>
  <c r="W152" i="2" s="1"/>
  <c r="N168" i="2"/>
  <c r="W168" i="2" s="1"/>
  <c r="N109" i="2"/>
  <c r="W109" i="2" s="1"/>
  <c r="N229" i="2"/>
  <c r="W229" i="2" s="1"/>
  <c r="N196" i="2"/>
  <c r="W196" i="2" s="1"/>
  <c r="N137" i="2"/>
  <c r="W137" i="2" s="1"/>
  <c r="N169" i="2"/>
  <c r="W169" i="2" s="1"/>
  <c r="N110" i="2"/>
  <c r="W110" i="2" s="1"/>
  <c r="N111" i="2"/>
  <c r="W111" i="2" s="1"/>
  <c r="N183" i="2"/>
  <c r="W183" i="2" s="1"/>
  <c r="N141" i="2"/>
  <c r="W141" i="2" s="1"/>
  <c r="N218" i="2"/>
  <c r="W218" i="2" s="1"/>
  <c r="N126" i="2"/>
  <c r="W126" i="2" s="1"/>
  <c r="N174" i="2"/>
  <c r="W174" i="2" s="1"/>
  <c r="N128" i="2"/>
  <c r="W128" i="2" s="1"/>
  <c r="N213" i="2"/>
  <c r="W213" i="2" s="1"/>
  <c r="N153" i="2"/>
  <c r="W153" i="2" s="1"/>
  <c r="N181" i="2"/>
  <c r="W181" i="2" s="1"/>
  <c r="N236" i="2"/>
  <c r="W236" i="2" s="1"/>
  <c r="N184" i="2"/>
  <c r="W184" i="2" s="1"/>
  <c r="N157" i="2"/>
  <c r="W157" i="2" s="1"/>
  <c r="N114" i="2"/>
  <c r="W114" i="2" s="1"/>
  <c r="N185" i="2"/>
  <c r="W185" i="2" s="1"/>
  <c r="N142" i="2"/>
  <c r="W142" i="2" s="1"/>
  <c r="N208" i="2"/>
  <c r="W208" i="2" s="1"/>
  <c r="N127" i="2"/>
  <c r="W127" i="2" s="1"/>
  <c r="N159" i="2"/>
  <c r="W159" i="2" s="1"/>
  <c r="N116" i="2"/>
  <c r="W116" i="2" s="1"/>
  <c r="N199" i="2"/>
  <c r="W199" i="2" s="1"/>
  <c r="N160" i="2"/>
  <c r="W160" i="2" s="1"/>
  <c r="N117" i="2"/>
  <c r="W117" i="2" s="1"/>
  <c r="N161" i="2"/>
  <c r="W161" i="2" s="1"/>
  <c r="N230" i="2"/>
  <c r="W230" i="2" s="1"/>
  <c r="N231" i="2"/>
  <c r="W231" i="2" s="1"/>
  <c r="N215" i="2"/>
  <c r="W215" i="2" s="1"/>
  <c r="N182" i="2"/>
  <c r="W182" i="2" s="1"/>
  <c r="N123" i="2"/>
  <c r="W123" i="2" s="1"/>
  <c r="N139" i="2"/>
  <c r="W139" i="2" s="1"/>
  <c r="N155" i="2"/>
  <c r="W155" i="2" s="1"/>
  <c r="N171" i="2"/>
  <c r="W171" i="2" s="1"/>
  <c r="N112" i="2"/>
  <c r="W112" i="2" s="1"/>
  <c r="N188" i="2"/>
  <c r="W188" i="2" s="1"/>
  <c r="N222" i="2"/>
  <c r="W222" i="2" s="1"/>
  <c r="N223" i="2"/>
  <c r="W223" i="2" s="1"/>
  <c r="Q247" i="2"/>
  <c r="Q246" i="2"/>
  <c r="Q96" i="2"/>
  <c r="Q241" i="2"/>
  <c r="Q249" i="2" s="1"/>
  <c r="Q248" i="2"/>
  <c r="AA52" i="2"/>
  <c r="AA237" i="2"/>
  <c r="W93" i="2"/>
  <c r="W92" i="2"/>
  <c r="N96" i="2"/>
  <c r="W101" i="2" l="1"/>
  <c r="W106" i="2"/>
  <c r="Y106" i="2" s="1"/>
  <c r="C4687" i="8"/>
  <c r="E4687" i="8"/>
  <c r="D4685" i="8"/>
  <c r="C3205" i="8"/>
  <c r="E3227" i="8"/>
  <c r="D3225" i="8"/>
  <c r="D3203" i="8"/>
  <c r="E3205" i="8"/>
  <c r="C3227" i="8"/>
  <c r="Q242" i="2"/>
  <c r="Q250" i="2" s="1"/>
  <c r="L9" i="2" s="1"/>
  <c r="AA238" i="2"/>
  <c r="W96" i="2"/>
  <c r="AA240" i="2"/>
  <c r="AA241" i="2" s="1"/>
  <c r="AA239" i="2"/>
  <c r="W237" i="2" l="1"/>
  <c r="N240" i="2"/>
  <c r="N245" i="2"/>
  <c r="W245" i="2" s="1"/>
  <c r="N238" i="2"/>
  <c r="N239" i="2"/>
  <c r="N247" i="2" s="1"/>
  <c r="W247" i="2" s="1"/>
  <c r="W239" i="2"/>
  <c r="W238" i="2"/>
  <c r="W240" i="2"/>
  <c r="W241" i="2" s="1"/>
  <c r="AA242" i="2"/>
  <c r="L10" i="2"/>
  <c r="N246" i="2" l="1"/>
  <c r="W246" i="2" s="1"/>
  <c r="N248" i="2"/>
  <c r="W248" i="2" s="1"/>
  <c r="N241" i="2"/>
  <c r="N249" i="2" s="1"/>
  <c r="W249" i="2" s="1"/>
  <c r="W242" i="2"/>
  <c r="C5064" i="8"/>
  <c r="E5064" i="8"/>
  <c r="D5062" i="8"/>
  <c r="C5020" i="8"/>
  <c r="D5018" i="8"/>
  <c r="E5020" i="8"/>
  <c r="D4436" i="8"/>
  <c r="E4438" i="8"/>
  <c r="C4438" i="8"/>
  <c r="E4328" i="8"/>
  <c r="D4326" i="8"/>
  <c r="C4328" i="8"/>
  <c r="E3316" i="8"/>
  <c r="D3314" i="8"/>
  <c r="C3316" i="8"/>
  <c r="C3404" i="8"/>
  <c r="D3402" i="8"/>
  <c r="E3404" i="8"/>
  <c r="E3116" i="8"/>
  <c r="C3116" i="8"/>
  <c r="D3114" i="8"/>
  <c r="D3424" i="8"/>
  <c r="C3426" i="8"/>
  <c r="E3426" i="8"/>
  <c r="D3026" i="8"/>
  <c r="E3028" i="8"/>
  <c r="C3028" i="8"/>
  <c r="C3470" i="8"/>
  <c r="D3468" i="8"/>
  <c r="E3448" i="8"/>
  <c r="D3446" i="8"/>
  <c r="C3448" i="8"/>
  <c r="E3470" i="8"/>
  <c r="N242" i="2" l="1"/>
  <c r="N250" i="2" s="1"/>
  <c r="W250" i="2"/>
  <c r="B36" i="5"/>
  <c r="B52" i="5"/>
  <c r="I245" i="2" l="1"/>
  <c r="I248" i="2" l="1"/>
  <c r="I247" i="2"/>
  <c r="I246" i="2"/>
  <c r="I95" i="2"/>
  <c r="I249" i="2" l="1"/>
  <c r="I96" i="2"/>
  <c r="I250" i="2" l="1"/>
  <c r="F10" i="2" l="1"/>
  <c r="W251" i="2" l="1"/>
  <c r="Q251" i="2"/>
  <c r="N251" i="2"/>
  <c r="L11" i="2"/>
  <c r="D190" i="8"/>
  <c r="E29" i="2" s="1"/>
  <c r="G29" i="2" l="1"/>
  <c r="K29" i="2" s="1"/>
  <c r="J29" i="2"/>
  <c r="X29" i="2" s="1"/>
  <c r="Z29" i="2" l="1"/>
  <c r="G92" i="2" l="1"/>
  <c r="K92" i="2" s="1"/>
  <c r="K91" i="2"/>
  <c r="G93" i="2"/>
  <c r="K93" i="2" s="1"/>
  <c r="G94" i="2"/>
  <c r="G95" i="2" s="1"/>
  <c r="AB29" i="2"/>
  <c r="AA29" i="2"/>
  <c r="AA91" i="2" s="1"/>
  <c r="K94" i="2" l="1"/>
  <c r="AA93" i="2"/>
  <c r="AA94" i="2"/>
  <c r="AA95" i="2" s="1"/>
  <c r="AA92" i="2"/>
  <c r="K95" i="2"/>
  <c r="G96" i="2"/>
  <c r="K96" i="2" l="1"/>
  <c r="AA96" i="2"/>
  <c r="D3910" i="8" l="1"/>
  <c r="E134" i="2" s="1"/>
  <c r="G134" i="2" l="1"/>
  <c r="K134" i="2" s="1"/>
  <c r="J134" i="2"/>
  <c r="X134" i="2" s="1"/>
  <c r="G245" i="2" l="1"/>
  <c r="G240" i="2" l="1"/>
  <c r="G248" i="2" s="1"/>
  <c r="K245" i="2"/>
  <c r="AA245" i="2" s="1"/>
  <c r="G239" i="2"/>
  <c r="G247" i="2" s="1"/>
  <c r="G238" i="2"/>
  <c r="G246" i="2" s="1"/>
  <c r="K246" i="2" l="1"/>
  <c r="AA246" i="2" s="1"/>
  <c r="K238" i="2"/>
  <c r="K247" i="2"/>
  <c r="AA247" i="2" s="1"/>
  <c r="K239" i="2"/>
  <c r="K248" i="2"/>
  <c r="AA248" i="2" s="1"/>
  <c r="K240" i="2"/>
  <c r="G241" i="2"/>
  <c r="G249" i="2" s="1"/>
  <c r="G250" i="2" s="1"/>
  <c r="G242" i="2" l="1"/>
  <c r="K241" i="2"/>
  <c r="K242" i="2" s="1"/>
  <c r="K249" i="2" l="1"/>
  <c r="E55" i="5" l="1"/>
  <c r="E74" i="5"/>
  <c r="I251" i="2"/>
  <c r="AA249" i="2"/>
  <c r="AA250" i="2" s="1"/>
  <c r="AA251" i="2" s="1"/>
  <c r="K250" i="2"/>
  <c r="K251" i="2" l="1"/>
  <c r="T251" i="2"/>
  <c r="E56" i="5"/>
  <c r="E71" i="5" s="1"/>
  <c r="D55" i="5"/>
  <c r="E59" i="5" l="1"/>
  <c r="E58" i="5" s="1"/>
  <c r="E75" i="5" s="1"/>
  <c r="E79" i="5" s="1"/>
  <c r="E60" i="5"/>
  <c r="E116" i="5"/>
  <c r="E119" i="5" s="1"/>
  <c r="E122" i="5" s="1"/>
  <c r="E124" i="5" s="1"/>
  <c r="C84" i="5"/>
  <c r="C86" i="5" s="1"/>
  <c r="E93" i="5" l="1"/>
  <c r="E94" i="5"/>
  <c r="E89" i="5"/>
  <c r="C88" i="5"/>
  <c r="C89" i="5" s="1"/>
  <c r="C81"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L9" authorId="0" shapeId="0" xr:uid="{00000000-0006-0000-0100-000001000000}">
      <text>
        <r>
          <rPr>
            <sz val="11"/>
            <color theme="1"/>
            <rFont val="Calibri"/>
            <family val="2"/>
            <scheme val="minor"/>
          </rPr>
          <t>validar el valor del acta</t>
        </r>
      </text>
    </comment>
    <comment ref="F11" authorId="0" shapeId="0" xr:uid="{00000000-0006-0000-0100-000002000000}">
      <text>
        <r>
          <rPr>
            <sz val="11"/>
            <color theme="1"/>
            <rFont val="Calibri"/>
            <family val="2"/>
            <scheme val="minor"/>
          </rPr>
          <t>digitar el número del acta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F140" authorId="0" shapeId="0" xr:uid="{154B0E2B-61D4-4266-A6E1-65F309883DA2}">
      <text>
        <r>
          <rPr>
            <sz val="11"/>
            <color theme="1"/>
            <rFont val="Calibri"/>
            <family val="2"/>
            <scheme val="minor"/>
          </rPr>
          <t>no se encuentra esta medida en el plano, solamente 14,15ml y 9,65ml</t>
        </r>
      </text>
    </comment>
    <comment ref="F226" authorId="0" shapeId="0" xr:uid="{52C108A3-5A0F-4644-87E9-BB7260E188D1}">
      <text>
        <r>
          <rPr>
            <sz val="11"/>
            <color theme="1"/>
            <rFont val="Calibri"/>
            <family val="2"/>
            <scheme val="minor"/>
          </rPr>
          <t>no se encuentra esta medida en el plano, solamente 14,15ml y 9,65ml</t>
        </r>
      </text>
    </comment>
    <comment ref="F1650" authorId="0" shapeId="0" xr:uid="{8050EEC6-5FBF-47D3-A9E7-55C7D5EA37C0}">
      <text>
        <r>
          <rPr>
            <sz val="11"/>
            <color theme="1"/>
            <rFont val="Calibri"/>
            <family val="2"/>
            <scheme val="minor"/>
          </rPr>
          <t>Se refiere a la tuberia que sube por muro</t>
        </r>
      </text>
    </comment>
    <comment ref="F1654" authorId="0" shapeId="0" xr:uid="{ACBC6035-648D-4779-94EF-5F474BF8B8B0}">
      <text>
        <r>
          <rPr>
            <sz val="11"/>
            <color theme="1"/>
            <rFont val="Calibri"/>
            <family val="2"/>
            <scheme val="minor"/>
          </rPr>
          <t>Se refiere a la tuberia que sube por muro</t>
        </r>
      </text>
    </comment>
    <comment ref="G1818" authorId="0" shapeId="0" xr:uid="{2BFBDF4B-0DCE-463E-9DC5-84FCEC8357D6}">
      <text>
        <r>
          <rPr>
            <sz val="11"/>
            <color theme="1"/>
            <rFont val="Calibri"/>
            <family val="2"/>
            <scheme val="minor"/>
          </rPr>
          <t>Se refiere a la tuberia que sube por muro</t>
        </r>
      </text>
    </comment>
    <comment ref="G1820" authorId="0" shapeId="0" xr:uid="{C93A8B0E-769F-4FE3-A0A4-C9CE36C56A9A}">
      <text>
        <r>
          <rPr>
            <sz val="11"/>
            <color theme="1"/>
            <rFont val="Calibri"/>
            <family val="2"/>
            <scheme val="minor"/>
          </rPr>
          <t>Se refiere a la tuberia que sube por muro</t>
        </r>
      </text>
    </comment>
    <comment ref="G1822" authorId="0" shapeId="0" xr:uid="{BD82075D-ABC2-42DD-BD10-30B80FA376FF}">
      <text>
        <r>
          <rPr>
            <sz val="11"/>
            <color theme="1"/>
            <rFont val="Calibri"/>
            <family val="2"/>
            <scheme val="minor"/>
          </rPr>
          <t>Se refiere a la tuberia que sube por muro</t>
        </r>
      </text>
    </comment>
  </commentList>
</comments>
</file>

<file path=xl/sharedStrings.xml><?xml version="1.0" encoding="utf-8"?>
<sst xmlns="http://schemas.openxmlformats.org/spreadsheetml/2006/main" count="5452" uniqueCount="697">
  <si>
    <t xml:space="preserve"> </t>
  </si>
  <si>
    <t>Consejo Superior de la Judicatura 
 Dirección Ejecutiva Seccional de Administración Judicial 
 Cali – Valle del Cauca</t>
  </si>
  <si>
    <t xml:space="preserve">CONTRATISTA: </t>
  </si>
  <si>
    <t>CONTRATANTE:</t>
  </si>
  <si>
    <t>OBJETO:</t>
  </si>
  <si>
    <t>CONTRATAR EN NOMBRE DE LA NACIÓN – CONSEJO SUPERIOR DE LA JUDICATURA – DIRECCIÓN SECCIONAL DE ADMINISTRACIÓN JUDICIAL DE CALI – VALLE DEL CAUCA, EL MANTENIMIENTO Y REPARACIONES LOCATIVAS DE LOS INMUEBLES PALACIO NACIONAL DE BUENAVENTURA Y SEDE JUDICIAL TRANSFERENCIAS DE BUENAVENTURA, INCLUYENDO MATERIALES A TODO COSTO.</t>
  </si>
  <si>
    <t xml:space="preserve">FECHA PRESENTE: </t>
  </si>
  <si>
    <t>CONTRATO No.</t>
  </si>
  <si>
    <t xml:space="preserve">FECHA ACTA DE INICIO: </t>
  </si>
  <si>
    <t>VALOR CONTRATO:</t>
  </si>
  <si>
    <t>VALOR ADICIÓN AL CONTRATO:</t>
  </si>
  <si>
    <t>TIEMPO (DIAS) ADICIÓN 1:</t>
  </si>
  <si>
    <t>FECHA TERMINACIÓN CONTRATO:</t>
  </si>
  <si>
    <t>VALOR TOTAL CONTRATO:</t>
  </si>
  <si>
    <t xml:space="preserve">VR. ACTA No. 1 </t>
  </si>
  <si>
    <t>TOTAL PAGADO</t>
  </si>
  <si>
    <t xml:space="preserve">ACTA No. </t>
  </si>
  <si>
    <t>SALDO ACTUAL CONTRATO</t>
  </si>
  <si>
    <t>INTERVENTOR / SUPERVISOR</t>
  </si>
  <si>
    <t>CONTRATO INTERVENTORIA</t>
  </si>
  <si>
    <t>N/A</t>
  </si>
  <si>
    <t>CANTIDADES CONTRACTUALES</t>
  </si>
  <si>
    <t>MODIFICACION</t>
  </si>
  <si>
    <t>TOTAL A EJECUTAR</t>
  </si>
  <si>
    <t>ACUMULADO</t>
  </si>
  <si>
    <t>PENDIENTE POR EJECUTAR</t>
  </si>
  <si>
    <t>ITEM</t>
  </si>
  <si>
    <t>ID</t>
  </si>
  <si>
    <t>DESCRIPCION</t>
  </si>
  <si>
    <t>UND</t>
  </si>
  <si>
    <t>CANT</t>
  </si>
  <si>
    <t>V/UNITARIO ANTES DE AIU E IVA</t>
  </si>
  <si>
    <t xml:space="preserve">VALOR </t>
  </si>
  <si>
    <t>CANT.</t>
  </si>
  <si>
    <t>%</t>
  </si>
  <si>
    <t xml:space="preserve">PALACIO NACIONAL DE BUENAVENTURA  </t>
  </si>
  <si>
    <t>OFERTA ECONOMICA</t>
  </si>
  <si>
    <t xml:space="preserve">ITEM </t>
  </si>
  <si>
    <t xml:space="preserve">DESCRIPCIÓN </t>
  </si>
  <si>
    <t xml:space="preserve">UNIDAD </t>
  </si>
  <si>
    <t xml:space="preserve">CANTIDAD </t>
  </si>
  <si>
    <t>V/UNITARIO PROMEDIO DEFINITIVO</t>
  </si>
  <si>
    <t>V/TOTAL</t>
  </si>
  <si>
    <t xml:space="preserve"> Mantenimiento de pasamanos existentes</t>
  </si>
  <si>
    <t>PR-36</t>
  </si>
  <si>
    <t>Desmonte de acabado superior en madera del Pasamanos, incluye disposición final en centro de acopio certificado</t>
  </si>
  <si>
    <t>ML</t>
  </si>
  <si>
    <t>CA-41</t>
  </si>
  <si>
    <t>Suministro e Instalación acabado superior  para  Pasamanos en Madera Chanul o choibá maciza inmunizada, con sección semitubular  0,08 x 0,10 con barniz y pintura poliuretano diseño y color similar al existente ,   incluye tornillería y todo lo necesario para su correcta instalación</t>
  </si>
  <si>
    <t>CA-19</t>
  </si>
  <si>
    <t>Mantenimiento de reja metalica (cuerpo baranda),  incluye desmonte si es necesario, cepillado, limpieza del elemento,eliminación total del óxido superficial, cambio de partes afectadas, Reforzar o rehacer soldaduras defectuosas, Aplicación de Imprimante anticorrosivo, Aplicación de Acabado (esmalte o pintura industrial mate ) y todo lo necesario para su correcta instalación</t>
  </si>
  <si>
    <t>M2</t>
  </si>
  <si>
    <t>PR-48</t>
  </si>
  <si>
    <t>Desmonte de reja metálica incluye retiro y disposicion final en centro de acopio certificado</t>
  </si>
  <si>
    <t>CA-43</t>
  </si>
  <si>
    <t>Suministro, fabricación e instalación de reja metálica elaborada en varilla lisa de 3/8” (≈ 1 cm de diámetro), diseño  similar al existente, incluye cortes, armado, soldadura, esmerilado, aplicación de anticorrosivo y pintura de acabado, asi como anclajes, fijaciones, herrajes y todos los elementos necesarios para su correcta instalación y funcionamiento.</t>
  </si>
  <si>
    <t>CA-44</t>
  </si>
  <si>
    <t>Suministro, fabricación e instalación de pasamanos en madera Chanul o choibá maciza inmunizada, sección semitubular  0,10 x 0,10 con barniz y pintura poliuretano diseño y color similiar al existente ,   incluye soporte de fijación en muro, tornilleria y todo lo necesario para su correcta instalación</t>
  </si>
  <si>
    <t>Carpintería metálica (ventanillas de atención -  Puerta principal ,Pasamanos sotano, Cerramiento exterior)</t>
  </si>
  <si>
    <t>Desmonte de reja metalica incluye retiro y disposicion final en centro de acopio certificado</t>
  </si>
  <si>
    <t>CA-45</t>
  </si>
  <si>
    <t>Suministro, fabricación e instalación de reja metálica elaborada en varilla lisa de 3/4” (≈ 1,9 cm de diámetro), diseño  similar al existente, incluye cortes, armado, soldadura, esmerilado, aplicación de anticorrosivo y pintura de acabado, asi como anclajes, fijaciones, herrajes y todos los elementos necesarios para su correcta instalación y funcionamiento.</t>
  </si>
  <si>
    <t>CA-46</t>
  </si>
  <si>
    <t>Suministro, fabricación e instalación de puerta en reja metálica elaborada en varilla lisa de 3/4” (≈ 1,9 cm de diámetro), diseño  similar al existente, incluye cortes, armado, soldadura, esmerilado, aplicación de anticorrosivo y pintura de acabado, asi como anclajes, fijaciones, herrajes y todos los elementos necesarios para su correcta instalación y funcionamiento.</t>
  </si>
  <si>
    <t>PR-47</t>
  </si>
  <si>
    <t>Desmonte de pasamanos metálico existente, incluyendo corte, desanclaje, retiro de fijaciones, cargue, transporte y disposición final de los materiales resultantes en sitio autorizado</t>
  </si>
  <si>
    <t>CA-16</t>
  </si>
  <si>
    <t>Suministro e instalación de pasamanos metálico  tubular de  2", incluye elementos de fijación (platinas, anclajes, otros), pintura anticorrosiva y pintura de esmalte color a definir</t>
  </si>
  <si>
    <t>Mantenimiento de reja metalica,  incluye desmonte si es necesario, cepillado, limpieza del elemento,eliminación total del óxido superficial, cambio de partes afectadas, Reforzar o rehacer soldaduras defectuosas, Aplicación de Imprimante anticorrosivo, Aplicación de Acabado (esmalte o pintura industrial mate ) y todo lo necesario para su correcta instalación</t>
  </si>
  <si>
    <t>PR-67</t>
  </si>
  <si>
    <t>Desmonte de cerramiento malla eslabonada existente, incluye retiro y disposición final en centro de acopio autorizado</t>
  </si>
  <si>
    <t>AC-45</t>
  </si>
  <si>
    <t>Suministro e instalacion de cerramiento en malla eslabonada con tuberia galvanizada de 2" angulos de 3/4 po 1/8, concertina y pintura  ( incluye retiro malla eslabonada existente )</t>
  </si>
  <si>
    <t xml:space="preserve">Carpintería en madera </t>
  </si>
  <si>
    <t>PR-40</t>
  </si>
  <si>
    <t>Desmonte de marcos en madera (puertas y/o ventanas), incluye retiro y disposición final en centro autorizado</t>
  </si>
  <si>
    <t>PR-71</t>
  </si>
  <si>
    <t>Desmonte de celosia en madera incluye retiro y dispoción final en centro de acopio autorizado, cuyas dimensiones oscilan entre 0.40m y 0.50m de alto x 0,80m y 1.00 de largo</t>
  </si>
  <si>
    <t>PR-68</t>
  </si>
  <si>
    <t>Desmonte de puerta de madera, incluye retiroy disposición final en centro de acopio autorizado</t>
  </si>
  <si>
    <t>PR-70</t>
  </si>
  <si>
    <t>Demonte de vidrio, incluye retiro y disposición final en centro de acopio autorizado</t>
  </si>
  <si>
    <t>CA-47</t>
  </si>
  <si>
    <t>Mantenimiento de ventana en madera tipo celosia, incluye marco, cambio de piezas en mal estado, limpieza, masillado,  barniz y pintura en poliuretano color similiar al existente, cuyas dimensiones oscilan entre 0.40m y 0.50m de alto x 0,80m y 1.00 de largo</t>
  </si>
  <si>
    <t>CA-08</t>
  </si>
  <si>
    <t>Suministro e instalación de ventana tipo  celosia en madera  Chanul o choibá maciza inmunizada  con acabado  en pintura poliuretano díseño y color similiar al existente ,   incluye tornilleria y todo lo necesario para su correcta instalación, cuyas medidas oscilan entre 0.40m y 0.50m de alto x 0,80m y 1.00 de largo</t>
  </si>
  <si>
    <t>CA-25</t>
  </si>
  <si>
    <t>Suministro e instalación de marco de madera  Chanul o choibá maciza inmunizada  con acabado  en pintura poliuretano color similiar al existente ,   incluye tornilleria y todo lo necesario para su correcta instalación, cuyas medidas oscilan entre 0.80m y 1.00m de ancho x 1,90m y 2,20m de alto</t>
  </si>
  <si>
    <t>CA-22</t>
  </si>
  <si>
    <t>Suministro e instalación de puerta de madera Chanul o choibá maciza inmunizada  con acabado  en pintura poliuretano color similiar al existente, conformada por una nave, cuyas dimensiones oscilan entre 0.80m y 1.00m de ancho x 1.90m y 2.20 m de alto, diseño igual al existente, incluye bisagras, chapa, tragaluz, burlete, vidrio (si es necesario), tornilleria y todo lo necesario para su correcta instalación</t>
  </si>
  <si>
    <t>VA-21</t>
  </si>
  <si>
    <t>Reinstalación de vidrio</t>
  </si>
  <si>
    <t>VA-12</t>
  </si>
  <si>
    <t>Suministro e instalacion de vidrio 8mm incoloro - incluye todos los elementos para su correcta instalación</t>
  </si>
  <si>
    <t>CA-36</t>
  </si>
  <si>
    <t>Suministro e instalación de película de seguridad calibre 4 milésimas en puertas existentes de vidrio templado u otro, según medidas en sitio</t>
  </si>
  <si>
    <t>CA-07</t>
  </si>
  <si>
    <t xml:space="preserve">Suministro e instalación de cartera en madera con pintura en acabado en pintura poliuretano, incluye todos los elementos para su correcta instalación </t>
  </si>
  <si>
    <t>MantenimientoTerrazas</t>
  </si>
  <si>
    <t>RI-08</t>
  </si>
  <si>
    <t xml:space="preserve">Suministro e instalación de membrana pvc, incluye media caña, perlines de fijación, sello perimetral </t>
  </si>
  <si>
    <t>PR-29</t>
  </si>
  <si>
    <t>Retiro de tuberia existente, incluye limpieza de perforación</t>
  </si>
  <si>
    <t>IH-01</t>
  </si>
  <si>
    <t>Suministro e instalación de tubería pvc sanitaria de 2", cincluye elementos de fijación y soporte, para su correcto funcionamiento</t>
  </si>
  <si>
    <t>PR-04</t>
  </si>
  <si>
    <t>Perforación de muro o piso en concreto y/o mamposteria para tubo de 2"-3", incluye retiro</t>
  </si>
  <si>
    <t>RI-25</t>
  </si>
  <si>
    <t>Corte y retiro de membrana pvc existente</t>
  </si>
  <si>
    <t>AC-46</t>
  </si>
  <si>
    <t xml:space="preserve">Suministro y fabricación guardaescoba en concreto en media caña 10 cm </t>
  </si>
  <si>
    <t>Tratamiento de humedades internas</t>
  </si>
  <si>
    <t>PR-01</t>
  </si>
  <si>
    <t xml:space="preserve">Rasqueteada de pintura y retiro de mortero en mal estado  </t>
  </si>
  <si>
    <t>RI-09</t>
  </si>
  <si>
    <t xml:space="preserve">Suministro e instalación de recubrimiento cementoso (Recubrimiento a base de cemento, arena y aditivos especiales), impermeable para muros color blanco </t>
  </si>
  <si>
    <t>AC-01</t>
  </si>
  <si>
    <t>Suministro y aplicación de estuco plástico (Incluye filos y dilataciones)</t>
  </si>
  <si>
    <t>AC-03</t>
  </si>
  <si>
    <t>Suministro y aplicación de vinilo tipo 1 (2 manos)(Incluye filos y dilataciones)</t>
  </si>
  <si>
    <t>AC-05</t>
  </si>
  <si>
    <t>Suministro y aplicación de pintura en esmalte(Incluye filos y dilataciones)</t>
  </si>
  <si>
    <t>AC-06</t>
  </si>
  <si>
    <t>Suministro y aplicación de pintura cielo vinilo tipo 2</t>
  </si>
  <si>
    <t xml:space="preserve">Suministro y aplicación de estuco plástico </t>
  </si>
  <si>
    <t>AC-17</t>
  </si>
  <si>
    <t>Suministro y aplicación de vinilo tipo 2 (3 manos)</t>
  </si>
  <si>
    <t>AC-07</t>
  </si>
  <si>
    <t>Suministro y aplicación de pintura en esmalte</t>
  </si>
  <si>
    <t>Almacenamiento</t>
  </si>
  <si>
    <t>DI-29</t>
  </si>
  <si>
    <t xml:space="preserve">Suministro y fabricación de viga de cimentación en concreto cuyas medidas son 20 cm x 25 cm de alto, incluye acero de refuerzo </t>
  </si>
  <si>
    <t>M3</t>
  </si>
  <si>
    <t>VA-62</t>
  </si>
  <si>
    <t>Suministro e instalación de contenedor o modulo metalico cuyas medidas son 2,40m  de ancho x 4,00m de largo, incluye acabado con  Sistema epóxico anticorrosivo (tipo marino o industrial), Capa de acabado (esmalte o epóxico) y piso delight vinílico para tráfico pesado, con panel solar,además todos los elementos, materiales, equipos, mano de obra, transporte, cargue, descargue, izaje (si se requiere), anclaje y fijación en sitio.</t>
  </si>
  <si>
    <t>PR-57</t>
  </si>
  <si>
    <t>Adecuación de terreno hasta 20 cm incluye relleno y todo lo necesario para la respectiva nivelación del terreno</t>
  </si>
  <si>
    <t>DI-01</t>
  </si>
  <si>
    <t>Fundicion de Losa en concreto de 3000 PSI espesor de 0,15 , incluye formaleta, acero de refuerzo en lamina electrosoldada</t>
  </si>
  <si>
    <t>Varios</t>
  </si>
  <si>
    <t>VA-05</t>
  </si>
  <si>
    <t>Aseo general</t>
  </si>
  <si>
    <t>VA-22</t>
  </si>
  <si>
    <t>suministro e instalación de empaques nuevos (tipo caucho o silicona), garantizando un adecuado sellado, hermeticidad y correcto funcionamiento de las ventanas.</t>
  </si>
  <si>
    <t>VA-23</t>
  </si>
  <si>
    <t>Suministro e instalacion de ducto en la lamina galvanizada calibre 20, seccion 33" x 27", incluye adhesivo, tornilleria y demas elementos para su instalacion o union a ducto existente para sistema de desfogue ( Generador Electrico )</t>
  </si>
  <si>
    <t>VA-19</t>
  </si>
  <si>
    <t>Suministro e instalación de dispensador para papel higienico elaborado en acero inoxidable para rollo de 200 mts hasta 400 mts. Con visor para ve el estado del rollo, con cerradura y llave. Incluye los elementos necesarios para su correcta instaalción</t>
  </si>
  <si>
    <t>VA-20</t>
  </si>
  <si>
    <t>Suministro e instalación de dispensador para toallas de manos elaborado en acero inoxidable, para toallas interdobladas con capacidad minima de 300 toallas, con mecanismo para halar con la mano, con cerradura y llave. Incluye los elementos necesarios para su correcta instaalción</t>
  </si>
  <si>
    <t>VA-24</t>
  </si>
  <si>
    <t>suministro e instalación de señalización horizontal  en inicio de rampa (Símbolo de discapacidad (PMR) conforme a normativa vigente)</t>
  </si>
  <si>
    <t>Sistema de Drenaje y Adecuación zona verde</t>
  </si>
  <si>
    <t>VA-25</t>
  </si>
  <si>
    <t>Mantenimiento de zona verde, incluye limpieza, corte de césped, control de plagas, riego, fertilización</t>
  </si>
  <si>
    <t>VA-26</t>
  </si>
  <si>
    <t>Corfomacion de suelo por capas:   tierra negra con abono orgánico, arena gruesa y grava 3/4</t>
  </si>
  <si>
    <t>VA-27</t>
  </si>
  <si>
    <t>Fabricación de sendero en piedra, adoquín o gravilla), incluye excavación, adecuación terreno, nivelación, manto, cama de arena, bordillo o delimitador, drenajes)</t>
  </si>
  <si>
    <t>VA-28</t>
  </si>
  <si>
    <t>Siembra de césped</t>
  </si>
  <si>
    <t>VA-29</t>
  </si>
  <si>
    <t>Suministro y plantación de arbustos y plantas ornamentales (arbol carbonero, arbol Guayacan amarillo, planta hibisco, heliconia, ave del paraiso , palma areca)</t>
  </si>
  <si>
    <t xml:space="preserve">Ventilación tanque de agua </t>
  </si>
  <si>
    <t>VA-31</t>
  </si>
  <si>
    <t>Perforación de muro para paso de tuberia 6"</t>
  </si>
  <si>
    <t xml:space="preserve">UND </t>
  </si>
  <si>
    <t>VA-32</t>
  </si>
  <si>
    <t xml:space="preserve">Suministro e instalación tubería  de ventilación de 6",  incluye accesorios para su correcta instalación y elementos de fijación </t>
  </si>
  <si>
    <t>CA-48</t>
  </si>
  <si>
    <t>Suministro e instalación de celosía en aluminio cuyas medidas oscilan entre 0,20m de altura x 0,60m y 1.00m de largo, , incluyendo estructura de soporte (marco), elementos de fijación, anclajes y refuerzos necesarios para su correcta instalación, asi mismo, Incluye aplicación de imprimante tipo wash primer o promotor de adherencia para aluminio, y acabado con pintura de alto desempeño tipo poliéster, poliuretano o sistema electrostático (pintura en polvo), mínimo dos capas, apta para exposición exterior y ambiente marino, garantizando durabilidad, resistencia a la corrosión y adecuado acabado.</t>
  </si>
  <si>
    <t>SUBTOTAL COSTO DIRECTO</t>
  </si>
  <si>
    <t xml:space="preserve">ADMINISTRACION </t>
  </si>
  <si>
    <t xml:space="preserve">IMPREVISTO </t>
  </si>
  <si>
    <t>UTILIDAD</t>
  </si>
  <si>
    <t xml:space="preserve">IVA SOBRE UTILIDAD </t>
  </si>
  <si>
    <t>VALOR TOTAL INCLUIDO AIU E IVA (A)</t>
  </si>
  <si>
    <t>SEDE TRANSFERENCIA BUENAVENTURA</t>
  </si>
  <si>
    <t>Modificación</t>
  </si>
  <si>
    <t>Total a Ejecutar</t>
  </si>
  <si>
    <t xml:space="preserve">Cubierta </t>
  </si>
  <si>
    <t>PR-66</t>
  </si>
  <si>
    <t>Sumnistro e instalación de cubierta provisional en plastico o lona, incluye cuerda perimetral,alambre, bastidor y todo lo necesario para su correcta instalación y su posterior retiro.</t>
  </si>
  <si>
    <t>PR-72</t>
  </si>
  <si>
    <t>Desmonte de teja existente , incluye estructura en mal estado y respectivo retiro y disposición final en centro de acopio certificado</t>
  </si>
  <si>
    <t>CC-20</t>
  </si>
  <si>
    <t>Suministro e instalación de platina 3/8 cuyas medidas son 15 cm x 15cm , incluye materiales complementarios de conexión, , corte, soldadura, anclajes, cartelas, tornillos</t>
  </si>
  <si>
    <t>Suministro e instalación de platina 3/8 cuyas medidas son 20 cm x 20 cm, incluye materiales complementarios de conexión, , corte, soldadura, anclajes, cartelas, tornillos</t>
  </si>
  <si>
    <t>CC-14</t>
  </si>
  <si>
    <t>Suministro, fabricación e instalación de estructura metálica para soporte de cubierta, elaborada en tubería rectangular de 100 mm x 50 mm y espesor calibre 2 mm, incluyendo corte, armado, soldadura, fijación, nivelación, anclajes, aplicación de pintura anticorrosiva tipo 3 en 1 y todos los elementos y accesorios necesarios para su correcta instalación y funcionamiento</t>
  </si>
  <si>
    <t>CC-15</t>
  </si>
  <si>
    <t>Suministro, fabricación e instalación de estructura metálica para soporte de cubierta, elaborada en tubería rectangular de 80 mm x 40 mm y espesor calibre 2 mm, incluyendo corte, armado, soldadura, fijación, nivelación, anclajes, aplicación de pintura anticorrosiva tipo 3 en 1 y todos los elementos y accesorios necesarios para su correcta instalación y funcionamiento</t>
  </si>
  <si>
    <t>CC-36</t>
  </si>
  <si>
    <t>Suministro e instalación de teja termoacústica en UPVC multicapa tipo trapezoidal perfil tipo TK5, con ancho útil aproximado de 1.00 m, altura de onda entre 30 y 35 mm, espesor mínimo de 2.0 mm y acabado en color blanco, con capa superior protegida contra radiación UV, alta resistencia a la humedad, ambientes salinos y agentes químicos, y con propiedades de aislamiento térmico y acústico; el sistema incluye traslapo lateral mínimo de una (1) onda y traslapo longitudinal no menor a 15 cm, fijación mediante tornillos autoperforantes galvanizados o inoxidables con arandela de neopreno en la cresta de la onda, sobre estructura metálica secundaria (correas en perfil C o tubular) con separación máxima de 1.20 m, contemplando dilataciones térmicas del material y accesorios de remate y cumbreras; el material deberá cumplir con propiedades mecánicas mínimas de densidad entre 1.4 y 1.5 g/cm³, resistencia a la tracción ≥ 40 MPa y módulo de elasticidad entre 2,500 y 3,500 MPa, garantizando adecuada rigidez estructural, comportamiento a la flexión con deflexión máxima admisible no mayor a L/200, estanqueidad, estabilidad mecánica y durabilidad en condiciones ambientales exigentes.</t>
  </si>
  <si>
    <t>CC-16</t>
  </si>
  <si>
    <t>Suministro e instalación de canal en lámina galvanizada calibre 22, ancho entre 30 y 45 cm, con la pendiente adecuada para evacuación de aguas lluvias; incluye soportes en platina metálica, anclajes, fijaciones, sellado de juntas, sosco, accesorios y todos los elementos necesarios para su correcta instalación y funcionamiento.</t>
  </si>
  <si>
    <t>CC-37</t>
  </si>
  <si>
    <t>Suministro e instalación de cumbrera termoacústica en UPVC tipo TK5, de espesor 2,5 mm, incluyendo todos los accesorios, elementos de fijación y sellado necesarios para su correcta instalación, garantizando durabilidad y adecuado comportamiento térmico y acústico.</t>
  </si>
  <si>
    <t>IH-03</t>
  </si>
  <si>
    <t xml:space="preserve">Suministro e instalación tubería sanitaria PVC 4",  incluye accesorios para su correcta instalación y elementos de fijación </t>
  </si>
  <si>
    <t>RI-03</t>
  </si>
  <si>
    <t xml:space="preserve">Suministro e instalación de manto asfáltica Foil de aluminio adhesivo </t>
  </si>
  <si>
    <t>VA-33</t>
  </si>
  <si>
    <t>Retiro de membrana impermeabilizante en PVC existente que se encuentre deteriorada o en mal estado, mediante medios manuales y/o mecánicos, incluyendo el levantamiento total del material, limpieza de la superficie base, retiro de residuos de adhesivos o fijaciones, cargue, transporte y disposición final de los escombros en sitio autorizado</t>
  </si>
  <si>
    <t>Suministro e instalación de sistema de impermeabilización mediante membrana de PVC, incluye perfiles de fijación (perlines), elementos de anclaje, sellado de juntas y todos los accesorios necesarios para garantizar la impermeabilidad, durabilidad y correcto funcionamiento del sistema.</t>
  </si>
  <si>
    <t>CC-25</t>
  </si>
  <si>
    <t>Suministro e instalación de Solapa en lamina galvanizada Cal 24, incluye sellador sobre muro</t>
  </si>
  <si>
    <t>PR-03</t>
  </si>
  <si>
    <t>Corte de muro con pulidora</t>
  </si>
  <si>
    <t>PR-12</t>
  </si>
  <si>
    <t>Demolición muro existente  incluye retiro y disposición final en acopio certificado</t>
  </si>
  <si>
    <t>Suministro, fabricación e instalación de lámina en aluminio arquitectónico perforado para fachada, con patrón de perforación redonda de 10 mm de diámetro, incluyendo estructura de soporte (marco), elementos de fijación, anclajes y refuerzos necesarios para su correcta estabilidad, aplicación de imprimante tipo wash primer o promotor de adherencia para aluminio, y acabado con pintura de alto desempeño tipo poliéster, poliuretano o sistema electrostático (pintura en polvo), mínimo dos capas, apta para exposición exterior y ambiente marino. asi mismo, incluye todos los accesorios, elementos de fijación y mano de obra necesarios para su correcta instalación, garantizando durabilidad, resistencia a la corrosión y adecuado acabado.</t>
  </si>
  <si>
    <t>Mantenimiento de estructura metalica sección máxima 10cm x10cm (4 caras) ,  incluye cepillado, limpieza del elemento,eliminación total del óxido superficial, cambio de partes afectadas, Reforzar o rehacer soldaduras defectuosas, Aplicación de Imprimante anticorrosivo, Aplicación de Acabado (esmalte o pintura industrial mate ) y todo lo necesario para su correcta instalación</t>
  </si>
  <si>
    <t>VA-07</t>
  </si>
  <si>
    <t>Lavada con agua a chorro de aspersión con hipoclorito, incluye retiro de material extraño y piezas rotas</t>
  </si>
  <si>
    <t>VA-34</t>
  </si>
  <si>
    <t>Suministro y aplicación de impermeabilizante por cristalización tipo Xypex</t>
  </si>
  <si>
    <t>m2</t>
  </si>
  <si>
    <t>Intervención Baño (piso2)</t>
  </si>
  <si>
    <t>PR-23</t>
  </si>
  <si>
    <t>Desmonte aparatos sanitarios, incluye retiro y disposición final en centro de acopio autorizado</t>
  </si>
  <si>
    <t>Desmonte de puertas existentes,incluye retiro y disposición final en centro de acopio autorizado</t>
  </si>
  <si>
    <t>PR-63</t>
  </si>
  <si>
    <t>Desmonte y retiro de espejo existente y disposición final en centro de acopio autorizado</t>
  </si>
  <si>
    <t>PR-31</t>
  </si>
  <si>
    <t>Desmonte y retiro las divisiones de baño existentes y disposición final en centro de acopio autorizado</t>
  </si>
  <si>
    <t>PR-07</t>
  </si>
  <si>
    <t>Demolición enchape de piso, incluye retiro, empaque, trasiego de escombros y disposición final en centro de acopio certificado</t>
  </si>
  <si>
    <t>PR-08</t>
  </si>
  <si>
    <t>Demolición enchape de muro, incluye retiro, empaque, trasiego de escombros y disposición final en centro de acopio certificado</t>
  </si>
  <si>
    <t>Retiro de tuberia existente diametros entre 1/2" y 1"</t>
  </si>
  <si>
    <t>PR-19</t>
  </si>
  <si>
    <t>Retiro de tuberia existente cuyos diametros oscilan entre 2" y 4"</t>
  </si>
  <si>
    <t>PR-35</t>
  </si>
  <si>
    <t>Regatas en muros</t>
  </si>
  <si>
    <t>IH-12</t>
  </si>
  <si>
    <t>Suministro e instalación punto hidráulico 1/2"</t>
  </si>
  <si>
    <t>IH-06</t>
  </si>
  <si>
    <t>Suministro e instalación de tubería hidráulica de 1/2" incluye accesorios</t>
  </si>
  <si>
    <t>IH-07</t>
  </si>
  <si>
    <t>Suministro e instalación de tubería hidráulica de 1" incluye accesorios</t>
  </si>
  <si>
    <t>IH-20</t>
  </si>
  <si>
    <t>Suministro e instalación Registro de corte en bronce 1/2"</t>
  </si>
  <si>
    <t>PR-26</t>
  </si>
  <si>
    <t>Demolición manual y/o mecánica de mesón existente en concreto o piedra, incluye retiro y disposición final en centro de acopio certificado</t>
  </si>
  <si>
    <t>PR-32</t>
  </si>
  <si>
    <t>Corte de piso en concreto con pulidora,  incluye retiro y disposición final en centro de acopio certificado</t>
  </si>
  <si>
    <t>Suministro e instalación de tubería sanitaria de 2" incluye todos los
elementos y accesorios para su instalación</t>
  </si>
  <si>
    <t>IH-11</t>
  </si>
  <si>
    <t>suministro e instalación de puntos sanitario de 4"</t>
  </si>
  <si>
    <t>IH-21</t>
  </si>
  <si>
    <t>Suministro e instalación de sifón de SOSCO de 2" incluye todos los
elementos para su correcta instalación</t>
  </si>
  <si>
    <t>IH-19</t>
  </si>
  <si>
    <t>Suministro e instalación de tubería pvc sanitaria de 6", con sus respectivos accesorios y elementos de soporte, para su correcto funcionamiento</t>
  </si>
  <si>
    <t>DI-22</t>
  </si>
  <si>
    <t>Alistado piso 4cm mortero 1:3</t>
  </si>
  <si>
    <t>AC-10</t>
  </si>
  <si>
    <t>Suministro e instalación enchape formato 0,60 X 0,30 para pared, color a
definir por la Entidad</t>
  </si>
  <si>
    <t>AC-11</t>
  </si>
  <si>
    <t>Suministro e instalación enchape piso formato 0,40 X 0,40, color a definir por
la Entidad</t>
  </si>
  <si>
    <t>IH-24</t>
  </si>
  <si>
    <t>Suministro e instalación de tapa registro de 15x15</t>
  </si>
  <si>
    <t>VA-35</t>
  </si>
  <si>
    <t>Desmonte y reinstalación de puerta en aluminio, incluye todos los elementos necesarios para su correcta instalación</t>
  </si>
  <si>
    <t>AP-09</t>
  </si>
  <si>
    <t>Suministro e instalación de lavamanos de incrustar, porcelana blanca redondo u ovalado, certificado, incluye sifón.</t>
  </si>
  <si>
    <t>AP-04</t>
  </si>
  <si>
    <t>Suministro e instalación de Grifería de Push para lavamanos</t>
  </si>
  <si>
    <t>AP-02</t>
  </si>
  <si>
    <t>Suministro e instalación de sanitario 4.8 lts</t>
  </si>
  <si>
    <t>IH-16</t>
  </si>
  <si>
    <t>Suministro e instalación de Acople con Válvula de Regulación, para sanitario</t>
  </si>
  <si>
    <t>VA-14</t>
  </si>
  <si>
    <t>Suministro e instalación de mesón para lavamanos en mármol, e= 20 mm, ancho de 55 cms, incluye estructura metálica y soporte al muro o similar que garantice estabilidad, babero de 15 cms y salpicadero de 10 cms.</t>
  </si>
  <si>
    <t>AC-36</t>
  </si>
  <si>
    <t>Suministro e instalación de espejo de 4 mm biselado de 2 cm flotante incluye
base en aluminio</t>
  </si>
  <si>
    <t>CA-01</t>
  </si>
  <si>
    <t>Suministro e instalación puerta entamborada cuyas medidas oscilan entre de 80 cms -90cm de ancho, altura 200cm, incluye marco y chapa</t>
  </si>
  <si>
    <t>CA-37</t>
  </si>
  <si>
    <t xml:space="preserve">Suministro e instalación de división en aluminio para baños   cuyas medidas estan entre 1.21m y 1,50 m x 2 mts, fabricados en tubular t77 (2.5x2.5), paneles f06 de 7.06 cm, platina de ensamble ai5, ángulo 1/2, y demás accesorios para su correcta instalación.
</t>
  </si>
  <si>
    <t>CA-32</t>
  </si>
  <si>
    <t xml:space="preserve">suministro e instalación de puerta de 0.80x2mts con pasador y manija, fabricados en tubular t77 (2.5x2.5), paneles f06 de 7.06 cm, platina de ensamble ai5, ángulo 1/2,  y demás accesorios para su correcta instalación.
</t>
  </si>
  <si>
    <t>AP-01</t>
  </si>
  <si>
    <t>Suministro e instalación de orinal institucional color blanco incluye grifería sistema push en bronce para Orinal, desagues y accesorios para su correcta instalación</t>
  </si>
  <si>
    <t>CA-24</t>
  </si>
  <si>
    <t>suministro e instalación de división en aluminio para orinal de 0,45 x1 mts, fabricados en tubular t77 (2.5x2.5), paneles f06 de 7.06 cm, platina de ensamble ai5, ángulo 1/2,  y demás accesorios para su correcta instalación.</t>
  </si>
  <si>
    <t>suministro e instalación de puerta entre 0,65 y 0,80 mts x2mts con pasador y manija, fabricados en tubular t77 (2.5x2.5), paneles f06 de 7.06 cm, platina de ensamble ai5, ángulo 1/2,  y demás accesorios para su correcta instalación.</t>
  </si>
  <si>
    <t>CA-29</t>
  </si>
  <si>
    <t>suministro e instalación de división en aluminio para baños de 0,20 a 0,50 x2 mts,   fabricados en tubular t77 (2.5x2.5), paneles f06 de 7.06 cm, platina de ensamble ai5, ángulo 1/2,  y demás accesorios para su correcta instalación.</t>
  </si>
  <si>
    <t>DI-13</t>
  </si>
  <si>
    <t>Mantenimiento y adecuación de caja de inspeccion (tamaño maximo 0,80m x0,80), incluye limpieza, reparación, ajuste y puesta en correcto funcionamiento de la caja de inspección existente, garantizando su operatividad, estanqueidad y condiciones adecuadas de acceso.</t>
  </si>
  <si>
    <t>DI-10</t>
  </si>
  <si>
    <t>Suministro y Construcción de caja de aguas negras en concreto 1,00mx1,00m, incluye tapa con marco dividida en 2 y todos los materiales garantizando su correcta funcionalidad, resistencia y estanqueidad.</t>
  </si>
  <si>
    <t>Suministro y Construcción de caja de aguas negras en concreto 80 cmx80 cm, incluye tapa con marco dividida en 2  y todos los materiales garantizando su correcta funcionalidad, resistencia y estanqueidad.</t>
  </si>
  <si>
    <t>AC-01-</t>
  </si>
  <si>
    <t>IE-64</t>
  </si>
  <si>
    <t>Desmonte lampara existente, incluye disposición final en centro de acopio certificado</t>
  </si>
  <si>
    <t>IE-09</t>
  </si>
  <si>
    <t>Suministro e instalación de Lámpara panel led de sobreponer 24w 100 -240 - 1680Lm de 6,500 K - horas mínimas de vida útil 25,000 Cuerpo en aluminio o policarbonato resistente a la humedad y a la corrosión.</t>
  </si>
  <si>
    <t>IE-13</t>
  </si>
  <si>
    <t>Suministro e instalación de interruptor sencillo incluye caja de sobreponer y salida de iluminación</t>
  </si>
  <si>
    <t>PR-45</t>
  </si>
  <si>
    <t>Desmonte, desinstalación y retiro de interruptores</t>
  </si>
  <si>
    <t>Suministro e instalación de dispensador para papel higienico elaborado en acero inoxidable para rollo de 200 mts hasta 400 mts. Con visor para ver el estado del rollo, con cerradura y llave. Incluye los elementos necesarios para su correcta instalación</t>
  </si>
  <si>
    <t>Suministro e instalación de dispensador para toallas de manos elaborado en acero inoxidable, para toallas interdobladas con capacidad minima de 300 toallas, con mecanismo para halar con la mano, con cerradura y llave. Incluye los elementos necesarios para su correcta instalación</t>
  </si>
  <si>
    <t>PR-17</t>
  </si>
  <si>
    <t>Excavación a mano en tierra, incluye trasiego y retiro de escombros a sitio autorizado</t>
  </si>
  <si>
    <t>CA-51</t>
  </si>
  <si>
    <t>Suminsitro e instalación de nave de puerta en madera , incluye acabado y elementos de fijación necesarios para su instalación</t>
  </si>
  <si>
    <t>Mantenimiento Tanque Almacenamiento</t>
  </si>
  <si>
    <t>PR-73</t>
  </si>
  <si>
    <t>Retiro de tapa existente, incluye disposición final en sitio autorizado</t>
  </si>
  <si>
    <t>CA-49</t>
  </si>
  <si>
    <t>Suminsitro e instalacion de tapa en aluminio cuyas medidas oscilan entre 0,60m y 0.80 de ancho x 0,60m y 0,80m de largo,  incluyendo estructura de soporte (marco), elementos de fijación, anclajes y refuerzos necesarios para su correcta instalación, asi mismo, Incluye aplicación de imprimante tipo wash primer o promotor de adherencia para aluminio, y acabado con pintura de alto desempeño tipo poliéster, poliuretano o sistema electrostático (pintura en polvo), mínimo dos capas, apta para exposición exterior y ambiente marino, garantizando durabilidad, resistencia a la corrosión y adecuado acabado.</t>
  </si>
  <si>
    <t>VA-36</t>
  </si>
  <si>
    <t>Suministro de escalera portátil en aluminio de 2.50 m de longitud, certificada, fabricada en material liviano y resistente a la corrosión, con peldaños antideslizantes, zapatas inferiores en material antideslizante, capacidad de carga acorde a norma, y diseño apto para trabajos de mantenimiento. Incluye todos los elementos necesarios para su correcto funcionamiento y seguridad.</t>
  </si>
  <si>
    <t>RI-15</t>
  </si>
  <si>
    <t>Suministro y aplicación de mortero 1:3 con aditivo impermeabilizante espesor 5cm (superficie con pendiente y media caña)</t>
  </si>
  <si>
    <t>VA-37</t>
  </si>
  <si>
    <r>
      <t xml:space="preserve">Suministro y aplicación de material de Impermeabilización mediante </t>
    </r>
    <r>
      <rPr>
        <sz val="9"/>
        <color theme="1"/>
        <rFont val="Arial"/>
      </rPr>
      <t>recubrimiento epóxico bicomponente, 100% sólidos o de alto contenido de sólidos, apto para contacto con agua potable, aplicado en mínimo dos capas sobre superficie previamente preparada, garantizando alta resistencia química, adherencia y durabilidad.</t>
    </r>
  </si>
  <si>
    <t>CA-28</t>
  </si>
  <si>
    <t>Suministro, fabricación e instalación de puerta en aluminio tipo celosía, con dimensiones variables entre 0.50 m y 0.65 m de ancho y 2.00 m a 2.30 m de altura, elaborada en perfiles de aluminio, deberá contar con lamas tipo celosía. Incluye marco perimetral en aluminio, debidamente anclado al elemento estructural.
Incluye sistema de apertura con barra antipánico, que permita la apertura desde el interior mediante empuje, cerradura, manija exterior, bisagras de alta resistencia, topes y demás herrajes necesarios para su correcto funcionamiento, elementos de fijación, anclajes, refuerzos, instalación a plomo y nivel, así como todos los accesorios requeridos.
El acabado deberá ser en aluminio anodizado o con recubrimiento tipo pintura electrostática (poliéster horneado), resistente a la corrosión y apto para ambientes húmedos o marinos.</t>
  </si>
  <si>
    <t>VA-38</t>
  </si>
  <si>
    <t xml:space="preserve">Suministro e instalación de base metalica antivibratoria para equipo de presión, con dimensiones aproximadas de 0.40 m de ancho x 0.50 m de largo, conformada por elementos de aislamiento en corcho y goma (neopreno u otro elastómero equivalente), </t>
  </si>
  <si>
    <t>VA-39</t>
  </si>
  <si>
    <t>Suministro e instalación de válvula de 1” (25 mm) para sistema de distribución de agua potable, fabricada en bronce, incluye accesorios, uniones, adaptadores, sellos (teflón o equivalente), elementos de fijación y soportes, así como el corte, adecuación y limpieza de la tubería existente para su correcta instalación.</t>
  </si>
  <si>
    <t>VA-40</t>
  </si>
  <si>
    <t>Suministro e instalación de filtro tipo “Y” de 1” (25 mm) en bronce, para sistema de distribución de agua potable, incluye accesorios, uniones, adaptadores, sellos (teflón o equivalente), elementos de fijación y soportes, así como el corte, adecuación y limpieza de la tubería para su correcta instalación.</t>
  </si>
  <si>
    <t>VA-41</t>
  </si>
  <si>
    <t>Suministro e instalación de válvulas de paso tipo compuerta, fabricadas en material resistente a la corrosión (hierro dúctil, bronce o latón),IIncluye accesorios, uniones, empaques, tornillería, sellos (teflón o equivalente), elementos de fijación y soportes, así como el corte, adecuación y limpieza de la tubería existente para su correcta instalación.</t>
  </si>
  <si>
    <t>VA-42</t>
  </si>
  <si>
    <t>Suministro e instalación de regulador o reductor de presión en bronce, para sistema de distribución de agua potable, Incluye accesorios, uniones, adaptadores, empaques, sellos (teflón o equivalente), elementos de fijación y soportes, así como el corte, adecuación y limpieza de la tubería para su correcta instalación.</t>
  </si>
  <si>
    <t>VA-43</t>
  </si>
  <si>
    <t>Suministro e instalación de manómetro para sistema de distribución de agua potable, deberá contar con carátula de fácil lectura, escala adecuada al rango de presión del sistema, cuerpo metálico resistente a la corrosión, Incluye accesorios de instalación, tales como válvula de aislamiento (llave de paso), adaptadores, niples, sellos (teflón o equivalente), y elementos necesarios para su correcta fijación y funcionamiento.</t>
  </si>
  <si>
    <t>Suministro e instalación de tubería de 1” en material PVC presión, incluye accesorios del mismo material y todo lo necesario para su correcta instalación y funcionamiento.</t>
  </si>
  <si>
    <t>Suministro e instalación de tubería de 1/2” en material PVC presión, incluye accesorios del mismo material y todo lo necesario para su correcta instalación y funcionamiento.</t>
  </si>
  <si>
    <t>IH-26</t>
  </si>
  <si>
    <t>Suministro e instalación de tubería de 3/4” en material PVC presión, incluye accesorios del mismo material y todo lo necesario para su correcta instalación y funcionamiento.</t>
  </si>
  <si>
    <t>VA-44</t>
  </si>
  <si>
    <t>Suministro e instalación de tablero o gabinete para cuenta de medidor de agua, en material resistente a la intemperie y a la corrosión (lámina galvanizada, acero inoxidable, PVC o polimérico), con puerta abatible, sistema de cierre (llave o seguro), Incluye estructura de soporte, marco, elementos de fijación, anclajes, sellos y adecuación del área de instalación, garantizando estabilidad, alineación y correcto funcionamiento del conjunto.</t>
  </si>
  <si>
    <t>Sistema de detección de incendios</t>
  </si>
  <si>
    <t>VA-45</t>
  </si>
  <si>
    <t>Suministro e instalación de Detector de humo direccionable UL/FM</t>
  </si>
  <si>
    <t>VA-46</t>
  </si>
  <si>
    <t xml:space="preserve">Suministro e instalación de detector térmico UL/FM direccionable incluye base  </t>
  </si>
  <si>
    <t>VA-47</t>
  </si>
  <si>
    <t>Suministro e instalación Panel de alarma de incendios  listado UL.  Hasta 1000 puntos, 4 lazos inteligentes. Incluye programación.</t>
  </si>
  <si>
    <t>VA-48</t>
  </si>
  <si>
    <t>Suministro e instalación de estación manual tipo pulsador con carcasa resistente, incluye caja de montaje sobrepuesta, cableado, canalización, accesorios de conexión, elementos de fijación y soportes, así como su integración al sistema de alarma.</t>
  </si>
  <si>
    <t>VA-49</t>
  </si>
  <si>
    <t>Suministro e instalación de sirena estroboscópica (sirena con luz tipo strobe), incluye base de montaje, cableado, canalización, accesorios de conexión, elementos de fijación y soportes, así como su integración al sistema de alarma.</t>
  </si>
  <si>
    <t>VA-50</t>
  </si>
  <si>
    <r>
      <t>Suministro e instalación de cable de señal</t>
    </r>
    <r>
      <rPr>
        <sz val="9"/>
        <color theme="1"/>
        <rFont val="Arial"/>
      </rPr>
      <t>, para sistemas de control, monitoreo y/o detección cable deberá ser retardante a la llama y/o libre de halógenos (LSZH) La instalación deberá garantizar continuidad, correcta polaridad, aislamiento, protección mecánica y orden del sistema, evitando interferencias electromagnéticas y daños al cable.</t>
    </r>
  </si>
  <si>
    <t>VA-51</t>
  </si>
  <si>
    <t>Suministro e instalación de tubería metálica galvanizada de 3/4”  para canalización de cableado en sistema de detección y alarma contra incendios, tipo conduit metálico EMT, con accesorios galvanizados, incluye soportes, abrazaderas, elementos de fijación, anclajes, cajas de paso, accesorios de conexión y todos los elementos necesarios, así como el corte, roscado, doblado y fijación de la tubería.</t>
  </si>
  <si>
    <t>Perforación de muro para paso de tuberia 3/4"</t>
  </si>
  <si>
    <t>IE-65</t>
  </si>
  <si>
    <t>Suministro e instalación de  caja de Conexión 4" x 4" (Tipo Redwell/Intemperie)</t>
  </si>
  <si>
    <t>Suministro e instalación de recubrimiento cementoso (Recubrimiento a base de cemento, arena y aditivos especiales), impermeable para muros</t>
  </si>
  <si>
    <t>RI-27</t>
  </si>
  <si>
    <t>Suministro y aplicación de cal</t>
  </si>
  <si>
    <t>Divisiones Livianas</t>
  </si>
  <si>
    <t>DI-02</t>
  </si>
  <si>
    <t>Suministro e instalación muro en perfilería de 90mm en panel yeso de 1/2 , doble cara insonorizado, incluye  todos los elementos necesarios para su correcta instalación y acabado en pintura</t>
  </si>
  <si>
    <t>DI-25</t>
  </si>
  <si>
    <t>Suministro e instalación muro en perfilería de 90mm en panel yeso de 1/2 , una cara, incluye  todos los elementos necesarios para su correcta instalación</t>
  </si>
  <si>
    <t>CC-24</t>
  </si>
  <si>
    <t>Suministro e instalación de relleno liviano tipo frescasa</t>
  </si>
  <si>
    <t>DI-05</t>
  </si>
  <si>
    <t>Suministro e instalación de cartera en panel yeso de 12 cm incluye filos, con estructura galvanizada base 9 cal.24 encintada, masillada y rematada, con acabado en pintura de vinilo</t>
  </si>
  <si>
    <t>DI-04</t>
  </si>
  <si>
    <t>Suministro e instalación de alma en madera de 88mm</t>
  </si>
  <si>
    <t>AC-16</t>
  </si>
  <si>
    <t>Suministro e instalación de guarda escoba en pvc</t>
  </si>
  <si>
    <t>CA-11</t>
  </si>
  <si>
    <t>Suministro e instalación de ventana tipo corrediza, fabricada en perfilería de aluminio anodizado o pintado electrostáticamente color similar al existente, con marco perimetral y hojas móviles</t>
  </si>
  <si>
    <t xml:space="preserve">M2 </t>
  </si>
  <si>
    <t>Suministro e instalación de sellador para uso exterior (para ventanas)</t>
  </si>
  <si>
    <t>PR-74</t>
  </si>
  <si>
    <t>Suministro e instalación de cielo raso en pvc incluye todos los elementos necesarios para su correcta instalacion</t>
  </si>
  <si>
    <t>VA-52</t>
  </si>
  <si>
    <t>Suministro e instalación de vidrio para ventana celosia, incluye los necesario para su correcta instalación</t>
  </si>
  <si>
    <t>Suministro e instalación de puerta en aluminio, con dimensiones variables entre 0.80 m y 0.90 m de ancho y 2.00 m a 2.20 m de altura, incluye marco, nave, herrajes de alta resistencia y acabados protectores aptos para ambientes de alta salinidad y humedad.</t>
  </si>
  <si>
    <t>Desmonte de cielo raso en pvc, incluye retiro en sitio autorizado</t>
  </si>
  <si>
    <t>PR-77</t>
  </si>
  <si>
    <t>Desmonte de nave (hoja) de puerta existente</t>
  </si>
  <si>
    <t>PR-75</t>
  </si>
  <si>
    <t>Desmonte  y reinstalación de puertas existentes</t>
  </si>
  <si>
    <t>ADMINISTRACIÓN</t>
  </si>
  <si>
    <t>IMPREVISTO</t>
  </si>
  <si>
    <t xml:space="preserve">UTILIDAD </t>
  </si>
  <si>
    <t xml:space="preserve">IVA </t>
  </si>
  <si>
    <t>VALOR TOTAL INCLUIDO AIU E IVA</t>
  </si>
  <si>
    <t>Consejo Superior de la Judicatura 
Dirección Seccional de Administración Judicial de Cali – Valle del Cauca</t>
  </si>
  <si>
    <t xml:space="preserve">MEMORIA DE CÁLCULO DE EJECUCIÓN </t>
  </si>
  <si>
    <t>DESCRIPCIÓN</t>
  </si>
  <si>
    <t>CANTIDAD 
TOTAL</t>
  </si>
  <si>
    <t>UNIDAD</t>
  </si>
  <si>
    <t>PLANO DE CANTIDADES</t>
  </si>
  <si>
    <t>REGISTRO FOTOGRAFICO</t>
  </si>
  <si>
    <t>elemento</t>
  </si>
  <si>
    <t>Ubicación</t>
  </si>
  <si>
    <t xml:space="preserve">Cantidad </t>
  </si>
  <si>
    <t>Ancho</t>
  </si>
  <si>
    <t>Largo</t>
  </si>
  <si>
    <t>Alto</t>
  </si>
  <si>
    <t>total</t>
  </si>
  <si>
    <t>pasamanos escalera</t>
  </si>
  <si>
    <t>piso  1</t>
  </si>
  <si>
    <t>piso  2</t>
  </si>
  <si>
    <t>piso  3</t>
  </si>
  <si>
    <t>mezanine</t>
  </si>
  <si>
    <t>piso  4</t>
  </si>
  <si>
    <t>A terraza</t>
  </si>
  <si>
    <t>Realizó</t>
  </si>
  <si>
    <t xml:space="preserve">pasamanos escalera </t>
  </si>
  <si>
    <t>DISCRIMINACIÓN</t>
  </si>
  <si>
    <t>escalera</t>
  </si>
  <si>
    <t>ventanillas de atención</t>
  </si>
  <si>
    <t xml:space="preserve">puerta principal </t>
  </si>
  <si>
    <t>BORDE  DE VENTANAS Fachada principal</t>
  </si>
  <si>
    <t>BORDES DE VENTANA Fachada lateral derecha</t>
  </si>
  <si>
    <t>BORDE DE VENTANA Fachada lateral izquierda</t>
  </si>
  <si>
    <t>BORDE  DE VENTANA fachada posterior</t>
  </si>
  <si>
    <t>Suministro e instalación de malla electrosoldada 6mm -15x15</t>
  </si>
  <si>
    <t>Escaleras acceso</t>
  </si>
  <si>
    <t>Anden fachada principal</t>
  </si>
  <si>
    <t>Anden perimetral</t>
  </si>
  <si>
    <t>Conexión caja parte posterior</t>
  </si>
  <si>
    <t>caja anden</t>
  </si>
  <si>
    <t>Fundición de placa maciza concreto de 3000 PSI, incluye nivelacion compactacion del suelo, juntas, bordillos</t>
  </si>
  <si>
    <t>sotano</t>
  </si>
  <si>
    <t>Fundición de concreto estampado con color, espesor 12cm , incluye nivelación de piso y malla ( color y diseño a definir en sitio)</t>
  </si>
  <si>
    <t>NP</t>
  </si>
  <si>
    <t>cartera en piso de 0,30m en granito lavado</t>
  </si>
  <si>
    <t>Escalera de acceso huella</t>
  </si>
  <si>
    <t>Escaleras acceso contrahuella</t>
  </si>
  <si>
    <t>Piso en granito lavado</t>
  </si>
  <si>
    <t>Exterior</t>
  </si>
  <si>
    <t>Mantenimiento de ventanas en aluminio. Incluye cambio de elementos en mal estado, sello perimetral y corte de estructura para ajustes</t>
  </si>
  <si>
    <t>Fachada principal</t>
  </si>
  <si>
    <t>Fachada lateral derecha</t>
  </si>
  <si>
    <t>Fachada lateral izquierda</t>
  </si>
  <si>
    <t>Fachada Posterior</t>
  </si>
  <si>
    <t>Suministro e instalación de pelicula opalizada para ventanas</t>
  </si>
  <si>
    <t xml:space="preserve">Ventana nueva </t>
  </si>
  <si>
    <t>Mantenimiento de reja metalica,  incluye desmonte, cepillado, limpieza del elemento, cambio de partes afectadas, cambio de  chapa donde se requeira, aplicación de pintura epóxica y todo lo necesario para su correcta instalación</t>
  </si>
  <si>
    <t>puerta principal</t>
  </si>
  <si>
    <t>ventanas</t>
  </si>
  <si>
    <t>Fachada posterior</t>
  </si>
  <si>
    <t>Puerta acceso sotano</t>
  </si>
  <si>
    <t>Puerta posterior sotano</t>
  </si>
  <si>
    <t>Suministro e instalacion de cerramiento en malla eslavonada con tuberia galvanizada de 2" angulos de 3/4 po 1/8, concertina y pintura  ( incluye retiro malla eslavonada existente )</t>
  </si>
  <si>
    <t xml:space="preserve">Cerramiento perimetral </t>
  </si>
  <si>
    <t>Puerta acceso posterior</t>
  </si>
  <si>
    <t>Desmonte de puertas en madera, incluye retiro</t>
  </si>
  <si>
    <t>P-2</t>
  </si>
  <si>
    <t>Baño PMR - Primer piso</t>
  </si>
  <si>
    <t>P-1</t>
  </si>
  <si>
    <t>Cuarto UPS</t>
  </si>
  <si>
    <t>Suministro e instalación puertas de madera maciza inmunizada y pintada con barniz, cuyas medidas son entre 70  a 100 cm de ancho x 190 -280 de alto, diseño igual al existente</t>
  </si>
  <si>
    <t>Desmonte de marcos en madera (puertas y/o ventanas), incluye retiro</t>
  </si>
  <si>
    <t>Suministro e instalación de marco de madera maciza inmunizada y pintada con barniz ( cuyas medidas de  vano oscilan entre entre 70  a 100 cm de ancho x 190 -280 de alto) y todo lo necesario para su correcta instalación</t>
  </si>
  <si>
    <t>salida a parqueadero</t>
  </si>
  <si>
    <t>Sotano</t>
  </si>
  <si>
    <t>subestacion</t>
  </si>
  <si>
    <t>Cuarto Guardas</t>
  </si>
  <si>
    <t>piso 1</t>
  </si>
  <si>
    <t>Cuarto Poceta</t>
  </si>
  <si>
    <t>Oficina de apoyo</t>
  </si>
  <si>
    <t>Juzgado 004 penal del circuito</t>
  </si>
  <si>
    <t>Baño PMR</t>
  </si>
  <si>
    <t xml:space="preserve">Cocineta </t>
  </si>
  <si>
    <t xml:space="preserve">muro exterior sala lactancia </t>
  </si>
  <si>
    <t>Baño J-4 penal</t>
  </si>
  <si>
    <t>Baño Oficina Apoyo</t>
  </si>
  <si>
    <t>Juzgado 001 Promiscuo de Familia</t>
  </si>
  <si>
    <t>Mezanine</t>
  </si>
  <si>
    <t>Juzgado 002 Promiscuo de Familia</t>
  </si>
  <si>
    <t>Baños</t>
  </si>
  <si>
    <t>Juzgado 001 laboral del circuito</t>
  </si>
  <si>
    <t>Piso 2</t>
  </si>
  <si>
    <t>Juzgado 002 laboral del circuito</t>
  </si>
  <si>
    <t>Juzgado 003 laboral del circuito</t>
  </si>
  <si>
    <t>Juzgado 001 Penal del Circuito</t>
  </si>
  <si>
    <t>Juzgado 003 Penal del Circuito</t>
  </si>
  <si>
    <t>Baños- cocineta</t>
  </si>
  <si>
    <t>Juzgado 001 Civil del Circuito</t>
  </si>
  <si>
    <t>Piso 3</t>
  </si>
  <si>
    <t>Juzgado 002 Civil del Circuito</t>
  </si>
  <si>
    <t>Juzgado 003 Civil del Circuito</t>
  </si>
  <si>
    <t>Sala de Audiencia No. 1</t>
  </si>
  <si>
    <t>Baños -cocineta</t>
  </si>
  <si>
    <t>Juzgado 002 Penal del Circuito</t>
  </si>
  <si>
    <t>Piso 4</t>
  </si>
  <si>
    <t>Juzgado 002 Penal del Circuito Especializado</t>
  </si>
  <si>
    <t>Cuarto Monitoreo Camaras</t>
  </si>
  <si>
    <t>Sala de Audiencia No. 2</t>
  </si>
  <si>
    <t>Sala de Audiencia No. 3</t>
  </si>
  <si>
    <t>Punto fijo</t>
  </si>
  <si>
    <t xml:space="preserve">Ventanas </t>
  </si>
  <si>
    <t>acceso</t>
  </si>
  <si>
    <t>piso 2</t>
  </si>
  <si>
    <t>sotano - tanque 1</t>
  </si>
  <si>
    <t>Terraza -taque 2</t>
  </si>
  <si>
    <t>1.16</t>
  </si>
  <si>
    <t>columnas lados</t>
  </si>
  <si>
    <t>salida parqueadero</t>
  </si>
  <si>
    <t>puertas principales despachos</t>
  </si>
  <si>
    <t>ventanas oficina juez</t>
  </si>
  <si>
    <t>puertas oficina juez</t>
  </si>
  <si>
    <t>oficinas juez puerta</t>
  </si>
  <si>
    <t>oficinas juez ventana</t>
  </si>
  <si>
    <t>Regata de muros</t>
  </si>
  <si>
    <t>baño 1 publico</t>
  </si>
  <si>
    <t>Piso 1</t>
  </si>
  <si>
    <t>baño 3 oficina</t>
  </si>
  <si>
    <t>baño 4 PMR</t>
  </si>
  <si>
    <t>Aires</t>
  </si>
  <si>
    <t>terraza piso 2 (bordeando la terraza)</t>
  </si>
  <si>
    <t>terraza piso 3 (bordenado la terraza)</t>
  </si>
  <si>
    <t>terraza cubierta</t>
  </si>
  <si>
    <t>Terrazas</t>
  </si>
  <si>
    <t xml:space="preserve">Despachos </t>
  </si>
  <si>
    <t>Suministro e instalación de malla venada</t>
  </si>
  <si>
    <t>Baño 1</t>
  </si>
  <si>
    <t>Baño 2</t>
  </si>
  <si>
    <t>Baño 3</t>
  </si>
  <si>
    <t>Baño 4</t>
  </si>
  <si>
    <t>cocineta</t>
  </si>
  <si>
    <t>despachos</t>
  </si>
  <si>
    <t>Despacho</t>
  </si>
  <si>
    <t>suministro e instalación de división en aluminio para orinal de 0,45 x1 mts, fabricados en tubular t77 (2.5x2.5), paneles f06 de 7.06 cm, platina de ensamble ai5, ángulo 1/2,  y demás accesorios para su correcta instalación.según diseño</t>
  </si>
  <si>
    <t>Suministro e instalación de espejo de 4mm, dimensiones  80cm x 60cm, con basculante para graduación de inclinación.</t>
  </si>
  <si>
    <t>Base Contenedor</t>
  </si>
  <si>
    <t>Viga cerramiento en malla eslabonada</t>
  </si>
  <si>
    <t>Suministro e instalación de puerta de 1.00 x 2mts con pasador y manija fabricados en tubular t77 (2.5x2.5), paneles f06 de 7.06 cm, platina de ensamble ai5, ángulo 1/2, y demás accesorios para su correcta instalación.</t>
  </si>
  <si>
    <t>Piso 1 -Baño PMR</t>
  </si>
  <si>
    <t>suministro e instalación de división en aluminio para baños   de 1.50 x2 mts, fabricados en tubular t77 (2.5x2.5), paneles f06 de 7.06 cm, platina de ensamble ai5, ángulo 1/2, y demás accesorios para su correcta instalación.según diseño</t>
  </si>
  <si>
    <t>baño 1</t>
  </si>
  <si>
    <t xml:space="preserve">baño 2 </t>
  </si>
  <si>
    <t xml:space="preserve">baño 1 </t>
  </si>
  <si>
    <t>suministro e instalación de puerta entre 0,65 y 0,80 mts x2mts con pasador y manija, fabricados en tubular t77 (2.5x2.5), paneles f06 de 7.06 cm, platina de ensamble ai5, ángulo 1/2,  y demás accesorios para su correcta instalación.según diseño</t>
  </si>
  <si>
    <t>baño publico</t>
  </si>
  <si>
    <t>suministro e instalación de división en aluminio para baños de 0,20 a 0,50 x2 mts,   fabricados en tubular t77 (2.5x2.5), paneles f06 de 7.06 cm, platina de ensamble ai5, ángulo 1/2,  y demás accesorios para su correcta instalación.según diseño</t>
  </si>
  <si>
    <t>Perforación de muro o piso en concreto y/o mamposteria para tubo de 6", incluye retiro</t>
  </si>
  <si>
    <t xml:space="preserve">vertical </t>
  </si>
  <si>
    <t>Contenedor</t>
  </si>
  <si>
    <t>Suministro e instalación de mesón en acero inoxidable liso hasta 1.80mts de largo, incluye poceta de lavaplatos y todos los elementos necesarios para su correcta instalación</t>
  </si>
  <si>
    <t>Suministro y Construcción de caja de aguas negras en concreto 60 cmx60 cm, incluye tapa con marco dividida en 2</t>
  </si>
  <si>
    <t>exterior anden perimetral</t>
  </si>
  <si>
    <t>baño 2 oficna apoyo</t>
  </si>
  <si>
    <t>baño 1 hombres</t>
  </si>
  <si>
    <t>baño 2 mujeres</t>
  </si>
  <si>
    <t>cocineta piso 2</t>
  </si>
  <si>
    <t>lavatrapero piso 2</t>
  </si>
  <si>
    <t>cocineta piso 3</t>
  </si>
  <si>
    <t>cocineta piso 4</t>
  </si>
  <si>
    <t>Excavación a mano en tierra,  incluye trasiego y retiro de escombros en sitio autorizado por la autoridad ambiental.</t>
  </si>
  <si>
    <t>Tuberia cajas andenes</t>
  </si>
  <si>
    <t xml:space="preserve">Suministro e instalación de tapa de inspección de tanque de agua en lámina de aluminio de alfajor 4.8mm diamantes, con 2 compuertas, con acabado en pintura epoxica reforzada, incluye marco, bisagras, sistema de anclaje, pasador para candado y todo lo necesario para su correcta instalación y funcionamiento  </t>
  </si>
  <si>
    <t>terraza</t>
  </si>
  <si>
    <t>cuarto UARS</t>
  </si>
  <si>
    <t>escaleras</t>
  </si>
  <si>
    <t xml:space="preserve">exterior </t>
  </si>
  <si>
    <t>terrazas</t>
  </si>
  <si>
    <t>ventanas fachada principal 0,77*1,80</t>
  </si>
  <si>
    <t>ventanas fachada principal 0,93*1,83</t>
  </si>
  <si>
    <t>fachada lateral derecha 0,77*1,80</t>
  </si>
  <si>
    <t>fachada lateral derecha 0,93*1,83</t>
  </si>
  <si>
    <t>fachada lateral izquierda 0,77*1,80</t>
  </si>
  <si>
    <t>fachada lateral izquierda 0,93*1,83</t>
  </si>
  <si>
    <t>fachada posterior  0,77*1,80</t>
  </si>
  <si>
    <t>fachada posterior  0,93*1,83</t>
  </si>
  <si>
    <t>sotano cuarto de bombas</t>
  </si>
  <si>
    <t>Primer piso</t>
  </si>
  <si>
    <t>segundo piso</t>
  </si>
  <si>
    <t>tercer piso</t>
  </si>
  <si>
    <t>cuarto piso</t>
  </si>
  <si>
    <t>cocinetas 2-3 y 4 piso</t>
  </si>
  <si>
    <t xml:space="preserve">acceso </t>
  </si>
  <si>
    <t>contiguo zona de parqueadero</t>
  </si>
  <si>
    <t>carbonero</t>
  </si>
  <si>
    <t>jardin zona parqueadero</t>
  </si>
  <si>
    <t>Guayacan amarillo</t>
  </si>
  <si>
    <t>Hibisco</t>
  </si>
  <si>
    <t>Heliconia</t>
  </si>
  <si>
    <t>ave del paraiso</t>
  </si>
  <si>
    <t>plam areca</t>
  </si>
  <si>
    <t>TANQUE DE AGUA SOTANO</t>
  </si>
  <si>
    <t>Cubierta</t>
  </si>
  <si>
    <t>cubierta</t>
  </si>
  <si>
    <t>cubierta area planta electrica</t>
  </si>
  <si>
    <t xml:space="preserve">cubierta planta electrica </t>
  </si>
  <si>
    <t>CANAL</t>
  </si>
  <si>
    <t>LOSA TANQUES DE AGUA</t>
  </si>
  <si>
    <t>solapa -Canal cubierta planta electrica</t>
  </si>
  <si>
    <t>culata (ventana celosia fachada )</t>
  </si>
  <si>
    <t>cerchas</t>
  </si>
  <si>
    <t>viguetas</t>
  </si>
  <si>
    <t>columnas</t>
  </si>
  <si>
    <t>baño piso 2 -sanitarios</t>
  </si>
  <si>
    <t>lavamanos</t>
  </si>
  <si>
    <t>orinales</t>
  </si>
  <si>
    <t xml:space="preserve">baño piso 2  </t>
  </si>
  <si>
    <t xml:space="preserve">baño piso 2 </t>
  </si>
  <si>
    <t>division orinal</t>
  </si>
  <si>
    <t xml:space="preserve">tuberia </t>
  </si>
  <si>
    <t>vertical</t>
  </si>
  <si>
    <t>baños piso 2</t>
  </si>
  <si>
    <t>baños</t>
  </si>
  <si>
    <t xml:space="preserve">salida </t>
  </si>
  <si>
    <t>entrada a baños</t>
  </si>
  <si>
    <t>muros baño</t>
  </si>
  <si>
    <t xml:space="preserve">area archivo </t>
  </si>
  <si>
    <t>Baños piso 2</t>
  </si>
  <si>
    <t>Tanque almacenamiento agua</t>
  </si>
  <si>
    <t xml:space="preserve">tanque almacenamiento </t>
  </si>
  <si>
    <t xml:space="preserve">Archivos </t>
  </si>
  <si>
    <t>cuartos rack</t>
  </si>
  <si>
    <t>planta electrica</t>
  </si>
  <si>
    <t>2do piso</t>
  </si>
  <si>
    <t>1er piso</t>
  </si>
  <si>
    <t xml:space="preserve">2do piso </t>
  </si>
  <si>
    <t>centro de servicio</t>
  </si>
  <si>
    <t>archivo parte posterior</t>
  </si>
  <si>
    <t>piso 1 (area planta electrica)</t>
  </si>
  <si>
    <t>ventanas fachada posterior</t>
  </si>
  <si>
    <t xml:space="preserve">ventanas </t>
  </si>
  <si>
    <t>cielo</t>
  </si>
  <si>
    <t>juzgado 3 penal (salida a terraza)</t>
  </si>
  <si>
    <t>FECHA</t>
  </si>
  <si>
    <t>PERÍODO</t>
  </si>
  <si>
    <t>1 al 30 de octubre del 2023</t>
  </si>
  <si>
    <t>ACTA DE OBRA</t>
  </si>
  <si>
    <t>acta de ajuste icociv y 3 insumos</t>
  </si>
  <si>
    <t>ETAPA</t>
  </si>
  <si>
    <t>CONSTRUCCIÓN</t>
  </si>
  <si>
    <t>CONSTRUCTOR</t>
  </si>
  <si>
    <t>OBJETO DEL CONTRATO</t>
  </si>
  <si>
    <t>RESUMEN DE LA OBRA</t>
  </si>
  <si>
    <t>precios</t>
  </si>
  <si>
    <t>VALOR COSTO DIRECTO</t>
  </si>
  <si>
    <t>AIU CONTRATO</t>
  </si>
  <si>
    <t>VALOR TOTAL CONTRATO</t>
  </si>
  <si>
    <t>MODIFICATORIO No. 1</t>
  </si>
  <si>
    <t>Mayores cantidades de obra</t>
  </si>
  <si>
    <t>Ïtems no previstos</t>
  </si>
  <si>
    <t xml:space="preserve">Ajuste </t>
  </si>
  <si>
    <t>MODIFICATORIO No.2</t>
  </si>
  <si>
    <t>Inexactitud de Diseños</t>
  </si>
  <si>
    <t>Inexactitud de Diseños - actualización de precios con el IPC</t>
  </si>
  <si>
    <t>Mayor permanencia del 11 de julio 2022 al 31 de Diciembre del 2022</t>
  </si>
  <si>
    <t xml:space="preserve">MODIFICATORIO No. 3 </t>
  </si>
  <si>
    <t>Ajuste 3 insumos (Mano de obra + Asfalto + Acero de refuerzo) - Desde 1 enero 2022 al 10 julio de 2022 (faltante) y desde el 11 de julio del 2022 al 30 de agosto del 2023  (Incluido Administración 25,3%)</t>
  </si>
  <si>
    <t>VALOR TOTAL  PRESENTE ACTA</t>
  </si>
  <si>
    <t>ESTADO FISCAL DEL CONTRATO</t>
  </si>
  <si>
    <t>Valor Inicial del Contrato</t>
  </si>
  <si>
    <t>Adición modificatorio No.1</t>
  </si>
  <si>
    <t>Adición modificatorio No.2</t>
  </si>
  <si>
    <t>Adición modificatorio No.3</t>
  </si>
  <si>
    <t>Adición modificatorio No.4</t>
  </si>
  <si>
    <t>Valor Total del Contrato a la Fecha</t>
  </si>
  <si>
    <t>Reserva Constituida Hasta la Fecha</t>
  </si>
  <si>
    <t>Valor Total Liquidado en Actas Anteriores</t>
  </si>
  <si>
    <t>Ajuste por redondeo en actas anteriores</t>
  </si>
  <si>
    <t>Valor Total Liquidado Hasta la fecha</t>
  </si>
  <si>
    <t>Saldo Actual del Contrato</t>
  </si>
  <si>
    <t>Sumas Iguales</t>
  </si>
  <si>
    <t>DETALLE ACTAS LIQUIDADAS</t>
  </si>
  <si>
    <t>Total Liquidado hasta la Fecha</t>
  </si>
  <si>
    <t>ESTADO DEL ANTICIPO</t>
  </si>
  <si>
    <t>Valor del Anticipo Recibido Contrato Inicial</t>
  </si>
  <si>
    <t>Valor Total del Anticipo Recibido</t>
  </si>
  <si>
    <t>Valor Amortizado en Actas Anteriores Contrato</t>
  </si>
  <si>
    <t>Valor Amortizado a la fecha</t>
  </si>
  <si>
    <t>Valor Total Amortizado hasta la fecha</t>
  </si>
  <si>
    <t>Saldo por Amortizar</t>
  </si>
  <si>
    <t>RETENCIÓN EN GARANTÍA</t>
  </si>
  <si>
    <t>Valor deducido en actas anteriores</t>
  </si>
  <si>
    <t>valor deducido en presente acta</t>
  </si>
  <si>
    <t>Valor deducido en presente acta</t>
  </si>
  <si>
    <t>Valor total deducido a la fecha</t>
  </si>
  <si>
    <t>LIQUIDACIÓN DEL ACTA</t>
  </si>
  <si>
    <t>Valor Liquidado presente Acta</t>
  </si>
  <si>
    <t>Amortización anticipo</t>
  </si>
  <si>
    <t>Retención en Garantía  10%</t>
  </si>
  <si>
    <t>SUB-TOTAL</t>
  </si>
  <si>
    <t>Otras deducciones</t>
  </si>
  <si>
    <t>VALOR TOTAL A PAGAR A FAVOR DEL CONSORCIO MIO TCU-HB</t>
  </si>
  <si>
    <t>VALOR A PAGAR AL CONSORCIO MIO TCU-HB</t>
  </si>
  <si>
    <t>TRESCIENTOS MILLONES DE PESOS M/CTE</t>
  </si>
  <si>
    <t>En constancia de lo anterior se firma la presente acta en Santiago de Cali, a los xxxx días del mes de xxxxxxxxxxxxx de xxxxxxxxxxxx.</t>
  </si>
  <si>
    <r>
      <rPr>
        <b/>
        <sz val="12"/>
        <color theme="1"/>
        <rFont val="Arial"/>
        <family val="2"/>
      </rPr>
      <t xml:space="preserve">ING. 
</t>
    </r>
    <r>
      <rPr>
        <sz val="12"/>
        <color theme="1"/>
        <rFont val="Arial"/>
        <family val="2"/>
      </rPr>
      <t>Director de Obra</t>
    </r>
    <r>
      <rPr>
        <b/>
        <sz val="12"/>
        <color theme="1"/>
        <rFont val="Arial"/>
        <family val="2"/>
      </rPr>
      <t xml:space="preserve">
</t>
    </r>
  </si>
  <si>
    <r>
      <rPr>
        <b/>
        <sz val="12"/>
        <color theme="1"/>
        <rFont val="Arial"/>
        <family val="2"/>
      </rPr>
      <t xml:space="preserve">ING. 
</t>
    </r>
    <r>
      <rPr>
        <sz val="12"/>
        <color theme="1"/>
        <rFont val="Arial"/>
        <family val="2"/>
      </rPr>
      <t xml:space="preserve"> Interventoría /supervisor</t>
    </r>
    <r>
      <rPr>
        <b/>
        <sz val="12"/>
        <color theme="1"/>
        <rFont val="Arial"/>
        <family val="2"/>
      </rPr>
      <t xml:space="preserve">
</t>
    </r>
  </si>
  <si>
    <r>
      <rPr>
        <b/>
        <sz val="12"/>
        <color theme="1"/>
        <rFont val="Arial"/>
        <family val="2"/>
      </rPr>
      <t xml:space="preserve">ING. / ARQ
</t>
    </r>
    <r>
      <rPr>
        <sz val="12"/>
        <color theme="1"/>
        <rFont val="Arial"/>
        <family val="2"/>
      </rPr>
      <t xml:space="preserve">Apoyo Supervisión
</t>
    </r>
  </si>
  <si>
    <r>
      <rPr>
        <b/>
        <sz val="12"/>
        <color theme="1"/>
        <rFont val="Arial"/>
        <family val="2"/>
      </rPr>
      <t xml:space="preserve">ING. / ARQ
</t>
    </r>
    <r>
      <rPr>
        <sz val="12"/>
        <color theme="1"/>
        <rFont val="Arial"/>
        <family val="2"/>
      </rPr>
      <t>Supervisión</t>
    </r>
    <r>
      <rPr>
        <b/>
        <sz val="12"/>
        <color theme="1"/>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</si>
</sst>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4" formatCode="_-&quot;$&quot;* #,##0.00_-;\-&quot;$&quot;* #,##0.00_-;_-&quot;$&quot;* &quot;-&quot;??_-;_-@_-"/>
    <numFmt numFmtId="164" formatCode="_-* #,##0\ &quot;€&quot;_-;\-* #,##0\ &quot;€&quot;_-;_-* &quot;-&quot;\ &quot;€&quot;_-;_-@_-"/>
    <numFmt numFmtId="165" formatCode="&quot;$&quot;\ #,##0.00;[Red]\-&quot;$&quot;\ #,##0.00"/>
    <numFmt numFmtId="166" formatCode="_-&quot;$&quot;\ * #,##0.00_-;\-&quot;$&quot;\ * #,##0.00_-;_-&quot;$&quot;\ * &quot;-&quot;??_-;_-@_-"/>
    <numFmt numFmtId="167" formatCode="#,##0.00_ ;[Red]\-#,##0.00\ "/>
    <numFmt numFmtId="168" formatCode="_-&quot;$&quot;\ * #,##0.00_-;\-&quot;$&quot;\ * #,##0.00_-;_-&quot;$&quot;\ * &quot;-&quot;??_-;_-@"/>
    <numFmt numFmtId="169" formatCode="&quot;$&quot;#,##0.00"/>
    <numFmt numFmtId="170" formatCode="_-&quot;$&quot;\ * #,##0_-;\-&quot;$&quot;\ * #,##0_-;_-&quot;$&quot;\ * &quot;-&quot;??_-;_-@"/>
    <numFmt numFmtId="171" formatCode="&quot;Acta &quot;0"/>
    <numFmt numFmtId="172" formatCode="&quot;$&quot;#,##0"/>
    <numFmt numFmtId="173" formatCode="#,##0_ ;[Red]\-#,##0\ "/>
    <numFmt numFmtId="174" formatCode="0.000"/>
    <numFmt numFmtId="175" formatCode="0.0000"/>
    <numFmt numFmtId="176" formatCode="&quot;Piso &quot;0"/>
    <numFmt numFmtId="177" formatCode="0.0"/>
    <numFmt numFmtId="178" formatCode="General_)"/>
    <numFmt numFmtId="179" formatCode="[$-240A]d&quot; de &quot;mmmm&quot; de &quot;yyyy"/>
    <numFmt numFmtId="180" formatCode="[$-C0A]d\ &quot;de&quot;\ mmmm\ &quot;de&quot;\ yyyy"/>
    <numFmt numFmtId="181" formatCode="&quot;ITEM&quot;\ ##"/>
    <numFmt numFmtId="182" formatCode="_(&quot;$&quot;* #,##0_);_(&quot;$&quot;* \(#,##0\);_(&quot;$&quot;* &quot;-&quot;??_);_(@_)"/>
    <numFmt numFmtId="183" formatCode="_(&quot;$&quot;* #,##0.00_);_(&quot;$&quot;* \(#,##0.00\);_(&quot;$&quot;* &quot;-&quot;??_);_(@_)"/>
    <numFmt numFmtId="184" formatCode="0.0%"/>
    <numFmt numFmtId="185" formatCode="_-&quot;$&quot;\ * #,##0.000_-;\-&quot;$&quot;\ * #,##0.000_-;_-&quot;$&quot;\ * &quot;-&quot;??_-;_-@"/>
    <numFmt numFmtId="186" formatCode="&quot; &quot;&quot;$&quot;&quot; &quot;* #,##0.00&quot; &quot;;&quot;-&quot;&quot;$&quot;&quot; &quot;* #,##0.00&quot; &quot;;&quot; &quot;&quot;$&quot;&quot; &quot;* &quot;-&quot;??&quot; &quot;"/>
    <numFmt numFmtId="187" formatCode="_(&quot;$&quot;\ * #,##0.00_);_(&quot;$&quot;\ * \(#,##0.00\);_(&quot;$&quot;\ * &quot;-&quot;??_);_(@_)"/>
    <numFmt numFmtId="188" formatCode="_-[$$-240A]\ * #,##0.00_-;\-[$$-240A]\ * #,##0.00_-;_-[$$-240A]\ * &quot;-&quot;??_-;_-@_-"/>
    <numFmt numFmtId="189" formatCode="\$\ #,##0.00"/>
  </numFmts>
  <fonts count="48"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Arial"/>
      <family val="2"/>
    </font>
    <font>
      <sz val="9"/>
      <color theme="1"/>
      <name val="Arial"/>
      <family val="2"/>
    </font>
    <font>
      <b/>
      <sz val="9"/>
      <color theme="1"/>
      <name val="Arial"/>
      <family val="2"/>
    </font>
    <font>
      <b/>
      <sz val="9"/>
      <color rgb="FF000000"/>
      <name val="Arial"/>
      <family val="2"/>
    </font>
    <font>
      <sz val="11"/>
      <name val="Calibri"/>
      <family val="2"/>
    </font>
    <font>
      <sz val="9"/>
      <color rgb="FF000000"/>
      <name val="Arial"/>
      <family val="2"/>
    </font>
    <font>
      <b/>
      <sz val="9"/>
      <color rgb="FFFF0000"/>
      <name val="Arial"/>
      <family val="2"/>
    </font>
    <font>
      <b/>
      <sz val="9"/>
      <color theme="0"/>
      <name val="Arial"/>
      <family val="2"/>
    </font>
    <font>
      <sz val="9"/>
      <color rgb="FFFF0000"/>
      <name val="Arial"/>
      <family val="2"/>
    </font>
    <font>
      <u/>
      <sz val="9"/>
      <color theme="10"/>
      <name val="Arial"/>
      <family val="2"/>
    </font>
    <font>
      <sz val="11"/>
      <color theme="1"/>
      <name val="Calibri"/>
      <family val="2"/>
    </font>
    <font>
      <b/>
      <sz val="10"/>
      <color theme="1"/>
      <name val="Arial"/>
      <family val="2"/>
    </font>
    <font>
      <b/>
      <sz val="11"/>
      <color theme="1"/>
      <name val="Calibri"/>
      <family val="2"/>
    </font>
    <font>
      <b/>
      <sz val="11"/>
      <color theme="0"/>
      <name val="Calibri"/>
      <family val="2"/>
    </font>
    <font>
      <sz val="11"/>
      <color rgb="FFFF0000"/>
      <name val="Calibri"/>
      <family val="2"/>
    </font>
    <font>
      <sz val="11"/>
      <color theme="0"/>
      <name val="Calibri"/>
      <family val="2"/>
    </font>
    <font>
      <sz val="12"/>
      <color theme="1"/>
      <name val="Arial"/>
      <family val="2"/>
    </font>
    <font>
      <b/>
      <sz val="12"/>
      <color theme="1"/>
      <name val="Arial"/>
      <family val="2"/>
    </font>
    <font>
      <sz val="14"/>
      <color theme="1"/>
      <name val="Arial"/>
      <family val="2"/>
    </font>
    <font>
      <b/>
      <sz val="14"/>
      <color theme="1"/>
      <name val="Arial"/>
      <family val="2"/>
    </font>
    <font>
      <sz val="14"/>
      <color rgb="FFFF0000"/>
      <name val="Arial"/>
      <family val="2"/>
    </font>
    <font>
      <b/>
      <sz val="11"/>
      <color theme="1"/>
      <name val="Arial"/>
      <family val="2"/>
    </font>
    <font>
      <sz val="9"/>
      <name val="Arial"/>
      <family val="2"/>
    </font>
    <font>
      <sz val="10"/>
      <name val="Arial"/>
      <family val="2"/>
    </font>
    <font>
      <b/>
      <sz val="11"/>
      <color theme="1"/>
      <name val="Calibri"/>
      <family val="2"/>
      <scheme val="minor"/>
    </font>
    <font>
      <sz val="9"/>
      <color theme="4"/>
      <name val="Arial"/>
      <family val="2"/>
    </font>
    <font>
      <b/>
      <sz val="9"/>
      <name val="Arial"/>
      <family val="2"/>
    </font>
    <font>
      <sz val="9"/>
      <color indexed="8"/>
      <name val="Arial"/>
      <family val="2"/>
    </font>
    <font>
      <sz val="11"/>
      <color theme="1"/>
      <name val="Calibri"/>
      <family val="2"/>
      <scheme val="minor"/>
    </font>
    <font>
      <b/>
      <sz val="9"/>
      <color theme="1"/>
      <name val="Arial"/>
    </font>
    <font>
      <sz val="9"/>
      <name val="Arial"/>
    </font>
    <font>
      <b/>
      <sz val="9"/>
      <name val="Arial"/>
    </font>
    <font>
      <b/>
      <sz val="9"/>
      <color theme="0"/>
      <name val="Arial"/>
    </font>
    <font>
      <b/>
      <sz val="9"/>
      <color rgb="FF000000"/>
      <name val="Arial"/>
    </font>
    <font>
      <sz val="9"/>
      <color theme="1"/>
      <name val="Arial"/>
    </font>
    <font>
      <sz val="9"/>
      <color rgb="FF000000"/>
      <name val="Arial"/>
    </font>
    <font>
      <sz val="9"/>
      <color rgb="FFFF0000"/>
      <name val="Arial"/>
    </font>
    <font>
      <b/>
      <sz val="9"/>
      <color rgb="FFFF0000"/>
      <name val="Arial"/>
    </font>
    <font>
      <sz val="9"/>
      <color indexed="8"/>
      <name val="Arial"/>
    </font>
    <font>
      <sz val="9"/>
      <color theme="4"/>
      <name val="Arial"/>
    </font>
    <font>
      <sz val="10"/>
      <color indexed="8"/>
      <name val="Arial"/>
    </font>
  </fonts>
  <fills count="28">
    <fill>
      <patternFill patternType="none"/>
    </fill>
    <fill>
      <patternFill patternType="gray125"/>
    </fill>
    <fill>
      <patternFill patternType="solid">
        <fgColor rgb="FFE7E6E6"/>
        <bgColor rgb="FFE7E6E6"/>
      </patternFill>
    </fill>
    <fill>
      <patternFill patternType="solid">
        <fgColor rgb="FFFEF2CB"/>
        <bgColor rgb="FFFEF2CB"/>
      </patternFill>
    </fill>
    <fill>
      <patternFill patternType="solid">
        <fgColor theme="0"/>
        <bgColor theme="0"/>
      </patternFill>
    </fill>
    <fill>
      <patternFill patternType="solid">
        <fgColor rgb="FFD6DCE4"/>
        <bgColor rgb="FFD6DCE4"/>
      </patternFill>
    </fill>
    <fill>
      <patternFill patternType="solid">
        <fgColor rgb="FFD8D8D8"/>
        <bgColor rgb="FFD8D8D8"/>
      </patternFill>
    </fill>
    <fill>
      <patternFill patternType="solid">
        <fgColor rgb="FF7F7F7F"/>
        <bgColor rgb="FF7F7F7F"/>
      </patternFill>
    </fill>
    <fill>
      <patternFill patternType="solid">
        <fgColor rgb="FFD9E2F3"/>
        <bgColor rgb="FFD9E2F3"/>
      </patternFill>
    </fill>
    <fill>
      <patternFill patternType="solid">
        <fgColor theme="7"/>
        <bgColor theme="7"/>
      </patternFill>
    </fill>
    <fill>
      <patternFill patternType="solid">
        <fgColor rgb="FFDEEAF6"/>
        <bgColor rgb="FFDEEAF6"/>
      </patternFill>
    </fill>
    <fill>
      <patternFill patternType="solid">
        <fgColor rgb="FFFFFF00"/>
        <bgColor rgb="FFFFFF00"/>
      </patternFill>
    </fill>
    <fill>
      <patternFill patternType="solid">
        <fgColor rgb="FFD0CECE"/>
        <bgColor rgb="FFD0CECE"/>
      </patternFill>
    </fill>
    <fill>
      <patternFill patternType="solid">
        <fgColor rgb="FFC5E0B3"/>
        <bgColor rgb="FFC5E0B3"/>
      </patternFill>
    </fill>
    <fill>
      <patternFill patternType="solid">
        <fgColor rgb="FFF4B083"/>
        <bgColor rgb="FFF4B083"/>
      </patternFill>
    </fill>
    <fill>
      <patternFill patternType="solid">
        <fgColor theme="4"/>
        <bgColor theme="4"/>
      </patternFill>
    </fill>
    <fill>
      <patternFill patternType="solid">
        <fgColor rgb="FFE2EFD9"/>
        <bgColor rgb="FFE2EFD9"/>
      </patternFill>
    </fill>
    <fill>
      <patternFill patternType="solid">
        <fgColor rgb="FFBFBFBF"/>
        <bgColor rgb="FFBFBFBF"/>
      </patternFill>
    </fill>
    <fill>
      <patternFill patternType="solid">
        <fgColor theme="5" tint="0.79998168889431442"/>
        <bgColor theme="7"/>
      </patternFill>
    </fill>
    <fill>
      <patternFill patternType="solid">
        <fgColor theme="5" tint="0.79998168889431442"/>
        <bgColor indexed="64"/>
      </patternFill>
    </fill>
    <fill>
      <patternFill patternType="solid">
        <fgColor theme="5" tint="0.79998168889431442"/>
        <bgColor rgb="FFFFC000"/>
      </patternFill>
    </fill>
    <fill>
      <patternFill patternType="solid">
        <fgColor theme="7" tint="0.79998168889431442"/>
        <bgColor indexed="64"/>
      </patternFill>
    </fill>
    <fill>
      <patternFill patternType="solid">
        <fgColor theme="0"/>
        <bgColor indexed="64"/>
      </patternFill>
    </fill>
    <fill>
      <patternFill patternType="solid">
        <fgColor theme="5"/>
        <bgColor rgb="FFFEF2CB"/>
      </patternFill>
    </fill>
    <fill>
      <patternFill patternType="solid">
        <fgColor rgb="FFA6F6F6"/>
        <bgColor rgb="FFFEF2CB"/>
      </patternFill>
    </fill>
    <fill>
      <patternFill patternType="solid">
        <fgColor rgb="FFA66BD3"/>
        <bgColor rgb="FFFEF2CB"/>
      </patternFill>
    </fill>
    <fill>
      <patternFill patternType="solid">
        <fgColor rgb="FFF369DF"/>
        <bgColor rgb="FFFEF2CB"/>
      </patternFill>
    </fill>
    <fill>
      <patternFill patternType="solid">
        <fgColor theme="9" tint="0.59999389629810485"/>
        <bgColor rgb="FFFEF2CB"/>
      </patternFill>
    </fill>
  </fills>
  <borders count="110">
    <border>
      <left/>
      <right/>
      <top/>
      <bottom/>
      <diagonal/>
    </border>
    <border>
      <left style="thin">
        <color rgb="FF000000"/>
      </left>
      <right style="thin">
        <color rgb="FF000000"/>
      </right>
      <top style="thin">
        <color rgb="FF000000"/>
      </top>
      <bottom style="thin">
        <color rgb="FF000000"/>
      </bottom>
      <diagonal/>
    </border>
    <border>
      <left style="medium">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top/>
      <bottom style="thin">
        <color rgb="FF000000"/>
      </bottom>
      <diagonal/>
    </border>
    <border>
      <left style="medium">
        <color rgb="FF000000"/>
      </left>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right style="medium">
        <color rgb="FF000000"/>
      </right>
      <top/>
      <bottom style="thin">
        <color rgb="FF000000"/>
      </bottom>
      <diagonal/>
    </border>
    <border>
      <left style="medium">
        <color rgb="FF000000"/>
      </left>
      <right style="thin">
        <color rgb="FF000000"/>
      </right>
      <top style="thin">
        <color rgb="FF000000"/>
      </top>
      <bottom style="medium">
        <color rgb="FF000000"/>
      </bottom>
      <diagonal/>
    </border>
    <border>
      <left/>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right style="medium">
        <color rgb="FF000000"/>
      </right>
      <top style="thin">
        <color rgb="FF000000"/>
      </top>
      <bottom style="medium">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bottom style="hair">
        <color rgb="FF000000"/>
      </bottom>
      <diagonal/>
    </border>
    <border>
      <left style="medium">
        <color rgb="FF000000"/>
      </left>
      <right style="thin">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rgb="FF000000"/>
      </left>
      <right/>
      <top style="thin">
        <color rgb="FF000000"/>
      </top>
      <bottom/>
      <diagonal/>
    </border>
    <border>
      <left style="medium">
        <color rgb="FF000000"/>
      </left>
      <right/>
      <top style="thin">
        <color rgb="FF000000"/>
      </top>
      <bottom style="thin">
        <color rgb="FF000000"/>
      </bottom>
      <diagonal/>
    </border>
    <border>
      <left/>
      <right style="thin">
        <color rgb="FF000000"/>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top/>
      <bottom/>
      <diagonal/>
    </border>
    <border>
      <left style="medium">
        <color rgb="FF000000"/>
      </left>
      <right/>
      <top/>
      <bottom style="thin">
        <color rgb="FF000000"/>
      </bottom>
      <diagonal/>
    </border>
    <border>
      <left style="thin">
        <color rgb="FF000000"/>
      </left>
      <right style="thin">
        <color rgb="FF000000"/>
      </right>
      <top/>
      <bottom/>
      <diagonal/>
    </border>
    <border>
      <left style="thin">
        <color rgb="FF000000"/>
      </left>
      <right/>
      <top style="thin">
        <color rgb="FF000000"/>
      </top>
      <bottom/>
      <diagonal/>
    </border>
    <border>
      <left/>
      <right/>
      <top style="thin">
        <color rgb="FF000000"/>
      </top>
      <bottom/>
      <diagonal/>
    </border>
    <border>
      <left/>
      <right/>
      <top/>
      <bottom style="thin">
        <color rgb="FF000000"/>
      </bottom>
      <diagonal/>
    </border>
    <border>
      <left style="medium">
        <color rgb="FF000000"/>
      </left>
      <right style="thin">
        <color rgb="FF000000"/>
      </right>
      <top/>
      <bottom/>
      <diagonal/>
    </border>
    <border>
      <left/>
      <right/>
      <top/>
      <bottom/>
      <diagonal/>
    </border>
    <border>
      <left style="medium">
        <color rgb="FF000000"/>
      </left>
      <right/>
      <top/>
      <bottom/>
      <diagonal/>
    </border>
    <border>
      <left/>
      <right style="medium">
        <color rgb="FF000000"/>
      </right>
      <top/>
      <bottom/>
      <diagonal/>
    </border>
    <border>
      <left/>
      <right style="medium">
        <color rgb="FF000000"/>
      </right>
      <top style="thin">
        <color rgb="FF000000"/>
      </top>
      <bottom/>
      <diagonal/>
    </border>
    <border>
      <left/>
      <right/>
      <top style="medium">
        <color rgb="FF000000"/>
      </top>
      <bottom style="thin">
        <color rgb="FF000000"/>
      </bottom>
      <diagonal/>
    </border>
    <border>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rgb="FF000000"/>
      </left>
      <right style="thin">
        <color rgb="FF000000"/>
      </right>
      <top style="thin">
        <color indexed="64"/>
      </top>
      <bottom/>
      <diagonal/>
    </border>
    <border>
      <left style="thin">
        <color rgb="FF000000"/>
      </left>
      <right style="thin">
        <color rgb="FF000000"/>
      </right>
      <top/>
      <bottom style="thin">
        <color indexed="64"/>
      </bottom>
      <diagonal/>
    </border>
    <border>
      <left/>
      <right style="medium">
        <color indexed="64"/>
      </right>
      <top style="thin">
        <color rgb="FF000000"/>
      </top>
      <bottom style="thin">
        <color rgb="FF000000"/>
      </bottom>
      <diagonal/>
    </border>
    <border>
      <left style="thin">
        <color indexed="8"/>
      </left>
      <right/>
      <top style="thin">
        <color indexed="8"/>
      </top>
      <bottom/>
      <diagonal/>
    </border>
    <border>
      <left style="thin">
        <color indexed="8"/>
      </left>
      <right style="thin">
        <color indexed="8"/>
      </right>
      <top style="thin">
        <color indexed="8"/>
      </top>
      <bottom style="thin">
        <color indexed="8"/>
      </bottom>
      <diagonal/>
    </border>
    <border>
      <left style="thin">
        <color indexed="64"/>
      </left>
      <right style="thin">
        <color rgb="FF000000"/>
      </right>
      <top style="thin">
        <color rgb="FF000000"/>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diagonal/>
    </border>
    <border>
      <left/>
      <right style="thin">
        <color indexed="64"/>
      </right>
      <top/>
      <bottom/>
      <diagonal/>
    </border>
    <border>
      <left style="thin">
        <color indexed="8"/>
      </left>
      <right/>
      <top/>
      <bottom/>
      <diagonal/>
    </border>
    <border>
      <left style="thin">
        <color rgb="FF000000"/>
      </left>
      <right style="thin">
        <color rgb="FF000000"/>
      </right>
      <top style="thin">
        <color rgb="FF000000"/>
      </top>
      <bottom style="thin">
        <color indexed="64"/>
      </bottom>
      <diagonal/>
    </border>
    <border>
      <left/>
      <right/>
      <top style="thin">
        <color indexed="64"/>
      </top>
      <bottom style="thin">
        <color rgb="FF000000"/>
      </bottom>
      <diagonal/>
    </border>
    <border>
      <left/>
      <right style="thin">
        <color rgb="FF000000"/>
      </right>
      <top style="thin">
        <color indexed="64"/>
      </top>
      <bottom style="thin">
        <color rgb="FF000000"/>
      </bottom>
      <diagonal/>
    </border>
    <border>
      <left style="medium">
        <color indexed="64"/>
      </left>
      <right/>
      <top style="medium">
        <color indexed="64"/>
      </top>
      <bottom/>
      <diagonal/>
    </border>
    <border>
      <left/>
      <right/>
      <top style="medium">
        <color indexed="64"/>
      </top>
      <bottom/>
      <diagonal/>
    </border>
    <border>
      <left/>
      <right style="medium">
        <color rgb="FF000000"/>
      </right>
      <top style="medium">
        <color indexed="64"/>
      </top>
      <bottom/>
      <diagonal/>
    </border>
    <border>
      <left style="medium">
        <color rgb="FF000000"/>
      </left>
      <right/>
      <top style="medium">
        <color indexed="64"/>
      </top>
      <bottom/>
      <diagonal/>
    </border>
    <border>
      <left/>
      <right style="medium">
        <color indexed="64"/>
      </right>
      <top style="medium">
        <color indexed="64"/>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style="thin">
        <color rgb="FF000000"/>
      </right>
      <top style="thin">
        <color rgb="FF000000"/>
      </top>
      <bottom style="medium">
        <color indexed="64"/>
      </bottom>
      <diagonal/>
    </border>
    <border>
      <left/>
      <right/>
      <top style="thin">
        <color rgb="FF000000"/>
      </top>
      <bottom style="medium">
        <color indexed="64"/>
      </bottom>
      <diagonal/>
    </border>
    <border>
      <left style="thin">
        <color rgb="FF000000"/>
      </left>
      <right style="medium">
        <color rgb="FF000000"/>
      </right>
      <top style="thin">
        <color rgb="FF000000"/>
      </top>
      <bottom style="medium">
        <color indexed="64"/>
      </bottom>
      <diagonal/>
    </border>
    <border>
      <left style="medium">
        <color rgb="FF000000"/>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thin">
        <color rgb="FF000000"/>
      </left>
      <right/>
      <top style="thin">
        <color rgb="FF000000"/>
      </top>
      <bottom style="medium">
        <color indexed="64"/>
      </bottom>
      <diagonal/>
    </border>
    <border>
      <left style="medium">
        <color indexed="64"/>
      </left>
      <right style="thin">
        <color rgb="FF000000"/>
      </right>
      <top style="thin">
        <color rgb="FF000000"/>
      </top>
      <bottom style="medium">
        <color rgb="FF000000"/>
      </bottom>
      <diagonal/>
    </border>
    <border>
      <left style="thin">
        <color rgb="FF000000"/>
      </left>
      <right style="medium">
        <color indexed="64"/>
      </right>
      <top style="thin">
        <color rgb="FF000000"/>
      </top>
      <bottom style="medium">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diagonal/>
    </border>
    <border>
      <left style="thin">
        <color rgb="FF000000"/>
      </left>
      <right style="medium">
        <color indexed="64"/>
      </right>
      <top style="thin">
        <color rgb="FF000000"/>
      </top>
      <bottom/>
      <diagonal/>
    </border>
    <border>
      <left style="medium">
        <color indexed="64"/>
      </left>
      <right/>
      <top/>
      <bottom/>
      <diagonal/>
    </border>
    <border>
      <left/>
      <right style="medium">
        <color indexed="64"/>
      </right>
      <top/>
      <bottom/>
      <diagonal/>
    </border>
    <border>
      <left style="medium">
        <color indexed="64"/>
      </left>
      <right/>
      <top style="medium">
        <color rgb="FF000000"/>
      </top>
      <bottom style="thin">
        <color rgb="FF000000"/>
      </bottom>
      <diagonal/>
    </border>
    <border>
      <left/>
      <right style="medium">
        <color indexed="64"/>
      </right>
      <top style="medium">
        <color rgb="FF000000"/>
      </top>
      <bottom style="thin">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thin">
        <color rgb="FF000000"/>
      </left>
      <right style="medium">
        <color rgb="FF000000"/>
      </right>
      <top/>
      <bottom/>
      <diagonal/>
    </border>
    <border>
      <left style="thin">
        <color rgb="FF000000"/>
      </left>
      <right/>
      <top style="thin">
        <color indexed="64"/>
      </top>
      <bottom style="thin">
        <color rgb="FF000000"/>
      </bottom>
      <diagonal/>
    </border>
    <border>
      <left style="thin">
        <color indexed="8"/>
      </left>
      <right/>
      <top style="thin">
        <color indexed="8"/>
      </top>
      <bottom style="thin">
        <color indexed="8"/>
      </bottom>
      <diagonal/>
    </border>
  </borders>
  <cellStyleXfs count="13">
    <xf numFmtId="0" fontId="0" fillId="0" borderId="0"/>
    <xf numFmtId="0" fontId="6" fillId="0" borderId="55"/>
    <xf numFmtId="166" fontId="6" fillId="0" borderId="55" applyFont="0" applyFill="0" applyBorder="0" applyAlignment="0" applyProtection="0"/>
    <xf numFmtId="0" fontId="30" fillId="0" borderId="55"/>
    <xf numFmtId="0" fontId="5" fillId="0" borderId="55"/>
    <xf numFmtId="9" fontId="5" fillId="0" borderId="55" applyFont="0" applyFill="0" applyBorder="0" applyAlignment="0" applyProtection="0"/>
    <xf numFmtId="44" fontId="4" fillId="0" borderId="55" applyFont="0" applyFill="0" applyBorder="0" applyAlignment="0" applyProtection="0"/>
    <xf numFmtId="166" fontId="3" fillId="0" borderId="55" applyFont="0" applyFill="0" applyBorder="0" applyAlignment="0" applyProtection="0"/>
    <xf numFmtId="187" fontId="3" fillId="0" borderId="55" applyFont="0" applyFill="0" applyBorder="0" applyAlignment="0" applyProtection="0"/>
    <xf numFmtId="0" fontId="3" fillId="0" borderId="55"/>
    <xf numFmtId="164" fontId="2" fillId="0" borderId="55" applyFont="0" applyFill="0" applyBorder="0" applyAlignment="0" applyProtection="0"/>
    <xf numFmtId="166" fontId="2" fillId="0" borderId="55" applyFont="0" applyFill="0" applyBorder="0" applyAlignment="0" applyProtection="0"/>
    <xf numFmtId="166" fontId="35" fillId="0" borderId="0" applyFont="0" applyFill="0" applyBorder="0" applyAlignment="0" applyProtection="0"/>
  </cellStyleXfs>
  <cellXfs count="839">
    <xf numFmtId="0" fontId="0" fillId="0" borderId="0" xfId="0"/>
    <xf numFmtId="0" fontId="8" fillId="0" borderId="0" xfId="0" applyFont="1"/>
    <xf numFmtId="167" fontId="8" fillId="0" borderId="0" xfId="0" applyNumberFormat="1" applyFont="1"/>
    <xf numFmtId="168" fontId="8" fillId="0" borderId="0" xfId="0" applyNumberFormat="1" applyFont="1"/>
    <xf numFmtId="0" fontId="8" fillId="0" borderId="0" xfId="0" applyFont="1" applyAlignment="1">
      <alignment vertical="center"/>
    </xf>
    <xf numFmtId="167" fontId="9" fillId="0" borderId="0" xfId="0" applyNumberFormat="1" applyFont="1" applyAlignment="1">
      <alignment horizontal="center" vertical="center" wrapText="1"/>
    </xf>
    <xf numFmtId="168" fontId="9" fillId="0" borderId="0" xfId="0" applyNumberFormat="1" applyFont="1" applyAlignment="1">
      <alignment horizontal="center" vertical="center" wrapText="1"/>
    </xf>
    <xf numFmtId="169" fontId="8" fillId="0" borderId="0" xfId="0" applyNumberFormat="1" applyFont="1"/>
    <xf numFmtId="170" fontId="8" fillId="0" borderId="0" xfId="0" applyNumberFormat="1" applyFont="1" applyAlignment="1">
      <alignment horizontal="center" vertical="center"/>
    </xf>
    <xf numFmtId="0" fontId="9" fillId="0" borderId="0" xfId="0" applyFont="1" applyAlignment="1">
      <alignment horizontal="center" vertical="center"/>
    </xf>
    <xf numFmtId="171" fontId="8" fillId="0" borderId="0" xfId="0" applyNumberFormat="1" applyFont="1"/>
    <xf numFmtId="168" fontId="14" fillId="7" borderId="15" xfId="0" applyNumberFormat="1" applyFont="1" applyFill="1" applyBorder="1" applyAlignment="1">
      <alignment horizontal="center" vertical="center"/>
    </xf>
    <xf numFmtId="0" fontId="14" fillId="7" borderId="17" xfId="0" applyFont="1" applyFill="1" applyBorder="1" applyAlignment="1">
      <alignment horizontal="center" vertical="center"/>
    </xf>
    <xf numFmtId="167" fontId="9" fillId="6" borderId="13" xfId="0" applyNumberFormat="1" applyFont="1" applyFill="1" applyBorder="1" applyAlignment="1">
      <alignment horizontal="center" vertical="center"/>
    </xf>
    <xf numFmtId="168" fontId="9" fillId="6" borderId="15" xfId="0" applyNumberFormat="1" applyFont="1" applyFill="1" applyBorder="1" applyAlignment="1">
      <alignment horizontal="center" vertical="center"/>
    </xf>
    <xf numFmtId="0" fontId="9" fillId="0" borderId="13" xfId="0" applyFont="1" applyBorder="1" applyAlignment="1">
      <alignment horizontal="center" vertical="center"/>
    </xf>
    <xf numFmtId="168" fontId="9" fillId="0" borderId="15" xfId="0" applyNumberFormat="1" applyFont="1" applyBorder="1" applyAlignment="1">
      <alignment horizontal="center" vertical="center"/>
    </xf>
    <xf numFmtId="0" fontId="9" fillId="8" borderId="13" xfId="0" applyFont="1" applyFill="1" applyBorder="1" applyAlignment="1">
      <alignment horizontal="center" vertical="center"/>
    </xf>
    <xf numFmtId="168" fontId="9" fillId="8" borderId="8" xfId="0" applyNumberFormat="1" applyFont="1" applyFill="1" applyBorder="1" applyAlignment="1">
      <alignment horizontal="center" vertical="center"/>
    </xf>
    <xf numFmtId="169" fontId="9" fillId="8" borderId="15" xfId="0" applyNumberFormat="1" applyFont="1" applyFill="1" applyBorder="1" applyAlignment="1">
      <alignment horizontal="center" vertical="center"/>
    </xf>
    <xf numFmtId="0" fontId="14" fillId="7" borderId="18" xfId="0" applyFont="1" applyFill="1" applyBorder="1" applyAlignment="1">
      <alignment horizontal="center" vertical="center"/>
    </xf>
    <xf numFmtId="168" fontId="14" fillId="7" borderId="19" xfId="0" applyNumberFormat="1" applyFont="1" applyFill="1" applyBorder="1" applyAlignment="1">
      <alignment horizontal="center" vertical="center"/>
    </xf>
    <xf numFmtId="169" fontId="14" fillId="7" borderId="20" xfId="0" applyNumberFormat="1" applyFont="1" applyFill="1" applyBorder="1" applyAlignment="1">
      <alignment horizontal="center" vertical="center"/>
    </xf>
    <xf numFmtId="168" fontId="8" fillId="9" borderId="25" xfId="0" applyNumberFormat="1" applyFont="1" applyFill="1" applyBorder="1" applyAlignment="1">
      <alignment horizontal="center" vertical="center"/>
    </xf>
    <xf numFmtId="173" fontId="8" fillId="0" borderId="24" xfId="0" applyNumberFormat="1" applyFont="1" applyBorder="1" applyAlignment="1">
      <alignment horizontal="center" vertical="center"/>
    </xf>
    <xf numFmtId="168" fontId="8" fillId="0" borderId="25" xfId="0" applyNumberFormat="1" applyFont="1" applyBorder="1" applyAlignment="1">
      <alignment horizontal="center" vertical="center"/>
    </xf>
    <xf numFmtId="2" fontId="8" fillId="9" borderId="24" xfId="0" applyNumberFormat="1" applyFont="1" applyFill="1" applyBorder="1" applyAlignment="1">
      <alignment horizontal="center" vertical="center"/>
    </xf>
    <xf numFmtId="9" fontId="8" fillId="9" borderId="26" xfId="0" applyNumberFormat="1" applyFont="1" applyFill="1" applyBorder="1" applyAlignment="1">
      <alignment horizontal="center" vertical="center"/>
    </xf>
    <xf numFmtId="0" fontId="8" fillId="0" borderId="0" xfId="0" applyFont="1" applyAlignment="1">
      <alignment horizontal="left" vertical="center"/>
    </xf>
    <xf numFmtId="168" fontId="9" fillId="2" borderId="22" xfId="0" applyNumberFormat="1" applyFont="1" applyFill="1" applyBorder="1" applyAlignment="1">
      <alignment horizontal="center" vertical="center"/>
    </xf>
    <xf numFmtId="4" fontId="9" fillId="2" borderId="23" xfId="0" applyNumberFormat="1" applyFont="1" applyFill="1" applyBorder="1" applyAlignment="1">
      <alignment horizontal="center" vertical="center"/>
    </xf>
    <xf numFmtId="167" fontId="9" fillId="3" borderId="21" xfId="0" applyNumberFormat="1" applyFont="1" applyFill="1" applyBorder="1" applyAlignment="1">
      <alignment horizontal="center" vertical="center"/>
    </xf>
    <xf numFmtId="168" fontId="9" fillId="0" borderId="22" xfId="0" applyNumberFormat="1" applyFont="1" applyBorder="1" applyAlignment="1">
      <alignment horizontal="center" vertical="center"/>
    </xf>
    <xf numFmtId="167" fontId="9" fillId="0" borderId="21" xfId="0" applyNumberFormat="1" applyFont="1" applyBorder="1" applyAlignment="1">
      <alignment horizontal="center" vertical="center"/>
    </xf>
    <xf numFmtId="2" fontId="8" fillId="0" borderId="21" xfId="0" applyNumberFormat="1" applyFont="1" applyBorder="1" applyAlignment="1">
      <alignment horizontal="center" vertical="center"/>
    </xf>
    <xf numFmtId="168" fontId="8" fillId="0" borderId="22" xfId="0" applyNumberFormat="1" applyFont="1" applyBorder="1" applyAlignment="1">
      <alignment horizontal="center" vertical="center"/>
    </xf>
    <xf numFmtId="4" fontId="8" fillId="0" borderId="0" xfId="0" applyNumberFormat="1" applyFont="1"/>
    <xf numFmtId="168" fontId="8" fillId="10" borderId="22" xfId="0" applyNumberFormat="1" applyFont="1" applyFill="1" applyBorder="1" applyAlignment="1">
      <alignment horizontal="right" vertical="center"/>
    </xf>
    <xf numFmtId="4" fontId="8" fillId="10" borderId="23" xfId="0" applyNumberFormat="1" applyFont="1" applyFill="1" applyBorder="1" applyAlignment="1">
      <alignment horizontal="center" vertical="center"/>
    </xf>
    <xf numFmtId="173" fontId="8" fillId="10" borderId="21" xfId="0" applyNumberFormat="1" applyFont="1" applyFill="1" applyBorder="1" applyAlignment="1">
      <alignment horizontal="center" vertical="center"/>
    </xf>
    <xf numFmtId="168" fontId="8" fillId="10" borderId="22" xfId="0" applyNumberFormat="1" applyFont="1" applyFill="1" applyBorder="1" applyAlignment="1">
      <alignment horizontal="center" vertical="center"/>
    </xf>
    <xf numFmtId="173" fontId="8" fillId="0" borderId="21" xfId="0" applyNumberFormat="1" applyFont="1" applyBorder="1" applyAlignment="1">
      <alignment horizontal="center" vertical="center"/>
    </xf>
    <xf numFmtId="2" fontId="8" fillId="10" borderId="21" xfId="0" applyNumberFormat="1" applyFont="1" applyFill="1" applyBorder="1" applyAlignment="1">
      <alignment horizontal="center" vertical="center"/>
    </xf>
    <xf numFmtId="9" fontId="8" fillId="10" borderId="26" xfId="0" applyNumberFormat="1" applyFont="1" applyFill="1" applyBorder="1" applyAlignment="1">
      <alignment horizontal="center" vertical="center"/>
    </xf>
    <xf numFmtId="0" fontId="8" fillId="0" borderId="1" xfId="0" applyFont="1" applyBorder="1" applyAlignment="1">
      <alignment horizontal="center" vertical="center" wrapText="1"/>
    </xf>
    <xf numFmtId="0" fontId="8" fillId="0" borderId="1" xfId="0" applyFont="1" applyBorder="1" applyAlignment="1">
      <alignment vertical="center" wrapText="1"/>
    </xf>
    <xf numFmtId="0" fontId="8" fillId="0" borderId="1" xfId="0" applyFont="1" applyBorder="1" applyAlignment="1">
      <alignment horizontal="center" vertical="center"/>
    </xf>
    <xf numFmtId="168" fontId="8" fillId="0" borderId="1" xfId="0" applyNumberFormat="1" applyFont="1" applyBorder="1" applyAlignment="1">
      <alignment horizontal="right" vertical="center"/>
    </xf>
    <xf numFmtId="168" fontId="8" fillId="2" borderId="22" xfId="0" applyNumberFormat="1" applyFont="1" applyFill="1" applyBorder="1" applyAlignment="1">
      <alignment horizontal="right" vertical="center"/>
    </xf>
    <xf numFmtId="4" fontId="8" fillId="2" borderId="23" xfId="0" applyNumberFormat="1" applyFont="1" applyFill="1" applyBorder="1" applyAlignment="1">
      <alignment horizontal="center" vertical="center"/>
    </xf>
    <xf numFmtId="167" fontId="8" fillId="3" borderId="21" xfId="0" applyNumberFormat="1" applyFont="1" applyFill="1" applyBorder="1" applyAlignment="1">
      <alignment horizontal="center" vertical="center"/>
    </xf>
    <xf numFmtId="0" fontId="8" fillId="0" borderId="1" xfId="0" applyFont="1" applyBorder="1" applyAlignment="1">
      <alignment horizontal="left" vertical="center" wrapText="1"/>
    </xf>
    <xf numFmtId="2" fontId="8" fillId="0" borderId="1" xfId="0" applyNumberFormat="1" applyFont="1" applyBorder="1" applyAlignment="1">
      <alignment horizontal="center" vertical="center"/>
    </xf>
    <xf numFmtId="173" fontId="8" fillId="3" borderId="21" xfId="0" applyNumberFormat="1" applyFont="1" applyFill="1" applyBorder="1" applyAlignment="1">
      <alignment horizontal="center" vertical="center"/>
    </xf>
    <xf numFmtId="2" fontId="8" fillId="0" borderId="1" xfId="0" applyNumberFormat="1" applyFont="1" applyBorder="1" applyAlignment="1">
      <alignment horizontal="center" vertical="center" wrapText="1"/>
    </xf>
    <xf numFmtId="168" fontId="9" fillId="10" borderId="22" xfId="0" applyNumberFormat="1" applyFont="1" applyFill="1" applyBorder="1" applyAlignment="1">
      <alignment horizontal="right" vertical="center"/>
    </xf>
    <xf numFmtId="168" fontId="9" fillId="0" borderId="22" xfId="0" applyNumberFormat="1" applyFont="1" applyBorder="1" applyAlignment="1">
      <alignment horizontal="right" vertical="center"/>
    </xf>
    <xf numFmtId="10" fontId="12" fillId="0" borderId="1" xfId="0" applyNumberFormat="1" applyFont="1" applyBorder="1" applyAlignment="1">
      <alignment horizontal="center" vertical="center"/>
    </xf>
    <xf numFmtId="168" fontId="8" fillId="0" borderId="22" xfId="0" applyNumberFormat="1" applyFont="1" applyBorder="1" applyAlignment="1">
      <alignment horizontal="right" vertical="center"/>
    </xf>
    <xf numFmtId="10" fontId="12" fillId="0" borderId="28" xfId="0" applyNumberFormat="1" applyFont="1" applyBorder="1" applyAlignment="1">
      <alignment horizontal="center" vertical="center"/>
    </xf>
    <xf numFmtId="168" fontId="8" fillId="0" borderId="29" xfId="0" applyNumberFormat="1" applyFont="1" applyBorder="1" applyAlignment="1">
      <alignment horizontal="right" vertical="center"/>
    </xf>
    <xf numFmtId="168" fontId="9" fillId="10" borderId="15" xfId="0" applyNumberFormat="1" applyFont="1" applyFill="1" applyBorder="1" applyAlignment="1">
      <alignment horizontal="right" vertical="center"/>
    </xf>
    <xf numFmtId="4" fontId="8" fillId="10" borderId="17" xfId="0" applyNumberFormat="1" applyFont="1" applyFill="1" applyBorder="1" applyAlignment="1">
      <alignment horizontal="center" vertical="center"/>
    </xf>
    <xf numFmtId="173" fontId="8" fillId="10" borderId="13" xfId="0" applyNumberFormat="1" applyFont="1" applyFill="1" applyBorder="1" applyAlignment="1">
      <alignment horizontal="center" vertical="center"/>
    </xf>
    <xf numFmtId="2" fontId="8" fillId="10" borderId="13" xfId="0" applyNumberFormat="1" applyFont="1" applyFill="1" applyBorder="1" applyAlignment="1">
      <alignment horizontal="center" vertical="center"/>
    </xf>
    <xf numFmtId="9" fontId="8" fillId="10" borderId="30" xfId="0" applyNumberFormat="1" applyFont="1" applyFill="1" applyBorder="1" applyAlignment="1">
      <alignment horizontal="center" vertical="center"/>
    </xf>
    <xf numFmtId="170" fontId="8" fillId="0" borderId="0" xfId="0" applyNumberFormat="1" applyFont="1"/>
    <xf numFmtId="0" fontId="14" fillId="7" borderId="21" xfId="0" applyFont="1" applyFill="1" applyBorder="1" applyAlignment="1">
      <alignment horizontal="center" vertical="center"/>
    </xf>
    <xf numFmtId="167" fontId="9" fillId="6" borderId="21" xfId="0" applyNumberFormat="1" applyFont="1" applyFill="1" applyBorder="1" applyAlignment="1">
      <alignment horizontal="center" vertical="center"/>
    </xf>
    <xf numFmtId="168" fontId="9" fillId="6" borderId="22" xfId="0" applyNumberFormat="1" applyFont="1" applyFill="1" applyBorder="1" applyAlignment="1">
      <alignment horizontal="center" vertical="center"/>
    </xf>
    <xf numFmtId="0" fontId="9" fillId="8" borderId="21" xfId="0" applyFont="1" applyFill="1" applyBorder="1" applyAlignment="1">
      <alignment horizontal="center" vertical="center"/>
    </xf>
    <xf numFmtId="168" fontId="9" fillId="8" borderId="1" xfId="0" applyNumberFormat="1" applyFont="1" applyFill="1" applyBorder="1" applyAlignment="1">
      <alignment horizontal="center" vertical="center"/>
    </xf>
    <xf numFmtId="169" fontId="9" fillId="8" borderId="22" xfId="0" applyNumberFormat="1" applyFont="1" applyFill="1" applyBorder="1" applyAlignment="1">
      <alignment horizontal="center" vertical="center"/>
    </xf>
    <xf numFmtId="168" fontId="14" fillId="7" borderId="1" xfId="0" applyNumberFormat="1" applyFont="1" applyFill="1" applyBorder="1" applyAlignment="1">
      <alignment horizontal="center" vertical="center"/>
    </xf>
    <xf numFmtId="169" fontId="14" fillId="7" borderId="22" xfId="0" applyNumberFormat="1" applyFont="1" applyFill="1" applyBorder="1" applyAlignment="1">
      <alignment horizontal="center" vertical="center"/>
    </xf>
    <xf numFmtId="168" fontId="8" fillId="0" borderId="1" xfId="0" applyNumberFormat="1" applyFont="1" applyBorder="1" applyAlignment="1">
      <alignment horizontal="center" vertical="center"/>
    </xf>
    <xf numFmtId="168" fontId="8" fillId="10" borderId="1" xfId="0" applyNumberFormat="1" applyFont="1" applyFill="1" applyBorder="1" applyAlignment="1">
      <alignment horizontal="center" vertical="center"/>
    </xf>
    <xf numFmtId="9" fontId="8" fillId="10" borderId="22" xfId="0" applyNumberFormat="1" applyFont="1" applyFill="1" applyBorder="1" applyAlignment="1">
      <alignment horizontal="center" vertical="center"/>
    </xf>
    <xf numFmtId="168" fontId="9" fillId="10" borderId="1" xfId="0" applyNumberFormat="1" applyFont="1" applyFill="1" applyBorder="1" applyAlignment="1">
      <alignment horizontal="right" vertical="center"/>
    </xf>
    <xf numFmtId="9" fontId="8" fillId="0" borderId="22" xfId="0" applyNumberFormat="1" applyFont="1" applyBorder="1" applyAlignment="1">
      <alignment horizontal="center" vertical="center"/>
    </xf>
    <xf numFmtId="4" fontId="8" fillId="2" borderId="17" xfId="0" applyNumberFormat="1" applyFont="1" applyFill="1" applyBorder="1" applyAlignment="1">
      <alignment horizontal="center" vertical="center"/>
    </xf>
    <xf numFmtId="168" fontId="8" fillId="2" borderId="15" xfId="0" applyNumberFormat="1" applyFont="1" applyFill="1" applyBorder="1" applyAlignment="1">
      <alignment horizontal="right" vertical="center"/>
    </xf>
    <xf numFmtId="173" fontId="8" fillId="3" borderId="13" xfId="0" applyNumberFormat="1" applyFont="1" applyFill="1" applyBorder="1" applyAlignment="1">
      <alignment horizontal="center" vertical="center"/>
    </xf>
    <xf numFmtId="168" fontId="8" fillId="0" borderId="15" xfId="0" applyNumberFormat="1" applyFont="1" applyBorder="1" applyAlignment="1">
      <alignment horizontal="center" vertical="center"/>
    </xf>
    <xf numFmtId="173" fontId="8" fillId="0" borderId="13" xfId="0" applyNumberFormat="1" applyFont="1" applyBorder="1" applyAlignment="1">
      <alignment horizontal="center" vertical="center"/>
    </xf>
    <xf numFmtId="2" fontId="8" fillId="0" borderId="13" xfId="0" applyNumberFormat="1" applyFont="1" applyBorder="1" applyAlignment="1">
      <alignment horizontal="center" vertical="center"/>
    </xf>
    <xf numFmtId="168" fontId="8" fillId="0" borderId="8" xfId="0" applyNumberFormat="1" applyFont="1" applyBorder="1" applyAlignment="1">
      <alignment horizontal="center" vertical="center"/>
    </xf>
    <xf numFmtId="9" fontId="8" fillId="0" borderId="15" xfId="0" applyNumberFormat="1" applyFont="1" applyBorder="1" applyAlignment="1">
      <alignment horizontal="center" vertical="center"/>
    </xf>
    <xf numFmtId="168" fontId="9" fillId="12" borderId="32" xfId="0" applyNumberFormat="1" applyFont="1" applyFill="1" applyBorder="1" applyAlignment="1">
      <alignment horizontal="right"/>
    </xf>
    <xf numFmtId="168" fontId="9" fillId="0" borderId="32" xfId="0" applyNumberFormat="1" applyFont="1" applyBorder="1" applyAlignment="1">
      <alignment horizontal="right"/>
    </xf>
    <xf numFmtId="168" fontId="9" fillId="13" borderId="32" xfId="0" applyNumberFormat="1" applyFont="1" applyFill="1" applyBorder="1" applyAlignment="1">
      <alignment horizontal="right"/>
    </xf>
    <xf numFmtId="169" fontId="8" fillId="0" borderId="0" xfId="0" applyNumberFormat="1" applyFont="1" applyAlignment="1">
      <alignment vertical="center"/>
    </xf>
    <xf numFmtId="168" fontId="9" fillId="14" borderId="32" xfId="0" applyNumberFormat="1" applyFont="1" applyFill="1" applyBorder="1" applyAlignment="1">
      <alignment horizontal="right"/>
    </xf>
    <xf numFmtId="168" fontId="8" fillId="0" borderId="0" xfId="0" applyNumberFormat="1" applyFont="1" applyAlignment="1">
      <alignment vertical="center"/>
    </xf>
    <xf numFmtId="10" fontId="12" fillId="0" borderId="22" xfId="0" applyNumberFormat="1" applyFont="1" applyBorder="1" applyAlignment="1">
      <alignment horizontal="center" vertical="center"/>
    </xf>
    <xf numFmtId="168" fontId="8" fillId="0" borderId="33" xfId="0" applyNumberFormat="1" applyFont="1" applyBorder="1" applyAlignment="1">
      <alignment horizontal="right"/>
    </xf>
    <xf numFmtId="168" fontId="9" fillId="12" borderId="34" xfId="0" applyNumberFormat="1" applyFont="1" applyFill="1" applyBorder="1" applyAlignment="1">
      <alignment horizontal="right"/>
    </xf>
    <xf numFmtId="168" fontId="9" fillId="0" borderId="34" xfId="0" applyNumberFormat="1" applyFont="1" applyBorder="1" applyAlignment="1">
      <alignment horizontal="right"/>
    </xf>
    <xf numFmtId="168" fontId="9" fillId="13" borderId="34" xfId="0" applyNumberFormat="1" applyFont="1" applyFill="1" applyBorder="1" applyAlignment="1">
      <alignment horizontal="right"/>
    </xf>
    <xf numFmtId="168" fontId="9" fillId="14" borderId="34" xfId="0" applyNumberFormat="1" applyFont="1" applyFill="1" applyBorder="1" applyAlignment="1">
      <alignment horizontal="right"/>
    </xf>
    <xf numFmtId="10" fontId="8" fillId="0" borderId="0" xfId="0" applyNumberFormat="1" applyFont="1" applyAlignment="1">
      <alignment vertical="center"/>
    </xf>
    <xf numFmtId="0" fontId="8" fillId="0" borderId="0" xfId="0" applyFont="1" applyAlignment="1">
      <alignment horizontal="center" vertical="center" wrapText="1"/>
    </xf>
    <xf numFmtId="0" fontId="9" fillId="0" borderId="0" xfId="0" applyFont="1" applyAlignment="1">
      <alignment horizontal="left" vertical="center" wrapText="1"/>
    </xf>
    <xf numFmtId="0" fontId="8" fillId="0" borderId="0" xfId="0" applyFont="1" applyAlignment="1">
      <alignment horizontal="center" vertical="center"/>
    </xf>
    <xf numFmtId="10" fontId="9" fillId="0" borderId="35" xfId="0" applyNumberFormat="1" applyFont="1" applyBorder="1" applyAlignment="1">
      <alignment horizontal="center"/>
    </xf>
    <xf numFmtId="10" fontId="8" fillId="0" borderId="0" xfId="0" applyNumberFormat="1" applyFont="1"/>
    <xf numFmtId="10" fontId="9" fillId="0" borderId="0" xfId="0" applyNumberFormat="1" applyFont="1"/>
    <xf numFmtId="10" fontId="9" fillId="0" borderId="0" xfId="0" applyNumberFormat="1" applyFont="1" applyAlignment="1">
      <alignment horizontal="right"/>
    </xf>
    <xf numFmtId="10" fontId="8" fillId="0" borderId="0" xfId="0" applyNumberFormat="1" applyFont="1" applyAlignment="1">
      <alignment horizontal="center" vertical="center"/>
    </xf>
    <xf numFmtId="168" fontId="9" fillId="0" borderId="0" xfId="0" applyNumberFormat="1" applyFont="1" applyAlignment="1">
      <alignment horizontal="center"/>
    </xf>
    <xf numFmtId="167" fontId="8" fillId="0" borderId="0" xfId="0" applyNumberFormat="1" applyFont="1" applyAlignment="1">
      <alignment vertical="center"/>
    </xf>
    <xf numFmtId="0" fontId="9" fillId="0" borderId="0" xfId="0" applyFont="1" applyAlignment="1">
      <alignment horizontal="center"/>
    </xf>
    <xf numFmtId="167" fontId="9" fillId="0" borderId="0" xfId="0" applyNumberFormat="1" applyFont="1" applyAlignment="1">
      <alignment horizontal="center"/>
    </xf>
    <xf numFmtId="0" fontId="12" fillId="0" borderId="0" xfId="0" applyFont="1" applyAlignment="1">
      <alignment vertical="center" wrapText="1"/>
    </xf>
    <xf numFmtId="167" fontId="8" fillId="0" borderId="0" xfId="0" applyNumberFormat="1" applyFont="1" applyAlignment="1">
      <alignment horizontal="center"/>
    </xf>
    <xf numFmtId="168" fontId="8" fillId="0" borderId="0" xfId="0" applyNumberFormat="1" applyFont="1" applyAlignment="1">
      <alignment horizontal="center"/>
    </xf>
    <xf numFmtId="0" fontId="8" fillId="0" borderId="0" xfId="0" applyFont="1" applyAlignment="1">
      <alignment horizontal="center"/>
    </xf>
    <xf numFmtId="0" fontId="16" fillId="0" borderId="0" xfId="0" applyFont="1"/>
    <xf numFmtId="0" fontId="17" fillId="0" borderId="0" xfId="0" applyFont="1"/>
    <xf numFmtId="0" fontId="20" fillId="15" borderId="1" xfId="0" applyFont="1" applyFill="1" applyBorder="1" applyAlignment="1">
      <alignment horizontal="center" vertical="center" wrapText="1"/>
    </xf>
    <xf numFmtId="2" fontId="19" fillId="0" borderId="1" xfId="0" applyNumberFormat="1" applyFont="1" applyBorder="1" applyAlignment="1">
      <alignment horizontal="center"/>
    </xf>
    <xf numFmtId="168" fontId="9" fillId="0" borderId="21" xfId="0" applyNumberFormat="1" applyFont="1" applyBorder="1" applyAlignment="1">
      <alignment vertical="center"/>
    </xf>
    <xf numFmtId="168" fontId="9" fillId="0" borderId="1" xfId="0" applyNumberFormat="1" applyFont="1" applyBorder="1" applyAlignment="1">
      <alignment vertical="center"/>
    </xf>
    <xf numFmtId="0" fontId="19" fillId="0" borderId="1" xfId="0" applyFont="1" applyBorder="1" applyAlignment="1">
      <alignment horizontal="center"/>
    </xf>
    <xf numFmtId="0" fontId="17" fillId="3" borderId="21" xfId="0" applyFont="1" applyFill="1" applyBorder="1" applyAlignment="1">
      <alignment horizontal="center"/>
    </xf>
    <xf numFmtId="0" fontId="17" fillId="3" borderId="1" xfId="0" applyFont="1" applyFill="1" applyBorder="1" applyAlignment="1">
      <alignment horizontal="center"/>
    </xf>
    <xf numFmtId="2" fontId="17" fillId="3" borderId="1" xfId="0" applyNumberFormat="1" applyFont="1" applyFill="1" applyBorder="1" applyAlignment="1">
      <alignment horizontal="center"/>
    </xf>
    <xf numFmtId="176" fontId="17" fillId="3" borderId="21" xfId="0" applyNumberFormat="1" applyFont="1" applyFill="1" applyBorder="1" applyAlignment="1">
      <alignment horizontal="center"/>
    </xf>
    <xf numFmtId="0" fontId="17" fillId="0" borderId="0" xfId="0" applyFont="1" applyAlignment="1">
      <alignment horizontal="center"/>
    </xf>
    <xf numFmtId="0" fontId="17" fillId="0" borderId="36" xfId="0" applyFont="1" applyBorder="1"/>
    <xf numFmtId="0" fontId="17" fillId="0" borderId="37" xfId="0" applyFont="1" applyBorder="1"/>
    <xf numFmtId="0" fontId="17" fillId="0" borderId="38" xfId="0" applyFont="1" applyBorder="1"/>
    <xf numFmtId="0" fontId="17" fillId="0" borderId="39" xfId="0" applyFont="1" applyBorder="1"/>
    <xf numFmtId="0" fontId="21" fillId="0" borderId="0" xfId="0" applyFont="1"/>
    <xf numFmtId="0" fontId="21" fillId="3" borderId="1" xfId="0" applyFont="1" applyFill="1" applyBorder="1" applyAlignment="1">
      <alignment horizontal="center"/>
    </xf>
    <xf numFmtId="0" fontId="21" fillId="3" borderId="1" xfId="0" applyFont="1" applyFill="1" applyBorder="1" applyAlignment="1">
      <alignment horizontal="center" vertical="center"/>
    </xf>
    <xf numFmtId="0" fontId="17" fillId="3" borderId="44" xfId="0" applyFont="1" applyFill="1" applyBorder="1" applyAlignment="1">
      <alignment horizontal="center"/>
    </xf>
    <xf numFmtId="0" fontId="21" fillId="0" borderId="0" xfId="0" applyFont="1" applyAlignment="1">
      <alignment horizontal="center"/>
    </xf>
    <xf numFmtId="0" fontId="17" fillId="3" borderId="1" xfId="0" applyFont="1" applyFill="1" applyBorder="1" applyAlignment="1">
      <alignment horizontal="center" vertical="center"/>
    </xf>
    <xf numFmtId="177" fontId="19" fillId="0" borderId="1" xfId="0" applyNumberFormat="1" applyFont="1" applyBorder="1" applyAlignment="1">
      <alignment horizontal="center"/>
    </xf>
    <xf numFmtId="0" fontId="17" fillId="3" borderId="49" xfId="0" applyFont="1" applyFill="1" applyBorder="1" applyAlignment="1">
      <alignment vertical="center"/>
    </xf>
    <xf numFmtId="0" fontId="17" fillId="3" borderId="28" xfId="0" applyFont="1" applyFill="1" applyBorder="1" applyAlignment="1">
      <alignment horizontal="center" vertical="center"/>
    </xf>
    <xf numFmtId="0" fontId="17" fillId="3" borderId="50" xfId="0" applyFont="1" applyFill="1" applyBorder="1" applyAlignment="1">
      <alignment vertical="center"/>
    </xf>
    <xf numFmtId="1" fontId="21" fillId="3" borderId="1" xfId="0" applyNumberFormat="1" applyFont="1" applyFill="1" applyBorder="1" applyAlignment="1">
      <alignment horizontal="center"/>
    </xf>
    <xf numFmtId="2" fontId="21" fillId="3" borderId="1" xfId="0" applyNumberFormat="1" applyFont="1" applyFill="1" applyBorder="1" applyAlignment="1">
      <alignment horizontal="center"/>
    </xf>
    <xf numFmtId="0" fontId="17" fillId="3" borderId="1" xfId="0" applyFont="1" applyFill="1" applyBorder="1" applyAlignment="1">
      <alignment vertical="center"/>
    </xf>
    <xf numFmtId="0" fontId="17" fillId="0" borderId="36" xfId="0" applyFont="1" applyBorder="1" applyAlignment="1">
      <alignment horizontal="center"/>
    </xf>
    <xf numFmtId="0" fontId="17" fillId="0" borderId="37" xfId="0" applyFont="1" applyBorder="1" applyAlignment="1">
      <alignment horizontal="center"/>
    </xf>
    <xf numFmtId="177" fontId="17" fillId="3" borderId="1" xfId="0" applyNumberFormat="1" applyFont="1" applyFill="1" applyBorder="1" applyAlignment="1">
      <alignment horizontal="center"/>
    </xf>
    <xf numFmtId="0" fontId="17" fillId="3" borderId="21" xfId="0" applyFont="1" applyFill="1" applyBorder="1" applyAlignment="1">
      <alignment horizontal="center" vertical="center"/>
    </xf>
    <xf numFmtId="0" fontId="17" fillId="3" borderId="44" xfId="0" applyFont="1" applyFill="1" applyBorder="1" applyAlignment="1">
      <alignment horizontal="left"/>
    </xf>
    <xf numFmtId="0" fontId="17" fillId="3" borderId="1" xfId="0" applyFont="1" applyFill="1" applyBorder="1" applyAlignment="1">
      <alignment horizontal="left"/>
    </xf>
    <xf numFmtId="2" fontId="17" fillId="3" borderId="23" xfId="0" applyNumberFormat="1" applyFont="1" applyFill="1" applyBorder="1" applyAlignment="1">
      <alignment horizontal="center" vertical="center"/>
    </xf>
    <xf numFmtId="0" fontId="17" fillId="3" borderId="21" xfId="0" applyFont="1" applyFill="1" applyBorder="1" applyAlignment="1">
      <alignment horizontal="left"/>
    </xf>
    <xf numFmtId="2" fontId="17" fillId="3" borderId="1" xfId="0" applyNumberFormat="1" applyFont="1" applyFill="1" applyBorder="1" applyAlignment="1">
      <alignment horizontal="center" vertical="center"/>
    </xf>
    <xf numFmtId="0" fontId="17" fillId="3" borderId="21" xfId="0" applyFont="1" applyFill="1" applyBorder="1" applyAlignment="1">
      <alignment horizontal="left" wrapText="1"/>
    </xf>
    <xf numFmtId="0" fontId="17" fillId="3" borderId="21" xfId="0" applyFont="1" applyFill="1" applyBorder="1" applyAlignment="1">
      <alignment horizontal="left" vertical="center" wrapText="1"/>
    </xf>
    <xf numFmtId="0" fontId="17" fillId="3" borderId="21" xfId="0" applyFont="1" applyFill="1" applyBorder="1" applyAlignment="1">
      <alignment horizontal="left" vertical="center"/>
    </xf>
    <xf numFmtId="176" fontId="21" fillId="3" borderId="21" xfId="0" applyNumberFormat="1" applyFont="1" applyFill="1" applyBorder="1" applyAlignment="1">
      <alignment horizontal="center"/>
    </xf>
    <xf numFmtId="2" fontId="21" fillId="3" borderId="1" xfId="0" applyNumberFormat="1" applyFont="1" applyFill="1" applyBorder="1" applyAlignment="1">
      <alignment horizontal="center" vertical="center"/>
    </xf>
    <xf numFmtId="0" fontId="17" fillId="3" borderId="23" xfId="0" applyFont="1" applyFill="1" applyBorder="1" applyAlignment="1">
      <alignment horizontal="left"/>
    </xf>
    <xf numFmtId="0" fontId="17" fillId="3" borderId="50" xfId="0" applyFont="1" applyFill="1" applyBorder="1" applyAlignment="1">
      <alignment horizontal="center" vertical="center"/>
    </xf>
    <xf numFmtId="2" fontId="17" fillId="16" borderId="1" xfId="0" applyNumberFormat="1" applyFont="1" applyFill="1" applyBorder="1" applyAlignment="1">
      <alignment horizontal="center"/>
    </xf>
    <xf numFmtId="0" fontId="21" fillId="3" borderId="21" xfId="0" applyFont="1" applyFill="1" applyBorder="1" applyAlignment="1">
      <alignment horizontal="center"/>
    </xf>
    <xf numFmtId="0" fontId="17" fillId="16" borderId="1" xfId="0" applyFont="1" applyFill="1" applyBorder="1" applyAlignment="1">
      <alignment horizontal="center"/>
    </xf>
    <xf numFmtId="0" fontId="17" fillId="3" borderId="21" xfId="0" applyFont="1" applyFill="1" applyBorder="1" applyAlignment="1">
      <alignment vertical="center"/>
    </xf>
    <xf numFmtId="0" fontId="22" fillId="0" borderId="0" xfId="0" applyFont="1"/>
    <xf numFmtId="0" fontId="17" fillId="3" borderId="27" xfId="0" applyFont="1" applyFill="1" applyBorder="1" applyAlignment="1">
      <alignment horizontal="center"/>
    </xf>
    <xf numFmtId="0" fontId="17" fillId="3" borderId="23" xfId="0" applyFont="1" applyFill="1" applyBorder="1" applyAlignment="1">
      <alignment horizontal="center"/>
    </xf>
    <xf numFmtId="178" fontId="23" fillId="0" borderId="0" xfId="0" applyNumberFormat="1" applyFont="1"/>
    <xf numFmtId="178" fontId="23" fillId="0" borderId="0" xfId="0" applyNumberFormat="1" applyFont="1" applyAlignment="1">
      <alignment horizontal="center"/>
    </xf>
    <xf numFmtId="178" fontId="24" fillId="0" borderId="0" xfId="0" applyNumberFormat="1" applyFont="1" applyAlignment="1">
      <alignment horizontal="center" vertical="center"/>
    </xf>
    <xf numFmtId="178" fontId="24" fillId="0" borderId="0" xfId="0" applyNumberFormat="1" applyFont="1"/>
    <xf numFmtId="180" fontId="23" fillId="0" borderId="0" xfId="0" applyNumberFormat="1" applyFont="1" applyAlignment="1">
      <alignment horizontal="left"/>
    </xf>
    <xf numFmtId="1" fontId="23" fillId="0" borderId="0" xfId="0" applyNumberFormat="1" applyFont="1" applyAlignment="1">
      <alignment horizontal="left"/>
    </xf>
    <xf numFmtId="178" fontId="23" fillId="0" borderId="0" xfId="0" applyNumberFormat="1" applyFont="1" applyAlignment="1">
      <alignment horizontal="left" vertical="center" wrapText="1"/>
    </xf>
    <xf numFmtId="178" fontId="24" fillId="0" borderId="0" xfId="0" applyNumberFormat="1" applyFont="1" applyAlignment="1">
      <alignment horizontal="center"/>
    </xf>
    <xf numFmtId="178" fontId="25" fillId="0" borderId="0" xfId="0" applyNumberFormat="1" applyFont="1"/>
    <xf numFmtId="178" fontId="26" fillId="0" borderId="0" xfId="0" applyNumberFormat="1" applyFont="1" applyAlignment="1">
      <alignment horizontal="center"/>
    </xf>
    <xf numFmtId="181" fontId="23" fillId="0" borderId="0" xfId="0" applyNumberFormat="1" applyFont="1" applyAlignment="1">
      <alignment horizontal="center" vertical="center"/>
    </xf>
    <xf numFmtId="182" fontId="25" fillId="0" borderId="0" xfId="0" applyNumberFormat="1" applyFont="1" applyAlignment="1">
      <alignment vertical="center"/>
    </xf>
    <xf numFmtId="182" fontId="26" fillId="0" borderId="0" xfId="0" applyNumberFormat="1" applyFont="1" applyAlignment="1">
      <alignment vertical="center"/>
    </xf>
    <xf numFmtId="178" fontId="23" fillId="0" borderId="0" xfId="0" applyNumberFormat="1" applyFont="1" applyAlignment="1">
      <alignment vertical="center"/>
    </xf>
    <xf numFmtId="181" fontId="24" fillId="0" borderId="0" xfId="0" applyNumberFormat="1" applyFont="1" applyAlignment="1">
      <alignment horizontal="center" vertical="center"/>
    </xf>
    <xf numFmtId="178" fontId="24" fillId="0" borderId="0" xfId="0" applyNumberFormat="1" applyFont="1" applyAlignment="1">
      <alignment horizontal="right"/>
    </xf>
    <xf numFmtId="178" fontId="26" fillId="0" borderId="0" xfId="0" applyNumberFormat="1" applyFont="1"/>
    <xf numFmtId="182" fontId="25" fillId="0" borderId="0" xfId="0" applyNumberFormat="1" applyFont="1"/>
    <xf numFmtId="182" fontId="26" fillId="0" borderId="0" xfId="0" applyNumberFormat="1" applyFont="1"/>
    <xf numFmtId="10" fontId="25" fillId="0" borderId="0" xfId="0" applyNumberFormat="1" applyFont="1" applyAlignment="1">
      <alignment horizontal="center"/>
    </xf>
    <xf numFmtId="10" fontId="26" fillId="0" borderId="0" xfId="0" applyNumberFormat="1" applyFont="1" applyAlignment="1">
      <alignment horizontal="center"/>
    </xf>
    <xf numFmtId="182" fontId="26" fillId="0" borderId="1" xfId="0" applyNumberFormat="1" applyFont="1" applyBorder="1"/>
    <xf numFmtId="178" fontId="7" fillId="0" borderId="0" xfId="0" applyNumberFormat="1" applyFont="1" applyAlignment="1">
      <alignment vertical="center"/>
    </xf>
    <xf numFmtId="178" fontId="7" fillId="0" borderId="0" xfId="0" applyNumberFormat="1" applyFont="1" applyAlignment="1">
      <alignment vertical="center" wrapText="1"/>
    </xf>
    <xf numFmtId="178" fontId="7" fillId="0" borderId="0" xfId="0" applyNumberFormat="1" applyFont="1" applyAlignment="1">
      <alignment horizontal="left" vertical="center"/>
    </xf>
    <xf numFmtId="178" fontId="24" fillId="0" borderId="0" xfId="0" applyNumberFormat="1" applyFont="1" applyAlignment="1">
      <alignment horizontal="right" vertical="center"/>
    </xf>
    <xf numFmtId="182" fontId="26" fillId="0" borderId="1" xfId="0" applyNumberFormat="1" applyFont="1" applyBorder="1" applyAlignment="1">
      <alignment vertical="center"/>
    </xf>
    <xf numFmtId="183" fontId="25" fillId="0" borderId="0" xfId="0" applyNumberFormat="1" applyFont="1"/>
    <xf numFmtId="183" fontId="27" fillId="0" borderId="0" xfId="0" applyNumberFormat="1" applyFont="1"/>
    <xf numFmtId="178" fontId="28" fillId="0" borderId="0" xfId="0" applyNumberFormat="1" applyFont="1" applyAlignment="1">
      <alignment horizontal="center" vertical="center" wrapText="1"/>
    </xf>
    <xf numFmtId="178" fontId="23" fillId="0" borderId="0" xfId="0" applyNumberFormat="1" applyFont="1" applyAlignment="1">
      <alignment vertical="top" wrapText="1"/>
    </xf>
    <xf numFmtId="178" fontId="24" fillId="0" borderId="0" xfId="0" applyNumberFormat="1" applyFont="1" applyAlignment="1">
      <alignment vertical="top" wrapText="1"/>
    </xf>
    <xf numFmtId="178" fontId="24" fillId="0" borderId="0" xfId="0" applyNumberFormat="1" applyFont="1" applyAlignment="1">
      <alignment vertical="center"/>
    </xf>
    <xf numFmtId="178" fontId="24" fillId="0" borderId="0" xfId="0" applyNumberFormat="1" applyFont="1" applyAlignment="1">
      <alignment horizontal="left" vertical="center" wrapText="1"/>
    </xf>
    <xf numFmtId="178" fontId="23" fillId="0" borderId="0" xfId="0" applyNumberFormat="1" applyFont="1" applyAlignment="1">
      <alignment vertical="center" wrapText="1"/>
    </xf>
    <xf numFmtId="0" fontId="17" fillId="3" borderId="42" xfId="0" applyFont="1" applyFill="1" applyBorder="1" applyAlignment="1">
      <alignment horizontal="center" vertical="center"/>
    </xf>
    <xf numFmtId="0" fontId="17" fillId="3" borderId="42" xfId="0" applyFont="1" applyFill="1" applyBorder="1" applyAlignment="1">
      <alignment horizontal="center" vertical="center" wrapText="1"/>
    </xf>
    <xf numFmtId="9" fontId="8" fillId="0" borderId="26" xfId="0" applyNumberFormat="1" applyFont="1" applyBorder="1" applyAlignment="1">
      <alignment horizontal="center" vertical="center"/>
    </xf>
    <xf numFmtId="9" fontId="8" fillId="0" borderId="55" xfId="0" applyNumberFormat="1" applyFont="1" applyBorder="1" applyAlignment="1">
      <alignment horizontal="center" vertical="center"/>
    </xf>
    <xf numFmtId="0" fontId="19" fillId="0" borderId="27" xfId="0" applyFont="1" applyBorder="1" applyAlignment="1">
      <alignment horizontal="center"/>
    </xf>
    <xf numFmtId="0" fontId="17" fillId="0" borderId="56" xfId="0" applyFont="1" applyBorder="1"/>
    <xf numFmtId="0" fontId="17" fillId="0" borderId="57" xfId="0" applyFont="1" applyBorder="1"/>
    <xf numFmtId="168" fontId="9" fillId="0" borderId="28" xfId="0" applyNumberFormat="1" applyFont="1" applyBorder="1" applyAlignment="1">
      <alignment vertical="center"/>
    </xf>
    <xf numFmtId="0" fontId="17" fillId="3" borderId="40" xfId="0" applyFont="1" applyFill="1" applyBorder="1" applyAlignment="1">
      <alignment horizontal="center" vertical="center"/>
    </xf>
    <xf numFmtId="0" fontId="17" fillId="3" borderId="28" xfId="0" applyFont="1" applyFill="1" applyBorder="1" applyAlignment="1">
      <alignment horizontal="center" vertical="center" wrapText="1"/>
    </xf>
    <xf numFmtId="0" fontId="17" fillId="3" borderId="40" xfId="0" applyFont="1" applyFill="1" applyBorder="1" applyAlignment="1">
      <alignment horizontal="center"/>
    </xf>
    <xf numFmtId="0" fontId="17" fillId="3" borderId="28" xfId="0" applyFont="1" applyFill="1" applyBorder="1" applyAlignment="1">
      <alignment vertical="center"/>
    </xf>
    <xf numFmtId="0" fontId="8" fillId="9" borderId="55" xfId="0" applyFont="1" applyFill="1" applyBorder="1"/>
    <xf numFmtId="0" fontId="8" fillId="10" borderId="55" xfId="0" applyFont="1" applyFill="1" applyBorder="1"/>
    <xf numFmtId="0" fontId="8" fillId="0" borderId="61" xfId="0" applyFont="1" applyBorder="1" applyAlignment="1">
      <alignment horizontal="center" vertical="center" wrapText="1"/>
    </xf>
    <xf numFmtId="4" fontId="8" fillId="2" borderId="45" xfId="0" applyNumberFormat="1" applyFont="1" applyFill="1" applyBorder="1" applyAlignment="1">
      <alignment horizontal="center" vertical="center"/>
    </xf>
    <xf numFmtId="173" fontId="8" fillId="3" borderId="40" xfId="0" applyNumberFormat="1" applyFont="1" applyFill="1" applyBorder="1" applyAlignment="1">
      <alignment horizontal="center" vertical="center"/>
    </xf>
    <xf numFmtId="0" fontId="8" fillId="0" borderId="61" xfId="3" applyFont="1" applyBorder="1" applyAlignment="1">
      <alignment horizontal="center" vertical="center" wrapText="1"/>
    </xf>
    <xf numFmtId="2" fontId="8" fillId="0" borderId="61" xfId="0" applyNumberFormat="1" applyFont="1" applyBorder="1" applyAlignment="1">
      <alignment horizontal="center" vertical="center"/>
    </xf>
    <xf numFmtId="0" fontId="8" fillId="0" borderId="61" xfId="0" applyFont="1" applyBorder="1" applyAlignment="1">
      <alignment horizontal="center" vertical="center"/>
    </xf>
    <xf numFmtId="0" fontId="16" fillId="0" borderId="0" xfId="0" applyFont="1" applyAlignment="1">
      <alignment vertical="center" wrapText="1"/>
    </xf>
    <xf numFmtId="0" fontId="17" fillId="0" borderId="56" xfId="0" applyFont="1" applyBorder="1" applyAlignment="1">
      <alignment horizontal="center"/>
    </xf>
    <xf numFmtId="0" fontId="17" fillId="3" borderId="42" xfId="0" applyFont="1" applyFill="1" applyBorder="1" applyAlignment="1">
      <alignment vertical="center"/>
    </xf>
    <xf numFmtId="176" fontId="17" fillId="0" borderId="56" xfId="0" applyNumberFormat="1" applyFont="1" applyBorder="1" applyAlignment="1">
      <alignment horizontal="center"/>
    </xf>
    <xf numFmtId="0" fontId="17" fillId="0" borderId="57" xfId="0" applyFont="1" applyBorder="1" applyAlignment="1">
      <alignment horizontal="center"/>
    </xf>
    <xf numFmtId="0" fontId="17" fillId="3" borderId="41" xfId="0" applyFont="1" applyFill="1" applyBorder="1" applyAlignment="1">
      <alignment horizontal="center" vertical="center"/>
    </xf>
    <xf numFmtId="0" fontId="17" fillId="3" borderId="41" xfId="0" applyFont="1" applyFill="1" applyBorder="1" applyAlignment="1">
      <alignment vertical="center"/>
    </xf>
    <xf numFmtId="0" fontId="17" fillId="11" borderId="55" xfId="0" applyFont="1" applyFill="1" applyBorder="1"/>
    <xf numFmtId="0" fontId="17" fillId="0" borderId="55" xfId="0" applyFont="1" applyBorder="1"/>
    <xf numFmtId="181" fontId="23" fillId="0" borderId="53" xfId="0" applyNumberFormat="1" applyFont="1" applyBorder="1" applyAlignment="1">
      <alignment horizontal="center" vertical="center"/>
    </xf>
    <xf numFmtId="182" fontId="26" fillId="0" borderId="52" xfId="0" applyNumberFormat="1" applyFont="1" applyBorder="1"/>
    <xf numFmtId="182" fontId="25" fillId="0" borderId="52" xfId="0" applyNumberFormat="1" applyFont="1" applyBorder="1"/>
    <xf numFmtId="183" fontId="25" fillId="0" borderId="52" xfId="0" applyNumberFormat="1" applyFont="1" applyBorder="1"/>
    <xf numFmtId="178" fontId="23" fillId="0" borderId="53" xfId="0" applyNumberFormat="1" applyFont="1" applyBorder="1"/>
    <xf numFmtId="178" fontId="23" fillId="0" borderId="53" xfId="0" applyNumberFormat="1" applyFont="1" applyBorder="1" applyAlignment="1">
      <alignment vertical="center" wrapText="1"/>
    </xf>
    <xf numFmtId="178" fontId="23" fillId="0" borderId="53" xfId="0" applyNumberFormat="1" applyFont="1" applyBorder="1" applyAlignment="1">
      <alignment vertical="center"/>
    </xf>
    <xf numFmtId="184" fontId="9" fillId="0" borderId="35" xfId="0" applyNumberFormat="1" applyFont="1" applyBorder="1" applyAlignment="1">
      <alignment horizontal="center"/>
    </xf>
    <xf numFmtId="185" fontId="9" fillId="0" borderId="0" xfId="0" applyNumberFormat="1" applyFont="1" applyAlignment="1">
      <alignment horizontal="right"/>
    </xf>
    <xf numFmtId="168" fontId="8" fillId="0" borderId="55" xfId="0" applyNumberFormat="1" applyFont="1" applyBorder="1"/>
    <xf numFmtId="0" fontId="8" fillId="0" borderId="55" xfId="0" applyFont="1" applyBorder="1"/>
    <xf numFmtId="167" fontId="8" fillId="0" borderId="55" xfId="0" applyNumberFormat="1" applyFont="1" applyBorder="1"/>
    <xf numFmtId="168" fontId="15" fillId="0" borderId="1" xfId="0" applyNumberFormat="1" applyFont="1" applyBorder="1" applyAlignment="1">
      <alignment horizontal="right" vertical="center"/>
    </xf>
    <xf numFmtId="0" fontId="12" fillId="0" borderId="27" xfId="0" applyFont="1" applyBorder="1" applyAlignment="1">
      <alignment horizontal="center" vertical="center" wrapText="1"/>
    </xf>
    <xf numFmtId="0" fontId="29" fillId="0" borderId="1" xfId="0" applyFont="1" applyBorder="1" applyAlignment="1">
      <alignment horizontal="left" vertical="top" wrapText="1"/>
    </xf>
    <xf numFmtId="165" fontId="12" fillId="0" borderId="23" xfId="0" applyNumberFormat="1" applyFont="1" applyBorder="1" applyAlignment="1">
      <alignment vertical="center"/>
    </xf>
    <xf numFmtId="0" fontId="8" fillId="0" borderId="28" xfId="0" applyFont="1" applyBorder="1" applyAlignment="1">
      <alignment horizontal="center" vertical="center"/>
    </xf>
    <xf numFmtId="169" fontId="12" fillId="2" borderId="53" xfId="0" applyNumberFormat="1" applyFont="1" applyFill="1" applyBorder="1" applyAlignment="1">
      <alignment horizontal="center" vertical="center"/>
    </xf>
    <xf numFmtId="168" fontId="8" fillId="3" borderId="42" xfId="0" applyNumberFormat="1" applyFont="1" applyFill="1" applyBorder="1" applyAlignment="1">
      <alignment horizontal="center"/>
    </xf>
    <xf numFmtId="169" fontId="9" fillId="2" borderId="55" xfId="0" applyNumberFormat="1" applyFont="1" applyFill="1" applyBorder="1" applyAlignment="1">
      <alignment horizontal="center" vertical="center"/>
    </xf>
    <xf numFmtId="168" fontId="8" fillId="3" borderId="28" xfId="0" applyNumberFormat="1" applyFont="1" applyFill="1" applyBorder="1" applyAlignment="1">
      <alignment horizontal="center" vertical="center"/>
    </xf>
    <xf numFmtId="1" fontId="9" fillId="3" borderId="8" xfId="0" applyNumberFormat="1" applyFont="1" applyFill="1" applyBorder="1" applyAlignment="1">
      <alignment horizontal="center" vertical="center"/>
    </xf>
    <xf numFmtId="168" fontId="10" fillId="0" borderId="8" xfId="0" applyNumberFormat="1" applyFont="1" applyBorder="1" applyAlignment="1">
      <alignment horizontal="center" vertical="center"/>
    </xf>
    <xf numFmtId="0" fontId="12" fillId="0" borderId="48" xfId="0" applyFont="1" applyBorder="1"/>
    <xf numFmtId="0" fontId="12" fillId="0" borderId="0" xfId="0" applyFont="1"/>
    <xf numFmtId="0" fontId="10" fillId="4" borderId="55" xfId="0" applyFont="1" applyFill="1" applyBorder="1" applyAlignment="1">
      <alignment horizontal="center"/>
    </xf>
    <xf numFmtId="167" fontId="9" fillId="4" borderId="55" xfId="0" applyNumberFormat="1" applyFont="1" applyFill="1" applyBorder="1" applyAlignment="1">
      <alignment horizontal="center" vertical="center"/>
    </xf>
    <xf numFmtId="168" fontId="9" fillId="4" borderId="55" xfId="0" applyNumberFormat="1" applyFont="1" applyFill="1" applyBorder="1" applyAlignment="1">
      <alignment horizontal="center" vertical="center"/>
    </xf>
    <xf numFmtId="0" fontId="9" fillId="4" borderId="55" xfId="0" applyFont="1" applyFill="1" applyBorder="1" applyAlignment="1">
      <alignment horizontal="center" vertical="center"/>
    </xf>
    <xf numFmtId="0" fontId="9" fillId="0" borderId="0" xfId="0" applyFont="1" applyAlignment="1">
      <alignment horizontal="center" vertical="center" wrapText="1"/>
    </xf>
    <xf numFmtId="44" fontId="8" fillId="0" borderId="61" xfId="6" applyFont="1" applyFill="1" applyBorder="1" applyAlignment="1">
      <alignment horizontal="right" vertical="center"/>
    </xf>
    <xf numFmtId="0" fontId="11" fillId="0" borderId="54" xfId="0" applyFont="1" applyBorder="1"/>
    <xf numFmtId="0" fontId="11" fillId="0" borderId="41" xfId="0" applyFont="1" applyBorder="1"/>
    <xf numFmtId="0" fontId="17" fillId="3" borderId="40" xfId="0" applyFont="1" applyFill="1" applyBorder="1"/>
    <xf numFmtId="168" fontId="8" fillId="18" borderId="22" xfId="0" applyNumberFormat="1" applyFont="1" applyFill="1" applyBorder="1" applyAlignment="1">
      <alignment horizontal="right" vertical="center"/>
    </xf>
    <xf numFmtId="4" fontId="8" fillId="18" borderId="23" xfId="0" applyNumberFormat="1" applyFont="1" applyFill="1" applyBorder="1" applyAlignment="1">
      <alignment horizontal="center" vertical="center"/>
    </xf>
    <xf numFmtId="173" fontId="8" fillId="18" borderId="24" xfId="0" applyNumberFormat="1" applyFont="1" applyFill="1" applyBorder="1" applyAlignment="1">
      <alignment horizontal="center" vertical="center"/>
    </xf>
    <xf numFmtId="168" fontId="8" fillId="18" borderId="25" xfId="0" applyNumberFormat="1" applyFont="1" applyFill="1" applyBorder="1" applyAlignment="1">
      <alignment horizontal="center" vertical="center"/>
    </xf>
    <xf numFmtId="173" fontId="8" fillId="20" borderId="24" xfId="0" applyNumberFormat="1" applyFont="1" applyFill="1" applyBorder="1" applyAlignment="1">
      <alignment horizontal="center" vertical="center"/>
    </xf>
    <xf numFmtId="168" fontId="8" fillId="20" borderId="25" xfId="0" applyNumberFormat="1" applyFont="1" applyFill="1" applyBorder="1" applyAlignment="1">
      <alignment horizontal="center" vertical="center"/>
    </xf>
    <xf numFmtId="2" fontId="8" fillId="18" borderId="24" xfId="0" applyNumberFormat="1" applyFont="1" applyFill="1" applyBorder="1" applyAlignment="1">
      <alignment horizontal="center" vertical="center"/>
    </xf>
    <xf numFmtId="9" fontId="8" fillId="18" borderId="26" xfId="0" applyNumberFormat="1" applyFont="1" applyFill="1" applyBorder="1" applyAlignment="1">
      <alignment horizontal="center" vertical="center"/>
    </xf>
    <xf numFmtId="0" fontId="31" fillId="21" borderId="65" xfId="0" applyFont="1" applyFill="1" applyBorder="1" applyAlignment="1" applyProtection="1">
      <alignment horizontal="center"/>
      <protection locked="0"/>
    </xf>
    <xf numFmtId="0" fontId="31" fillId="0" borderId="61" xfId="0" applyFont="1" applyBorder="1" applyAlignment="1" applyProtection="1">
      <alignment horizontal="center" wrapText="1"/>
      <protection locked="0"/>
    </xf>
    <xf numFmtId="2" fontId="31" fillId="0" borderId="61" xfId="0" applyNumberFormat="1" applyFont="1" applyBorder="1" applyAlignment="1" applyProtection="1">
      <alignment horizontal="center"/>
      <protection locked="0"/>
    </xf>
    <xf numFmtId="2" fontId="8" fillId="0" borderId="28" xfId="0" applyNumberFormat="1" applyFont="1" applyBorder="1" applyAlignment="1">
      <alignment horizontal="center" vertical="center"/>
    </xf>
    <xf numFmtId="0" fontId="29" fillId="0" borderId="53" xfId="0" applyFont="1" applyBorder="1" applyAlignment="1">
      <alignment horizontal="left" vertical="top" wrapText="1"/>
    </xf>
    <xf numFmtId="0" fontId="12" fillId="0" borderId="61" xfId="0" applyFont="1" applyBorder="1" applyAlignment="1">
      <alignment horizontal="center" vertical="center" wrapText="1"/>
    </xf>
    <xf numFmtId="0" fontId="12" fillId="0" borderId="62" xfId="0" applyFont="1" applyBorder="1" applyAlignment="1">
      <alignment horizontal="center" vertical="center" wrapText="1"/>
    </xf>
    <xf numFmtId="44" fontId="8" fillId="0" borderId="63" xfId="6" applyFont="1" applyFill="1" applyBorder="1" applyAlignment="1">
      <alignment horizontal="right" vertical="center"/>
    </xf>
    <xf numFmtId="0" fontId="31" fillId="21" borderId="65" xfId="0" applyFont="1" applyFill="1" applyBorder="1" applyAlignment="1" applyProtection="1">
      <alignment horizontal="center" vertical="center"/>
      <protection locked="0"/>
    </xf>
    <xf numFmtId="0" fontId="31" fillId="0" borderId="61" xfId="0" applyFont="1" applyBorder="1" applyAlignment="1" applyProtection="1">
      <alignment horizontal="center" vertical="center" wrapText="1"/>
      <protection locked="0"/>
    </xf>
    <xf numFmtId="2" fontId="31" fillId="0" borderId="61" xfId="0" applyNumberFormat="1" applyFont="1" applyBorder="1" applyAlignment="1" applyProtection="1">
      <alignment horizontal="center" vertical="center"/>
      <protection locked="0"/>
    </xf>
    <xf numFmtId="0" fontId="11" fillId="0" borderId="50" xfId="0" applyFont="1" applyBorder="1"/>
    <xf numFmtId="0" fontId="11" fillId="0" borderId="42" xfId="0" applyFont="1" applyBorder="1"/>
    <xf numFmtId="0" fontId="29" fillId="0" borderId="61" xfId="0" applyFont="1" applyBorder="1" applyAlignment="1">
      <alignment horizontal="left" vertical="top" wrapText="1"/>
    </xf>
    <xf numFmtId="0" fontId="29" fillId="0" borderId="63" xfId="0" applyFont="1" applyBorder="1" applyAlignment="1">
      <alignment horizontal="left" vertical="top" wrapText="1"/>
    </xf>
    <xf numFmtId="0" fontId="8" fillId="0" borderId="42" xfId="0" applyFont="1" applyBorder="1" applyAlignment="1">
      <alignment vertical="center" wrapText="1"/>
    </xf>
    <xf numFmtId="168" fontId="32" fillId="0" borderId="1" xfId="0" applyNumberFormat="1" applyFont="1" applyBorder="1" applyAlignment="1">
      <alignment horizontal="right" vertical="center"/>
    </xf>
    <xf numFmtId="0" fontId="8" fillId="0" borderId="61" xfId="1" applyFont="1" applyBorder="1" applyAlignment="1">
      <alignment vertical="center" wrapText="1"/>
    </xf>
    <xf numFmtId="169" fontId="33" fillId="0" borderId="0" xfId="0" applyNumberFormat="1" applyFont="1" applyAlignment="1">
      <alignment horizontal="center" vertical="center" wrapText="1"/>
    </xf>
    <xf numFmtId="169" fontId="29" fillId="0" borderId="0" xfId="0" applyNumberFormat="1" applyFont="1"/>
    <xf numFmtId="169" fontId="33" fillId="4" borderId="55" xfId="0" applyNumberFormat="1" applyFont="1" applyFill="1" applyBorder="1" applyAlignment="1">
      <alignment horizontal="center"/>
    </xf>
    <xf numFmtId="168" fontId="29" fillId="0" borderId="27" xfId="0" applyNumberFormat="1" applyFont="1" applyBorder="1" applyAlignment="1">
      <alignment horizontal="right" vertical="center"/>
    </xf>
    <xf numFmtId="168" fontId="29" fillId="0" borderId="60" xfId="0" applyNumberFormat="1" applyFont="1" applyBorder="1" applyAlignment="1">
      <alignment horizontal="right" vertical="center"/>
    </xf>
    <xf numFmtId="168" fontId="29" fillId="0" borderId="0" xfId="0" applyNumberFormat="1" applyFont="1"/>
    <xf numFmtId="168" fontId="33" fillId="12" borderId="32" xfId="0" applyNumberFormat="1" applyFont="1" applyFill="1" applyBorder="1" applyAlignment="1">
      <alignment horizontal="right"/>
    </xf>
    <xf numFmtId="168" fontId="29" fillId="0" borderId="33" xfId="0" applyNumberFormat="1" applyFont="1" applyBorder="1" applyAlignment="1">
      <alignment horizontal="right"/>
    </xf>
    <xf numFmtId="168" fontId="33" fillId="12" borderId="34" xfId="0" applyNumberFormat="1" applyFont="1" applyFill="1" applyBorder="1" applyAlignment="1">
      <alignment horizontal="right"/>
    </xf>
    <xf numFmtId="169" fontId="33" fillId="0" borderId="0" xfId="0" applyNumberFormat="1" applyFont="1" applyAlignment="1">
      <alignment horizontal="right"/>
    </xf>
    <xf numFmtId="169" fontId="33" fillId="0" borderId="0" xfId="0" applyNumberFormat="1" applyFont="1" applyAlignment="1">
      <alignment horizontal="center"/>
    </xf>
    <xf numFmtId="169" fontId="29" fillId="0" borderId="0" xfId="0" applyNumberFormat="1" applyFont="1" applyAlignment="1">
      <alignment vertical="center"/>
    </xf>
    <xf numFmtId="0" fontId="29" fillId="0" borderId="0" xfId="0" applyFont="1"/>
    <xf numFmtId="49" fontId="34" fillId="0" borderId="61" xfId="0" applyNumberFormat="1" applyFont="1" applyBorder="1" applyAlignment="1">
      <alignment horizontal="center" vertical="center"/>
    </xf>
    <xf numFmtId="49" fontId="34" fillId="0" borderId="61" xfId="0" applyNumberFormat="1" applyFont="1" applyBorder="1" applyAlignment="1">
      <alignment horizontal="center" vertical="center" wrapText="1"/>
    </xf>
    <xf numFmtId="0" fontId="12" fillId="0" borderId="1" xfId="0" applyFont="1" applyBorder="1" applyAlignment="1">
      <alignment vertical="center" wrapText="1"/>
    </xf>
    <xf numFmtId="0" fontId="12" fillId="0" borderId="61" xfId="0" applyFont="1" applyBorder="1" applyAlignment="1">
      <alignment vertical="center" wrapText="1"/>
    </xf>
    <xf numFmtId="0" fontId="12" fillId="0" borderId="61" xfId="0" applyFont="1" applyBorder="1" applyAlignment="1">
      <alignment horizontal="left" vertical="center" wrapText="1"/>
    </xf>
    <xf numFmtId="165" fontId="12" fillId="0" borderId="61" xfId="0" applyNumberFormat="1" applyFont="1" applyBorder="1" applyAlignment="1">
      <alignment horizontal="center" vertical="center"/>
    </xf>
    <xf numFmtId="0" fontId="12" fillId="0" borderId="63" xfId="0" applyFont="1" applyBorder="1" applyAlignment="1">
      <alignment horizontal="center" vertical="center" wrapText="1"/>
    </xf>
    <xf numFmtId="0" fontId="9" fillId="0" borderId="1" xfId="0" applyFont="1" applyBorder="1" applyAlignment="1">
      <alignment horizontal="center" vertical="center"/>
    </xf>
    <xf numFmtId="0" fontId="9" fillId="0" borderId="1" xfId="0" applyFont="1" applyBorder="1" applyAlignment="1">
      <alignment horizontal="center" vertical="center" wrapText="1"/>
    </xf>
    <xf numFmtId="172" fontId="9" fillId="0" borderId="1" xfId="0" applyNumberFormat="1" applyFont="1" applyBorder="1" applyAlignment="1">
      <alignment horizontal="center" vertical="center" wrapText="1"/>
    </xf>
    <xf numFmtId="169" fontId="33" fillId="0" borderId="27" xfId="0" applyNumberFormat="1" applyFont="1" applyBorder="1" applyAlignment="1">
      <alignment horizontal="center" vertical="center" wrapText="1"/>
    </xf>
    <xf numFmtId="165" fontId="12" fillId="0" borderId="61" xfId="0" applyNumberFormat="1" applyFont="1" applyBorder="1" applyAlignment="1">
      <alignment horizontal="right" vertical="center"/>
    </xf>
    <xf numFmtId="44" fontId="8" fillId="0" borderId="64" xfId="6" applyFont="1" applyFill="1" applyBorder="1" applyAlignment="1">
      <alignment horizontal="right" vertical="center"/>
    </xf>
    <xf numFmtId="44" fontId="8" fillId="0" borderId="73" xfId="6" applyFont="1" applyFill="1" applyBorder="1" applyAlignment="1">
      <alignment horizontal="right" vertical="center"/>
    </xf>
    <xf numFmtId="166" fontId="8" fillId="0" borderId="27" xfId="7" applyFont="1" applyBorder="1" applyAlignment="1">
      <alignment horizontal="right" vertical="center"/>
    </xf>
    <xf numFmtId="166" fontId="8" fillId="0" borderId="51" xfId="7" applyFont="1" applyFill="1" applyBorder="1" applyAlignment="1">
      <alignment horizontal="right" vertical="center"/>
    </xf>
    <xf numFmtId="186" fontId="34" fillId="0" borderId="1" xfId="0" applyNumberFormat="1" applyFont="1" applyBorder="1" applyAlignment="1">
      <alignment horizontal="center" vertical="center"/>
    </xf>
    <xf numFmtId="187" fontId="8" fillId="0" borderId="61" xfId="8" applyFont="1" applyFill="1" applyBorder="1" applyAlignment="1">
      <alignment horizontal="center" vertical="center"/>
    </xf>
    <xf numFmtId="168" fontId="8" fillId="22" borderId="23" xfId="0" applyNumberFormat="1" applyFont="1" applyFill="1" applyBorder="1" applyAlignment="1">
      <alignment vertical="center"/>
    </xf>
    <xf numFmtId="0" fontId="29" fillId="0" borderId="61" xfId="0" applyFont="1" applyBorder="1" applyAlignment="1">
      <alignment horizontal="justify" vertical="justify" wrapText="1"/>
    </xf>
    <xf numFmtId="0" fontId="12" fillId="0" borderId="28" xfId="0" applyFont="1" applyBorder="1" applyAlignment="1">
      <alignment horizontal="left" vertical="center" wrapText="1"/>
    </xf>
    <xf numFmtId="0" fontId="29" fillId="0" borderId="61" xfId="3" applyFont="1" applyBorder="1" applyAlignment="1">
      <alignment horizontal="center" vertical="center" wrapText="1"/>
    </xf>
    <xf numFmtId="168" fontId="32" fillId="0" borderId="61" xfId="0" applyNumberFormat="1" applyFont="1" applyBorder="1" applyAlignment="1">
      <alignment horizontal="right" vertical="center"/>
    </xf>
    <xf numFmtId="0" fontId="12" fillId="0" borderId="76" xfId="0" applyFont="1" applyBorder="1" applyAlignment="1">
      <alignment horizontal="center" vertical="center" wrapText="1"/>
    </xf>
    <xf numFmtId="165" fontId="15" fillId="0" borderId="73" xfId="0" applyNumberFormat="1" applyFont="1" applyBorder="1" applyAlignment="1">
      <alignment horizontal="center" vertical="center"/>
    </xf>
    <xf numFmtId="188" fontId="12" fillId="0" borderId="61" xfId="0" applyNumberFormat="1" applyFont="1" applyBorder="1" applyAlignment="1">
      <alignment horizontal="left" vertical="center"/>
    </xf>
    <xf numFmtId="2" fontId="12" fillId="0" borderId="61" xfId="0" applyNumberFormat="1" applyFont="1" applyBorder="1" applyAlignment="1">
      <alignment horizontal="center" vertical="center"/>
    </xf>
    <xf numFmtId="186" fontId="34" fillId="0" borderId="61" xfId="0" applyNumberFormat="1" applyFont="1" applyBorder="1" applyAlignment="1">
      <alignment horizontal="center" vertical="center"/>
    </xf>
    <xf numFmtId="173" fontId="8" fillId="3" borderId="41" xfId="0" applyNumberFormat="1" applyFont="1" applyFill="1" applyBorder="1" applyAlignment="1">
      <alignment horizontal="center" vertical="center"/>
    </xf>
    <xf numFmtId="167" fontId="8" fillId="3" borderId="41" xfId="0" applyNumberFormat="1" applyFont="1" applyFill="1" applyBorder="1" applyAlignment="1">
      <alignment horizontal="center" vertical="center"/>
    </xf>
    <xf numFmtId="0" fontId="17" fillId="3" borderId="61" xfId="0" applyFont="1" applyFill="1" applyBorder="1" applyAlignment="1">
      <alignment vertical="center"/>
    </xf>
    <xf numFmtId="2" fontId="29" fillId="0" borderId="61" xfId="0" applyNumberFormat="1" applyFont="1" applyBorder="1" applyAlignment="1">
      <alignment horizontal="center" vertical="center" wrapText="1"/>
    </xf>
    <xf numFmtId="0" fontId="8" fillId="0" borderId="61" xfId="0" applyFont="1" applyBorder="1" applyAlignment="1">
      <alignment vertical="center" wrapText="1"/>
    </xf>
    <xf numFmtId="0" fontId="8" fillId="0" borderId="27" xfId="0" applyFont="1" applyBorder="1" applyAlignment="1">
      <alignment vertical="center" wrapText="1"/>
    </xf>
    <xf numFmtId="0" fontId="29" fillId="0" borderId="62" xfId="0" applyFont="1" applyBorder="1" applyAlignment="1">
      <alignment horizontal="left" vertical="top" wrapText="1"/>
    </xf>
    <xf numFmtId="0" fontId="12" fillId="0" borderId="53" xfId="0" applyFont="1" applyBorder="1" applyAlignment="1">
      <alignment horizontal="center" vertical="center" wrapText="1"/>
    </xf>
    <xf numFmtId="0" fontId="8" fillId="0" borderId="60" xfId="0" applyFont="1" applyBorder="1" applyAlignment="1">
      <alignment vertical="center" wrapText="1"/>
    </xf>
    <xf numFmtId="49" fontId="34" fillId="0" borderId="77" xfId="0" applyNumberFormat="1" applyFont="1" applyBorder="1" applyAlignment="1">
      <alignment horizontal="center" vertical="center"/>
    </xf>
    <xf numFmtId="0" fontId="21" fillId="3" borderId="42" xfId="0" applyFont="1" applyFill="1" applyBorder="1" applyAlignment="1">
      <alignment horizontal="center"/>
    </xf>
    <xf numFmtId="168" fontId="32" fillId="0" borderId="23" xfId="0" applyNumberFormat="1" applyFont="1" applyBorder="1" applyAlignment="1">
      <alignment horizontal="right" vertical="center"/>
    </xf>
    <xf numFmtId="168" fontId="32" fillId="0" borderId="60" xfId="0" applyNumberFormat="1" applyFont="1" applyBorder="1" applyAlignment="1">
      <alignment horizontal="right" vertical="center"/>
    </xf>
    <xf numFmtId="0" fontId="29" fillId="22" borderId="63" xfId="0" applyFont="1" applyFill="1" applyBorder="1" applyAlignment="1">
      <alignment horizontal="justify" vertical="justify" wrapText="1"/>
    </xf>
    <xf numFmtId="0" fontId="29" fillId="0" borderId="72" xfId="0" applyFont="1" applyBorder="1" applyAlignment="1">
      <alignment horizontal="center" vertical="center"/>
    </xf>
    <xf numFmtId="49" fontId="34" fillId="22" borderId="61" xfId="0" applyNumberFormat="1" applyFont="1" applyFill="1" applyBorder="1" applyAlignment="1">
      <alignment horizontal="justify" vertical="top" wrapText="1"/>
    </xf>
    <xf numFmtId="49" fontId="34" fillId="0" borderId="75" xfId="0" applyNumberFormat="1" applyFont="1" applyBorder="1" applyAlignment="1">
      <alignment horizontal="justify" vertical="top" wrapText="1"/>
    </xf>
    <xf numFmtId="49" fontId="34" fillId="0" borderId="69" xfId="0" applyNumberFormat="1" applyFont="1" applyBorder="1" applyAlignment="1">
      <alignment horizontal="center" vertical="center"/>
    </xf>
    <xf numFmtId="168" fontId="32" fillId="0" borderId="28" xfId="0" applyNumberFormat="1" applyFont="1" applyBorder="1" applyAlignment="1">
      <alignment horizontal="right" vertical="center"/>
    </xf>
    <xf numFmtId="0" fontId="17" fillId="3" borderId="40" xfId="0" applyFont="1" applyFill="1" applyBorder="1" applyAlignment="1">
      <alignment vertical="center"/>
    </xf>
    <xf numFmtId="2" fontId="29" fillId="0" borderId="1" xfId="0" applyNumberFormat="1" applyFont="1" applyBorder="1" applyAlignment="1">
      <alignment horizontal="center" vertical="center" wrapText="1"/>
    </xf>
    <xf numFmtId="0" fontId="17" fillId="3" borderId="67" xfId="0" applyFont="1" applyFill="1" applyBorder="1" applyAlignment="1">
      <alignment horizontal="center" vertical="center"/>
    </xf>
    <xf numFmtId="0" fontId="17" fillId="3" borderId="78" xfId="0" applyFont="1" applyFill="1" applyBorder="1" applyAlignment="1">
      <alignment vertical="center"/>
    </xf>
    <xf numFmtId="176" fontId="17" fillId="3" borderId="44" xfId="0" applyNumberFormat="1" applyFont="1" applyFill="1" applyBorder="1" applyAlignment="1">
      <alignment horizontal="center"/>
    </xf>
    <xf numFmtId="0" fontId="17" fillId="3" borderId="61" xfId="0" applyFont="1" applyFill="1" applyBorder="1" applyAlignment="1">
      <alignment horizontal="center" vertical="center"/>
    </xf>
    <xf numFmtId="2" fontId="12" fillId="0" borderId="71" xfId="0" applyNumberFormat="1" applyFont="1" applyBorder="1" applyAlignment="1">
      <alignment horizontal="center" vertical="center"/>
    </xf>
    <xf numFmtId="2" fontId="12" fillId="0" borderId="76" xfId="0" applyNumberFormat="1" applyFont="1" applyBorder="1" applyAlignment="1">
      <alignment horizontal="center" vertical="center"/>
    </xf>
    <xf numFmtId="168" fontId="29" fillId="0" borderId="1" xfId="0" applyNumberFormat="1" applyFont="1" applyBorder="1" applyAlignment="1">
      <alignment horizontal="right" vertical="center"/>
    </xf>
    <xf numFmtId="2" fontId="12" fillId="0" borderId="61" xfId="9" applyNumberFormat="1" applyFont="1" applyBorder="1" applyAlignment="1">
      <alignment horizontal="center" vertical="center"/>
    </xf>
    <xf numFmtId="0" fontId="17" fillId="23" borderId="1" xfId="0" applyFont="1" applyFill="1" applyBorder="1" applyAlignment="1">
      <alignment vertical="center"/>
    </xf>
    <xf numFmtId="0" fontId="17" fillId="0" borderId="55" xfId="0" applyFont="1" applyBorder="1" applyAlignment="1">
      <alignment horizontal="center"/>
    </xf>
    <xf numFmtId="0" fontId="11" fillId="0" borderId="55" xfId="0" applyFont="1" applyBorder="1"/>
    <xf numFmtId="168" fontId="15" fillId="0" borderId="61" xfId="0" applyNumberFormat="1" applyFont="1" applyBorder="1" applyAlignment="1">
      <alignment horizontal="right" vertical="center"/>
    </xf>
    <xf numFmtId="168" fontId="29" fillId="0" borderId="55" xfId="0" applyNumberFormat="1" applyFont="1" applyBorder="1" applyAlignment="1">
      <alignment horizontal="right" vertical="center"/>
    </xf>
    <xf numFmtId="168" fontId="29" fillId="0" borderId="51" xfId="0" applyNumberFormat="1" applyFont="1" applyBorder="1" applyAlignment="1">
      <alignment horizontal="right" vertical="center"/>
    </xf>
    <xf numFmtId="0" fontId="21" fillId="3" borderId="1" xfId="0" applyFont="1" applyFill="1" applyBorder="1" applyAlignment="1">
      <alignment vertical="center"/>
    </xf>
    <xf numFmtId="169" fontId="33" fillId="10" borderId="6" xfId="0" applyNumberFormat="1" applyFont="1" applyFill="1" applyBorder="1" applyAlignment="1">
      <alignment horizontal="right" vertical="center"/>
    </xf>
    <xf numFmtId="165" fontId="32" fillId="0" borderId="61" xfId="0" applyNumberFormat="1" applyFont="1" applyBorder="1" applyAlignment="1">
      <alignment vertical="center"/>
    </xf>
    <xf numFmtId="165" fontId="12" fillId="0" borderId="55" xfId="0" applyNumberFormat="1" applyFont="1" applyBorder="1" applyAlignment="1">
      <alignment vertical="center"/>
    </xf>
    <xf numFmtId="165" fontId="12" fillId="0" borderId="61" xfId="0" applyNumberFormat="1" applyFont="1" applyBorder="1" applyAlignment="1">
      <alignment vertical="center"/>
    </xf>
    <xf numFmtId="0" fontId="9" fillId="5" borderId="88" xfId="0" applyFont="1" applyFill="1" applyBorder="1" applyAlignment="1">
      <alignment horizontal="center" vertical="center"/>
    </xf>
    <xf numFmtId="0" fontId="9" fillId="5" borderId="89" xfId="0" applyFont="1" applyFill="1" applyBorder="1" applyAlignment="1">
      <alignment horizontal="center" vertical="center"/>
    </xf>
    <xf numFmtId="0" fontId="9" fillId="5" borderId="90" xfId="0" applyFont="1" applyFill="1" applyBorder="1" applyAlignment="1">
      <alignment horizontal="center" vertical="center" wrapText="1"/>
    </xf>
    <xf numFmtId="0" fontId="9" fillId="6" borderId="91" xfId="0" applyFont="1" applyFill="1" applyBorder="1" applyAlignment="1">
      <alignment horizontal="center" vertical="center"/>
    </xf>
    <xf numFmtId="170" fontId="9" fillId="6" borderId="92" xfId="0" applyNumberFormat="1" applyFont="1" applyFill="1" applyBorder="1" applyAlignment="1">
      <alignment horizontal="center" vertical="center" wrapText="1"/>
    </xf>
    <xf numFmtId="169" fontId="33" fillId="6" borderId="94" xfId="0" applyNumberFormat="1" applyFont="1" applyFill="1" applyBorder="1" applyAlignment="1">
      <alignment horizontal="center" vertical="center"/>
    </xf>
    <xf numFmtId="168" fontId="29" fillId="0" borderId="62" xfId="0" applyNumberFormat="1" applyFont="1" applyBorder="1" applyAlignment="1">
      <alignment horizontal="right" vertical="center"/>
    </xf>
    <xf numFmtId="169" fontId="29" fillId="0" borderId="55" xfId="0" applyNumberFormat="1" applyFont="1" applyBorder="1"/>
    <xf numFmtId="168" fontId="8" fillId="10" borderId="26" xfId="0" applyNumberFormat="1" applyFont="1" applyFill="1" applyBorder="1" applyAlignment="1">
      <alignment horizontal="right" vertical="center"/>
    </xf>
    <xf numFmtId="0" fontId="14" fillId="7" borderId="95" xfId="0" applyFont="1" applyFill="1" applyBorder="1" applyAlignment="1">
      <alignment horizontal="center" vertical="center"/>
    </xf>
    <xf numFmtId="168" fontId="14" fillId="7" borderId="96" xfId="0" applyNumberFormat="1" applyFont="1" applyFill="1" applyBorder="1" applyAlignment="1">
      <alignment horizontal="center" vertical="center"/>
    </xf>
    <xf numFmtId="4" fontId="8" fillId="18" borderId="97" xfId="0" applyNumberFormat="1" applyFont="1" applyFill="1" applyBorder="1" applyAlignment="1">
      <alignment horizontal="center" vertical="center"/>
    </xf>
    <xf numFmtId="168" fontId="8" fillId="18" borderId="98" xfId="0" applyNumberFormat="1" applyFont="1" applyFill="1" applyBorder="1" applyAlignment="1">
      <alignment horizontal="right" vertical="center"/>
    </xf>
    <xf numFmtId="4" fontId="9" fillId="2" borderId="97" xfId="0" applyNumberFormat="1" applyFont="1" applyFill="1" applyBorder="1" applyAlignment="1">
      <alignment horizontal="center" vertical="center"/>
    </xf>
    <xf numFmtId="168" fontId="9" fillId="2" borderId="98" xfId="0" applyNumberFormat="1" applyFont="1" applyFill="1" applyBorder="1" applyAlignment="1">
      <alignment horizontal="center" vertical="center"/>
    </xf>
    <xf numFmtId="4" fontId="8" fillId="10" borderId="97" xfId="0" applyNumberFormat="1" applyFont="1" applyFill="1" applyBorder="1" applyAlignment="1">
      <alignment horizontal="center" vertical="center"/>
    </xf>
    <xf numFmtId="168" fontId="8" fillId="10" borderId="98" xfId="0" applyNumberFormat="1" applyFont="1" applyFill="1" applyBorder="1" applyAlignment="1">
      <alignment horizontal="right" vertical="center"/>
    </xf>
    <xf numFmtId="4" fontId="8" fillId="2" borderId="97" xfId="0" applyNumberFormat="1" applyFont="1" applyFill="1" applyBorder="1" applyAlignment="1">
      <alignment horizontal="center" vertical="center"/>
    </xf>
    <xf numFmtId="168" fontId="8" fillId="2" borderId="98" xfId="0" applyNumberFormat="1" applyFont="1" applyFill="1" applyBorder="1" applyAlignment="1">
      <alignment horizontal="right" vertical="center"/>
    </xf>
    <xf numFmtId="167" fontId="8" fillId="10" borderId="97" xfId="0" applyNumberFormat="1" applyFont="1" applyFill="1" applyBorder="1" applyAlignment="1">
      <alignment horizontal="center" vertical="center"/>
    </xf>
    <xf numFmtId="168" fontId="9" fillId="10" borderId="98" xfId="0" applyNumberFormat="1" applyFont="1" applyFill="1" applyBorder="1" applyAlignment="1">
      <alignment horizontal="right" vertical="center"/>
    </xf>
    <xf numFmtId="167" fontId="8" fillId="3" borderId="97" xfId="0" applyNumberFormat="1" applyFont="1" applyFill="1" applyBorder="1" applyAlignment="1">
      <alignment horizontal="center" vertical="center"/>
    </xf>
    <xf numFmtId="168" fontId="8" fillId="0" borderId="98" xfId="0" applyNumberFormat="1" applyFont="1" applyBorder="1" applyAlignment="1">
      <alignment horizontal="right" vertical="center"/>
    </xf>
    <xf numFmtId="167" fontId="8" fillId="3" borderId="99" xfId="0" applyNumberFormat="1" applyFont="1" applyFill="1" applyBorder="1" applyAlignment="1">
      <alignment horizontal="center" vertical="center"/>
    </xf>
    <xf numFmtId="168" fontId="8" fillId="0" borderId="100" xfId="0" applyNumberFormat="1" applyFont="1" applyBorder="1" applyAlignment="1">
      <alignment horizontal="right" vertical="center"/>
    </xf>
    <xf numFmtId="168" fontId="9" fillId="10" borderId="96" xfId="0" applyNumberFormat="1" applyFont="1" applyFill="1" applyBorder="1" applyAlignment="1">
      <alignment horizontal="right" vertical="center"/>
    </xf>
    <xf numFmtId="167" fontId="8" fillId="0" borderId="101" xfId="0" applyNumberFormat="1" applyFont="1" applyBorder="1"/>
    <xf numFmtId="168" fontId="8" fillId="0" borderId="102" xfId="0" applyNumberFormat="1" applyFont="1" applyBorder="1"/>
    <xf numFmtId="167" fontId="8" fillId="3" borderId="88" xfId="0" applyNumberFormat="1" applyFont="1" applyFill="1" applyBorder="1" applyAlignment="1">
      <alignment horizontal="center" vertical="center"/>
    </xf>
    <xf numFmtId="168" fontId="8" fillId="3" borderId="93" xfId="0" applyNumberFormat="1" applyFont="1" applyFill="1" applyBorder="1" applyAlignment="1">
      <alignment horizontal="center" vertical="center"/>
    </xf>
    <xf numFmtId="0" fontId="8" fillId="19" borderId="61" xfId="0" applyFont="1" applyFill="1" applyBorder="1" applyAlignment="1">
      <alignment horizontal="center" vertical="center"/>
    </xf>
    <xf numFmtId="168" fontId="8" fillId="0" borderId="27" xfId="0" applyNumberFormat="1" applyFont="1" applyBorder="1" applyAlignment="1">
      <alignment horizontal="center" vertical="center"/>
    </xf>
    <xf numFmtId="168" fontId="8" fillId="0" borderId="107" xfId="0" applyNumberFormat="1" applyFont="1" applyBorder="1" applyAlignment="1">
      <alignment horizontal="right" vertical="center"/>
    </xf>
    <xf numFmtId="0" fontId="9" fillId="0" borderId="0" xfId="0" applyFont="1" applyAlignment="1">
      <alignment vertical="center" wrapText="1"/>
    </xf>
    <xf numFmtId="0" fontId="29" fillId="0" borderId="1" xfId="0" applyFont="1" applyBorder="1" applyAlignment="1">
      <alignment vertical="center" wrapText="1"/>
    </xf>
    <xf numFmtId="0" fontId="8" fillId="0" borderId="74" xfId="0" applyFont="1" applyBorder="1" applyAlignment="1">
      <alignment horizontal="justify" vertical="center"/>
    </xf>
    <xf numFmtId="0" fontId="8" fillId="0" borderId="74" xfId="3" applyFont="1" applyBorder="1" applyAlignment="1">
      <alignment horizontal="center" vertical="center" wrapText="1"/>
    </xf>
    <xf numFmtId="2" fontId="8" fillId="0" borderId="74" xfId="1" applyNumberFormat="1" applyFont="1" applyBorder="1" applyAlignment="1">
      <alignment horizontal="center" vertical="center"/>
    </xf>
    <xf numFmtId="166" fontId="8" fillId="0" borderId="6" xfId="7" applyFont="1" applyFill="1" applyBorder="1" applyAlignment="1">
      <alignment horizontal="right" vertical="center"/>
    </xf>
    <xf numFmtId="167" fontId="8" fillId="10" borderId="17" xfId="0" applyNumberFormat="1" applyFont="1" applyFill="1" applyBorder="1" applyAlignment="1">
      <alignment horizontal="center" vertical="center"/>
    </xf>
    <xf numFmtId="168" fontId="33" fillId="10" borderId="61" xfId="0" applyNumberFormat="1" applyFont="1" applyFill="1" applyBorder="1" applyAlignment="1">
      <alignment horizontal="right" vertical="center"/>
    </xf>
    <xf numFmtId="173" fontId="8" fillId="10" borderId="49" xfId="0" applyNumberFormat="1" applyFont="1" applyFill="1" applyBorder="1" applyAlignment="1">
      <alignment horizontal="center" vertical="center"/>
    </xf>
    <xf numFmtId="168" fontId="8" fillId="10" borderId="61" xfId="0" applyNumberFormat="1" applyFont="1" applyFill="1" applyBorder="1" applyAlignment="1">
      <alignment horizontal="center" vertical="center"/>
    </xf>
    <xf numFmtId="173" fontId="8" fillId="10" borderId="44" xfId="0" applyNumberFormat="1" applyFont="1" applyFill="1" applyBorder="1" applyAlignment="1">
      <alignment horizontal="center" vertical="center"/>
    </xf>
    <xf numFmtId="168" fontId="8" fillId="0" borderId="31" xfId="0" applyNumberFormat="1" applyFont="1" applyBorder="1" applyAlignment="1">
      <alignment horizontal="right" vertical="center"/>
    </xf>
    <xf numFmtId="169" fontId="33" fillId="10" borderId="61" xfId="0" applyNumberFormat="1" applyFont="1" applyFill="1" applyBorder="1" applyAlignment="1">
      <alignment horizontal="right" vertical="center"/>
    </xf>
    <xf numFmtId="168" fontId="8" fillId="0" borderId="29" xfId="0" applyNumberFormat="1" applyFont="1" applyBorder="1" applyAlignment="1">
      <alignment horizontal="center" vertical="center"/>
    </xf>
    <xf numFmtId="0" fontId="8" fillId="19" borderId="1" xfId="0" applyFont="1" applyFill="1" applyBorder="1" applyAlignment="1">
      <alignment horizontal="center" vertical="center" wrapText="1"/>
    </xf>
    <xf numFmtId="49" fontId="34" fillId="19" borderId="69" xfId="0" applyNumberFormat="1" applyFont="1" applyFill="1" applyBorder="1" applyAlignment="1">
      <alignment horizontal="center" vertical="center" wrapText="1"/>
    </xf>
    <xf numFmtId="49" fontId="34" fillId="19" borderId="61" xfId="0" applyNumberFormat="1" applyFont="1" applyFill="1" applyBorder="1" applyAlignment="1">
      <alignment horizontal="center" vertical="center" wrapText="1"/>
    </xf>
    <xf numFmtId="0" fontId="8" fillId="19" borderId="28" xfId="0" applyFont="1" applyFill="1" applyBorder="1" applyAlignment="1">
      <alignment horizontal="center" vertical="center" wrapText="1"/>
    </xf>
    <xf numFmtId="0" fontId="8" fillId="19" borderId="78" xfId="0" applyFont="1" applyFill="1" applyBorder="1" applyAlignment="1">
      <alignment horizontal="center" vertical="center" wrapText="1"/>
    </xf>
    <xf numFmtId="49" fontId="34" fillId="0" borderId="61" xfId="0" applyNumberFormat="1" applyFont="1" applyBorder="1" applyAlignment="1">
      <alignment horizontal="left" vertical="center" wrapText="1"/>
    </xf>
    <xf numFmtId="173" fontId="8" fillId="3" borderId="49" xfId="0" applyNumberFormat="1" applyFont="1" applyFill="1" applyBorder="1" applyAlignment="1">
      <alignment horizontal="center" vertical="center"/>
    </xf>
    <xf numFmtId="168" fontId="8" fillId="0" borderId="55" xfId="0" applyNumberFormat="1" applyFont="1" applyBorder="1" applyAlignment="1">
      <alignment horizontal="right" vertical="center"/>
    </xf>
    <xf numFmtId="0" fontId="36" fillId="0" borderId="1" xfId="0" applyFont="1" applyBorder="1" applyAlignment="1">
      <alignment horizontal="center" vertical="center"/>
    </xf>
    <xf numFmtId="0" fontId="36" fillId="0" borderId="1" xfId="0" applyFont="1" applyBorder="1" applyAlignment="1">
      <alignment horizontal="center" vertical="center" wrapText="1"/>
    </xf>
    <xf numFmtId="172" fontId="36" fillId="0" borderId="1" xfId="0" applyNumberFormat="1" applyFont="1" applyBorder="1" applyAlignment="1">
      <alignment horizontal="center" vertical="center" wrapText="1"/>
    </xf>
    <xf numFmtId="169" fontId="38" fillId="0" borderId="27" xfId="0" applyNumberFormat="1" applyFont="1" applyBorder="1" applyAlignment="1">
      <alignment horizontal="center" vertical="center" wrapText="1"/>
    </xf>
    <xf numFmtId="0" fontId="39" fillId="7" borderId="97" xfId="0" applyFont="1" applyFill="1" applyBorder="1" applyAlignment="1">
      <alignment horizontal="center" vertical="center"/>
    </xf>
    <xf numFmtId="168" fontId="39" fillId="7" borderId="98" xfId="0" applyNumberFormat="1" applyFont="1" applyFill="1" applyBorder="1" applyAlignment="1">
      <alignment horizontal="center" vertical="center"/>
    </xf>
    <xf numFmtId="0" fontId="39" fillId="7" borderId="23" xfId="0" applyFont="1" applyFill="1" applyBorder="1" applyAlignment="1">
      <alignment horizontal="center" vertical="center"/>
    </xf>
    <xf numFmtId="168" fontId="39" fillId="7" borderId="22" xfId="0" applyNumberFormat="1" applyFont="1" applyFill="1" applyBorder="1" applyAlignment="1">
      <alignment horizontal="center" vertical="center"/>
    </xf>
    <xf numFmtId="0" fontId="38" fillId="10" borderId="27" xfId="0" applyFont="1" applyFill="1" applyBorder="1" applyAlignment="1">
      <alignment vertical="center"/>
    </xf>
    <xf numFmtId="0" fontId="40" fillId="10" borderId="23" xfId="0" applyFont="1" applyFill="1" applyBorder="1" applyAlignment="1">
      <alignment horizontal="left" vertical="center"/>
    </xf>
    <xf numFmtId="0" fontId="40" fillId="10" borderId="22" xfId="0" applyFont="1" applyFill="1" applyBorder="1" applyAlignment="1">
      <alignment horizontal="left" vertical="center"/>
    </xf>
    <xf numFmtId="0" fontId="41" fillId="0" borderId="61" xfId="0" applyFont="1" applyBorder="1" applyAlignment="1">
      <alignment horizontal="center" vertical="center" wrapText="1"/>
    </xf>
    <xf numFmtId="0" fontId="41" fillId="19" borderId="1" xfId="0" applyFont="1" applyFill="1" applyBorder="1" applyAlignment="1">
      <alignment horizontal="center" vertical="center" wrapText="1"/>
    </xf>
    <xf numFmtId="0" fontId="42" fillId="0" borderId="61" xfId="0" applyFont="1" applyBorder="1" applyAlignment="1">
      <alignment vertical="center" wrapText="1"/>
    </xf>
    <xf numFmtId="0" fontId="42" fillId="0" borderId="61" xfId="0" applyFont="1" applyBorder="1" applyAlignment="1">
      <alignment horizontal="center" vertical="center" wrapText="1"/>
    </xf>
    <xf numFmtId="2" fontId="42" fillId="0" borderId="61" xfId="9" applyNumberFormat="1" applyFont="1" applyBorder="1" applyAlignment="1">
      <alignment horizontal="center" vertical="center"/>
    </xf>
    <xf numFmtId="187" fontId="41" fillId="0" borderId="61" xfId="8" applyFont="1" applyFill="1" applyBorder="1" applyAlignment="1">
      <alignment horizontal="center" vertical="center"/>
    </xf>
    <xf numFmtId="168" fontId="37" fillId="0" borderId="27" xfId="0" applyNumberFormat="1" applyFont="1" applyBorder="1" applyAlignment="1">
      <alignment horizontal="right" vertical="center"/>
    </xf>
    <xf numFmtId="4" fontId="41" fillId="2" borderId="97" xfId="0" applyNumberFormat="1" applyFont="1" applyFill="1" applyBorder="1" applyAlignment="1">
      <alignment horizontal="center" vertical="center"/>
    </xf>
    <xf numFmtId="168" fontId="41" fillId="2" borderId="98" xfId="0" applyNumberFormat="1" applyFont="1" applyFill="1" applyBorder="1" applyAlignment="1">
      <alignment horizontal="right" vertical="center"/>
    </xf>
    <xf numFmtId="4" fontId="41" fillId="2" borderId="23" xfId="0" applyNumberFormat="1" applyFont="1" applyFill="1" applyBorder="1" applyAlignment="1">
      <alignment horizontal="center" vertical="center"/>
    </xf>
    <xf numFmtId="168" fontId="41" fillId="2" borderId="22" xfId="0" applyNumberFormat="1" applyFont="1" applyFill="1" applyBorder="1" applyAlignment="1">
      <alignment horizontal="right" vertical="center"/>
    </xf>
    <xf numFmtId="0" fontId="41" fillId="19" borderId="55" xfId="0" applyFont="1" applyFill="1" applyBorder="1" applyAlignment="1">
      <alignment horizontal="center" vertical="center" wrapText="1"/>
    </xf>
    <xf numFmtId="0" fontId="41" fillId="0" borderId="63" xfId="0" applyFont="1" applyBorder="1" applyAlignment="1">
      <alignment horizontal="center" vertical="center" wrapText="1"/>
    </xf>
    <xf numFmtId="2" fontId="41" fillId="0" borderId="63" xfId="1" applyNumberFormat="1" applyFont="1" applyBorder="1" applyAlignment="1">
      <alignment horizontal="center" vertical="center"/>
    </xf>
    <xf numFmtId="166" fontId="43" fillId="0" borderId="51" xfId="12" applyFont="1" applyBorder="1" applyAlignment="1">
      <alignment horizontal="right" vertical="center"/>
    </xf>
    <xf numFmtId="0" fontId="41" fillId="19" borderId="28" xfId="0" applyFont="1" applyFill="1" applyBorder="1" applyAlignment="1">
      <alignment horizontal="center" vertical="center" wrapText="1"/>
    </xf>
    <xf numFmtId="2" fontId="41" fillId="0" borderId="61" xfId="1" applyNumberFormat="1" applyFont="1" applyBorder="1" applyAlignment="1">
      <alignment horizontal="center" vertical="center"/>
    </xf>
    <xf numFmtId="166" fontId="43" fillId="0" borderId="61" xfId="12" applyFont="1" applyBorder="1" applyAlignment="1">
      <alignment horizontal="right" vertical="center"/>
    </xf>
    <xf numFmtId="4" fontId="41" fillId="2" borderId="105" xfId="0" applyNumberFormat="1" applyFont="1" applyFill="1" applyBorder="1" applyAlignment="1">
      <alignment horizontal="center" vertical="center"/>
    </xf>
    <xf numFmtId="0" fontId="42" fillId="0" borderId="64" xfId="0" applyFont="1" applyBorder="1" applyAlignment="1">
      <alignment vertical="center" wrapText="1"/>
    </xf>
    <xf numFmtId="166" fontId="43" fillId="0" borderId="55" xfId="12" applyFont="1" applyBorder="1" applyAlignment="1">
      <alignment horizontal="right" vertical="center"/>
    </xf>
    <xf numFmtId="0" fontId="41" fillId="0" borderId="61" xfId="1" applyFont="1" applyBorder="1" applyAlignment="1">
      <alignment horizontal="center" vertical="center" wrapText="1"/>
    </xf>
    <xf numFmtId="2" fontId="37" fillId="0" borderId="61" xfId="0" applyNumberFormat="1" applyFont="1" applyBorder="1" applyAlignment="1">
      <alignment horizontal="center" vertical="center"/>
    </xf>
    <xf numFmtId="166" fontId="41" fillId="0" borderId="27" xfId="12" applyFont="1" applyBorder="1" applyAlignment="1">
      <alignment horizontal="right" vertical="center"/>
    </xf>
    <xf numFmtId="0" fontId="41" fillId="0" borderId="61" xfId="3" applyFont="1" applyBorder="1" applyAlignment="1">
      <alignment horizontal="center" vertical="center" wrapText="1"/>
    </xf>
    <xf numFmtId="0" fontId="41" fillId="0" borderId="1" xfId="0" applyFont="1" applyBorder="1" applyAlignment="1">
      <alignment horizontal="center" vertical="center" wrapText="1"/>
    </xf>
    <xf numFmtId="2" fontId="41" fillId="0" borderId="1" xfId="0" applyNumberFormat="1" applyFont="1" applyBorder="1" applyAlignment="1">
      <alignment horizontal="center" vertical="center"/>
    </xf>
    <xf numFmtId="168" fontId="37" fillId="0" borderId="55" xfId="0" applyNumberFormat="1" applyFont="1" applyBorder="1" applyAlignment="1">
      <alignment horizontal="right" vertical="center"/>
    </xf>
    <xf numFmtId="0" fontId="41" fillId="0" borderId="28" xfId="0" applyFont="1" applyBorder="1" applyAlignment="1">
      <alignment horizontal="center" vertical="center"/>
    </xf>
    <xf numFmtId="2" fontId="41" fillId="0" borderId="28" xfId="0" applyNumberFormat="1" applyFont="1" applyBorder="1" applyAlignment="1">
      <alignment horizontal="center" vertical="center"/>
    </xf>
    <xf numFmtId="44" fontId="41" fillId="0" borderId="63" xfId="6" applyFont="1" applyFill="1" applyBorder="1" applyAlignment="1">
      <alignment horizontal="right" vertical="center"/>
    </xf>
    <xf numFmtId="0" fontId="37" fillId="0" borderId="61" xfId="0" applyFont="1" applyBorder="1" applyAlignment="1">
      <alignment horizontal="left" vertical="center" wrapText="1"/>
    </xf>
    <xf numFmtId="2" fontId="41" fillId="0" borderId="61" xfId="2" applyNumberFormat="1" applyFont="1" applyFill="1" applyBorder="1" applyAlignment="1">
      <alignment horizontal="center" vertical="center"/>
    </xf>
    <xf numFmtId="166" fontId="41" fillId="0" borderId="61" xfId="2" applyFont="1" applyBorder="1" applyAlignment="1">
      <alignment horizontal="center" vertical="center"/>
    </xf>
    <xf numFmtId="0" fontId="41" fillId="0" borderId="61" xfId="0" applyFont="1" applyBorder="1" applyAlignment="1">
      <alignment horizontal="center" vertical="center"/>
    </xf>
    <xf numFmtId="2" fontId="41" fillId="0" borderId="61" xfId="0" applyNumberFormat="1" applyFont="1" applyBorder="1" applyAlignment="1">
      <alignment horizontal="center" vertical="center"/>
    </xf>
    <xf numFmtId="44" fontId="41" fillId="0" borderId="61" xfId="6" applyFont="1" applyFill="1" applyBorder="1" applyAlignment="1">
      <alignment horizontal="right" vertical="center"/>
    </xf>
    <xf numFmtId="167" fontId="41" fillId="10" borderId="105" xfId="0" applyNumberFormat="1" applyFont="1" applyFill="1" applyBorder="1" applyAlignment="1">
      <alignment horizontal="center" vertical="center"/>
    </xf>
    <xf numFmtId="168" fontId="41" fillId="10" borderId="106" xfId="0" applyNumberFormat="1" applyFont="1" applyFill="1" applyBorder="1" applyAlignment="1">
      <alignment horizontal="center" vertical="center"/>
    </xf>
    <xf numFmtId="4" fontId="41" fillId="10" borderId="47" xfId="0" applyNumberFormat="1" applyFont="1" applyFill="1" applyBorder="1" applyAlignment="1">
      <alignment horizontal="center" vertical="center"/>
    </xf>
    <xf numFmtId="168" fontId="41" fillId="10" borderId="31" xfId="0" applyNumberFormat="1" applyFont="1" applyFill="1" applyBorder="1" applyAlignment="1">
      <alignment horizontal="right" vertical="center"/>
    </xf>
    <xf numFmtId="0" fontId="41" fillId="0" borderId="61" xfId="0" applyFont="1" applyBorder="1" applyAlignment="1">
      <alignment horizontal="justify" vertical="justify" wrapText="1"/>
    </xf>
    <xf numFmtId="49" fontId="45" fillId="0" borderId="70" xfId="0" applyNumberFormat="1" applyFont="1" applyBorder="1" applyAlignment="1">
      <alignment horizontal="justify" vertical="top" wrapText="1"/>
    </xf>
    <xf numFmtId="49" fontId="45" fillId="0" borderId="70" xfId="0" applyNumberFormat="1" applyFont="1" applyBorder="1" applyAlignment="1">
      <alignment horizontal="center" vertical="center"/>
    </xf>
    <xf numFmtId="2" fontId="45" fillId="0" borderId="70" xfId="0" applyNumberFormat="1" applyFont="1" applyBorder="1" applyAlignment="1">
      <alignment horizontal="center" vertical="center"/>
    </xf>
    <xf numFmtId="186" fontId="45" fillId="0" borderId="70" xfId="0" applyNumberFormat="1" applyFont="1" applyBorder="1" applyAlignment="1">
      <alignment horizontal="center" vertical="center"/>
    </xf>
    <xf numFmtId="49" fontId="45" fillId="0" borderId="70" xfId="0" applyNumberFormat="1" applyFont="1" applyBorder="1" applyAlignment="1">
      <alignment horizontal="center" vertical="center" wrapText="1"/>
    </xf>
    <xf numFmtId="0" fontId="41" fillId="0" borderId="1" xfId="1" applyFont="1" applyBorder="1" applyAlignment="1">
      <alignment horizontal="justify" vertical="justify" wrapText="1"/>
    </xf>
    <xf numFmtId="2" fontId="41" fillId="0" borderId="1" xfId="1" applyNumberFormat="1" applyFont="1" applyBorder="1" applyAlignment="1">
      <alignment horizontal="center" vertical="center"/>
    </xf>
    <xf numFmtId="187" fontId="41" fillId="0" borderId="1" xfId="8" applyFont="1" applyFill="1" applyBorder="1" applyAlignment="1">
      <alignment horizontal="center" vertical="center"/>
    </xf>
    <xf numFmtId="187" fontId="41" fillId="0" borderId="61" xfId="8" applyFont="1" applyBorder="1" applyAlignment="1">
      <alignment horizontal="center" vertical="center"/>
    </xf>
    <xf numFmtId="2" fontId="42" fillId="0" borderId="61" xfId="0" applyNumberFormat="1" applyFont="1" applyBorder="1" applyAlignment="1">
      <alignment horizontal="center" vertical="center"/>
    </xf>
    <xf numFmtId="0" fontId="37" fillId="0" borderId="61" xfId="0" applyFont="1" applyBorder="1" applyAlignment="1">
      <alignment horizontal="center" vertical="center" wrapText="1"/>
    </xf>
    <xf numFmtId="2" fontId="37" fillId="0" borderId="61" xfId="0" applyNumberFormat="1" applyFont="1" applyBorder="1" applyAlignment="1">
      <alignment horizontal="center" vertical="center" wrapText="1"/>
    </xf>
    <xf numFmtId="187" fontId="41" fillId="0" borderId="62" xfId="8" applyFont="1" applyFill="1" applyBorder="1" applyAlignment="1">
      <alignment horizontal="center" vertical="center"/>
    </xf>
    <xf numFmtId="0" fontId="41" fillId="0" borderId="61" xfId="1" applyFont="1" applyBorder="1" applyAlignment="1">
      <alignment horizontal="justify" vertical="justify" wrapText="1"/>
    </xf>
    <xf numFmtId="0" fontId="41" fillId="0" borderId="61" xfId="3" applyFont="1" applyBorder="1" applyAlignment="1">
      <alignment horizontal="justify" vertical="justify" wrapText="1"/>
    </xf>
    <xf numFmtId="44" fontId="41" fillId="0" borderId="62" xfId="6" applyFont="1" applyFill="1" applyBorder="1" applyAlignment="1">
      <alignment horizontal="right" vertical="center"/>
    </xf>
    <xf numFmtId="2" fontId="41" fillId="0" borderId="61" xfId="1" applyNumberFormat="1" applyFont="1" applyBorder="1" applyAlignment="1" applyProtection="1">
      <alignment horizontal="center" vertical="center"/>
      <protection locked="0"/>
    </xf>
    <xf numFmtId="0" fontId="41" fillId="0" borderId="61" xfId="1" applyFont="1" applyBorder="1" applyAlignment="1">
      <alignment vertical="center" wrapText="1"/>
    </xf>
    <xf numFmtId="0" fontId="42" fillId="0" borderId="1" xfId="0" applyFont="1" applyBorder="1" applyAlignment="1">
      <alignment horizontal="center" vertical="center" wrapText="1"/>
    </xf>
    <xf numFmtId="2" fontId="42" fillId="0" borderId="1" xfId="0" applyNumberFormat="1" applyFont="1" applyBorder="1" applyAlignment="1">
      <alignment horizontal="center" vertical="center"/>
    </xf>
    <xf numFmtId="168" fontId="43" fillId="0" borderId="1" xfId="0" applyNumberFormat="1" applyFont="1" applyBorder="1" applyAlignment="1">
      <alignment horizontal="right" vertical="center"/>
    </xf>
    <xf numFmtId="166" fontId="41" fillId="19" borderId="61" xfId="7" applyFont="1" applyFill="1" applyBorder="1" applyAlignment="1">
      <alignment horizontal="center" vertical="center" wrapText="1"/>
    </xf>
    <xf numFmtId="0" fontId="41" fillId="0" borderId="61" xfId="0" applyFont="1" applyBorder="1" applyAlignment="1">
      <alignment horizontal="left" vertical="center" wrapText="1"/>
    </xf>
    <xf numFmtId="166" fontId="41" fillId="0" borderId="64" xfId="7" applyFont="1" applyBorder="1" applyAlignment="1">
      <alignment horizontal="center" vertical="center" wrapText="1"/>
    </xf>
    <xf numFmtId="0" fontId="41" fillId="0" borderId="61" xfId="3" applyFont="1" applyBorder="1" applyAlignment="1">
      <alignment horizontal="left" vertical="center" wrapText="1"/>
    </xf>
    <xf numFmtId="0" fontId="41" fillId="0" borderId="63" xfId="3" applyFont="1" applyBorder="1" applyAlignment="1">
      <alignment horizontal="left" vertical="center" wrapText="1"/>
    </xf>
    <xf numFmtId="0" fontId="41" fillId="0" borderId="63" xfId="3" applyFont="1" applyBorder="1" applyAlignment="1">
      <alignment horizontal="center" vertical="center" wrapText="1"/>
    </xf>
    <xf numFmtId="0" fontId="41" fillId="0" borderId="1" xfId="3" applyFont="1" applyBorder="1" applyAlignment="1">
      <alignment horizontal="left" vertical="center" wrapText="1"/>
    </xf>
    <xf numFmtId="0" fontId="41" fillId="0" borderId="1" xfId="0" applyFont="1" applyBorder="1" applyAlignment="1">
      <alignment horizontal="center" vertical="center"/>
    </xf>
    <xf numFmtId="44" fontId="41" fillId="0" borderId="72" xfId="6" applyFont="1" applyFill="1" applyBorder="1" applyAlignment="1">
      <alignment horizontal="right" vertical="center"/>
    </xf>
    <xf numFmtId="0" fontId="41" fillId="0" borderId="1" xfId="0" applyFont="1" applyBorder="1" applyAlignment="1">
      <alignment horizontal="left" vertical="center" wrapText="1"/>
    </xf>
    <xf numFmtId="0" fontId="41" fillId="4" borderId="1" xfId="0" applyFont="1" applyFill="1" applyBorder="1" applyAlignment="1">
      <alignment horizontal="left" vertical="center" wrapText="1"/>
    </xf>
    <xf numFmtId="0" fontId="41" fillId="0" borderId="27" xfId="0" applyFont="1" applyBorder="1" applyAlignment="1">
      <alignment horizontal="center" vertical="center"/>
    </xf>
    <xf numFmtId="2" fontId="37" fillId="0" borderId="28" xfId="0" applyNumberFormat="1" applyFont="1" applyBorder="1" applyAlignment="1">
      <alignment horizontal="center" vertical="center" wrapText="1"/>
    </xf>
    <xf numFmtId="44" fontId="41" fillId="0" borderId="28" xfId="6" applyFont="1" applyFill="1" applyBorder="1" applyAlignment="1">
      <alignment horizontal="right" vertical="center"/>
    </xf>
    <xf numFmtId="0" fontId="41" fillId="0" borderId="63" xfId="0" applyFont="1" applyBorder="1" applyAlignment="1">
      <alignment horizontal="justify" vertical="center"/>
    </xf>
    <xf numFmtId="0" fontId="42" fillId="0" borderId="28" xfId="0" applyFont="1" applyBorder="1" applyAlignment="1">
      <alignment horizontal="center" vertical="center" wrapText="1"/>
    </xf>
    <xf numFmtId="0" fontId="37" fillId="0" borderId="61" xfId="0" applyFont="1" applyBorder="1" applyAlignment="1">
      <alignment horizontal="left" vertical="top" wrapText="1"/>
    </xf>
    <xf numFmtId="168" fontId="41" fillId="0" borderId="61" xfId="0" applyNumberFormat="1" applyFont="1" applyBorder="1" applyAlignment="1">
      <alignment vertical="center"/>
    </xf>
    <xf numFmtId="0" fontId="37" fillId="0" borderId="61" xfId="0" applyFont="1" applyBorder="1" applyAlignment="1">
      <alignment horizontal="justify" vertical="justify" wrapText="1"/>
    </xf>
    <xf numFmtId="189" fontId="42" fillId="0" borderId="61" xfId="0" applyNumberFormat="1" applyFont="1" applyBorder="1" applyAlignment="1">
      <alignment horizontal="right" vertical="center" shrinkToFit="1"/>
    </xf>
    <xf numFmtId="168" fontId="43" fillId="0" borderId="42" xfId="0" applyNumberFormat="1" applyFont="1" applyBorder="1" applyAlignment="1">
      <alignment horizontal="right" vertical="center"/>
    </xf>
    <xf numFmtId="0" fontId="41" fillId="0" borderId="27" xfId="0" applyFont="1" applyBorder="1" applyAlignment="1">
      <alignment horizontal="center" vertical="center" wrapText="1"/>
    </xf>
    <xf numFmtId="0" fontId="41" fillId="19" borderId="60" xfId="0" applyFont="1" applyFill="1" applyBorder="1" applyAlignment="1">
      <alignment horizontal="center" vertical="center" wrapText="1"/>
    </xf>
    <xf numFmtId="2" fontId="37" fillId="0" borderId="45" xfId="0" applyNumberFormat="1" applyFont="1" applyBorder="1" applyAlignment="1">
      <alignment horizontal="center" vertical="center" wrapText="1"/>
    </xf>
    <xf numFmtId="168" fontId="43" fillId="0" borderId="6" xfId="0" applyNumberFormat="1" applyFont="1" applyBorder="1" applyAlignment="1">
      <alignment horizontal="right" vertical="center"/>
    </xf>
    <xf numFmtId="168" fontId="37" fillId="0" borderId="60" xfId="0" applyNumberFormat="1" applyFont="1" applyBorder="1" applyAlignment="1">
      <alignment horizontal="right" vertical="center"/>
    </xf>
    <xf numFmtId="4" fontId="41" fillId="2" borderId="47" xfId="0" applyNumberFormat="1" applyFont="1" applyFill="1" applyBorder="1" applyAlignment="1">
      <alignment horizontal="center" vertical="center"/>
    </xf>
    <xf numFmtId="0" fontId="41" fillId="0" borderId="1" xfId="0" applyFont="1" applyBorder="1" applyAlignment="1">
      <alignment vertical="center" wrapText="1"/>
    </xf>
    <xf numFmtId="2" fontId="41" fillId="0" borderId="61" xfId="0" applyNumberFormat="1" applyFont="1" applyBorder="1" applyAlignment="1">
      <alignment horizontal="center" vertical="center" wrapText="1"/>
    </xf>
    <xf numFmtId="44" fontId="41" fillId="0" borderId="1" xfId="6" applyFont="1" applyBorder="1" applyAlignment="1">
      <alignment horizontal="center" vertical="center"/>
    </xf>
    <xf numFmtId="44" fontId="41" fillId="0" borderId="1" xfId="6" applyFont="1" applyFill="1" applyBorder="1" applyAlignment="1">
      <alignment horizontal="center" vertical="center" wrapText="1"/>
    </xf>
    <xf numFmtId="168" fontId="41" fillId="0" borderId="1" xfId="0" applyNumberFormat="1" applyFont="1" applyBorder="1" applyAlignment="1">
      <alignment vertical="center"/>
    </xf>
    <xf numFmtId="0" fontId="42" fillId="0" borderId="63" xfId="0" applyFont="1" applyBorder="1" applyAlignment="1">
      <alignment vertical="center" wrapText="1"/>
    </xf>
    <xf numFmtId="168" fontId="37" fillId="0" borderId="51" xfId="0" applyNumberFormat="1" applyFont="1" applyBorder="1" applyAlignment="1">
      <alignment horizontal="right" vertical="center"/>
    </xf>
    <xf numFmtId="0" fontId="41" fillId="19" borderId="61" xfId="0" applyFont="1" applyFill="1" applyBorder="1" applyAlignment="1">
      <alignment horizontal="center" vertical="center" wrapText="1"/>
    </xf>
    <xf numFmtId="0" fontId="37" fillId="0" borderId="63" xfId="0" applyFont="1" applyBorder="1" applyAlignment="1">
      <alignment vertical="center" wrapText="1"/>
    </xf>
    <xf numFmtId="166" fontId="43" fillId="0" borderId="63" xfId="12" applyFont="1" applyBorder="1" applyAlignment="1">
      <alignment horizontal="right" vertical="center"/>
    </xf>
    <xf numFmtId="0" fontId="41" fillId="0" borderId="61" xfId="0" applyFont="1" applyBorder="1"/>
    <xf numFmtId="0" fontId="42" fillId="19" borderId="61" xfId="0" applyFont="1" applyFill="1" applyBorder="1" applyAlignment="1">
      <alignment horizontal="center" vertical="center" wrapText="1"/>
    </xf>
    <xf numFmtId="0" fontId="42" fillId="0" borderId="61" xfId="0" applyFont="1" applyBorder="1" applyAlignment="1">
      <alignment horizontal="left" vertical="center" wrapText="1"/>
    </xf>
    <xf numFmtId="0" fontId="37" fillId="0" borderId="61" xfId="3" applyFont="1" applyBorder="1" applyAlignment="1">
      <alignment horizontal="center" vertical="center" wrapText="1"/>
    </xf>
    <xf numFmtId="188" fontId="42" fillId="0" borderId="61" xfId="0" applyNumberFormat="1" applyFont="1" applyBorder="1" applyAlignment="1">
      <alignment horizontal="left" vertical="center"/>
    </xf>
    <xf numFmtId="168" fontId="37" fillId="0" borderId="61" xfId="0" applyNumberFormat="1" applyFont="1" applyBorder="1" applyAlignment="1">
      <alignment horizontal="right" vertical="center"/>
    </xf>
    <xf numFmtId="167" fontId="41" fillId="10" borderId="97" xfId="0" applyNumberFormat="1" applyFont="1" applyFill="1" applyBorder="1" applyAlignment="1">
      <alignment horizontal="center" vertical="center"/>
    </xf>
    <xf numFmtId="168" fontId="41" fillId="10" borderId="98" xfId="0" applyNumberFormat="1" applyFont="1" applyFill="1" applyBorder="1" applyAlignment="1">
      <alignment horizontal="center" vertical="center"/>
    </xf>
    <xf numFmtId="4" fontId="41" fillId="10" borderId="23" xfId="0" applyNumberFormat="1" applyFont="1" applyFill="1" applyBorder="1" applyAlignment="1">
      <alignment horizontal="center" vertical="center"/>
    </xf>
    <xf numFmtId="4" fontId="41" fillId="10" borderId="26" xfId="0" applyNumberFormat="1" applyFont="1" applyFill="1" applyBorder="1" applyAlignment="1">
      <alignment horizontal="center" vertical="center"/>
    </xf>
    <xf numFmtId="0" fontId="41" fillId="19" borderId="42" xfId="0" applyFont="1" applyFill="1" applyBorder="1" applyAlignment="1">
      <alignment horizontal="center" vertical="center" wrapText="1"/>
    </xf>
    <xf numFmtId="0" fontId="41" fillId="0" borderId="42" xfId="0" applyFont="1" applyBorder="1" applyAlignment="1">
      <alignment horizontal="left" vertical="center" wrapText="1"/>
    </xf>
    <xf numFmtId="0" fontId="41" fillId="0" borderId="42" xfId="0" applyFont="1" applyBorder="1" applyAlignment="1">
      <alignment horizontal="center" vertical="center" wrapText="1"/>
    </xf>
    <xf numFmtId="168" fontId="37" fillId="0" borderId="6" xfId="0" applyNumberFormat="1" applyFont="1" applyBorder="1" applyAlignment="1">
      <alignment horizontal="right" vertical="center"/>
    </xf>
    <xf numFmtId="0" fontId="41" fillId="0" borderId="23" xfId="0" applyFont="1" applyBorder="1" applyAlignment="1">
      <alignment horizontal="left" vertical="center" wrapText="1"/>
    </xf>
    <xf numFmtId="168" fontId="43" fillId="0" borderId="27" xfId="0" applyNumberFormat="1" applyFont="1" applyBorder="1" applyAlignment="1">
      <alignment horizontal="right" vertical="center"/>
    </xf>
    <xf numFmtId="0" fontId="41" fillId="0" borderId="0" xfId="0" applyFont="1" applyAlignment="1">
      <alignment horizontal="center"/>
    </xf>
    <xf numFmtId="2" fontId="41" fillId="0" borderId="61" xfId="3" applyNumberFormat="1" applyFont="1" applyBorder="1" applyAlignment="1">
      <alignment horizontal="center" vertical="center" wrapText="1"/>
    </xf>
    <xf numFmtId="166" fontId="43" fillId="0" borderId="27" xfId="7" applyFont="1" applyBorder="1" applyAlignment="1">
      <alignment horizontal="right" vertical="center"/>
    </xf>
    <xf numFmtId="0" fontId="41" fillId="0" borderId="64" xfId="0" applyFont="1" applyBorder="1" applyAlignment="1">
      <alignment horizontal="justify" vertical="center"/>
    </xf>
    <xf numFmtId="166" fontId="41" fillId="22" borderId="27" xfId="12" applyFont="1" applyFill="1" applyBorder="1" applyAlignment="1">
      <alignment horizontal="right" vertical="center"/>
    </xf>
    <xf numFmtId="0" fontId="37" fillId="0" borderId="64" xfId="0" applyFont="1" applyBorder="1" applyAlignment="1">
      <alignment horizontal="justify" vertical="center"/>
    </xf>
    <xf numFmtId="0" fontId="41" fillId="0" borderId="23" xfId="0" applyFont="1" applyBorder="1" applyAlignment="1">
      <alignment vertical="center" wrapText="1"/>
    </xf>
    <xf numFmtId="2" fontId="41" fillId="0" borderId="63" xfId="3" applyNumberFormat="1" applyFont="1" applyBorder="1" applyAlignment="1">
      <alignment horizontal="center" vertical="center" wrapText="1"/>
    </xf>
    <xf numFmtId="166" fontId="43" fillId="0" borderId="51" xfId="7" applyFont="1" applyBorder="1" applyAlignment="1">
      <alignment horizontal="right" vertical="center"/>
    </xf>
    <xf numFmtId="0" fontId="41" fillId="0" borderId="27" xfId="0" applyFont="1" applyBorder="1" applyAlignment="1">
      <alignment horizontal="left" vertical="center" wrapText="1"/>
    </xf>
    <xf numFmtId="0" fontId="41" fillId="0" borderId="62" xfId="0" applyFont="1" applyBorder="1"/>
    <xf numFmtId="49" fontId="45" fillId="22" borderId="62" xfId="0" applyNumberFormat="1" applyFont="1" applyFill="1" applyBorder="1" applyAlignment="1">
      <alignment horizontal="justify" vertical="top" wrapText="1"/>
    </xf>
    <xf numFmtId="168" fontId="46" fillId="0" borderId="62" xfId="0" applyNumberFormat="1" applyFont="1" applyBorder="1" applyAlignment="1">
      <alignment horizontal="right" vertical="center"/>
    </xf>
    <xf numFmtId="0" fontId="37" fillId="0" borderId="1" xfId="0" applyFont="1" applyBorder="1" applyAlignment="1">
      <alignment horizontal="left" vertical="center" wrapText="1"/>
    </xf>
    <xf numFmtId="168" fontId="46" fillId="0" borderId="61" xfId="0" applyNumberFormat="1" applyFont="1" applyBorder="1" applyAlignment="1">
      <alignment horizontal="right" vertical="center"/>
    </xf>
    <xf numFmtId="168" fontId="37" fillId="0" borderId="53" xfId="0" applyNumberFormat="1" applyFont="1" applyBorder="1" applyAlignment="1">
      <alignment horizontal="right" vertical="center"/>
    </xf>
    <xf numFmtId="49" fontId="47" fillId="0" borderId="109" xfId="0" applyNumberFormat="1" applyFont="1" applyBorder="1" applyAlignment="1">
      <alignment horizontal="center" vertical="center"/>
    </xf>
    <xf numFmtId="168" fontId="43" fillId="0" borderId="61" xfId="0" applyNumberFormat="1" applyFont="1" applyBorder="1" applyAlignment="1">
      <alignment horizontal="right" vertical="center"/>
    </xf>
    <xf numFmtId="169" fontId="38" fillId="10" borderId="6" xfId="0" applyNumberFormat="1" applyFont="1" applyFill="1" applyBorder="1" applyAlignment="1">
      <alignment horizontal="right" vertical="center"/>
    </xf>
    <xf numFmtId="173" fontId="41" fillId="10" borderId="97" xfId="0" applyNumberFormat="1" applyFont="1" applyFill="1" applyBorder="1" applyAlignment="1">
      <alignment horizontal="center" vertical="center"/>
    </xf>
    <xf numFmtId="168" fontId="36" fillId="10" borderId="98" xfId="0" applyNumberFormat="1" applyFont="1" applyFill="1" applyBorder="1" applyAlignment="1">
      <alignment horizontal="right" vertical="center"/>
    </xf>
    <xf numFmtId="168" fontId="36" fillId="10" borderId="22" xfId="0" applyNumberFormat="1" applyFont="1" applyFill="1" applyBorder="1" applyAlignment="1">
      <alignment horizontal="right" vertical="center"/>
    </xf>
    <xf numFmtId="10" fontId="42" fillId="0" borderId="1" xfId="0" applyNumberFormat="1" applyFont="1" applyBorder="1" applyAlignment="1">
      <alignment horizontal="center" vertical="center"/>
    </xf>
    <xf numFmtId="167" fontId="41" fillId="0" borderId="97" xfId="0" applyNumberFormat="1" applyFont="1" applyBorder="1" applyAlignment="1">
      <alignment horizontal="center" vertical="center"/>
    </xf>
    <xf numFmtId="168" fontId="41" fillId="0" borderId="98" xfId="0" applyNumberFormat="1" applyFont="1" applyBorder="1" applyAlignment="1">
      <alignment horizontal="right" vertical="center"/>
    </xf>
    <xf numFmtId="168" fontId="41" fillId="0" borderId="22" xfId="0" applyNumberFormat="1" applyFont="1" applyBorder="1" applyAlignment="1">
      <alignment horizontal="right" vertical="center"/>
    </xf>
    <xf numFmtId="169" fontId="38" fillId="10" borderId="27" xfId="0" applyNumberFormat="1" applyFont="1" applyFill="1" applyBorder="1" applyAlignment="1">
      <alignment horizontal="right" vertical="center"/>
    </xf>
    <xf numFmtId="0" fontId="8" fillId="0" borderId="44" xfId="0" applyFont="1" applyBorder="1" applyAlignment="1">
      <alignment horizontal="center" vertical="center" wrapText="1"/>
    </xf>
    <xf numFmtId="0" fontId="29" fillId="0" borderId="23" xfId="0" applyFont="1" applyBorder="1"/>
    <xf numFmtId="0" fontId="36" fillId="10" borderId="6" xfId="0" applyFont="1" applyFill="1" applyBorder="1" applyAlignment="1">
      <alignment horizontal="center" wrapText="1"/>
    </xf>
    <xf numFmtId="0" fontId="37" fillId="0" borderId="53" xfId="0" applyFont="1" applyBorder="1"/>
    <xf numFmtId="0" fontId="37" fillId="0" borderId="47" xfId="0" applyFont="1" applyBorder="1"/>
    <xf numFmtId="0" fontId="10" fillId="10" borderId="51" xfId="0" applyFont="1" applyFill="1" applyBorder="1" applyAlignment="1">
      <alignment horizontal="left" vertical="center"/>
    </xf>
    <xf numFmtId="0" fontId="29" fillId="0" borderId="52" xfId="0" applyFont="1" applyBorder="1"/>
    <xf numFmtId="0" fontId="29" fillId="0" borderId="45" xfId="0" applyFont="1" applyBorder="1"/>
    <xf numFmtId="0" fontId="9" fillId="8" borderId="9" xfId="0" applyFont="1" applyFill="1" applyBorder="1" applyAlignment="1">
      <alignment horizontal="center" vertical="center"/>
    </xf>
    <xf numFmtId="0" fontId="29" fillId="0" borderId="11" xfId="0" applyFont="1" applyBorder="1"/>
    <xf numFmtId="0" fontId="29" fillId="0" borderId="10" xfId="0" applyFont="1" applyBorder="1"/>
    <xf numFmtId="0" fontId="14" fillId="7" borderId="9" xfId="0" applyFont="1" applyFill="1" applyBorder="1" applyAlignment="1">
      <alignment horizontal="center" vertical="center"/>
    </xf>
    <xf numFmtId="171" fontId="9" fillId="6" borderId="9" xfId="0" applyNumberFormat="1" applyFont="1" applyFill="1" applyBorder="1" applyAlignment="1">
      <alignment horizontal="center" vertical="center"/>
    </xf>
    <xf numFmtId="14" fontId="8" fillId="3" borderId="44" xfId="0" applyNumberFormat="1" applyFont="1" applyFill="1" applyBorder="1" applyAlignment="1">
      <alignment horizontal="center" vertical="center"/>
    </xf>
    <xf numFmtId="0" fontId="29" fillId="0" borderId="26" xfId="0" applyFont="1" applyBorder="1"/>
    <xf numFmtId="0" fontId="13" fillId="8" borderId="49" xfId="0" applyFont="1" applyFill="1" applyBorder="1" applyAlignment="1">
      <alignment horizontal="center" vertical="center"/>
    </xf>
    <xf numFmtId="0" fontId="29" fillId="0" borderId="53" xfId="0" applyFont="1" applyBorder="1"/>
    <xf numFmtId="0" fontId="29" fillId="0" borderId="12" xfId="0" applyFont="1" applyBorder="1"/>
    <xf numFmtId="0" fontId="14" fillId="7" borderId="49" xfId="0" applyFont="1" applyFill="1" applyBorder="1" applyAlignment="1">
      <alignment horizontal="center" vertical="center"/>
    </xf>
    <xf numFmtId="0" fontId="40" fillId="10" borderId="6" xfId="0" applyFont="1" applyFill="1" applyBorder="1" applyAlignment="1">
      <alignment horizontal="center" vertical="center"/>
    </xf>
    <xf numFmtId="172" fontId="44" fillId="10" borderId="6" xfId="0" applyNumberFormat="1" applyFont="1" applyFill="1" applyBorder="1" applyAlignment="1">
      <alignment horizontal="right" vertical="center"/>
    </xf>
    <xf numFmtId="0" fontId="43" fillId="0" borderId="53" xfId="0" applyFont="1" applyBorder="1"/>
    <xf numFmtId="0" fontId="10" fillId="10" borderId="27" xfId="0" applyFont="1" applyFill="1" applyBorder="1" applyAlignment="1">
      <alignment horizontal="center" vertical="center"/>
    </xf>
    <xf numFmtId="0" fontId="40" fillId="10" borderId="6" xfId="0" applyFont="1" applyFill="1" applyBorder="1" applyAlignment="1">
      <alignment horizontal="left" vertical="center"/>
    </xf>
    <xf numFmtId="0" fontId="8" fillId="0" borderId="7" xfId="0" applyFont="1" applyBorder="1" applyAlignment="1">
      <alignment horizontal="center" vertical="center"/>
    </xf>
    <xf numFmtId="0" fontId="29" fillId="0" borderId="14" xfId="0" applyFont="1" applyBorder="1"/>
    <xf numFmtId="0" fontId="9" fillId="0" borderId="2" xfId="0" applyFont="1" applyBorder="1" applyAlignment="1">
      <alignment horizontal="center" vertical="center" wrapText="1"/>
    </xf>
    <xf numFmtId="0" fontId="29" fillId="0" borderId="59" xfId="0" applyFont="1" applyBorder="1"/>
    <xf numFmtId="0" fontId="29" fillId="0" borderId="5" xfId="0" applyFont="1" applyBorder="1"/>
    <xf numFmtId="0" fontId="10" fillId="10" borderId="51" xfId="0" applyFont="1" applyFill="1" applyBorder="1" applyAlignment="1">
      <alignment horizontal="center" vertical="center"/>
    </xf>
    <xf numFmtId="0" fontId="40" fillId="10" borderId="27" xfId="0" applyFont="1" applyFill="1" applyBorder="1" applyAlignment="1">
      <alignment horizontal="left" vertical="center"/>
    </xf>
    <xf numFmtId="0" fontId="40" fillId="10" borderId="53" xfId="0" applyFont="1" applyFill="1" applyBorder="1" applyAlignment="1">
      <alignment horizontal="left" vertical="center"/>
    </xf>
    <xf numFmtId="0" fontId="40" fillId="10" borderId="23" xfId="0" applyFont="1" applyFill="1" applyBorder="1" applyAlignment="1">
      <alignment horizontal="left" vertical="center"/>
    </xf>
    <xf numFmtId="0" fontId="40" fillId="10" borderId="27" xfId="0" applyFont="1" applyFill="1" applyBorder="1" applyAlignment="1">
      <alignment horizontal="center" vertical="center"/>
    </xf>
    <xf numFmtId="0" fontId="40" fillId="10" borderId="23" xfId="0" applyFont="1" applyFill="1" applyBorder="1" applyAlignment="1">
      <alignment horizontal="center" vertical="center"/>
    </xf>
    <xf numFmtId="172" fontId="44" fillId="10" borderId="27" xfId="0" applyNumberFormat="1" applyFont="1" applyFill="1" applyBorder="1" applyAlignment="1">
      <alignment horizontal="right" vertical="center"/>
    </xf>
    <xf numFmtId="0" fontId="43" fillId="0" borderId="60" xfId="0" applyFont="1" applyBorder="1"/>
    <xf numFmtId="0" fontId="14" fillId="7" borderId="2" xfId="0" applyFont="1" applyFill="1" applyBorder="1" applyAlignment="1">
      <alignment horizontal="center" vertical="center"/>
    </xf>
    <xf numFmtId="0" fontId="10" fillId="10" borderId="44" xfId="0" applyFont="1" applyFill="1" applyBorder="1" applyAlignment="1">
      <alignment horizontal="left" vertical="center"/>
    </xf>
    <xf numFmtId="0" fontId="9" fillId="6" borderId="84" xfId="0" applyFont="1" applyFill="1" applyBorder="1" applyAlignment="1">
      <alignment horizontal="center" vertical="center" wrapText="1"/>
    </xf>
    <xf numFmtId="0" fontId="29" fillId="0" borderId="82" xfId="0" applyFont="1" applyBorder="1"/>
    <xf numFmtId="0" fontId="29" fillId="0" borderId="49" xfId="0" applyFont="1" applyBorder="1"/>
    <xf numFmtId="0" fontId="14" fillId="7" borderId="81" xfId="0" applyFont="1" applyFill="1" applyBorder="1" applyAlignment="1">
      <alignment horizontal="center" vertical="center"/>
    </xf>
    <xf numFmtId="0" fontId="29" fillId="0" borderId="85" xfId="0" applyFont="1" applyBorder="1"/>
    <xf numFmtId="0" fontId="29" fillId="0" borderId="86" xfId="0" applyFont="1" applyBorder="1"/>
    <xf numFmtId="0" fontId="29" fillId="0" borderId="87" xfId="0" applyFont="1" applyBorder="1"/>
    <xf numFmtId="0" fontId="14" fillId="7" borderId="11" xfId="0" applyFont="1" applyFill="1" applyBorder="1" applyAlignment="1">
      <alignment horizontal="center" vertical="center"/>
    </xf>
    <xf numFmtId="0" fontId="8" fillId="0" borderId="27" xfId="0" applyFont="1" applyBorder="1" applyAlignment="1">
      <alignment horizontal="center" vertical="center" wrapText="1"/>
    </xf>
    <xf numFmtId="0" fontId="29" fillId="0" borderId="60" xfId="0" applyFont="1" applyBorder="1"/>
    <xf numFmtId="0" fontId="8" fillId="0" borderId="51" xfId="0" applyFont="1" applyBorder="1" applyAlignment="1">
      <alignment horizontal="center" vertical="center" wrapText="1"/>
    </xf>
    <xf numFmtId="168" fontId="13" fillId="10" borderId="27" xfId="0" applyNumberFormat="1" applyFont="1" applyFill="1" applyBorder="1" applyAlignment="1">
      <alignment horizontal="right" vertical="center"/>
    </xf>
    <xf numFmtId="0" fontId="15" fillId="0" borderId="60" xfId="0" applyFont="1" applyBorder="1"/>
    <xf numFmtId="0" fontId="9" fillId="18" borderId="6" xfId="0" applyFont="1" applyFill="1" applyBorder="1" applyAlignment="1">
      <alignment horizontal="center" vertical="center"/>
    </xf>
    <xf numFmtId="0" fontId="29" fillId="19" borderId="53" xfId="0" applyFont="1" applyFill="1" applyBorder="1"/>
    <xf numFmtId="0" fontId="29" fillId="19" borderId="47" xfId="0" applyFont="1" applyFill="1" applyBorder="1"/>
    <xf numFmtId="0" fontId="10" fillId="10" borderId="27" xfId="0" applyFont="1" applyFill="1" applyBorder="1" applyAlignment="1">
      <alignment horizontal="left" vertical="center"/>
    </xf>
    <xf numFmtId="0" fontId="10" fillId="10" borderId="61" xfId="0" applyFont="1" applyFill="1" applyBorder="1" applyAlignment="1">
      <alignment horizontal="left" vertical="center"/>
    </xf>
    <xf numFmtId="0" fontId="29" fillId="0" borderId="61" xfId="0" applyFont="1" applyBorder="1"/>
    <xf numFmtId="0" fontId="10" fillId="10" borderId="53" xfId="0" applyFont="1" applyFill="1" applyBorder="1" applyAlignment="1">
      <alignment horizontal="center" vertical="center"/>
    </xf>
    <xf numFmtId="0" fontId="29" fillId="0" borderId="47" xfId="0" applyFont="1" applyBorder="1"/>
    <xf numFmtId="168" fontId="13" fillId="10" borderId="6" xfId="0" applyNumberFormat="1" applyFont="1" applyFill="1" applyBorder="1" applyAlignment="1">
      <alignment horizontal="right" vertical="center"/>
    </xf>
    <xf numFmtId="0" fontId="15" fillId="0" borderId="53" xfId="0" applyFont="1" applyBorder="1"/>
    <xf numFmtId="0" fontId="13" fillId="5" borderId="81" xfId="0" applyFont="1" applyFill="1" applyBorder="1" applyAlignment="1">
      <alignment horizontal="center" vertical="center"/>
    </xf>
    <xf numFmtId="0" fontId="29" fillId="0" borderId="83" xfId="0" applyFont="1" applyBorder="1"/>
    <xf numFmtId="168" fontId="13" fillId="10" borderId="51" xfId="0" applyNumberFormat="1" applyFont="1" applyFill="1" applyBorder="1" applyAlignment="1">
      <alignment horizontal="right" vertical="center"/>
    </xf>
    <xf numFmtId="0" fontId="15" fillId="0" borderId="52" xfId="0" applyFont="1" applyBorder="1"/>
    <xf numFmtId="172" fontId="36" fillId="9" borderId="103" xfId="0" applyNumberFormat="1" applyFont="1" applyFill="1" applyBorder="1" applyAlignment="1">
      <alignment horizontal="center" vertical="center" wrapText="1"/>
    </xf>
    <xf numFmtId="0" fontId="37" fillId="0" borderId="104" xfId="0" applyFont="1" applyBorder="1"/>
    <xf numFmtId="172" fontId="36" fillId="9" borderId="59" xfId="0" applyNumberFormat="1" applyFont="1" applyFill="1" applyBorder="1" applyAlignment="1">
      <alignment horizontal="center" vertical="center" wrapText="1"/>
    </xf>
    <xf numFmtId="0" fontId="37" fillId="0" borderId="5" xfId="0" applyFont="1" applyBorder="1"/>
    <xf numFmtId="172" fontId="9" fillId="18" borderId="6" xfId="0" applyNumberFormat="1" applyFont="1" applyFill="1" applyBorder="1" applyAlignment="1">
      <alignment horizontal="center" vertical="center" wrapText="1"/>
    </xf>
    <xf numFmtId="168" fontId="10" fillId="10" borderId="27" xfId="0" applyNumberFormat="1" applyFont="1" applyFill="1" applyBorder="1" applyAlignment="1">
      <alignment horizontal="right" vertical="center"/>
    </xf>
    <xf numFmtId="0" fontId="8" fillId="0" borderId="6" xfId="0" applyFont="1" applyBorder="1" applyAlignment="1">
      <alignment horizontal="center" vertical="center"/>
    </xf>
    <xf numFmtId="0" fontId="29" fillId="0" borderId="47" xfId="0" applyFont="1" applyBorder="1" applyAlignment="1">
      <alignment vertical="center"/>
    </xf>
    <xf numFmtId="0" fontId="8" fillId="0" borderId="51" xfId="0" applyFont="1" applyBorder="1" applyAlignment="1">
      <alignment horizontal="center" vertical="center"/>
    </xf>
    <xf numFmtId="0" fontId="10" fillId="0" borderId="16" xfId="0" applyFont="1" applyBorder="1" applyAlignment="1">
      <alignment horizontal="left" vertical="center"/>
    </xf>
    <xf numFmtId="0" fontId="29" fillId="0" borderId="17" xfId="0" applyFont="1" applyBorder="1"/>
    <xf numFmtId="0" fontId="10" fillId="0" borderId="16" xfId="0" applyFont="1" applyBorder="1" applyAlignment="1">
      <alignment horizontal="center" vertical="center" wrapText="1"/>
    </xf>
    <xf numFmtId="169" fontId="10" fillId="0" borderId="16" xfId="0" applyNumberFormat="1" applyFont="1" applyBorder="1" applyAlignment="1">
      <alignment horizontal="center" vertical="center"/>
    </xf>
    <xf numFmtId="0" fontId="29" fillId="0" borderId="30" xfId="0" applyFont="1" applyBorder="1"/>
    <xf numFmtId="0" fontId="9" fillId="0" borderId="4" xfId="0" applyFont="1" applyBorder="1" applyAlignment="1">
      <alignment horizontal="center" vertical="center"/>
    </xf>
    <xf numFmtId="0" fontId="29" fillId="0" borderId="59" xfId="0" applyFont="1" applyBorder="1" applyAlignment="1">
      <alignment vertical="center"/>
    </xf>
    <xf numFmtId="0" fontId="29" fillId="0" borderId="3" xfId="0" applyFont="1" applyBorder="1" applyAlignment="1">
      <alignment vertical="center"/>
    </xf>
    <xf numFmtId="0" fontId="29" fillId="0" borderId="5" xfId="0" applyFont="1" applyBorder="1" applyAlignment="1">
      <alignment vertical="center"/>
    </xf>
    <xf numFmtId="169" fontId="8" fillId="3" borderId="27" xfId="0" applyNumberFormat="1" applyFont="1" applyFill="1" applyBorder="1" applyAlignment="1">
      <alignment horizontal="center" vertical="center"/>
    </xf>
    <xf numFmtId="0" fontId="12" fillId="0" borderId="51" xfId="0" applyFont="1" applyBorder="1" applyAlignment="1">
      <alignment horizontal="left" vertical="center"/>
    </xf>
    <xf numFmtId="169" fontId="12" fillId="2" borderId="27" xfId="0" applyNumberFormat="1" applyFont="1" applyFill="1" applyBorder="1" applyAlignment="1">
      <alignment horizontal="center" vertical="center"/>
    </xf>
    <xf numFmtId="0" fontId="9" fillId="10" borderId="108" xfId="0" applyFont="1" applyFill="1" applyBorder="1" applyAlignment="1">
      <alignment horizontal="center" wrapText="1"/>
    </xf>
    <xf numFmtId="0" fontId="29" fillId="0" borderId="79" xfId="0" applyFont="1" applyBorder="1"/>
    <xf numFmtId="0" fontId="29" fillId="0" borderId="80" xfId="0" applyFont="1" applyBorder="1"/>
    <xf numFmtId="14" fontId="8" fillId="2" borderId="7" xfId="0" applyNumberFormat="1" applyFont="1" applyFill="1" applyBorder="1" applyAlignment="1">
      <alignment horizontal="left" vertical="center"/>
    </xf>
    <xf numFmtId="0" fontId="8" fillId="3" borderId="7" xfId="0" applyFont="1" applyFill="1" applyBorder="1" applyAlignment="1">
      <alignment horizontal="center"/>
    </xf>
    <xf numFmtId="168" fontId="8" fillId="3" borderId="16" xfId="0" applyNumberFormat="1" applyFont="1" applyFill="1" applyBorder="1" applyAlignment="1">
      <alignment horizontal="center"/>
    </xf>
    <xf numFmtId="0" fontId="9" fillId="0" borderId="0" xfId="0" applyFont="1" applyAlignment="1">
      <alignment horizontal="center" vertical="center" wrapText="1"/>
    </xf>
    <xf numFmtId="0" fontId="8" fillId="0" borderId="0" xfId="0" applyFont="1"/>
    <xf numFmtId="0" fontId="10" fillId="0" borderId="2" xfId="0" applyFont="1" applyBorder="1" applyAlignment="1">
      <alignment horizontal="left"/>
    </xf>
    <xf numFmtId="0" fontId="29" fillId="0" borderId="3" xfId="0" applyFont="1" applyBorder="1"/>
    <xf numFmtId="0" fontId="10" fillId="0" borderId="4" xfId="0" applyFont="1" applyBorder="1" applyAlignment="1">
      <alignment horizontal="center"/>
    </xf>
    <xf numFmtId="0" fontId="12" fillId="2" borderId="43" xfId="0" applyFont="1" applyFill="1" applyBorder="1" applyAlignment="1">
      <alignment horizontal="left" vertical="center"/>
    </xf>
    <xf numFmtId="0" fontId="12" fillId="2" borderId="51" xfId="0" applyFont="1" applyFill="1" applyBorder="1" applyAlignment="1">
      <alignment horizontal="center" vertical="center" wrapText="1"/>
    </xf>
    <xf numFmtId="0" fontId="29" fillId="0" borderId="48" xfId="0" applyFont="1" applyBorder="1"/>
    <xf numFmtId="0" fontId="29" fillId="0" borderId="46" xfId="0" applyFont="1" applyBorder="1"/>
    <xf numFmtId="0" fontId="29" fillId="0" borderId="6" xfId="0" applyFont="1" applyBorder="1"/>
    <xf numFmtId="0" fontId="29" fillId="0" borderId="58" xfId="0" applyFont="1" applyBorder="1"/>
    <xf numFmtId="0" fontId="29" fillId="0" borderId="57" xfId="0" applyFont="1" applyBorder="1"/>
    <xf numFmtId="0" fontId="10" fillId="0" borderId="44" xfId="0" applyFont="1" applyBorder="1" applyAlignment="1">
      <alignment horizontal="left"/>
    </xf>
    <xf numFmtId="0" fontId="12" fillId="0" borderId="27" xfId="0" applyFont="1" applyBorder="1" applyAlignment="1">
      <alignment horizontal="left" vertical="center" wrapText="1"/>
    </xf>
    <xf numFmtId="0" fontId="12" fillId="2" borderId="27" xfId="0" applyFont="1" applyFill="1" applyBorder="1" applyAlignment="1">
      <alignment horizontal="center" vertical="center" wrapText="1"/>
    </xf>
    <xf numFmtId="14" fontId="12" fillId="3" borderId="44" xfId="0" applyNumberFormat="1" applyFont="1" applyFill="1" applyBorder="1" applyAlignment="1">
      <alignment horizontal="left"/>
    </xf>
    <xf numFmtId="0" fontId="10" fillId="0" borderId="44" xfId="0" applyFont="1" applyBorder="1" applyAlignment="1">
      <alignment horizontal="left" vertical="center"/>
    </xf>
    <xf numFmtId="0" fontId="10" fillId="0" borderId="51" xfId="0" applyFont="1" applyBorder="1" applyAlignment="1">
      <alignment horizontal="left" vertical="center" wrapText="1"/>
    </xf>
    <xf numFmtId="0" fontId="40" fillId="10" borderId="61" xfId="0" applyFont="1" applyFill="1" applyBorder="1" applyAlignment="1">
      <alignment horizontal="left" vertical="center"/>
    </xf>
    <xf numFmtId="0" fontId="37" fillId="0" borderId="61" xfId="0" applyFont="1" applyBorder="1"/>
    <xf numFmtId="14" fontId="8" fillId="2" borderId="44" xfId="0" applyNumberFormat="1" applyFont="1" applyFill="1" applyBorder="1" applyAlignment="1">
      <alignment horizontal="left" vertical="center"/>
    </xf>
    <xf numFmtId="0" fontId="12" fillId="0" borderId="6" xfId="0" applyFont="1" applyBorder="1" applyAlignment="1">
      <alignment horizontal="left" vertical="center"/>
    </xf>
    <xf numFmtId="0" fontId="10" fillId="10" borderId="27" xfId="0" applyFont="1" applyFill="1" applyBorder="1" applyAlignment="1">
      <alignment horizontal="left" vertical="center" wrapText="1"/>
    </xf>
    <xf numFmtId="0" fontId="29" fillId="0" borderId="53" xfId="0" applyFont="1" applyBorder="1" applyAlignment="1">
      <alignment wrapText="1"/>
    </xf>
    <xf numFmtId="0" fontId="29" fillId="0" borderId="45" xfId="0" applyFont="1" applyBorder="1" applyAlignment="1">
      <alignment wrapText="1"/>
    </xf>
    <xf numFmtId="0" fontId="10" fillId="10" borderId="48" xfId="0" applyFont="1" applyFill="1" applyBorder="1" applyAlignment="1">
      <alignment horizontal="center" vertical="center"/>
    </xf>
    <xf numFmtId="168" fontId="10" fillId="10" borderId="48" xfId="0" applyNumberFormat="1" applyFont="1" applyFill="1" applyBorder="1" applyAlignment="1">
      <alignment horizontal="right" vertical="center"/>
    </xf>
    <xf numFmtId="0" fontId="29" fillId="0" borderId="55" xfId="0" applyFont="1" applyBorder="1"/>
    <xf numFmtId="0" fontId="9" fillId="10" borderId="61" xfId="0" applyFont="1" applyFill="1" applyBorder="1" applyAlignment="1">
      <alignment horizontal="center" wrapText="1"/>
    </xf>
    <xf numFmtId="0" fontId="10" fillId="10" borderId="6" xfId="0" applyFont="1" applyFill="1" applyBorder="1" applyAlignment="1">
      <alignment horizontal="left" vertical="center"/>
    </xf>
    <xf numFmtId="0" fontId="10" fillId="10" borderId="6" xfId="0" applyFont="1" applyFill="1" applyBorder="1" applyAlignment="1">
      <alignment horizontal="center" vertical="center"/>
    </xf>
    <xf numFmtId="0" fontId="12" fillId="0" borderId="16" xfId="0" applyFont="1" applyBorder="1" applyAlignment="1">
      <alignment horizontal="left" vertical="center" wrapText="1"/>
    </xf>
    <xf numFmtId="0" fontId="8" fillId="3" borderId="16" xfId="0" applyFont="1" applyFill="1" applyBorder="1" applyAlignment="1">
      <alignment horizontal="center"/>
    </xf>
    <xf numFmtId="0" fontId="10" fillId="0" borderId="2" xfId="0" applyFont="1" applyBorder="1" applyAlignment="1">
      <alignment horizontal="center" vertical="center"/>
    </xf>
    <xf numFmtId="0" fontId="9" fillId="0" borderId="7" xfId="0" applyFont="1" applyBorder="1" applyAlignment="1">
      <alignment horizontal="center" vertical="center" wrapText="1"/>
    </xf>
    <xf numFmtId="0" fontId="41" fillId="0" borderId="27" xfId="0" applyFont="1" applyBorder="1" applyAlignment="1">
      <alignment horizontal="center" wrapText="1"/>
    </xf>
    <xf numFmtId="0" fontId="37" fillId="0" borderId="60" xfId="0" applyFont="1" applyBorder="1"/>
    <xf numFmtId="0" fontId="37" fillId="0" borderId="23" xfId="0" applyFont="1" applyBorder="1"/>
    <xf numFmtId="0" fontId="36" fillId="10" borderId="27" xfId="0" applyFont="1" applyFill="1" applyBorder="1" applyAlignment="1">
      <alignment horizontal="center" wrapText="1"/>
    </xf>
    <xf numFmtId="0" fontId="40" fillId="10" borderId="61" xfId="0" applyFont="1" applyFill="1" applyBorder="1" applyAlignment="1">
      <alignment horizontal="center" vertical="center"/>
    </xf>
    <xf numFmtId="168" fontId="44" fillId="10" borderId="61" xfId="0" applyNumberFormat="1" applyFont="1" applyFill="1" applyBorder="1" applyAlignment="1">
      <alignment horizontal="right" vertical="center"/>
    </xf>
    <xf numFmtId="0" fontId="43" fillId="0" borderId="62" xfId="0" applyFont="1" applyBorder="1"/>
    <xf numFmtId="172" fontId="36" fillId="9" borderId="4" xfId="0" applyNumberFormat="1" applyFont="1" applyFill="1" applyBorder="1" applyAlignment="1">
      <alignment horizontal="center" vertical="center" wrapText="1"/>
    </xf>
    <xf numFmtId="0" fontId="37" fillId="0" borderId="59" xfId="0" applyFont="1" applyBorder="1"/>
    <xf numFmtId="0" fontId="36" fillId="9" borderId="4" xfId="0" applyFont="1" applyFill="1" applyBorder="1" applyAlignment="1">
      <alignment horizontal="center" vertical="center"/>
    </xf>
    <xf numFmtId="0" fontId="37" fillId="0" borderId="3" xfId="0" applyFont="1" applyBorder="1"/>
    <xf numFmtId="0" fontId="40" fillId="10" borderId="60" xfId="0" applyFont="1" applyFill="1" applyBorder="1" applyAlignment="1">
      <alignment horizontal="left" vertical="center"/>
    </xf>
    <xf numFmtId="0" fontId="40" fillId="10" borderId="52" xfId="0" applyFont="1" applyFill="1" applyBorder="1" applyAlignment="1">
      <alignment horizontal="left" vertical="center"/>
    </xf>
    <xf numFmtId="0" fontId="9" fillId="8" borderId="2" xfId="0" applyFont="1" applyFill="1" applyBorder="1" applyAlignment="1">
      <alignment horizontal="center" vertical="center"/>
    </xf>
    <xf numFmtId="0" fontId="17" fillId="0" borderId="36" xfId="0" applyFont="1" applyBorder="1" applyAlignment="1">
      <alignment horizontal="center"/>
    </xf>
    <xf numFmtId="0" fontId="11" fillId="0" borderId="37" xfId="0" applyFont="1" applyBorder="1"/>
    <xf numFmtId="0" fontId="17" fillId="0" borderId="37" xfId="0" applyFont="1" applyBorder="1" applyAlignment="1">
      <alignment horizontal="center"/>
    </xf>
    <xf numFmtId="0" fontId="8" fillId="0" borderId="9" xfId="0" applyFont="1" applyBorder="1" applyAlignment="1">
      <alignment horizontal="center"/>
    </xf>
    <xf numFmtId="0" fontId="11" fillId="0" borderId="11" xfId="0" applyFont="1" applyBorder="1"/>
    <xf numFmtId="0" fontId="18" fillId="0" borderId="11" xfId="0" applyFont="1" applyBorder="1" applyAlignment="1">
      <alignment horizontal="center" vertical="center" wrapText="1"/>
    </xf>
    <xf numFmtId="0" fontId="11" fillId="0" borderId="10" xfId="0" applyFont="1" applyBorder="1"/>
    <xf numFmtId="0" fontId="18" fillId="0" borderId="44" xfId="0" applyFont="1" applyBorder="1" applyAlignment="1">
      <alignment horizontal="center" vertical="center"/>
    </xf>
    <xf numFmtId="0" fontId="11" fillId="0" borderId="60" xfId="0" applyFont="1" applyBorder="1"/>
    <xf numFmtId="0" fontId="11" fillId="0" borderId="26" xfId="0" applyFont="1" applyBorder="1"/>
    <xf numFmtId="0" fontId="19" fillId="0" borderId="44" xfId="0" applyFont="1" applyBorder="1" applyAlignment="1">
      <alignment horizontal="center" vertical="center"/>
    </xf>
    <xf numFmtId="0" fontId="11" fillId="0" borderId="23" xfId="0" applyFont="1" applyBorder="1"/>
    <xf numFmtId="0" fontId="1" fillId="0" borderId="27" xfId="0" applyFont="1" applyBorder="1" applyAlignment="1" applyProtection="1">
      <alignment horizontal="left" vertical="center" wrapText="1"/>
      <protection locked="0"/>
    </xf>
    <xf numFmtId="0" fontId="1" fillId="0" borderId="60" xfId="0" applyFont="1" applyBorder="1" applyAlignment="1" applyProtection="1">
      <alignment horizontal="left" vertical="center" wrapText="1"/>
      <protection locked="0"/>
    </xf>
    <xf numFmtId="0" fontId="1" fillId="0" borderId="68" xfId="0" applyFont="1" applyBorder="1" applyAlignment="1" applyProtection="1">
      <alignment horizontal="left" vertical="center" wrapText="1"/>
      <protection locked="0"/>
    </xf>
    <xf numFmtId="0" fontId="20" fillId="15" borderId="43" xfId="0" applyFont="1" applyFill="1" applyBorder="1" applyAlignment="1">
      <alignment horizontal="center" vertical="center"/>
    </xf>
    <xf numFmtId="0" fontId="11" fillId="0" borderId="45" xfId="0" applyFont="1" applyBorder="1"/>
    <xf numFmtId="0" fontId="20" fillId="15" borderId="27" xfId="0" applyFont="1" applyFill="1" applyBorder="1" applyAlignment="1">
      <alignment horizontal="center" vertical="center"/>
    </xf>
    <xf numFmtId="0" fontId="31" fillId="0" borderId="61" xfId="0" applyFont="1" applyBorder="1" applyAlignment="1" applyProtection="1">
      <alignment horizontal="center" vertical="center"/>
      <protection locked="0"/>
    </xf>
    <xf numFmtId="0" fontId="17" fillId="3" borderId="51" xfId="0" applyFont="1" applyFill="1" applyBorder="1" applyAlignment="1">
      <alignment horizontal="center"/>
    </xf>
    <xf numFmtId="0" fontId="11" fillId="0" borderId="52" xfId="0" applyFont="1" applyBorder="1"/>
    <xf numFmtId="0" fontId="11" fillId="0" borderId="48" xfId="0" applyFont="1" applyBorder="1"/>
    <xf numFmtId="0" fontId="0" fillId="0" borderId="0" xfId="0"/>
    <xf numFmtId="0" fontId="11" fillId="0" borderId="46" xfId="0" applyFont="1" applyBorder="1"/>
    <xf numFmtId="0" fontId="11" fillId="0" borderId="6" xfId="0" applyFont="1" applyBorder="1"/>
    <xf numFmtId="0" fontId="11" fillId="0" borderId="53" xfId="0" applyFont="1" applyBorder="1"/>
    <xf numFmtId="0" fontId="11" fillId="0" borderId="47" xfId="0" applyFont="1" applyBorder="1"/>
    <xf numFmtId="0" fontId="11" fillId="0" borderId="58" xfId="0" applyFont="1" applyBorder="1"/>
    <xf numFmtId="0" fontId="11" fillId="0" borderId="57" xfId="0" applyFont="1" applyBorder="1"/>
    <xf numFmtId="0" fontId="11" fillId="0" borderId="12" xfId="0" applyFont="1" applyBorder="1"/>
    <xf numFmtId="0" fontId="19" fillId="0" borderId="44" xfId="0" applyFont="1" applyBorder="1" applyAlignment="1">
      <alignment horizontal="center"/>
    </xf>
    <xf numFmtId="0" fontId="17" fillId="3" borderId="66" xfId="0" applyFont="1" applyFill="1" applyBorder="1" applyAlignment="1">
      <alignment horizontal="left" vertical="center"/>
    </xf>
    <xf numFmtId="0" fontId="17" fillId="3" borderId="50" xfId="0" applyFont="1" applyFill="1" applyBorder="1" applyAlignment="1">
      <alignment horizontal="left" vertical="center"/>
    </xf>
    <xf numFmtId="0" fontId="17" fillId="3" borderId="42" xfId="0" applyFont="1" applyFill="1" applyBorder="1" applyAlignment="1">
      <alignment horizontal="left" vertical="center"/>
    </xf>
    <xf numFmtId="0" fontId="17" fillId="3" borderId="61" xfId="0" applyFont="1" applyFill="1" applyBorder="1" applyAlignment="1">
      <alignment horizontal="left" vertical="center"/>
    </xf>
    <xf numFmtId="0" fontId="17" fillId="3" borderId="28" xfId="0" applyFont="1" applyFill="1" applyBorder="1" applyAlignment="1">
      <alignment horizontal="left"/>
    </xf>
    <xf numFmtId="0" fontId="17" fillId="3" borderId="67" xfId="0" applyFont="1" applyFill="1" applyBorder="1" applyAlignment="1">
      <alignment horizontal="left"/>
    </xf>
    <xf numFmtId="0" fontId="17" fillId="27" borderId="28" xfId="0" applyFont="1" applyFill="1" applyBorder="1" applyAlignment="1">
      <alignment horizontal="left" vertical="center"/>
    </xf>
    <xf numFmtId="0" fontId="17" fillId="27" borderId="42" xfId="0" applyFont="1" applyFill="1" applyBorder="1" applyAlignment="1">
      <alignment horizontal="left" vertical="center"/>
    </xf>
    <xf numFmtId="0" fontId="17" fillId="3" borderId="28" xfId="0" applyFont="1" applyFill="1" applyBorder="1" applyAlignment="1">
      <alignment horizontal="left" vertical="center"/>
    </xf>
    <xf numFmtId="0" fontId="17" fillId="3" borderId="28" xfId="0" applyFont="1" applyFill="1" applyBorder="1" applyAlignment="1">
      <alignment horizontal="center" vertical="center"/>
    </xf>
    <xf numFmtId="0" fontId="17" fillId="3" borderId="42" xfId="0" applyFont="1" applyFill="1" applyBorder="1" applyAlignment="1">
      <alignment horizontal="center" vertical="center"/>
    </xf>
    <xf numFmtId="0" fontId="17" fillId="24" borderId="28" xfId="0" applyFont="1" applyFill="1" applyBorder="1" applyAlignment="1">
      <alignment horizontal="left" vertical="center"/>
    </xf>
    <xf numFmtId="0" fontId="17" fillId="24" borderId="42" xfId="0" applyFont="1" applyFill="1" applyBorder="1" applyAlignment="1">
      <alignment horizontal="left" vertical="center"/>
    </xf>
    <xf numFmtId="0" fontId="17" fillId="26" borderId="28" xfId="0" applyFont="1" applyFill="1" applyBorder="1" applyAlignment="1">
      <alignment horizontal="left" vertical="center"/>
    </xf>
    <xf numFmtId="0" fontId="17" fillId="26" borderId="42" xfId="0" applyFont="1" applyFill="1" applyBorder="1" applyAlignment="1">
      <alignment horizontal="left" vertical="center"/>
    </xf>
    <xf numFmtId="0" fontId="17" fillId="25" borderId="28" xfId="0" applyFont="1" applyFill="1" applyBorder="1" applyAlignment="1">
      <alignment horizontal="left" vertical="center"/>
    </xf>
    <xf numFmtId="0" fontId="17" fillId="25" borderId="42" xfId="0" applyFont="1" applyFill="1" applyBorder="1" applyAlignment="1">
      <alignment horizontal="left" vertical="center"/>
    </xf>
    <xf numFmtId="0" fontId="17" fillId="3" borderId="28" xfId="0" applyFont="1" applyFill="1" applyBorder="1" applyAlignment="1">
      <alignment horizontal="center"/>
    </xf>
    <xf numFmtId="0" fontId="17" fillId="3" borderId="42" xfId="0" applyFont="1" applyFill="1" applyBorder="1" applyAlignment="1">
      <alignment horizontal="center"/>
    </xf>
    <xf numFmtId="0" fontId="17" fillId="0" borderId="56" xfId="0" applyFont="1" applyBorder="1" applyAlignment="1">
      <alignment horizontal="center"/>
    </xf>
    <xf numFmtId="0" fontId="17" fillId="0" borderId="0" xfId="0" applyFont="1" applyAlignment="1">
      <alignment horizontal="center"/>
    </xf>
    <xf numFmtId="0" fontId="19" fillId="3" borderId="44" xfId="0" applyFont="1" applyFill="1" applyBorder="1" applyAlignment="1">
      <alignment horizontal="center"/>
    </xf>
    <xf numFmtId="0" fontId="19" fillId="0" borderId="27" xfId="0" applyFont="1" applyBorder="1" applyAlignment="1">
      <alignment horizontal="center"/>
    </xf>
    <xf numFmtId="0" fontId="17" fillId="0" borderId="27" xfId="0" applyFont="1" applyBorder="1" applyAlignment="1">
      <alignment horizontal="left" vertical="center" wrapText="1"/>
    </xf>
    <xf numFmtId="0" fontId="11" fillId="0" borderId="50" xfId="0" applyFont="1" applyBorder="1"/>
    <xf numFmtId="0" fontId="11" fillId="0" borderId="42" xfId="0" applyFont="1" applyBorder="1"/>
    <xf numFmtId="0" fontId="11" fillId="0" borderId="55" xfId="0" applyFont="1" applyBorder="1"/>
    <xf numFmtId="0" fontId="20" fillId="15" borderId="44" xfId="0" applyFont="1" applyFill="1" applyBorder="1" applyAlignment="1">
      <alignment horizontal="center" vertical="center"/>
    </xf>
    <xf numFmtId="0" fontId="8" fillId="0" borderId="2" xfId="0" applyFont="1" applyBorder="1" applyAlignment="1">
      <alignment horizontal="center"/>
    </xf>
    <xf numFmtId="0" fontId="11" fillId="0" borderId="59" xfId="0" applyFont="1" applyBorder="1"/>
    <xf numFmtId="0" fontId="18" fillId="0" borderId="59" xfId="0" applyFont="1" applyBorder="1" applyAlignment="1">
      <alignment horizontal="center" vertical="center" wrapText="1"/>
    </xf>
    <xf numFmtId="0" fontId="11" fillId="0" borderId="5" xfId="0" applyFont="1" applyBorder="1"/>
    <xf numFmtId="0" fontId="17" fillId="3" borderId="52" xfId="0" applyFont="1" applyFill="1" applyBorder="1" applyAlignment="1">
      <alignment horizontal="center"/>
    </xf>
    <xf numFmtId="0" fontId="17" fillId="3" borderId="50" xfId="0" applyFont="1" applyFill="1" applyBorder="1" applyAlignment="1">
      <alignment horizontal="center" vertical="center"/>
    </xf>
    <xf numFmtId="0" fontId="20" fillId="15" borderId="51" xfId="0" applyFont="1" applyFill="1" applyBorder="1" applyAlignment="1">
      <alignment horizontal="center" vertical="center"/>
    </xf>
    <xf numFmtId="0" fontId="17" fillId="3" borderId="40" xfId="0" applyFont="1" applyFill="1" applyBorder="1" applyAlignment="1">
      <alignment horizontal="center" vertical="center"/>
    </xf>
    <xf numFmtId="0" fontId="11" fillId="0" borderId="41" xfId="0" applyFont="1" applyBorder="1"/>
    <xf numFmtId="0" fontId="11" fillId="0" borderId="54" xfId="0" applyFont="1" applyBorder="1"/>
    <xf numFmtId="0" fontId="17" fillId="3" borderId="28" xfId="0" applyFont="1" applyFill="1" applyBorder="1" applyAlignment="1">
      <alignment horizontal="center" vertical="center" wrapText="1"/>
    </xf>
    <xf numFmtId="0" fontId="19" fillId="0" borderId="60" xfId="0" applyFont="1" applyBorder="1" applyAlignment="1">
      <alignment horizontal="center"/>
    </xf>
    <xf numFmtId="0" fontId="19" fillId="0" borderId="23" xfId="0" applyFont="1" applyBorder="1" applyAlignment="1">
      <alignment horizontal="center"/>
    </xf>
    <xf numFmtId="0" fontId="17" fillId="3" borderId="50" xfId="0" applyFont="1" applyFill="1" applyBorder="1" applyAlignment="1">
      <alignment horizontal="center" vertical="center" wrapText="1"/>
    </xf>
    <xf numFmtId="0" fontId="17" fillId="3" borderId="28" xfId="0" applyFont="1" applyFill="1" applyBorder="1" applyAlignment="1">
      <alignment horizontal="left" vertical="center" wrapText="1"/>
    </xf>
    <xf numFmtId="0" fontId="17" fillId="3" borderId="40" xfId="0" applyFont="1" applyFill="1" applyBorder="1" applyAlignment="1">
      <alignment horizontal="center"/>
    </xf>
    <xf numFmtId="0" fontId="17" fillId="3" borderId="45" xfId="0" applyFont="1" applyFill="1" applyBorder="1" applyAlignment="1">
      <alignment horizontal="center"/>
    </xf>
    <xf numFmtId="0" fontId="17" fillId="3" borderId="42" xfId="0" applyFont="1" applyFill="1" applyBorder="1" applyAlignment="1">
      <alignment horizontal="left"/>
    </xf>
    <xf numFmtId="0" fontId="17" fillId="3" borderId="43" xfId="0" applyFont="1" applyFill="1" applyBorder="1" applyAlignment="1">
      <alignment horizontal="center" vertical="center"/>
    </xf>
    <xf numFmtId="0" fontId="17" fillId="3" borderId="56" xfId="0" applyFont="1" applyFill="1" applyBorder="1" applyAlignment="1">
      <alignment horizontal="center" vertical="center"/>
    </xf>
    <xf numFmtId="0" fontId="17" fillId="3" borderId="49" xfId="0" applyFont="1" applyFill="1" applyBorder="1" applyAlignment="1">
      <alignment horizontal="center" vertical="center"/>
    </xf>
    <xf numFmtId="0" fontId="17" fillId="3" borderId="43" xfId="0" applyFont="1" applyFill="1" applyBorder="1" applyAlignment="1">
      <alignment horizontal="center" vertical="center" wrapText="1"/>
    </xf>
    <xf numFmtId="0" fontId="17" fillId="3" borderId="56" xfId="0" applyFont="1" applyFill="1" applyBorder="1" applyAlignment="1">
      <alignment horizontal="center" vertical="center" wrapText="1"/>
    </xf>
    <xf numFmtId="0" fontId="17" fillId="3" borderId="55" xfId="0" applyFont="1" applyFill="1" applyBorder="1" applyAlignment="1">
      <alignment horizontal="center"/>
    </xf>
    <xf numFmtId="0" fontId="17" fillId="3" borderId="46" xfId="0" applyFont="1" applyFill="1" applyBorder="1" applyAlignment="1">
      <alignment horizontal="center"/>
    </xf>
    <xf numFmtId="0" fontId="17" fillId="3" borderId="53" xfId="0" applyFont="1" applyFill="1" applyBorder="1" applyAlignment="1">
      <alignment horizontal="center"/>
    </xf>
    <xf numFmtId="0" fontId="17" fillId="3" borderId="47" xfId="0" applyFont="1" applyFill="1" applyBorder="1" applyAlignment="1">
      <alignment horizontal="center"/>
    </xf>
    <xf numFmtId="178" fontId="24" fillId="0" borderId="0" xfId="0" applyNumberFormat="1" applyFont="1" applyAlignment="1">
      <alignment horizontal="center" vertical="center" wrapText="1"/>
    </xf>
    <xf numFmtId="179" fontId="23" fillId="0" borderId="0" xfId="0" applyNumberFormat="1" applyFont="1" applyAlignment="1">
      <alignment horizontal="left"/>
    </xf>
    <xf numFmtId="178" fontId="23" fillId="0" borderId="0" xfId="0" applyNumberFormat="1" applyFont="1" applyAlignment="1">
      <alignment horizontal="left" vertical="center" wrapText="1"/>
    </xf>
    <xf numFmtId="178" fontId="24" fillId="0" borderId="0" xfId="0" applyNumberFormat="1" applyFont="1" applyAlignment="1">
      <alignment horizontal="center"/>
    </xf>
    <xf numFmtId="178" fontId="25" fillId="0" borderId="0" xfId="0" applyNumberFormat="1" applyFont="1" applyAlignment="1">
      <alignment horizontal="left" vertical="center" wrapText="1"/>
    </xf>
    <xf numFmtId="178" fontId="24" fillId="0" borderId="52" xfId="0" applyNumberFormat="1" applyFont="1" applyBorder="1" applyAlignment="1">
      <alignment vertical="top" wrapText="1"/>
    </xf>
    <xf numFmtId="178" fontId="25" fillId="0" borderId="53" xfId="0" applyNumberFormat="1" applyFont="1" applyBorder="1" applyAlignment="1">
      <alignment horizontal="left" vertical="center" wrapText="1"/>
    </xf>
    <xf numFmtId="178" fontId="7" fillId="0" borderId="0" xfId="0" applyNumberFormat="1" applyFont="1" applyAlignment="1">
      <alignment horizontal="left" vertical="center" wrapText="1"/>
    </xf>
    <xf numFmtId="178" fontId="24" fillId="17" borderId="55" xfId="0" applyNumberFormat="1" applyFont="1" applyFill="1" applyBorder="1" applyAlignment="1">
      <alignment horizontal="center"/>
    </xf>
    <xf numFmtId="178" fontId="28" fillId="0" borderId="0" xfId="0" applyNumberFormat="1" applyFont="1" applyAlignment="1">
      <alignment horizontal="center" vertical="center" wrapText="1"/>
    </xf>
    <xf numFmtId="178" fontId="23" fillId="0" borderId="0" xfId="0" applyNumberFormat="1" applyFont="1" applyAlignment="1">
      <alignment horizontal="center"/>
    </xf>
    <xf numFmtId="2" fontId="8" fillId="0" borderId="1" xfId="0" applyNumberFormat="1" applyFont="1" applyFill="1" applyBorder="1" applyAlignment="1">
      <alignment horizontal="center" vertical="center"/>
    </xf>
    <xf numFmtId="2" fontId="8" fillId="0" borderId="28" xfId="0" applyNumberFormat="1" applyFont="1" applyFill="1" applyBorder="1" applyAlignment="1">
      <alignment horizontal="center" vertical="center"/>
    </xf>
    <xf numFmtId="2" fontId="8" fillId="0" borderId="61" xfId="0" applyNumberFormat="1" applyFont="1" applyFill="1" applyBorder="1" applyAlignment="1">
      <alignment horizontal="center" vertical="center"/>
    </xf>
    <xf numFmtId="2" fontId="8" fillId="0" borderId="63" xfId="0" applyNumberFormat="1" applyFont="1" applyFill="1" applyBorder="1" applyAlignment="1">
      <alignment horizontal="center" vertical="center"/>
    </xf>
    <xf numFmtId="2" fontId="29" fillId="0" borderId="61" xfId="0" applyNumberFormat="1" applyFont="1" applyFill="1" applyBorder="1" applyAlignment="1">
      <alignment horizontal="center" vertical="center" wrapText="1"/>
    </xf>
    <xf numFmtId="0" fontId="29" fillId="0" borderId="61" xfId="0" applyFont="1" applyFill="1" applyBorder="1" applyAlignment="1">
      <alignment horizontal="center" vertical="center" wrapText="1"/>
    </xf>
    <xf numFmtId="0" fontId="29" fillId="0" borderId="42" xfId="0" applyFont="1" applyFill="1" applyBorder="1" applyAlignment="1">
      <alignment horizontal="center" vertical="center" wrapText="1"/>
    </xf>
    <xf numFmtId="175" fontId="8" fillId="0" borderId="1" xfId="0" applyNumberFormat="1" applyFont="1" applyFill="1" applyBorder="1" applyAlignment="1">
      <alignment horizontal="center" vertical="center"/>
    </xf>
    <xf numFmtId="174" fontId="8" fillId="0" borderId="1" xfId="0" applyNumberFormat="1" applyFont="1" applyFill="1" applyBorder="1" applyAlignment="1">
      <alignment horizontal="center" vertical="center"/>
    </xf>
    <xf numFmtId="0" fontId="12" fillId="0" borderId="27" xfId="0" applyFont="1" applyFill="1" applyBorder="1" applyAlignment="1">
      <alignment horizontal="left" vertical="top" wrapText="1"/>
    </xf>
    <xf numFmtId="0" fontId="12" fillId="0" borderId="1" xfId="0" applyFont="1" applyFill="1" applyBorder="1" applyAlignment="1">
      <alignment horizontal="center" vertical="center" wrapText="1"/>
    </xf>
    <xf numFmtId="2" fontId="12" fillId="0" borderId="1" xfId="0" applyNumberFormat="1" applyFont="1" applyFill="1" applyBorder="1" applyAlignment="1">
      <alignment horizontal="center" vertical="center"/>
    </xf>
    <xf numFmtId="2" fontId="42" fillId="0" borderId="61" xfId="9" applyNumberFormat="1" applyFont="1" applyFill="1" applyBorder="1" applyAlignment="1">
      <alignment horizontal="center" vertical="center"/>
    </xf>
    <xf numFmtId="2" fontId="41" fillId="0" borderId="63" xfId="1" applyNumberFormat="1" applyFont="1" applyFill="1" applyBorder="1" applyAlignment="1">
      <alignment horizontal="center" vertical="center"/>
    </xf>
    <xf numFmtId="2" fontId="41" fillId="0" borderId="1" xfId="0" applyNumberFormat="1" applyFont="1" applyFill="1" applyBorder="1" applyAlignment="1">
      <alignment horizontal="center" vertical="center"/>
    </xf>
    <xf numFmtId="2" fontId="41" fillId="0" borderId="42" xfId="0" applyNumberFormat="1" applyFont="1" applyFill="1" applyBorder="1" applyAlignment="1">
      <alignment horizontal="center" vertical="center"/>
    </xf>
    <xf numFmtId="2" fontId="41" fillId="0" borderId="61" xfId="3" applyNumberFormat="1" applyFont="1" applyFill="1" applyBorder="1" applyAlignment="1">
      <alignment horizontal="center" vertical="center" wrapText="1"/>
    </xf>
  </cellXfs>
  <cellStyles count="13">
    <cellStyle name="Moneda" xfId="12" builtinId="4"/>
    <cellStyle name="Moneda [0] 3" xfId="10" xr:uid="{3BF6D11E-C220-40F2-97F6-0C5CB25ECFFE}"/>
    <cellStyle name="Moneda 2" xfId="2" xr:uid="{F048E251-524F-49B6-BC30-6E8908A7F103}"/>
    <cellStyle name="Moneda 2 2" xfId="7" xr:uid="{1DB38546-1A7E-4023-84C3-CFB77E1E27D0}"/>
    <cellStyle name="Moneda 2 2 2" xfId="8" xr:uid="{A0693413-ACF0-40B5-9405-DCFBBDA1AE3C}"/>
    <cellStyle name="Moneda 5" xfId="6" xr:uid="{FACF02E9-8921-465D-BE70-7992BEFC3D1F}"/>
    <cellStyle name="Moneda 5 2" xfId="11" xr:uid="{E7B62231-14DA-4E50-8A9C-305F094D96A5}"/>
    <cellStyle name="Normal" xfId="0" builtinId="0"/>
    <cellStyle name="Normal 2" xfId="4" xr:uid="{6A79830D-3053-49A8-9807-F959D4D98D6F}"/>
    <cellStyle name="Normal 2 10 2" xfId="3" xr:uid="{6A398B5C-1629-414A-8F0A-B0DD3F4A7AC7}"/>
    <cellStyle name="Normal 2 2" xfId="1" xr:uid="{C32F2FC7-AA7F-4921-AB87-AFBB2B01E9A1}"/>
    <cellStyle name="Normal 4" xfId="9" xr:uid="{6AF44ED7-40BE-4FBD-B34F-6CCEE3450B4E}"/>
    <cellStyle name="Porcentaje 2" xfId="5" xr:uid="{F511DA68-AD4F-4663-B7F0-EB0EEDACBDB2}"/>
  </cellStyles>
  <dxfs count="0"/>
  <tableStyles count="0" defaultTableStyle="TableStyleMedium2" defaultPivotStyle="PivotStyleLight16"/>
  <colors>
    <mruColors>
      <color rgb="FF10E01A"/>
      <color rgb="FFFF3399"/>
      <color rgb="FF66FF99"/>
      <color rgb="FF3366FF"/>
      <color rgb="FFF369DF"/>
      <color rgb="FFA66BD3"/>
      <color rgb="FFA6F6F6"/>
      <color rgb="FF404040"/>
      <color rgb="FF4472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26" Type="http://schemas.openxmlformats.org/officeDocument/2006/relationships/image" Target="../media/image27.png"/><Relationship Id="rId117" Type="http://schemas.openxmlformats.org/officeDocument/2006/relationships/image" Target="../media/image118.png"/><Relationship Id="rId21" Type="http://schemas.openxmlformats.org/officeDocument/2006/relationships/image" Target="../media/image22.jpg"/><Relationship Id="rId42" Type="http://schemas.openxmlformats.org/officeDocument/2006/relationships/image" Target="../media/image43.png"/><Relationship Id="rId47" Type="http://schemas.openxmlformats.org/officeDocument/2006/relationships/image" Target="../media/image48.png"/><Relationship Id="rId63" Type="http://schemas.openxmlformats.org/officeDocument/2006/relationships/image" Target="../media/image64.png"/><Relationship Id="rId68" Type="http://schemas.openxmlformats.org/officeDocument/2006/relationships/image" Target="../media/image69.png"/><Relationship Id="rId84" Type="http://schemas.openxmlformats.org/officeDocument/2006/relationships/image" Target="../media/image85.png"/><Relationship Id="rId89" Type="http://schemas.openxmlformats.org/officeDocument/2006/relationships/image" Target="../media/image90.png"/><Relationship Id="rId112" Type="http://schemas.openxmlformats.org/officeDocument/2006/relationships/image" Target="../media/image113.png"/><Relationship Id="rId16" Type="http://schemas.openxmlformats.org/officeDocument/2006/relationships/image" Target="../media/image17.jpg"/><Relationship Id="rId107" Type="http://schemas.openxmlformats.org/officeDocument/2006/relationships/image" Target="../media/image108.png"/><Relationship Id="rId11" Type="http://schemas.openxmlformats.org/officeDocument/2006/relationships/image" Target="../media/image12.jpg"/><Relationship Id="rId32" Type="http://schemas.openxmlformats.org/officeDocument/2006/relationships/image" Target="../media/image33.png"/><Relationship Id="rId37" Type="http://schemas.openxmlformats.org/officeDocument/2006/relationships/image" Target="../media/image38.png"/><Relationship Id="rId53" Type="http://schemas.openxmlformats.org/officeDocument/2006/relationships/image" Target="../media/image54.png"/><Relationship Id="rId58" Type="http://schemas.openxmlformats.org/officeDocument/2006/relationships/image" Target="../media/image59.png"/><Relationship Id="rId74" Type="http://schemas.openxmlformats.org/officeDocument/2006/relationships/image" Target="../media/image75.png"/><Relationship Id="rId79" Type="http://schemas.openxmlformats.org/officeDocument/2006/relationships/image" Target="../media/image80.png"/><Relationship Id="rId102" Type="http://schemas.openxmlformats.org/officeDocument/2006/relationships/image" Target="../media/image103.png"/><Relationship Id="rId123" Type="http://schemas.openxmlformats.org/officeDocument/2006/relationships/image" Target="../media/image124.png"/><Relationship Id="rId5" Type="http://schemas.openxmlformats.org/officeDocument/2006/relationships/image" Target="../media/image6.jpg"/><Relationship Id="rId90" Type="http://schemas.openxmlformats.org/officeDocument/2006/relationships/image" Target="../media/image91.png"/><Relationship Id="rId95" Type="http://schemas.openxmlformats.org/officeDocument/2006/relationships/image" Target="../media/image96.png"/><Relationship Id="rId22" Type="http://schemas.openxmlformats.org/officeDocument/2006/relationships/image" Target="../media/image23.png"/><Relationship Id="rId27" Type="http://schemas.openxmlformats.org/officeDocument/2006/relationships/image" Target="../media/image28.png"/><Relationship Id="rId43" Type="http://schemas.openxmlformats.org/officeDocument/2006/relationships/image" Target="../media/image44.png"/><Relationship Id="rId48" Type="http://schemas.openxmlformats.org/officeDocument/2006/relationships/image" Target="../media/image49.jpg"/><Relationship Id="rId64" Type="http://schemas.openxmlformats.org/officeDocument/2006/relationships/image" Target="../media/image65.png"/><Relationship Id="rId69" Type="http://schemas.openxmlformats.org/officeDocument/2006/relationships/image" Target="../media/image70.png"/><Relationship Id="rId113" Type="http://schemas.openxmlformats.org/officeDocument/2006/relationships/image" Target="../media/image114.png"/><Relationship Id="rId118" Type="http://schemas.openxmlformats.org/officeDocument/2006/relationships/image" Target="../media/image119.png"/><Relationship Id="rId80" Type="http://schemas.openxmlformats.org/officeDocument/2006/relationships/image" Target="../media/image81.png"/><Relationship Id="rId85" Type="http://schemas.openxmlformats.org/officeDocument/2006/relationships/image" Target="../media/image86.png"/><Relationship Id="rId12" Type="http://schemas.openxmlformats.org/officeDocument/2006/relationships/image" Target="../media/image13.jpg"/><Relationship Id="rId17" Type="http://schemas.openxmlformats.org/officeDocument/2006/relationships/image" Target="../media/image18.jpg"/><Relationship Id="rId33" Type="http://schemas.openxmlformats.org/officeDocument/2006/relationships/image" Target="../media/image34.png"/><Relationship Id="rId38" Type="http://schemas.openxmlformats.org/officeDocument/2006/relationships/image" Target="../media/image39.png"/><Relationship Id="rId59" Type="http://schemas.openxmlformats.org/officeDocument/2006/relationships/image" Target="../media/image60.png"/><Relationship Id="rId103" Type="http://schemas.openxmlformats.org/officeDocument/2006/relationships/image" Target="../media/image104.png"/><Relationship Id="rId108" Type="http://schemas.openxmlformats.org/officeDocument/2006/relationships/image" Target="../media/image109.png"/><Relationship Id="rId124" Type="http://schemas.openxmlformats.org/officeDocument/2006/relationships/image" Target="../media/image125.png"/><Relationship Id="rId54" Type="http://schemas.openxmlformats.org/officeDocument/2006/relationships/image" Target="../media/image55.png"/><Relationship Id="rId70" Type="http://schemas.openxmlformats.org/officeDocument/2006/relationships/image" Target="../media/image71.png"/><Relationship Id="rId75" Type="http://schemas.openxmlformats.org/officeDocument/2006/relationships/image" Target="../media/image76.png"/><Relationship Id="rId91" Type="http://schemas.openxmlformats.org/officeDocument/2006/relationships/image" Target="../media/image92.png"/><Relationship Id="rId96" Type="http://schemas.openxmlformats.org/officeDocument/2006/relationships/image" Target="../media/image97.png"/><Relationship Id="rId1" Type="http://schemas.openxmlformats.org/officeDocument/2006/relationships/image" Target="../media/image2.jpg"/><Relationship Id="rId6" Type="http://schemas.openxmlformats.org/officeDocument/2006/relationships/image" Target="../media/image7.jpg"/><Relationship Id="rId23" Type="http://schemas.openxmlformats.org/officeDocument/2006/relationships/image" Target="../media/image24.png"/><Relationship Id="rId28" Type="http://schemas.openxmlformats.org/officeDocument/2006/relationships/image" Target="../media/image29.png"/><Relationship Id="rId49" Type="http://schemas.openxmlformats.org/officeDocument/2006/relationships/image" Target="../media/image50.png"/><Relationship Id="rId114" Type="http://schemas.openxmlformats.org/officeDocument/2006/relationships/image" Target="../media/image115.png"/><Relationship Id="rId119" Type="http://schemas.openxmlformats.org/officeDocument/2006/relationships/image" Target="../media/image120.png"/><Relationship Id="rId44" Type="http://schemas.openxmlformats.org/officeDocument/2006/relationships/image" Target="../media/image45.png"/><Relationship Id="rId60" Type="http://schemas.openxmlformats.org/officeDocument/2006/relationships/image" Target="../media/image61.png"/><Relationship Id="rId65" Type="http://schemas.openxmlformats.org/officeDocument/2006/relationships/image" Target="../media/image66.png"/><Relationship Id="rId81" Type="http://schemas.openxmlformats.org/officeDocument/2006/relationships/image" Target="../media/image82.png"/><Relationship Id="rId86" Type="http://schemas.openxmlformats.org/officeDocument/2006/relationships/image" Target="../media/image87.png"/><Relationship Id="rId13" Type="http://schemas.openxmlformats.org/officeDocument/2006/relationships/image" Target="../media/image14.jpg"/><Relationship Id="rId18" Type="http://schemas.openxmlformats.org/officeDocument/2006/relationships/image" Target="../media/image19.jpg"/><Relationship Id="rId39" Type="http://schemas.openxmlformats.org/officeDocument/2006/relationships/image" Target="../media/image40.png"/><Relationship Id="rId109" Type="http://schemas.openxmlformats.org/officeDocument/2006/relationships/image" Target="../media/image110.png"/><Relationship Id="rId34" Type="http://schemas.openxmlformats.org/officeDocument/2006/relationships/image" Target="../media/image35.png"/><Relationship Id="rId50" Type="http://schemas.openxmlformats.org/officeDocument/2006/relationships/image" Target="../media/image51.png"/><Relationship Id="rId55" Type="http://schemas.openxmlformats.org/officeDocument/2006/relationships/image" Target="../media/image56.png"/><Relationship Id="rId76" Type="http://schemas.openxmlformats.org/officeDocument/2006/relationships/image" Target="../media/image77.png"/><Relationship Id="rId97" Type="http://schemas.openxmlformats.org/officeDocument/2006/relationships/image" Target="../media/image98.png"/><Relationship Id="rId104" Type="http://schemas.openxmlformats.org/officeDocument/2006/relationships/image" Target="../media/image105.png"/><Relationship Id="rId120" Type="http://schemas.openxmlformats.org/officeDocument/2006/relationships/image" Target="../media/image121.png"/><Relationship Id="rId125" Type="http://schemas.openxmlformats.org/officeDocument/2006/relationships/image" Target="../media/image126.png"/><Relationship Id="rId7" Type="http://schemas.openxmlformats.org/officeDocument/2006/relationships/image" Target="../media/image8.jpg"/><Relationship Id="rId71" Type="http://schemas.openxmlformats.org/officeDocument/2006/relationships/image" Target="../media/image72.png"/><Relationship Id="rId92" Type="http://schemas.openxmlformats.org/officeDocument/2006/relationships/image" Target="../media/image93.png"/><Relationship Id="rId2" Type="http://schemas.openxmlformats.org/officeDocument/2006/relationships/image" Target="../media/image3.jpg"/><Relationship Id="rId29" Type="http://schemas.openxmlformats.org/officeDocument/2006/relationships/image" Target="../media/image30.jpeg"/><Relationship Id="rId24" Type="http://schemas.openxmlformats.org/officeDocument/2006/relationships/image" Target="../media/image25.png"/><Relationship Id="rId40" Type="http://schemas.openxmlformats.org/officeDocument/2006/relationships/image" Target="../media/image41.png"/><Relationship Id="rId45" Type="http://schemas.openxmlformats.org/officeDocument/2006/relationships/image" Target="../media/image46.png"/><Relationship Id="rId66" Type="http://schemas.openxmlformats.org/officeDocument/2006/relationships/image" Target="../media/image67.png"/><Relationship Id="rId87" Type="http://schemas.openxmlformats.org/officeDocument/2006/relationships/image" Target="../media/image88.png"/><Relationship Id="rId110" Type="http://schemas.openxmlformats.org/officeDocument/2006/relationships/image" Target="../media/image111.png"/><Relationship Id="rId115" Type="http://schemas.openxmlformats.org/officeDocument/2006/relationships/image" Target="../media/image116.png"/><Relationship Id="rId61" Type="http://schemas.openxmlformats.org/officeDocument/2006/relationships/image" Target="../media/image62.png"/><Relationship Id="rId82" Type="http://schemas.openxmlformats.org/officeDocument/2006/relationships/image" Target="../media/image83.png"/><Relationship Id="rId19" Type="http://schemas.openxmlformats.org/officeDocument/2006/relationships/image" Target="../media/image20.jpg"/><Relationship Id="rId14" Type="http://schemas.openxmlformats.org/officeDocument/2006/relationships/image" Target="../media/image15.jpg"/><Relationship Id="rId30" Type="http://schemas.openxmlformats.org/officeDocument/2006/relationships/image" Target="../media/image31.png"/><Relationship Id="rId35" Type="http://schemas.openxmlformats.org/officeDocument/2006/relationships/image" Target="../media/image36.png"/><Relationship Id="rId56" Type="http://schemas.openxmlformats.org/officeDocument/2006/relationships/image" Target="../media/image57.png"/><Relationship Id="rId77" Type="http://schemas.openxmlformats.org/officeDocument/2006/relationships/image" Target="../media/image78.png"/><Relationship Id="rId100" Type="http://schemas.openxmlformats.org/officeDocument/2006/relationships/image" Target="../media/image101.png"/><Relationship Id="rId105" Type="http://schemas.openxmlformats.org/officeDocument/2006/relationships/image" Target="../media/image106.png"/><Relationship Id="rId126" Type="http://schemas.openxmlformats.org/officeDocument/2006/relationships/image" Target="../media/image127.png"/><Relationship Id="rId8" Type="http://schemas.openxmlformats.org/officeDocument/2006/relationships/image" Target="../media/image9.jpg"/><Relationship Id="rId51" Type="http://schemas.openxmlformats.org/officeDocument/2006/relationships/image" Target="../media/image52.png"/><Relationship Id="rId72" Type="http://schemas.openxmlformats.org/officeDocument/2006/relationships/image" Target="../media/image73.png"/><Relationship Id="rId93" Type="http://schemas.openxmlformats.org/officeDocument/2006/relationships/image" Target="../media/image94.png"/><Relationship Id="rId98" Type="http://schemas.openxmlformats.org/officeDocument/2006/relationships/image" Target="../media/image99.png"/><Relationship Id="rId121" Type="http://schemas.openxmlformats.org/officeDocument/2006/relationships/image" Target="../media/image122.png"/><Relationship Id="rId3" Type="http://schemas.openxmlformats.org/officeDocument/2006/relationships/image" Target="../media/image4.jpg"/><Relationship Id="rId25" Type="http://schemas.openxmlformats.org/officeDocument/2006/relationships/image" Target="../media/image26.png"/><Relationship Id="rId46" Type="http://schemas.openxmlformats.org/officeDocument/2006/relationships/image" Target="../media/image47.png"/><Relationship Id="rId67" Type="http://schemas.openxmlformats.org/officeDocument/2006/relationships/image" Target="../media/image68.png"/><Relationship Id="rId116" Type="http://schemas.openxmlformats.org/officeDocument/2006/relationships/image" Target="../media/image117.png"/><Relationship Id="rId20" Type="http://schemas.openxmlformats.org/officeDocument/2006/relationships/image" Target="../media/image21.jpg"/><Relationship Id="rId41" Type="http://schemas.openxmlformats.org/officeDocument/2006/relationships/image" Target="../media/image42.png"/><Relationship Id="rId62" Type="http://schemas.openxmlformats.org/officeDocument/2006/relationships/image" Target="../media/image63.png"/><Relationship Id="rId83" Type="http://schemas.openxmlformats.org/officeDocument/2006/relationships/image" Target="../media/image84.png"/><Relationship Id="rId88" Type="http://schemas.openxmlformats.org/officeDocument/2006/relationships/image" Target="../media/image89.png"/><Relationship Id="rId111" Type="http://schemas.openxmlformats.org/officeDocument/2006/relationships/image" Target="../media/image112.png"/><Relationship Id="rId15" Type="http://schemas.openxmlformats.org/officeDocument/2006/relationships/image" Target="../media/image16.jpg"/><Relationship Id="rId36" Type="http://schemas.openxmlformats.org/officeDocument/2006/relationships/image" Target="../media/image37.png"/><Relationship Id="rId57" Type="http://schemas.openxmlformats.org/officeDocument/2006/relationships/image" Target="../media/image58.png"/><Relationship Id="rId106" Type="http://schemas.openxmlformats.org/officeDocument/2006/relationships/image" Target="../media/image107.png"/><Relationship Id="rId127" Type="http://schemas.openxmlformats.org/officeDocument/2006/relationships/image" Target="../media/image128.png"/><Relationship Id="rId10" Type="http://schemas.openxmlformats.org/officeDocument/2006/relationships/image" Target="../media/image11.jpg"/><Relationship Id="rId31" Type="http://schemas.openxmlformats.org/officeDocument/2006/relationships/image" Target="../media/image32.png"/><Relationship Id="rId52" Type="http://schemas.openxmlformats.org/officeDocument/2006/relationships/image" Target="../media/image53.png"/><Relationship Id="rId73" Type="http://schemas.openxmlformats.org/officeDocument/2006/relationships/image" Target="../media/image74.png"/><Relationship Id="rId78" Type="http://schemas.openxmlformats.org/officeDocument/2006/relationships/image" Target="../media/image79.png"/><Relationship Id="rId94" Type="http://schemas.openxmlformats.org/officeDocument/2006/relationships/image" Target="../media/image95.png"/><Relationship Id="rId99" Type="http://schemas.openxmlformats.org/officeDocument/2006/relationships/image" Target="../media/image100.png"/><Relationship Id="rId101" Type="http://schemas.openxmlformats.org/officeDocument/2006/relationships/image" Target="../media/image102.png"/><Relationship Id="rId122" Type="http://schemas.openxmlformats.org/officeDocument/2006/relationships/image" Target="../media/image123.png"/><Relationship Id="rId4" Type="http://schemas.openxmlformats.org/officeDocument/2006/relationships/image" Target="../media/image5.jpg"/><Relationship Id="rId9" Type="http://schemas.openxmlformats.org/officeDocument/2006/relationships/image" Target="../media/image10.jpg"/></Relationships>
</file>

<file path=xl/drawings/_rels/drawing3.xml.rels><?xml version="1.0" encoding="UTF-8" standalone="yes"?>
<Relationships xmlns="http://schemas.openxmlformats.org/package/2006/relationships"><Relationship Id="rId1" Type="http://schemas.openxmlformats.org/officeDocument/2006/relationships/image" Target="../media/image129.jpg"/></Relationships>
</file>

<file path=xl/drawings/drawing1.xml><?xml version="1.0" encoding="utf-8"?>
<xdr:wsDr xmlns:xdr="http://schemas.openxmlformats.org/drawingml/2006/spreadsheetDrawing" xmlns:a="http://schemas.openxmlformats.org/drawingml/2006/main">
  <xdr:oneCellAnchor>
    <xdr:from>
      <xdr:col>2</xdr:col>
      <xdr:colOff>134937</xdr:colOff>
      <xdr:row>0</xdr:row>
      <xdr:rowOff>46990</xdr:rowOff>
    </xdr:from>
    <xdr:ext cx="1706563" cy="500698"/>
    <xdr:pic>
      <xdr:nvPicPr>
        <xdr:cNvPr id="2" name="image1.jpg" descr="Logo CSJ RGB_01">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xfrm>
          <a:off x="1135062" y="46990"/>
          <a:ext cx="1706563" cy="500698"/>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2</xdr:col>
      <xdr:colOff>123825</xdr:colOff>
      <xdr:row>39</xdr:row>
      <xdr:rowOff>114300</xdr:rowOff>
    </xdr:from>
    <xdr:ext cx="1371600" cy="400050"/>
    <xdr:pic>
      <xdr:nvPicPr>
        <xdr:cNvPr id="433" name="image11.jpg" descr="Logo CSJ RGB_01">
          <a:extLst>
            <a:ext uri="{FF2B5EF4-FFF2-40B4-BE49-F238E27FC236}">
              <a16:creationId xmlns:a16="http://schemas.microsoft.com/office/drawing/2014/main" id="{92A94804-0C21-4511-A155-F61BD8C3E1C9}"/>
            </a:ext>
          </a:extLst>
        </xdr:cNvPr>
        <xdr:cNvPicPr preferRelativeResize="0"/>
      </xdr:nvPicPr>
      <xdr:blipFill>
        <a:blip xmlns:r="http://schemas.openxmlformats.org/officeDocument/2006/relationships" r:embed="rId1" cstate="print"/>
        <a:stretch>
          <a:fillRect/>
        </a:stretch>
      </xdr:blipFill>
      <xdr:spPr>
        <a:xfrm>
          <a:off x="2028825" y="6991350"/>
          <a:ext cx="1371600" cy="400050"/>
        </a:xfrm>
        <a:prstGeom prst="rect">
          <a:avLst/>
        </a:prstGeom>
        <a:noFill/>
      </xdr:spPr>
    </xdr:pic>
    <xdr:clientData fLocksWithSheet="0"/>
  </xdr:oneCellAnchor>
  <xdr:oneCellAnchor>
    <xdr:from>
      <xdr:col>2</xdr:col>
      <xdr:colOff>114300</xdr:colOff>
      <xdr:row>185</xdr:row>
      <xdr:rowOff>47625</xdr:rowOff>
    </xdr:from>
    <xdr:ext cx="1419225" cy="352425"/>
    <xdr:pic>
      <xdr:nvPicPr>
        <xdr:cNvPr id="434" name="image18.jpg" descr="Logo CSJ RGB_01">
          <a:extLst>
            <a:ext uri="{FF2B5EF4-FFF2-40B4-BE49-F238E27FC236}">
              <a16:creationId xmlns:a16="http://schemas.microsoft.com/office/drawing/2014/main" id="{13619510-F221-4404-A37E-0A0B283FE79A}"/>
            </a:ext>
          </a:extLst>
        </xdr:cNvPr>
        <xdr:cNvPicPr preferRelativeResize="0"/>
      </xdr:nvPicPr>
      <xdr:blipFill>
        <a:blip xmlns:r="http://schemas.openxmlformats.org/officeDocument/2006/relationships" r:embed="rId2" cstate="print"/>
        <a:stretch>
          <a:fillRect/>
        </a:stretch>
      </xdr:blipFill>
      <xdr:spPr>
        <a:xfrm>
          <a:off x="2019300" y="56826150"/>
          <a:ext cx="1419225" cy="352425"/>
        </a:xfrm>
        <a:prstGeom prst="rect">
          <a:avLst/>
        </a:prstGeom>
        <a:noFill/>
      </xdr:spPr>
    </xdr:pic>
    <xdr:clientData fLocksWithSheet="0"/>
  </xdr:oneCellAnchor>
  <xdr:oneCellAnchor>
    <xdr:from>
      <xdr:col>2</xdr:col>
      <xdr:colOff>133350</xdr:colOff>
      <xdr:row>216</xdr:row>
      <xdr:rowOff>66675</xdr:rowOff>
    </xdr:from>
    <xdr:ext cx="1371600" cy="400050"/>
    <xdr:pic>
      <xdr:nvPicPr>
        <xdr:cNvPr id="435" name="image10.jpg" descr="Logo CSJ RGB_01">
          <a:extLst>
            <a:ext uri="{FF2B5EF4-FFF2-40B4-BE49-F238E27FC236}">
              <a16:creationId xmlns:a16="http://schemas.microsoft.com/office/drawing/2014/main" id="{0068B79F-88D0-4D1B-9A75-C34845F43DBF}"/>
            </a:ext>
          </a:extLst>
        </xdr:cNvPr>
        <xdr:cNvPicPr preferRelativeResize="0"/>
      </xdr:nvPicPr>
      <xdr:blipFill>
        <a:blip xmlns:r="http://schemas.openxmlformats.org/officeDocument/2006/relationships" r:embed="rId3" cstate="print"/>
        <a:stretch>
          <a:fillRect/>
        </a:stretch>
      </xdr:blipFill>
      <xdr:spPr>
        <a:xfrm>
          <a:off x="2038350" y="63903225"/>
          <a:ext cx="1371600" cy="400050"/>
        </a:xfrm>
        <a:prstGeom prst="rect">
          <a:avLst/>
        </a:prstGeom>
        <a:noFill/>
      </xdr:spPr>
    </xdr:pic>
    <xdr:clientData fLocksWithSheet="0"/>
  </xdr:oneCellAnchor>
  <xdr:oneCellAnchor>
    <xdr:from>
      <xdr:col>2</xdr:col>
      <xdr:colOff>180975</xdr:colOff>
      <xdr:row>276</xdr:row>
      <xdr:rowOff>57150</xdr:rowOff>
    </xdr:from>
    <xdr:ext cx="1285875" cy="342900"/>
    <xdr:pic>
      <xdr:nvPicPr>
        <xdr:cNvPr id="436" name="image8.jpg" descr="Logo CSJ RGB_01">
          <a:extLst>
            <a:ext uri="{FF2B5EF4-FFF2-40B4-BE49-F238E27FC236}">
              <a16:creationId xmlns:a16="http://schemas.microsoft.com/office/drawing/2014/main" id="{22C8BF45-DDDC-4057-A106-9D53108B766E}"/>
            </a:ext>
          </a:extLst>
        </xdr:cNvPr>
        <xdr:cNvPicPr preferRelativeResize="0"/>
      </xdr:nvPicPr>
      <xdr:blipFill>
        <a:blip xmlns:r="http://schemas.openxmlformats.org/officeDocument/2006/relationships" r:embed="rId4" cstate="print"/>
        <a:stretch>
          <a:fillRect/>
        </a:stretch>
      </xdr:blipFill>
      <xdr:spPr>
        <a:xfrm>
          <a:off x="2085975" y="68961000"/>
          <a:ext cx="1285875" cy="342900"/>
        </a:xfrm>
        <a:prstGeom prst="rect">
          <a:avLst/>
        </a:prstGeom>
        <a:noFill/>
      </xdr:spPr>
    </xdr:pic>
    <xdr:clientData fLocksWithSheet="0"/>
  </xdr:oneCellAnchor>
  <xdr:oneCellAnchor>
    <xdr:from>
      <xdr:col>2</xdr:col>
      <xdr:colOff>123825</xdr:colOff>
      <xdr:row>387</xdr:row>
      <xdr:rowOff>114300</xdr:rowOff>
    </xdr:from>
    <xdr:ext cx="1371600" cy="400050"/>
    <xdr:pic>
      <xdr:nvPicPr>
        <xdr:cNvPr id="437" name="image11.jpg" descr="Logo CSJ RGB_01">
          <a:extLst>
            <a:ext uri="{FF2B5EF4-FFF2-40B4-BE49-F238E27FC236}">
              <a16:creationId xmlns:a16="http://schemas.microsoft.com/office/drawing/2014/main" id="{270DF540-7226-4AAC-9E44-82AF9CA4363A}"/>
            </a:ext>
          </a:extLst>
        </xdr:cNvPr>
        <xdr:cNvPicPr preferRelativeResize="0"/>
      </xdr:nvPicPr>
      <xdr:blipFill>
        <a:blip xmlns:r="http://schemas.openxmlformats.org/officeDocument/2006/relationships" r:embed="rId1" cstate="print"/>
        <a:stretch>
          <a:fillRect/>
        </a:stretch>
      </xdr:blipFill>
      <xdr:spPr>
        <a:xfrm>
          <a:off x="2028825" y="75923775"/>
          <a:ext cx="1371600" cy="400050"/>
        </a:xfrm>
        <a:prstGeom prst="rect">
          <a:avLst/>
        </a:prstGeom>
        <a:noFill/>
      </xdr:spPr>
    </xdr:pic>
    <xdr:clientData fLocksWithSheet="0"/>
  </xdr:oneCellAnchor>
  <xdr:oneCellAnchor>
    <xdr:from>
      <xdr:col>2</xdr:col>
      <xdr:colOff>123825</xdr:colOff>
      <xdr:row>416</xdr:row>
      <xdr:rowOff>114300</xdr:rowOff>
    </xdr:from>
    <xdr:ext cx="1371600" cy="400050"/>
    <xdr:pic>
      <xdr:nvPicPr>
        <xdr:cNvPr id="438" name="image11.jpg" descr="Logo CSJ RGB_01">
          <a:extLst>
            <a:ext uri="{FF2B5EF4-FFF2-40B4-BE49-F238E27FC236}">
              <a16:creationId xmlns:a16="http://schemas.microsoft.com/office/drawing/2014/main" id="{688C2288-C5E6-48F7-8B52-7A3A47DAF949}"/>
            </a:ext>
          </a:extLst>
        </xdr:cNvPr>
        <xdr:cNvPicPr preferRelativeResize="0"/>
      </xdr:nvPicPr>
      <xdr:blipFill>
        <a:blip xmlns:r="http://schemas.openxmlformats.org/officeDocument/2006/relationships" r:embed="rId1" cstate="print"/>
        <a:stretch>
          <a:fillRect/>
        </a:stretch>
      </xdr:blipFill>
      <xdr:spPr>
        <a:xfrm>
          <a:off x="2028825" y="82315050"/>
          <a:ext cx="1371600" cy="400050"/>
        </a:xfrm>
        <a:prstGeom prst="rect">
          <a:avLst/>
        </a:prstGeom>
        <a:noFill/>
      </xdr:spPr>
    </xdr:pic>
    <xdr:clientData fLocksWithSheet="0"/>
  </xdr:oneCellAnchor>
  <xdr:oneCellAnchor>
    <xdr:from>
      <xdr:col>2</xdr:col>
      <xdr:colOff>123825</xdr:colOff>
      <xdr:row>610</xdr:row>
      <xdr:rowOff>114300</xdr:rowOff>
    </xdr:from>
    <xdr:ext cx="1371600" cy="400050"/>
    <xdr:pic>
      <xdr:nvPicPr>
        <xdr:cNvPr id="439" name="image17.jpg" descr="Logo CSJ RGB_01">
          <a:extLst>
            <a:ext uri="{FF2B5EF4-FFF2-40B4-BE49-F238E27FC236}">
              <a16:creationId xmlns:a16="http://schemas.microsoft.com/office/drawing/2014/main" id="{DA834B7E-5587-4716-8A43-4A22DBE1FC8A}"/>
            </a:ext>
          </a:extLst>
        </xdr:cNvPr>
        <xdr:cNvPicPr preferRelativeResize="0"/>
      </xdr:nvPicPr>
      <xdr:blipFill>
        <a:blip xmlns:r="http://schemas.openxmlformats.org/officeDocument/2006/relationships" r:embed="rId5" cstate="print"/>
        <a:stretch>
          <a:fillRect/>
        </a:stretch>
      </xdr:blipFill>
      <xdr:spPr>
        <a:xfrm>
          <a:off x="2028825" y="95726250"/>
          <a:ext cx="1371600" cy="400050"/>
        </a:xfrm>
        <a:prstGeom prst="rect">
          <a:avLst/>
        </a:prstGeom>
        <a:noFill/>
      </xdr:spPr>
    </xdr:pic>
    <xdr:clientData fLocksWithSheet="0"/>
  </xdr:oneCellAnchor>
  <xdr:oneCellAnchor>
    <xdr:from>
      <xdr:col>2</xdr:col>
      <xdr:colOff>123825</xdr:colOff>
      <xdr:row>644</xdr:row>
      <xdr:rowOff>114300</xdr:rowOff>
    </xdr:from>
    <xdr:ext cx="1371600" cy="400050"/>
    <xdr:pic>
      <xdr:nvPicPr>
        <xdr:cNvPr id="440" name="image11.jpg" descr="Logo CSJ RGB_01">
          <a:extLst>
            <a:ext uri="{FF2B5EF4-FFF2-40B4-BE49-F238E27FC236}">
              <a16:creationId xmlns:a16="http://schemas.microsoft.com/office/drawing/2014/main" id="{EC88C87B-DC36-4070-8729-951FD776ED21}"/>
            </a:ext>
          </a:extLst>
        </xdr:cNvPr>
        <xdr:cNvPicPr preferRelativeResize="0"/>
      </xdr:nvPicPr>
      <xdr:blipFill>
        <a:blip xmlns:r="http://schemas.openxmlformats.org/officeDocument/2006/relationships" r:embed="rId1" cstate="print"/>
        <a:stretch>
          <a:fillRect/>
        </a:stretch>
      </xdr:blipFill>
      <xdr:spPr>
        <a:xfrm>
          <a:off x="2028825" y="102536625"/>
          <a:ext cx="1371600" cy="400050"/>
        </a:xfrm>
        <a:prstGeom prst="rect">
          <a:avLst/>
        </a:prstGeom>
        <a:noFill/>
      </xdr:spPr>
    </xdr:pic>
    <xdr:clientData fLocksWithSheet="0"/>
  </xdr:oneCellAnchor>
  <xdr:oneCellAnchor>
    <xdr:from>
      <xdr:col>1</xdr:col>
      <xdr:colOff>1495425</xdr:colOff>
      <xdr:row>69</xdr:row>
      <xdr:rowOff>47625</xdr:rowOff>
    </xdr:from>
    <xdr:ext cx="1247775" cy="400050"/>
    <xdr:pic>
      <xdr:nvPicPr>
        <xdr:cNvPr id="441" name="image6.jpg" descr="Logo CSJ RGB_01">
          <a:extLst>
            <a:ext uri="{FF2B5EF4-FFF2-40B4-BE49-F238E27FC236}">
              <a16:creationId xmlns:a16="http://schemas.microsoft.com/office/drawing/2014/main" id="{F57CAD84-3C97-4631-B8C5-FA888C54F158}"/>
            </a:ext>
          </a:extLst>
        </xdr:cNvPr>
        <xdr:cNvPicPr preferRelativeResize="0"/>
      </xdr:nvPicPr>
      <xdr:blipFill>
        <a:blip xmlns:r="http://schemas.openxmlformats.org/officeDocument/2006/relationships" r:embed="rId6" cstate="print"/>
        <a:stretch>
          <a:fillRect/>
        </a:stretch>
      </xdr:blipFill>
      <xdr:spPr>
        <a:xfrm>
          <a:off x="1819275" y="23831550"/>
          <a:ext cx="1247775" cy="400050"/>
        </a:xfrm>
        <a:prstGeom prst="rect">
          <a:avLst/>
        </a:prstGeom>
        <a:noFill/>
      </xdr:spPr>
    </xdr:pic>
    <xdr:clientData fLocksWithSheet="0"/>
  </xdr:oneCellAnchor>
  <xdr:oneCellAnchor>
    <xdr:from>
      <xdr:col>1</xdr:col>
      <xdr:colOff>1543050</xdr:colOff>
      <xdr:row>100</xdr:row>
      <xdr:rowOff>76200</xdr:rowOff>
    </xdr:from>
    <xdr:ext cx="1438275" cy="400050"/>
    <xdr:pic>
      <xdr:nvPicPr>
        <xdr:cNvPr id="442" name="image21.jpg" descr="Logo CSJ RGB_01">
          <a:extLst>
            <a:ext uri="{FF2B5EF4-FFF2-40B4-BE49-F238E27FC236}">
              <a16:creationId xmlns:a16="http://schemas.microsoft.com/office/drawing/2014/main" id="{7CEEEF01-9DDC-4BE0-B101-A6B839BA4647}"/>
            </a:ext>
          </a:extLst>
        </xdr:cNvPr>
        <xdr:cNvPicPr preferRelativeResize="0"/>
      </xdr:nvPicPr>
      <xdr:blipFill>
        <a:blip xmlns:r="http://schemas.openxmlformats.org/officeDocument/2006/relationships" r:embed="rId7" cstate="print"/>
        <a:stretch>
          <a:fillRect/>
        </a:stretch>
      </xdr:blipFill>
      <xdr:spPr>
        <a:xfrm>
          <a:off x="1866900" y="40824150"/>
          <a:ext cx="1438275" cy="400050"/>
        </a:xfrm>
        <a:prstGeom prst="rect">
          <a:avLst/>
        </a:prstGeom>
        <a:noFill/>
      </xdr:spPr>
    </xdr:pic>
    <xdr:clientData fLocksWithSheet="0"/>
  </xdr:oneCellAnchor>
  <xdr:oneCellAnchor>
    <xdr:from>
      <xdr:col>1</xdr:col>
      <xdr:colOff>1333500</xdr:colOff>
      <xdr:row>130</xdr:row>
      <xdr:rowOff>123825</xdr:rowOff>
    </xdr:from>
    <xdr:ext cx="1485900" cy="400050"/>
    <xdr:pic>
      <xdr:nvPicPr>
        <xdr:cNvPr id="443" name="image16.jpg" descr="Logo CSJ RGB_01">
          <a:extLst>
            <a:ext uri="{FF2B5EF4-FFF2-40B4-BE49-F238E27FC236}">
              <a16:creationId xmlns:a16="http://schemas.microsoft.com/office/drawing/2014/main" id="{F6D085EE-176F-4445-9C13-DAC7B1DFB723}"/>
            </a:ext>
          </a:extLst>
        </xdr:cNvPr>
        <xdr:cNvPicPr preferRelativeResize="0"/>
      </xdr:nvPicPr>
      <xdr:blipFill>
        <a:blip xmlns:r="http://schemas.openxmlformats.org/officeDocument/2006/relationships" r:embed="rId8" cstate="print"/>
        <a:stretch>
          <a:fillRect/>
        </a:stretch>
      </xdr:blipFill>
      <xdr:spPr>
        <a:xfrm>
          <a:off x="1657350" y="49920525"/>
          <a:ext cx="1485900" cy="400050"/>
        </a:xfrm>
        <a:prstGeom prst="rect">
          <a:avLst/>
        </a:prstGeom>
        <a:noFill/>
      </xdr:spPr>
    </xdr:pic>
    <xdr:clientData fLocksWithSheet="0"/>
  </xdr:oneCellAnchor>
  <xdr:oneCellAnchor>
    <xdr:from>
      <xdr:col>2</xdr:col>
      <xdr:colOff>133350</xdr:colOff>
      <xdr:row>1286</xdr:row>
      <xdr:rowOff>76200</xdr:rowOff>
    </xdr:from>
    <xdr:ext cx="1371600" cy="371475"/>
    <xdr:pic>
      <xdr:nvPicPr>
        <xdr:cNvPr id="444" name="image14.jpg" descr="Logo CSJ RGB_01">
          <a:extLst>
            <a:ext uri="{FF2B5EF4-FFF2-40B4-BE49-F238E27FC236}">
              <a16:creationId xmlns:a16="http://schemas.microsoft.com/office/drawing/2014/main" id="{D485246C-1DE1-411D-9BAF-807519AD9A76}"/>
            </a:ext>
          </a:extLst>
        </xdr:cNvPr>
        <xdr:cNvPicPr preferRelativeResize="0"/>
      </xdr:nvPicPr>
      <xdr:blipFill>
        <a:blip xmlns:r="http://schemas.openxmlformats.org/officeDocument/2006/relationships" r:embed="rId9" cstate="print"/>
        <a:stretch>
          <a:fillRect/>
        </a:stretch>
      </xdr:blipFill>
      <xdr:spPr>
        <a:xfrm>
          <a:off x="2038350" y="108966000"/>
          <a:ext cx="1371600" cy="371475"/>
        </a:xfrm>
        <a:prstGeom prst="rect">
          <a:avLst/>
        </a:prstGeom>
        <a:noFill/>
      </xdr:spPr>
    </xdr:pic>
    <xdr:clientData fLocksWithSheet="0"/>
  </xdr:oneCellAnchor>
  <xdr:oneCellAnchor>
    <xdr:from>
      <xdr:col>2</xdr:col>
      <xdr:colOff>123825</xdr:colOff>
      <xdr:row>1388</xdr:row>
      <xdr:rowOff>114300</xdr:rowOff>
    </xdr:from>
    <xdr:ext cx="1371600" cy="400050"/>
    <xdr:pic>
      <xdr:nvPicPr>
        <xdr:cNvPr id="445" name="image11.jpg" descr="Logo CSJ RGB_01">
          <a:extLst>
            <a:ext uri="{FF2B5EF4-FFF2-40B4-BE49-F238E27FC236}">
              <a16:creationId xmlns:a16="http://schemas.microsoft.com/office/drawing/2014/main" id="{8C94127E-173F-48F4-BC6F-490C31EA9A9D}"/>
            </a:ext>
          </a:extLst>
        </xdr:cNvPr>
        <xdr:cNvPicPr preferRelativeResize="0"/>
      </xdr:nvPicPr>
      <xdr:blipFill>
        <a:blip xmlns:r="http://schemas.openxmlformats.org/officeDocument/2006/relationships" r:embed="rId1" cstate="print"/>
        <a:stretch>
          <a:fillRect/>
        </a:stretch>
      </xdr:blipFill>
      <xdr:spPr>
        <a:xfrm>
          <a:off x="2028825" y="115928775"/>
          <a:ext cx="1371600" cy="400050"/>
        </a:xfrm>
        <a:prstGeom prst="rect">
          <a:avLst/>
        </a:prstGeom>
        <a:noFill/>
      </xdr:spPr>
    </xdr:pic>
    <xdr:clientData fLocksWithSheet="0"/>
  </xdr:oneCellAnchor>
  <xdr:oneCellAnchor>
    <xdr:from>
      <xdr:col>2</xdr:col>
      <xdr:colOff>123825</xdr:colOff>
      <xdr:row>1416</xdr:row>
      <xdr:rowOff>114300</xdr:rowOff>
    </xdr:from>
    <xdr:ext cx="1371600" cy="400050"/>
    <xdr:pic>
      <xdr:nvPicPr>
        <xdr:cNvPr id="446" name="image17.jpg" descr="Logo CSJ RGB_01">
          <a:extLst>
            <a:ext uri="{FF2B5EF4-FFF2-40B4-BE49-F238E27FC236}">
              <a16:creationId xmlns:a16="http://schemas.microsoft.com/office/drawing/2014/main" id="{1C9BC2DC-731F-43F7-B1E8-C53590390696}"/>
            </a:ext>
          </a:extLst>
        </xdr:cNvPr>
        <xdr:cNvPicPr preferRelativeResize="0"/>
      </xdr:nvPicPr>
      <xdr:blipFill>
        <a:blip xmlns:r="http://schemas.openxmlformats.org/officeDocument/2006/relationships" r:embed="rId5" cstate="print"/>
        <a:stretch>
          <a:fillRect/>
        </a:stretch>
      </xdr:blipFill>
      <xdr:spPr>
        <a:xfrm>
          <a:off x="2028825" y="122939175"/>
          <a:ext cx="1371600" cy="400050"/>
        </a:xfrm>
        <a:prstGeom prst="rect">
          <a:avLst/>
        </a:prstGeom>
        <a:noFill/>
      </xdr:spPr>
    </xdr:pic>
    <xdr:clientData fLocksWithSheet="0"/>
  </xdr:oneCellAnchor>
  <xdr:oneCellAnchor>
    <xdr:from>
      <xdr:col>2</xdr:col>
      <xdr:colOff>123825</xdr:colOff>
      <xdr:row>1445</xdr:row>
      <xdr:rowOff>95250</xdr:rowOff>
    </xdr:from>
    <xdr:ext cx="1371600" cy="371475"/>
    <xdr:pic>
      <xdr:nvPicPr>
        <xdr:cNvPr id="447" name="image9.jpg" descr="Logo CSJ RGB_01">
          <a:extLst>
            <a:ext uri="{FF2B5EF4-FFF2-40B4-BE49-F238E27FC236}">
              <a16:creationId xmlns:a16="http://schemas.microsoft.com/office/drawing/2014/main" id="{DFC89797-C8DA-429A-BD26-8F217542E57A}"/>
            </a:ext>
          </a:extLst>
        </xdr:cNvPr>
        <xdr:cNvPicPr preferRelativeResize="0"/>
      </xdr:nvPicPr>
      <xdr:blipFill>
        <a:blip xmlns:r="http://schemas.openxmlformats.org/officeDocument/2006/relationships" r:embed="rId10" cstate="print"/>
        <a:stretch>
          <a:fillRect/>
        </a:stretch>
      </xdr:blipFill>
      <xdr:spPr>
        <a:xfrm>
          <a:off x="2028825" y="129587625"/>
          <a:ext cx="1371600" cy="371475"/>
        </a:xfrm>
        <a:prstGeom prst="rect">
          <a:avLst/>
        </a:prstGeom>
        <a:noFill/>
      </xdr:spPr>
    </xdr:pic>
    <xdr:clientData fLocksWithSheet="0"/>
  </xdr:oneCellAnchor>
  <xdr:oneCellAnchor>
    <xdr:from>
      <xdr:col>2</xdr:col>
      <xdr:colOff>123825</xdr:colOff>
      <xdr:row>1480</xdr:row>
      <xdr:rowOff>114300</xdr:rowOff>
    </xdr:from>
    <xdr:ext cx="1371600" cy="400050"/>
    <xdr:pic>
      <xdr:nvPicPr>
        <xdr:cNvPr id="448" name="image11.jpg" descr="Logo CSJ RGB_01">
          <a:extLst>
            <a:ext uri="{FF2B5EF4-FFF2-40B4-BE49-F238E27FC236}">
              <a16:creationId xmlns:a16="http://schemas.microsoft.com/office/drawing/2014/main" id="{CEFF27FB-F83F-4C99-911C-09A4E3FE2181}"/>
            </a:ext>
          </a:extLst>
        </xdr:cNvPr>
        <xdr:cNvPicPr preferRelativeResize="0"/>
      </xdr:nvPicPr>
      <xdr:blipFill>
        <a:blip xmlns:r="http://schemas.openxmlformats.org/officeDocument/2006/relationships" r:embed="rId1" cstate="print"/>
        <a:stretch>
          <a:fillRect/>
        </a:stretch>
      </xdr:blipFill>
      <xdr:spPr>
        <a:xfrm>
          <a:off x="2028825" y="136245600"/>
          <a:ext cx="1371600" cy="400050"/>
        </a:xfrm>
        <a:prstGeom prst="rect">
          <a:avLst/>
        </a:prstGeom>
        <a:noFill/>
      </xdr:spPr>
    </xdr:pic>
    <xdr:clientData fLocksWithSheet="0"/>
  </xdr:oneCellAnchor>
  <xdr:oneCellAnchor>
    <xdr:from>
      <xdr:col>2</xdr:col>
      <xdr:colOff>123825</xdr:colOff>
      <xdr:row>1506</xdr:row>
      <xdr:rowOff>114300</xdr:rowOff>
    </xdr:from>
    <xdr:ext cx="1371600" cy="400050"/>
    <xdr:pic>
      <xdr:nvPicPr>
        <xdr:cNvPr id="449" name="image11.jpg" descr="Logo CSJ RGB_01">
          <a:extLst>
            <a:ext uri="{FF2B5EF4-FFF2-40B4-BE49-F238E27FC236}">
              <a16:creationId xmlns:a16="http://schemas.microsoft.com/office/drawing/2014/main" id="{32EC143A-8289-4A08-9217-132F28D60AAF}"/>
            </a:ext>
          </a:extLst>
        </xdr:cNvPr>
        <xdr:cNvPicPr preferRelativeResize="0"/>
      </xdr:nvPicPr>
      <xdr:blipFill>
        <a:blip xmlns:r="http://schemas.openxmlformats.org/officeDocument/2006/relationships" r:embed="rId1" cstate="print"/>
        <a:stretch>
          <a:fillRect/>
        </a:stretch>
      </xdr:blipFill>
      <xdr:spPr>
        <a:xfrm>
          <a:off x="2028825" y="142722600"/>
          <a:ext cx="1371600" cy="400050"/>
        </a:xfrm>
        <a:prstGeom prst="rect">
          <a:avLst/>
        </a:prstGeom>
        <a:noFill/>
      </xdr:spPr>
    </xdr:pic>
    <xdr:clientData fLocksWithSheet="0"/>
  </xdr:oneCellAnchor>
  <xdr:oneCellAnchor>
    <xdr:from>
      <xdr:col>2</xdr:col>
      <xdr:colOff>123825</xdr:colOff>
      <xdr:row>1539</xdr:row>
      <xdr:rowOff>114300</xdr:rowOff>
    </xdr:from>
    <xdr:ext cx="1371600" cy="400050"/>
    <xdr:pic>
      <xdr:nvPicPr>
        <xdr:cNvPr id="450" name="image11.jpg" descr="Logo CSJ RGB_01">
          <a:extLst>
            <a:ext uri="{FF2B5EF4-FFF2-40B4-BE49-F238E27FC236}">
              <a16:creationId xmlns:a16="http://schemas.microsoft.com/office/drawing/2014/main" id="{A3C8FDDB-24C4-496D-95CF-8653EDCD771C}"/>
            </a:ext>
          </a:extLst>
        </xdr:cNvPr>
        <xdr:cNvPicPr preferRelativeResize="0"/>
      </xdr:nvPicPr>
      <xdr:blipFill>
        <a:blip xmlns:r="http://schemas.openxmlformats.org/officeDocument/2006/relationships" r:embed="rId1" cstate="print"/>
        <a:stretch>
          <a:fillRect/>
        </a:stretch>
      </xdr:blipFill>
      <xdr:spPr>
        <a:xfrm>
          <a:off x="2028825" y="149228175"/>
          <a:ext cx="1371600" cy="400050"/>
        </a:xfrm>
        <a:prstGeom prst="rect">
          <a:avLst/>
        </a:prstGeom>
        <a:noFill/>
      </xdr:spPr>
    </xdr:pic>
    <xdr:clientData fLocksWithSheet="0"/>
  </xdr:oneCellAnchor>
  <xdr:oneCellAnchor>
    <xdr:from>
      <xdr:col>1</xdr:col>
      <xdr:colOff>781050</xdr:colOff>
      <xdr:row>1136</xdr:row>
      <xdr:rowOff>47625</xdr:rowOff>
    </xdr:from>
    <xdr:ext cx="1952625" cy="400050"/>
    <xdr:pic>
      <xdr:nvPicPr>
        <xdr:cNvPr id="452" name="image6.jpg" descr="Logo CSJ RGB_01">
          <a:extLst>
            <a:ext uri="{FF2B5EF4-FFF2-40B4-BE49-F238E27FC236}">
              <a16:creationId xmlns:a16="http://schemas.microsoft.com/office/drawing/2014/main" id="{27830C02-81C9-4B24-8B44-6311F9B35AAB}"/>
            </a:ext>
          </a:extLst>
        </xdr:cNvPr>
        <xdr:cNvPicPr preferRelativeResize="0"/>
      </xdr:nvPicPr>
      <xdr:blipFill>
        <a:blip xmlns:r="http://schemas.openxmlformats.org/officeDocument/2006/relationships" r:embed="rId6" cstate="print"/>
        <a:stretch>
          <a:fillRect/>
        </a:stretch>
      </xdr:blipFill>
      <xdr:spPr>
        <a:xfrm>
          <a:off x="1104900" y="108966000"/>
          <a:ext cx="1952625" cy="400050"/>
        </a:xfrm>
        <a:prstGeom prst="rect">
          <a:avLst/>
        </a:prstGeom>
        <a:noFill/>
      </xdr:spPr>
    </xdr:pic>
    <xdr:clientData fLocksWithSheet="0"/>
  </xdr:oneCellAnchor>
  <xdr:oneCellAnchor>
    <xdr:from>
      <xdr:col>1</xdr:col>
      <xdr:colOff>504825</xdr:colOff>
      <xdr:row>1187</xdr:row>
      <xdr:rowOff>38100</xdr:rowOff>
    </xdr:from>
    <xdr:ext cx="1952625" cy="400050"/>
    <xdr:pic>
      <xdr:nvPicPr>
        <xdr:cNvPr id="453" name="image21.jpg" descr="Logo CSJ RGB_01">
          <a:extLst>
            <a:ext uri="{FF2B5EF4-FFF2-40B4-BE49-F238E27FC236}">
              <a16:creationId xmlns:a16="http://schemas.microsoft.com/office/drawing/2014/main" id="{87E8437D-03DE-41FF-AF7E-F5A00025580B}"/>
            </a:ext>
          </a:extLst>
        </xdr:cNvPr>
        <xdr:cNvPicPr preferRelativeResize="0"/>
      </xdr:nvPicPr>
      <xdr:blipFill>
        <a:blip xmlns:r="http://schemas.openxmlformats.org/officeDocument/2006/relationships" r:embed="rId7" cstate="print"/>
        <a:stretch>
          <a:fillRect/>
        </a:stretch>
      </xdr:blipFill>
      <xdr:spPr>
        <a:xfrm>
          <a:off x="828675" y="108966000"/>
          <a:ext cx="1952625" cy="400050"/>
        </a:xfrm>
        <a:prstGeom prst="rect">
          <a:avLst/>
        </a:prstGeom>
        <a:noFill/>
      </xdr:spPr>
    </xdr:pic>
    <xdr:clientData fLocksWithSheet="0"/>
  </xdr:oneCellAnchor>
  <xdr:oneCellAnchor>
    <xdr:from>
      <xdr:col>2</xdr:col>
      <xdr:colOff>123825</xdr:colOff>
      <xdr:row>1604</xdr:row>
      <xdr:rowOff>114300</xdr:rowOff>
    </xdr:from>
    <xdr:ext cx="1371600" cy="400050"/>
    <xdr:pic>
      <xdr:nvPicPr>
        <xdr:cNvPr id="454" name="image5.jpg" descr="Logo CSJ RGB_01">
          <a:extLst>
            <a:ext uri="{FF2B5EF4-FFF2-40B4-BE49-F238E27FC236}">
              <a16:creationId xmlns:a16="http://schemas.microsoft.com/office/drawing/2014/main" id="{6FF06C4F-53A2-4378-81EA-3035155A9622}"/>
            </a:ext>
          </a:extLst>
        </xdr:cNvPr>
        <xdr:cNvPicPr preferRelativeResize="0"/>
      </xdr:nvPicPr>
      <xdr:blipFill>
        <a:blip xmlns:r="http://schemas.openxmlformats.org/officeDocument/2006/relationships" r:embed="rId11" cstate="print"/>
        <a:stretch>
          <a:fillRect/>
        </a:stretch>
      </xdr:blipFill>
      <xdr:spPr>
        <a:xfrm>
          <a:off x="2028825" y="156133800"/>
          <a:ext cx="1371600" cy="400050"/>
        </a:xfrm>
        <a:prstGeom prst="rect">
          <a:avLst/>
        </a:prstGeom>
        <a:noFill/>
      </xdr:spPr>
    </xdr:pic>
    <xdr:clientData fLocksWithSheet="0"/>
  </xdr:oneCellAnchor>
  <xdr:oneCellAnchor>
    <xdr:from>
      <xdr:col>2</xdr:col>
      <xdr:colOff>123825</xdr:colOff>
      <xdr:row>1637</xdr:row>
      <xdr:rowOff>114300</xdr:rowOff>
    </xdr:from>
    <xdr:ext cx="1371600" cy="400050"/>
    <xdr:pic>
      <xdr:nvPicPr>
        <xdr:cNvPr id="455" name="image11.jpg" descr="Logo CSJ RGB_01">
          <a:extLst>
            <a:ext uri="{FF2B5EF4-FFF2-40B4-BE49-F238E27FC236}">
              <a16:creationId xmlns:a16="http://schemas.microsoft.com/office/drawing/2014/main" id="{ED3AB8F6-07F8-4A38-8D60-CA074E523EBB}"/>
            </a:ext>
          </a:extLst>
        </xdr:cNvPr>
        <xdr:cNvPicPr preferRelativeResize="0"/>
      </xdr:nvPicPr>
      <xdr:blipFill>
        <a:blip xmlns:r="http://schemas.openxmlformats.org/officeDocument/2006/relationships" r:embed="rId1" cstate="print"/>
        <a:stretch>
          <a:fillRect/>
        </a:stretch>
      </xdr:blipFill>
      <xdr:spPr>
        <a:xfrm>
          <a:off x="2028825" y="162667950"/>
          <a:ext cx="1371600" cy="400050"/>
        </a:xfrm>
        <a:prstGeom prst="rect">
          <a:avLst/>
        </a:prstGeom>
        <a:noFill/>
      </xdr:spPr>
    </xdr:pic>
    <xdr:clientData fLocksWithSheet="0"/>
  </xdr:oneCellAnchor>
  <xdr:oneCellAnchor>
    <xdr:from>
      <xdr:col>2</xdr:col>
      <xdr:colOff>66675</xdr:colOff>
      <xdr:row>1697</xdr:row>
      <xdr:rowOff>85725</xdr:rowOff>
    </xdr:from>
    <xdr:ext cx="1371600" cy="361950"/>
    <xdr:pic>
      <xdr:nvPicPr>
        <xdr:cNvPr id="456" name="image24.jpg" descr="Logo CSJ RGB_01">
          <a:extLst>
            <a:ext uri="{FF2B5EF4-FFF2-40B4-BE49-F238E27FC236}">
              <a16:creationId xmlns:a16="http://schemas.microsoft.com/office/drawing/2014/main" id="{CF199F71-3648-4353-B6B2-EC240CF503FA}"/>
            </a:ext>
          </a:extLst>
        </xdr:cNvPr>
        <xdr:cNvPicPr preferRelativeResize="0"/>
      </xdr:nvPicPr>
      <xdr:blipFill>
        <a:blip xmlns:r="http://schemas.openxmlformats.org/officeDocument/2006/relationships" r:embed="rId12" cstate="print"/>
        <a:stretch>
          <a:fillRect/>
        </a:stretch>
      </xdr:blipFill>
      <xdr:spPr>
        <a:xfrm>
          <a:off x="1971675" y="170773725"/>
          <a:ext cx="1371600" cy="361950"/>
        </a:xfrm>
        <a:prstGeom prst="rect">
          <a:avLst/>
        </a:prstGeom>
        <a:noFill/>
      </xdr:spPr>
    </xdr:pic>
    <xdr:clientData fLocksWithSheet="0"/>
  </xdr:oneCellAnchor>
  <xdr:oneCellAnchor>
    <xdr:from>
      <xdr:col>2</xdr:col>
      <xdr:colOff>38100</xdr:colOff>
      <xdr:row>1722</xdr:row>
      <xdr:rowOff>76200</xdr:rowOff>
    </xdr:from>
    <xdr:ext cx="1371600" cy="400050"/>
    <xdr:pic>
      <xdr:nvPicPr>
        <xdr:cNvPr id="457" name="image32.jpg" descr="Logo CSJ RGB_01">
          <a:extLst>
            <a:ext uri="{FF2B5EF4-FFF2-40B4-BE49-F238E27FC236}">
              <a16:creationId xmlns:a16="http://schemas.microsoft.com/office/drawing/2014/main" id="{10736462-8B24-45C5-84E5-70FF7CB8B386}"/>
            </a:ext>
          </a:extLst>
        </xdr:cNvPr>
        <xdr:cNvPicPr preferRelativeResize="0"/>
      </xdr:nvPicPr>
      <xdr:blipFill>
        <a:blip xmlns:r="http://schemas.openxmlformats.org/officeDocument/2006/relationships" r:embed="rId13" cstate="print"/>
        <a:stretch>
          <a:fillRect/>
        </a:stretch>
      </xdr:blipFill>
      <xdr:spPr>
        <a:xfrm>
          <a:off x="1943100" y="176860200"/>
          <a:ext cx="1371600" cy="400050"/>
        </a:xfrm>
        <a:prstGeom prst="rect">
          <a:avLst/>
        </a:prstGeom>
        <a:noFill/>
      </xdr:spPr>
    </xdr:pic>
    <xdr:clientData fLocksWithSheet="0"/>
  </xdr:oneCellAnchor>
  <xdr:oneCellAnchor>
    <xdr:from>
      <xdr:col>2</xdr:col>
      <xdr:colOff>123825</xdr:colOff>
      <xdr:row>1754</xdr:row>
      <xdr:rowOff>114300</xdr:rowOff>
    </xdr:from>
    <xdr:ext cx="1371600" cy="400050"/>
    <xdr:pic>
      <xdr:nvPicPr>
        <xdr:cNvPr id="458" name="image11.jpg" descr="Logo CSJ RGB_01">
          <a:extLst>
            <a:ext uri="{FF2B5EF4-FFF2-40B4-BE49-F238E27FC236}">
              <a16:creationId xmlns:a16="http://schemas.microsoft.com/office/drawing/2014/main" id="{98657D25-226F-4E68-BBA2-A321C5D9F057}"/>
            </a:ext>
          </a:extLst>
        </xdr:cNvPr>
        <xdr:cNvPicPr preferRelativeResize="0"/>
      </xdr:nvPicPr>
      <xdr:blipFill>
        <a:blip xmlns:r="http://schemas.openxmlformats.org/officeDocument/2006/relationships" r:embed="rId1" cstate="print"/>
        <a:stretch>
          <a:fillRect/>
        </a:stretch>
      </xdr:blipFill>
      <xdr:spPr>
        <a:xfrm>
          <a:off x="2028825" y="183022875"/>
          <a:ext cx="1371600" cy="400050"/>
        </a:xfrm>
        <a:prstGeom prst="rect">
          <a:avLst/>
        </a:prstGeom>
        <a:noFill/>
      </xdr:spPr>
    </xdr:pic>
    <xdr:clientData fLocksWithSheet="0"/>
  </xdr:oneCellAnchor>
  <xdr:oneCellAnchor>
    <xdr:from>
      <xdr:col>2</xdr:col>
      <xdr:colOff>123825</xdr:colOff>
      <xdr:row>1785</xdr:row>
      <xdr:rowOff>114300</xdr:rowOff>
    </xdr:from>
    <xdr:ext cx="1371600" cy="400050"/>
    <xdr:pic>
      <xdr:nvPicPr>
        <xdr:cNvPr id="459" name="image11.jpg" descr="Logo CSJ RGB_01">
          <a:extLst>
            <a:ext uri="{FF2B5EF4-FFF2-40B4-BE49-F238E27FC236}">
              <a16:creationId xmlns:a16="http://schemas.microsoft.com/office/drawing/2014/main" id="{B76A56E7-823D-44E3-ABEA-AD366A726FD9}"/>
            </a:ext>
          </a:extLst>
        </xdr:cNvPr>
        <xdr:cNvPicPr preferRelativeResize="0"/>
      </xdr:nvPicPr>
      <xdr:blipFill>
        <a:blip xmlns:r="http://schemas.openxmlformats.org/officeDocument/2006/relationships" r:embed="rId1" cstate="print"/>
        <a:stretch>
          <a:fillRect/>
        </a:stretch>
      </xdr:blipFill>
      <xdr:spPr>
        <a:xfrm>
          <a:off x="2028825" y="189023625"/>
          <a:ext cx="1371600" cy="400050"/>
        </a:xfrm>
        <a:prstGeom prst="rect">
          <a:avLst/>
        </a:prstGeom>
        <a:noFill/>
      </xdr:spPr>
    </xdr:pic>
    <xdr:clientData fLocksWithSheet="0"/>
  </xdr:oneCellAnchor>
  <xdr:oneCellAnchor>
    <xdr:from>
      <xdr:col>2</xdr:col>
      <xdr:colOff>123825</xdr:colOff>
      <xdr:row>1810</xdr:row>
      <xdr:rowOff>114300</xdr:rowOff>
    </xdr:from>
    <xdr:ext cx="1371600" cy="400050"/>
    <xdr:pic>
      <xdr:nvPicPr>
        <xdr:cNvPr id="460" name="image11.jpg" descr="Logo CSJ RGB_01">
          <a:extLst>
            <a:ext uri="{FF2B5EF4-FFF2-40B4-BE49-F238E27FC236}">
              <a16:creationId xmlns:a16="http://schemas.microsoft.com/office/drawing/2014/main" id="{5EC81503-09BC-4B6B-8C36-9ED24EA6E391}"/>
            </a:ext>
          </a:extLst>
        </xdr:cNvPr>
        <xdr:cNvPicPr preferRelativeResize="0"/>
      </xdr:nvPicPr>
      <xdr:blipFill>
        <a:blip xmlns:r="http://schemas.openxmlformats.org/officeDocument/2006/relationships" r:embed="rId1" cstate="print"/>
        <a:stretch>
          <a:fillRect/>
        </a:stretch>
      </xdr:blipFill>
      <xdr:spPr>
        <a:xfrm>
          <a:off x="2028825" y="195224400"/>
          <a:ext cx="1371600" cy="400050"/>
        </a:xfrm>
        <a:prstGeom prst="rect">
          <a:avLst/>
        </a:prstGeom>
        <a:noFill/>
      </xdr:spPr>
    </xdr:pic>
    <xdr:clientData fLocksWithSheet="0"/>
  </xdr:oneCellAnchor>
  <xdr:oneCellAnchor>
    <xdr:from>
      <xdr:col>2</xdr:col>
      <xdr:colOff>123825</xdr:colOff>
      <xdr:row>1837</xdr:row>
      <xdr:rowOff>114300</xdr:rowOff>
    </xdr:from>
    <xdr:ext cx="1371600" cy="400050"/>
    <xdr:pic>
      <xdr:nvPicPr>
        <xdr:cNvPr id="461" name="image11.jpg" descr="Logo CSJ RGB_01">
          <a:extLst>
            <a:ext uri="{FF2B5EF4-FFF2-40B4-BE49-F238E27FC236}">
              <a16:creationId xmlns:a16="http://schemas.microsoft.com/office/drawing/2014/main" id="{13C449A8-560F-4252-BE06-767BA7A2F49C}"/>
            </a:ext>
          </a:extLst>
        </xdr:cNvPr>
        <xdr:cNvPicPr preferRelativeResize="0"/>
      </xdr:nvPicPr>
      <xdr:blipFill>
        <a:blip xmlns:r="http://schemas.openxmlformats.org/officeDocument/2006/relationships" r:embed="rId1" cstate="print"/>
        <a:stretch>
          <a:fillRect/>
        </a:stretch>
      </xdr:blipFill>
      <xdr:spPr>
        <a:xfrm>
          <a:off x="2028825" y="201768075"/>
          <a:ext cx="1371600" cy="400050"/>
        </a:xfrm>
        <a:prstGeom prst="rect">
          <a:avLst/>
        </a:prstGeom>
        <a:noFill/>
      </xdr:spPr>
    </xdr:pic>
    <xdr:clientData fLocksWithSheet="0"/>
  </xdr:oneCellAnchor>
  <xdr:oneCellAnchor>
    <xdr:from>
      <xdr:col>2</xdr:col>
      <xdr:colOff>285750</xdr:colOff>
      <xdr:row>1872</xdr:row>
      <xdr:rowOff>19050</xdr:rowOff>
    </xdr:from>
    <xdr:ext cx="1371600" cy="400050"/>
    <xdr:pic>
      <xdr:nvPicPr>
        <xdr:cNvPr id="462" name="image43.jpg" descr="Logo CSJ RGB_01">
          <a:extLst>
            <a:ext uri="{FF2B5EF4-FFF2-40B4-BE49-F238E27FC236}">
              <a16:creationId xmlns:a16="http://schemas.microsoft.com/office/drawing/2014/main" id="{A4569787-E717-47AB-83C8-D4DDFE1F968F}"/>
            </a:ext>
          </a:extLst>
        </xdr:cNvPr>
        <xdr:cNvPicPr preferRelativeResize="0"/>
      </xdr:nvPicPr>
      <xdr:blipFill>
        <a:blip xmlns:r="http://schemas.openxmlformats.org/officeDocument/2006/relationships" r:embed="rId14" cstate="print"/>
        <a:stretch>
          <a:fillRect/>
        </a:stretch>
      </xdr:blipFill>
      <xdr:spPr>
        <a:xfrm>
          <a:off x="2190750" y="208397475"/>
          <a:ext cx="1371600" cy="400050"/>
        </a:xfrm>
        <a:prstGeom prst="rect">
          <a:avLst/>
        </a:prstGeom>
        <a:noFill/>
      </xdr:spPr>
    </xdr:pic>
    <xdr:clientData fLocksWithSheet="0"/>
  </xdr:oneCellAnchor>
  <xdr:oneCellAnchor>
    <xdr:from>
      <xdr:col>2</xdr:col>
      <xdr:colOff>123825</xdr:colOff>
      <xdr:row>1905</xdr:row>
      <xdr:rowOff>114300</xdr:rowOff>
    </xdr:from>
    <xdr:ext cx="1371600" cy="400050"/>
    <xdr:pic>
      <xdr:nvPicPr>
        <xdr:cNvPr id="463" name="image17.jpg" descr="Logo CSJ RGB_01">
          <a:extLst>
            <a:ext uri="{FF2B5EF4-FFF2-40B4-BE49-F238E27FC236}">
              <a16:creationId xmlns:a16="http://schemas.microsoft.com/office/drawing/2014/main" id="{D63EC4B8-DA5E-45D0-9AC2-F57297F186A9}"/>
            </a:ext>
          </a:extLst>
        </xdr:cNvPr>
        <xdr:cNvPicPr preferRelativeResize="0"/>
      </xdr:nvPicPr>
      <xdr:blipFill>
        <a:blip xmlns:r="http://schemas.openxmlformats.org/officeDocument/2006/relationships" r:embed="rId5" cstate="print"/>
        <a:stretch>
          <a:fillRect/>
        </a:stretch>
      </xdr:blipFill>
      <xdr:spPr>
        <a:xfrm>
          <a:off x="2028825" y="214674450"/>
          <a:ext cx="1371600" cy="400050"/>
        </a:xfrm>
        <a:prstGeom prst="rect">
          <a:avLst/>
        </a:prstGeom>
        <a:noFill/>
      </xdr:spPr>
    </xdr:pic>
    <xdr:clientData fLocksWithSheet="0"/>
  </xdr:oneCellAnchor>
  <xdr:oneCellAnchor>
    <xdr:from>
      <xdr:col>2</xdr:col>
      <xdr:colOff>38100</xdr:colOff>
      <xdr:row>2015</xdr:row>
      <xdr:rowOff>76200</xdr:rowOff>
    </xdr:from>
    <xdr:ext cx="1371600" cy="381000"/>
    <xdr:pic>
      <xdr:nvPicPr>
        <xdr:cNvPr id="464" name="image23.jpg" descr="Logo CSJ RGB_01">
          <a:extLst>
            <a:ext uri="{FF2B5EF4-FFF2-40B4-BE49-F238E27FC236}">
              <a16:creationId xmlns:a16="http://schemas.microsoft.com/office/drawing/2014/main" id="{E306ABEE-4344-4F63-A89B-1776783D5C0E}"/>
            </a:ext>
          </a:extLst>
        </xdr:cNvPr>
        <xdr:cNvPicPr preferRelativeResize="0"/>
      </xdr:nvPicPr>
      <xdr:blipFill>
        <a:blip xmlns:r="http://schemas.openxmlformats.org/officeDocument/2006/relationships" r:embed="rId15" cstate="print"/>
        <a:stretch>
          <a:fillRect/>
        </a:stretch>
      </xdr:blipFill>
      <xdr:spPr>
        <a:xfrm>
          <a:off x="1943100" y="236553375"/>
          <a:ext cx="1371600" cy="381000"/>
        </a:xfrm>
        <a:prstGeom prst="rect">
          <a:avLst/>
        </a:prstGeom>
        <a:noFill/>
      </xdr:spPr>
    </xdr:pic>
    <xdr:clientData fLocksWithSheet="0"/>
  </xdr:oneCellAnchor>
  <xdr:oneCellAnchor>
    <xdr:from>
      <xdr:col>2</xdr:col>
      <xdr:colOff>9525</xdr:colOff>
      <xdr:row>2040</xdr:row>
      <xdr:rowOff>66675</xdr:rowOff>
    </xdr:from>
    <xdr:ext cx="1371600" cy="400050"/>
    <xdr:pic>
      <xdr:nvPicPr>
        <xdr:cNvPr id="465" name="image30.jpg" descr="Logo CSJ RGB_01">
          <a:extLst>
            <a:ext uri="{FF2B5EF4-FFF2-40B4-BE49-F238E27FC236}">
              <a16:creationId xmlns:a16="http://schemas.microsoft.com/office/drawing/2014/main" id="{4B0EE7CD-3A6E-4B15-AA6F-77CA2F5EAF0C}"/>
            </a:ext>
          </a:extLst>
        </xdr:cNvPr>
        <xdr:cNvPicPr preferRelativeResize="0"/>
      </xdr:nvPicPr>
      <xdr:blipFill>
        <a:blip xmlns:r="http://schemas.openxmlformats.org/officeDocument/2006/relationships" r:embed="rId16" cstate="print"/>
        <a:stretch>
          <a:fillRect/>
        </a:stretch>
      </xdr:blipFill>
      <xdr:spPr>
        <a:xfrm>
          <a:off x="1914525" y="242830350"/>
          <a:ext cx="1371600" cy="400050"/>
        </a:xfrm>
        <a:prstGeom prst="rect">
          <a:avLst/>
        </a:prstGeom>
        <a:noFill/>
      </xdr:spPr>
    </xdr:pic>
    <xdr:clientData fLocksWithSheet="0"/>
  </xdr:oneCellAnchor>
  <xdr:oneCellAnchor>
    <xdr:from>
      <xdr:col>2</xdr:col>
      <xdr:colOff>133350</xdr:colOff>
      <xdr:row>2063</xdr:row>
      <xdr:rowOff>66675</xdr:rowOff>
    </xdr:from>
    <xdr:ext cx="1371600" cy="400050"/>
    <xdr:pic>
      <xdr:nvPicPr>
        <xdr:cNvPr id="466" name="image10.jpg" descr="Logo CSJ RGB_01">
          <a:extLst>
            <a:ext uri="{FF2B5EF4-FFF2-40B4-BE49-F238E27FC236}">
              <a16:creationId xmlns:a16="http://schemas.microsoft.com/office/drawing/2014/main" id="{F537D2A4-87FD-4B7F-A9B5-4D7883E807EB}"/>
            </a:ext>
          </a:extLst>
        </xdr:cNvPr>
        <xdr:cNvPicPr preferRelativeResize="0"/>
      </xdr:nvPicPr>
      <xdr:blipFill>
        <a:blip xmlns:r="http://schemas.openxmlformats.org/officeDocument/2006/relationships" r:embed="rId3" cstate="print"/>
        <a:stretch>
          <a:fillRect/>
        </a:stretch>
      </xdr:blipFill>
      <xdr:spPr>
        <a:xfrm>
          <a:off x="2038350" y="249145425"/>
          <a:ext cx="1371600" cy="400050"/>
        </a:xfrm>
        <a:prstGeom prst="rect">
          <a:avLst/>
        </a:prstGeom>
        <a:noFill/>
      </xdr:spPr>
    </xdr:pic>
    <xdr:clientData fLocksWithSheet="0"/>
  </xdr:oneCellAnchor>
  <xdr:oneCellAnchor>
    <xdr:from>
      <xdr:col>2</xdr:col>
      <xdr:colOff>104775</xdr:colOff>
      <xdr:row>2125</xdr:row>
      <xdr:rowOff>85725</xdr:rowOff>
    </xdr:from>
    <xdr:ext cx="1371600" cy="400050"/>
    <xdr:pic>
      <xdr:nvPicPr>
        <xdr:cNvPr id="467" name="image22.jpg" descr="Logo CSJ RGB_01">
          <a:extLst>
            <a:ext uri="{FF2B5EF4-FFF2-40B4-BE49-F238E27FC236}">
              <a16:creationId xmlns:a16="http://schemas.microsoft.com/office/drawing/2014/main" id="{8C5136B3-576E-4423-8581-23F3F4AC25FC}"/>
            </a:ext>
          </a:extLst>
        </xdr:cNvPr>
        <xdr:cNvPicPr preferRelativeResize="0"/>
      </xdr:nvPicPr>
      <xdr:blipFill>
        <a:blip xmlns:r="http://schemas.openxmlformats.org/officeDocument/2006/relationships" r:embed="rId17" cstate="print"/>
        <a:stretch>
          <a:fillRect/>
        </a:stretch>
      </xdr:blipFill>
      <xdr:spPr>
        <a:xfrm>
          <a:off x="2009775" y="255631950"/>
          <a:ext cx="1371600" cy="400050"/>
        </a:xfrm>
        <a:prstGeom prst="rect">
          <a:avLst/>
        </a:prstGeom>
        <a:noFill/>
      </xdr:spPr>
    </xdr:pic>
    <xdr:clientData fLocksWithSheet="0"/>
  </xdr:oneCellAnchor>
  <xdr:oneCellAnchor>
    <xdr:from>
      <xdr:col>2</xdr:col>
      <xdr:colOff>47625</xdr:colOff>
      <xdr:row>2148</xdr:row>
      <xdr:rowOff>85725</xdr:rowOff>
    </xdr:from>
    <xdr:ext cx="1371600" cy="400050"/>
    <xdr:pic>
      <xdr:nvPicPr>
        <xdr:cNvPr id="468" name="image29.jpg" descr="Logo CSJ RGB_01">
          <a:extLst>
            <a:ext uri="{FF2B5EF4-FFF2-40B4-BE49-F238E27FC236}">
              <a16:creationId xmlns:a16="http://schemas.microsoft.com/office/drawing/2014/main" id="{F5BE19C5-3545-42E6-B675-890C19309DDC}"/>
            </a:ext>
          </a:extLst>
        </xdr:cNvPr>
        <xdr:cNvPicPr preferRelativeResize="0"/>
      </xdr:nvPicPr>
      <xdr:blipFill>
        <a:blip xmlns:r="http://schemas.openxmlformats.org/officeDocument/2006/relationships" r:embed="rId18" cstate="print"/>
        <a:stretch>
          <a:fillRect/>
        </a:stretch>
      </xdr:blipFill>
      <xdr:spPr>
        <a:xfrm>
          <a:off x="1952625" y="261975600"/>
          <a:ext cx="1371600" cy="400050"/>
        </a:xfrm>
        <a:prstGeom prst="rect">
          <a:avLst/>
        </a:prstGeom>
        <a:noFill/>
      </xdr:spPr>
    </xdr:pic>
    <xdr:clientData fLocksWithSheet="0"/>
  </xdr:oneCellAnchor>
  <xdr:oneCellAnchor>
    <xdr:from>
      <xdr:col>2</xdr:col>
      <xdr:colOff>76200</xdr:colOff>
      <xdr:row>2239</xdr:row>
      <xdr:rowOff>85725</xdr:rowOff>
    </xdr:from>
    <xdr:ext cx="1371600" cy="400050"/>
    <xdr:pic>
      <xdr:nvPicPr>
        <xdr:cNvPr id="469" name="image26.jpg" descr="Logo CSJ RGB_01">
          <a:extLst>
            <a:ext uri="{FF2B5EF4-FFF2-40B4-BE49-F238E27FC236}">
              <a16:creationId xmlns:a16="http://schemas.microsoft.com/office/drawing/2014/main" id="{02D3C8EA-F4C0-4EE4-BC5D-C25411E14696}"/>
            </a:ext>
          </a:extLst>
        </xdr:cNvPr>
        <xdr:cNvPicPr preferRelativeResize="0"/>
      </xdr:nvPicPr>
      <xdr:blipFill>
        <a:blip xmlns:r="http://schemas.openxmlformats.org/officeDocument/2006/relationships" r:embed="rId19" cstate="print"/>
        <a:stretch>
          <a:fillRect/>
        </a:stretch>
      </xdr:blipFill>
      <xdr:spPr>
        <a:xfrm>
          <a:off x="1981200" y="269033625"/>
          <a:ext cx="1371600" cy="400050"/>
        </a:xfrm>
        <a:prstGeom prst="rect">
          <a:avLst/>
        </a:prstGeom>
        <a:noFill/>
      </xdr:spPr>
    </xdr:pic>
    <xdr:clientData fLocksWithSheet="0"/>
  </xdr:oneCellAnchor>
  <xdr:oneCellAnchor>
    <xdr:from>
      <xdr:col>2</xdr:col>
      <xdr:colOff>123825</xdr:colOff>
      <xdr:row>2262</xdr:row>
      <xdr:rowOff>114300</xdr:rowOff>
    </xdr:from>
    <xdr:ext cx="1371600" cy="400050"/>
    <xdr:pic>
      <xdr:nvPicPr>
        <xdr:cNvPr id="470" name="image11.jpg" descr="Logo CSJ RGB_01">
          <a:extLst>
            <a:ext uri="{FF2B5EF4-FFF2-40B4-BE49-F238E27FC236}">
              <a16:creationId xmlns:a16="http://schemas.microsoft.com/office/drawing/2014/main" id="{CC8ECA51-3D6D-41A5-A5C7-BE5F8BB45DA3}"/>
            </a:ext>
          </a:extLst>
        </xdr:cNvPr>
        <xdr:cNvPicPr preferRelativeResize="0"/>
      </xdr:nvPicPr>
      <xdr:blipFill>
        <a:blip xmlns:r="http://schemas.openxmlformats.org/officeDocument/2006/relationships" r:embed="rId1" cstate="print"/>
        <a:stretch>
          <a:fillRect/>
        </a:stretch>
      </xdr:blipFill>
      <xdr:spPr>
        <a:xfrm>
          <a:off x="2028825" y="275596350"/>
          <a:ext cx="1371600" cy="400050"/>
        </a:xfrm>
        <a:prstGeom prst="rect">
          <a:avLst/>
        </a:prstGeom>
        <a:noFill/>
      </xdr:spPr>
    </xdr:pic>
    <xdr:clientData fLocksWithSheet="0"/>
  </xdr:oneCellAnchor>
  <xdr:oneCellAnchor>
    <xdr:from>
      <xdr:col>2</xdr:col>
      <xdr:colOff>114300</xdr:colOff>
      <xdr:row>2288</xdr:row>
      <xdr:rowOff>85725</xdr:rowOff>
    </xdr:from>
    <xdr:ext cx="1371600" cy="371475"/>
    <xdr:pic>
      <xdr:nvPicPr>
        <xdr:cNvPr id="471" name="image28.jpg" descr="Logo CSJ RGB_01">
          <a:extLst>
            <a:ext uri="{FF2B5EF4-FFF2-40B4-BE49-F238E27FC236}">
              <a16:creationId xmlns:a16="http://schemas.microsoft.com/office/drawing/2014/main" id="{3EDC84EF-F91F-41A5-9A6E-7CAEA784F8C0}"/>
            </a:ext>
          </a:extLst>
        </xdr:cNvPr>
        <xdr:cNvPicPr preferRelativeResize="0"/>
      </xdr:nvPicPr>
      <xdr:blipFill>
        <a:blip xmlns:r="http://schemas.openxmlformats.org/officeDocument/2006/relationships" r:embed="rId20" cstate="print"/>
        <a:stretch>
          <a:fillRect/>
        </a:stretch>
      </xdr:blipFill>
      <xdr:spPr>
        <a:xfrm>
          <a:off x="2019300" y="282025725"/>
          <a:ext cx="1371600" cy="371475"/>
        </a:xfrm>
        <a:prstGeom prst="rect">
          <a:avLst/>
        </a:prstGeom>
        <a:noFill/>
      </xdr:spPr>
    </xdr:pic>
    <xdr:clientData fLocksWithSheet="0"/>
  </xdr:oneCellAnchor>
  <xdr:oneCellAnchor>
    <xdr:from>
      <xdr:col>1</xdr:col>
      <xdr:colOff>781050</xdr:colOff>
      <xdr:row>1931</xdr:row>
      <xdr:rowOff>47625</xdr:rowOff>
    </xdr:from>
    <xdr:ext cx="1952625" cy="400050"/>
    <xdr:pic>
      <xdr:nvPicPr>
        <xdr:cNvPr id="472" name="image51.jpg" descr="Logo CSJ RGB_01">
          <a:extLst>
            <a:ext uri="{FF2B5EF4-FFF2-40B4-BE49-F238E27FC236}">
              <a16:creationId xmlns:a16="http://schemas.microsoft.com/office/drawing/2014/main" id="{6A46CBD0-278F-43D1-9E19-466A1F984FBE}"/>
            </a:ext>
          </a:extLst>
        </xdr:cNvPr>
        <xdr:cNvPicPr preferRelativeResize="0"/>
      </xdr:nvPicPr>
      <xdr:blipFill>
        <a:blip xmlns:r="http://schemas.openxmlformats.org/officeDocument/2006/relationships" r:embed="rId21" cstate="print"/>
        <a:stretch>
          <a:fillRect/>
        </a:stretch>
      </xdr:blipFill>
      <xdr:spPr>
        <a:xfrm>
          <a:off x="1104900" y="222361125"/>
          <a:ext cx="1952625" cy="400050"/>
        </a:xfrm>
        <a:prstGeom prst="rect">
          <a:avLst/>
        </a:prstGeom>
        <a:noFill/>
      </xdr:spPr>
    </xdr:pic>
    <xdr:clientData fLocksWithSheet="0"/>
  </xdr:oneCellAnchor>
  <xdr:oneCellAnchor>
    <xdr:from>
      <xdr:col>1</xdr:col>
      <xdr:colOff>857250</xdr:colOff>
      <xdr:row>1991</xdr:row>
      <xdr:rowOff>66675</xdr:rowOff>
    </xdr:from>
    <xdr:ext cx="1952625" cy="400050"/>
    <xdr:pic>
      <xdr:nvPicPr>
        <xdr:cNvPr id="473" name="image16.jpg" descr="Logo CSJ RGB_01">
          <a:extLst>
            <a:ext uri="{FF2B5EF4-FFF2-40B4-BE49-F238E27FC236}">
              <a16:creationId xmlns:a16="http://schemas.microsoft.com/office/drawing/2014/main" id="{9B71AA54-62A4-4367-A0E8-1E1ACE67FB8A}"/>
            </a:ext>
          </a:extLst>
        </xdr:cNvPr>
        <xdr:cNvPicPr preferRelativeResize="0"/>
      </xdr:nvPicPr>
      <xdr:blipFill>
        <a:blip xmlns:r="http://schemas.openxmlformats.org/officeDocument/2006/relationships" r:embed="rId8" cstate="print"/>
        <a:stretch>
          <a:fillRect/>
        </a:stretch>
      </xdr:blipFill>
      <xdr:spPr>
        <a:xfrm>
          <a:off x="1181100" y="228961950"/>
          <a:ext cx="1952625" cy="400050"/>
        </a:xfrm>
        <a:prstGeom prst="rect">
          <a:avLst/>
        </a:prstGeom>
        <a:noFill/>
      </xdr:spPr>
    </xdr:pic>
    <xdr:clientData fLocksWithSheet="0"/>
  </xdr:oneCellAnchor>
  <xdr:oneCellAnchor>
    <xdr:from>
      <xdr:col>2</xdr:col>
      <xdr:colOff>123825</xdr:colOff>
      <xdr:row>2346</xdr:row>
      <xdr:rowOff>114300</xdr:rowOff>
    </xdr:from>
    <xdr:ext cx="1371600" cy="400050"/>
    <xdr:pic>
      <xdr:nvPicPr>
        <xdr:cNvPr id="474" name="image11.jpg" descr="Logo CSJ RGB_01">
          <a:extLst>
            <a:ext uri="{FF2B5EF4-FFF2-40B4-BE49-F238E27FC236}">
              <a16:creationId xmlns:a16="http://schemas.microsoft.com/office/drawing/2014/main" id="{C922D30C-6E26-48A9-B347-29300941E30F}"/>
            </a:ext>
          </a:extLst>
        </xdr:cNvPr>
        <xdr:cNvPicPr preferRelativeResize="0"/>
      </xdr:nvPicPr>
      <xdr:blipFill>
        <a:blip xmlns:r="http://schemas.openxmlformats.org/officeDocument/2006/relationships" r:embed="rId1" cstate="print"/>
        <a:stretch>
          <a:fillRect/>
        </a:stretch>
      </xdr:blipFill>
      <xdr:spPr>
        <a:xfrm>
          <a:off x="2028825" y="288331275"/>
          <a:ext cx="1371600" cy="400050"/>
        </a:xfrm>
        <a:prstGeom prst="rect">
          <a:avLst/>
        </a:prstGeom>
        <a:noFill/>
      </xdr:spPr>
    </xdr:pic>
    <xdr:clientData fLocksWithSheet="0"/>
  </xdr:oneCellAnchor>
  <xdr:oneCellAnchor>
    <xdr:from>
      <xdr:col>2</xdr:col>
      <xdr:colOff>123825</xdr:colOff>
      <xdr:row>2573</xdr:row>
      <xdr:rowOff>66675</xdr:rowOff>
    </xdr:from>
    <xdr:ext cx="1371600" cy="400050"/>
    <xdr:pic>
      <xdr:nvPicPr>
        <xdr:cNvPr id="475" name="image11.jpg" descr="Logo CSJ RGB_01" title="Imagen">
          <a:extLst>
            <a:ext uri="{FF2B5EF4-FFF2-40B4-BE49-F238E27FC236}">
              <a16:creationId xmlns:a16="http://schemas.microsoft.com/office/drawing/2014/main" id="{9DEDD627-2D0B-4BD9-832C-E9EDFD40D18F}"/>
            </a:ext>
          </a:extLst>
        </xdr:cNvPr>
        <xdr:cNvPicPr preferRelativeResize="0"/>
      </xdr:nvPicPr>
      <xdr:blipFill>
        <a:blip xmlns:r="http://schemas.openxmlformats.org/officeDocument/2006/relationships" r:embed="rId1" cstate="print"/>
        <a:stretch>
          <a:fillRect/>
        </a:stretch>
      </xdr:blipFill>
      <xdr:spPr>
        <a:xfrm>
          <a:off x="2028825" y="295094025"/>
          <a:ext cx="1371600" cy="400050"/>
        </a:xfrm>
        <a:prstGeom prst="rect">
          <a:avLst/>
        </a:prstGeom>
        <a:noFill/>
      </xdr:spPr>
    </xdr:pic>
    <xdr:clientData fLocksWithSheet="0"/>
  </xdr:oneCellAnchor>
  <xdr:oneCellAnchor>
    <xdr:from>
      <xdr:col>2</xdr:col>
      <xdr:colOff>123825</xdr:colOff>
      <xdr:row>2609</xdr:row>
      <xdr:rowOff>114300</xdr:rowOff>
    </xdr:from>
    <xdr:ext cx="1371600" cy="400050"/>
    <xdr:pic>
      <xdr:nvPicPr>
        <xdr:cNvPr id="476" name="image11.jpg" descr="Logo CSJ RGB_01">
          <a:extLst>
            <a:ext uri="{FF2B5EF4-FFF2-40B4-BE49-F238E27FC236}">
              <a16:creationId xmlns:a16="http://schemas.microsoft.com/office/drawing/2014/main" id="{9FE588F3-99F0-4165-8527-02813C3FFE6C}"/>
            </a:ext>
          </a:extLst>
        </xdr:cNvPr>
        <xdr:cNvPicPr preferRelativeResize="0"/>
      </xdr:nvPicPr>
      <xdr:blipFill>
        <a:blip xmlns:r="http://schemas.openxmlformats.org/officeDocument/2006/relationships" r:embed="rId1" cstate="print"/>
        <a:stretch>
          <a:fillRect/>
        </a:stretch>
      </xdr:blipFill>
      <xdr:spPr>
        <a:xfrm>
          <a:off x="2028825" y="303180750"/>
          <a:ext cx="1371600" cy="400050"/>
        </a:xfrm>
        <a:prstGeom prst="rect">
          <a:avLst/>
        </a:prstGeom>
        <a:noFill/>
      </xdr:spPr>
    </xdr:pic>
    <xdr:clientData fLocksWithSheet="0"/>
  </xdr:oneCellAnchor>
  <xdr:oneCellAnchor>
    <xdr:from>
      <xdr:col>1</xdr:col>
      <xdr:colOff>1114425</xdr:colOff>
      <xdr:row>2675</xdr:row>
      <xdr:rowOff>38100</xdr:rowOff>
    </xdr:from>
    <xdr:ext cx="1343025" cy="400050"/>
    <xdr:pic>
      <xdr:nvPicPr>
        <xdr:cNvPr id="484" name="image21.jpg" descr="Logo CSJ RGB_01">
          <a:extLst>
            <a:ext uri="{FF2B5EF4-FFF2-40B4-BE49-F238E27FC236}">
              <a16:creationId xmlns:a16="http://schemas.microsoft.com/office/drawing/2014/main" id="{11C5A205-45E5-4707-BEB5-A6D37B6440E5}"/>
            </a:ext>
          </a:extLst>
        </xdr:cNvPr>
        <xdr:cNvPicPr preferRelativeResize="0"/>
      </xdr:nvPicPr>
      <xdr:blipFill>
        <a:blip xmlns:r="http://schemas.openxmlformats.org/officeDocument/2006/relationships" r:embed="rId7" cstate="print"/>
        <a:stretch>
          <a:fillRect/>
        </a:stretch>
      </xdr:blipFill>
      <xdr:spPr>
        <a:xfrm>
          <a:off x="1438275" y="309705375"/>
          <a:ext cx="1343025" cy="400050"/>
        </a:xfrm>
        <a:prstGeom prst="rect">
          <a:avLst/>
        </a:prstGeom>
        <a:noFill/>
      </xdr:spPr>
    </xdr:pic>
    <xdr:clientData fLocksWithSheet="0"/>
  </xdr:oneCellAnchor>
  <xdr:oneCellAnchor>
    <xdr:from>
      <xdr:col>2</xdr:col>
      <xdr:colOff>123825</xdr:colOff>
      <xdr:row>582</xdr:row>
      <xdr:rowOff>114300</xdr:rowOff>
    </xdr:from>
    <xdr:ext cx="1371600" cy="400050"/>
    <xdr:pic>
      <xdr:nvPicPr>
        <xdr:cNvPr id="516" name="image11.jpg" descr="Logo CSJ RGB_01">
          <a:extLst>
            <a:ext uri="{FF2B5EF4-FFF2-40B4-BE49-F238E27FC236}">
              <a16:creationId xmlns:a16="http://schemas.microsoft.com/office/drawing/2014/main" id="{F2ED2869-2275-486B-BB12-D97C2C490ACA}"/>
            </a:ext>
          </a:extLst>
        </xdr:cNvPr>
        <xdr:cNvPicPr preferRelativeResize="0"/>
      </xdr:nvPicPr>
      <xdr:blipFill>
        <a:blip xmlns:r="http://schemas.openxmlformats.org/officeDocument/2006/relationships" r:embed="rId1" cstate="print"/>
        <a:stretch>
          <a:fillRect/>
        </a:stretch>
      </xdr:blipFill>
      <xdr:spPr>
        <a:xfrm>
          <a:off x="2028825" y="89363550"/>
          <a:ext cx="1371600" cy="400050"/>
        </a:xfrm>
        <a:prstGeom prst="rect">
          <a:avLst/>
        </a:prstGeom>
        <a:noFill/>
      </xdr:spPr>
    </xdr:pic>
    <xdr:clientData fLocksWithSheet="0"/>
  </xdr:oneCellAnchor>
  <xdr:twoCellAnchor editAs="oneCell">
    <xdr:from>
      <xdr:col>11</xdr:col>
      <xdr:colOff>128430</xdr:colOff>
      <xdr:row>8</xdr:row>
      <xdr:rowOff>34242</xdr:rowOff>
    </xdr:from>
    <xdr:to>
      <xdr:col>13</xdr:col>
      <xdr:colOff>139128</xdr:colOff>
      <xdr:row>18</xdr:row>
      <xdr:rowOff>12346</xdr:rowOff>
    </xdr:to>
    <xdr:pic>
      <xdr:nvPicPr>
        <xdr:cNvPr id="911" name="Imagen 910">
          <a:extLst>
            <a:ext uri="{FF2B5EF4-FFF2-40B4-BE49-F238E27FC236}">
              <a16:creationId xmlns:a16="http://schemas.microsoft.com/office/drawing/2014/main" id="{00AAD8A9-CD59-CC48-48B3-5E60B09ACEE7}"/>
            </a:ext>
          </a:extLst>
        </xdr:cNvPr>
        <xdr:cNvPicPr>
          <a:picLocks noChangeAspect="1"/>
        </xdr:cNvPicPr>
      </xdr:nvPicPr>
      <xdr:blipFill>
        <a:blip xmlns:r="http://schemas.openxmlformats.org/officeDocument/2006/relationships" r:embed="rId22"/>
        <a:stretch>
          <a:fillRect/>
        </a:stretch>
      </xdr:blipFill>
      <xdr:spPr>
        <a:xfrm>
          <a:off x="9931688" y="1671686"/>
          <a:ext cx="1444800" cy="1904509"/>
        </a:xfrm>
        <a:prstGeom prst="rect">
          <a:avLst/>
        </a:prstGeom>
      </xdr:spPr>
    </xdr:pic>
    <xdr:clientData/>
  </xdr:twoCellAnchor>
  <xdr:twoCellAnchor editAs="oneCell">
    <xdr:from>
      <xdr:col>11</xdr:col>
      <xdr:colOff>181940</xdr:colOff>
      <xdr:row>18</xdr:row>
      <xdr:rowOff>79108</xdr:rowOff>
    </xdr:from>
    <xdr:to>
      <xdr:col>12</xdr:col>
      <xdr:colOff>631432</xdr:colOff>
      <xdr:row>26</xdr:row>
      <xdr:rowOff>148889</xdr:rowOff>
    </xdr:to>
    <xdr:pic>
      <xdr:nvPicPr>
        <xdr:cNvPr id="912" name="Imagen 911">
          <a:extLst>
            <a:ext uri="{FF2B5EF4-FFF2-40B4-BE49-F238E27FC236}">
              <a16:creationId xmlns:a16="http://schemas.microsoft.com/office/drawing/2014/main" id="{64FE0102-E756-61EA-E1FE-C47EFEA2DD25}"/>
            </a:ext>
          </a:extLst>
        </xdr:cNvPr>
        <xdr:cNvPicPr>
          <a:picLocks noChangeAspect="1"/>
        </xdr:cNvPicPr>
      </xdr:nvPicPr>
      <xdr:blipFill>
        <a:blip xmlns:r="http://schemas.openxmlformats.org/officeDocument/2006/relationships" r:embed="rId23"/>
        <a:stretch>
          <a:fillRect/>
        </a:stretch>
      </xdr:blipFill>
      <xdr:spPr>
        <a:xfrm>
          <a:off x="9985198" y="3535934"/>
          <a:ext cx="1166543" cy="1600202"/>
        </a:xfrm>
        <a:prstGeom prst="rect">
          <a:avLst/>
        </a:prstGeom>
      </xdr:spPr>
    </xdr:pic>
    <xdr:clientData/>
  </xdr:twoCellAnchor>
  <xdr:twoCellAnchor editAs="oneCell">
    <xdr:from>
      <xdr:col>11</xdr:col>
      <xdr:colOff>40671</xdr:colOff>
      <xdr:row>391</xdr:row>
      <xdr:rowOff>77454</xdr:rowOff>
    </xdr:from>
    <xdr:to>
      <xdr:col>12</xdr:col>
      <xdr:colOff>618590</xdr:colOff>
      <xdr:row>401</xdr:row>
      <xdr:rowOff>88016</xdr:rowOff>
    </xdr:to>
    <xdr:pic>
      <xdr:nvPicPr>
        <xdr:cNvPr id="915" name="Imagen 914">
          <a:extLst>
            <a:ext uri="{FF2B5EF4-FFF2-40B4-BE49-F238E27FC236}">
              <a16:creationId xmlns:a16="http://schemas.microsoft.com/office/drawing/2014/main" id="{1732D150-83F4-AB9A-F2D4-58C8E4ECB21C}"/>
            </a:ext>
          </a:extLst>
        </xdr:cNvPr>
        <xdr:cNvPicPr>
          <a:picLocks noChangeAspect="1"/>
        </xdr:cNvPicPr>
      </xdr:nvPicPr>
      <xdr:blipFill>
        <a:blip xmlns:r="http://schemas.openxmlformats.org/officeDocument/2006/relationships" r:embed="rId24"/>
        <a:stretch>
          <a:fillRect/>
        </a:stretch>
      </xdr:blipFill>
      <xdr:spPr>
        <a:xfrm>
          <a:off x="10117907" y="51953387"/>
          <a:ext cx="1305672" cy="1722921"/>
        </a:xfrm>
        <a:prstGeom prst="rect">
          <a:avLst/>
        </a:prstGeom>
      </xdr:spPr>
    </xdr:pic>
    <xdr:clientData/>
  </xdr:twoCellAnchor>
  <xdr:twoCellAnchor editAs="oneCell">
    <xdr:from>
      <xdr:col>8</xdr:col>
      <xdr:colOff>32108</xdr:colOff>
      <xdr:row>8</xdr:row>
      <xdr:rowOff>53511</xdr:rowOff>
    </xdr:from>
    <xdr:to>
      <xdr:col>10</xdr:col>
      <xdr:colOff>278259</xdr:colOff>
      <xdr:row>14</xdr:row>
      <xdr:rowOff>127351</xdr:rowOff>
    </xdr:to>
    <xdr:pic>
      <xdr:nvPicPr>
        <xdr:cNvPr id="916" name="Imagen 915">
          <a:extLst>
            <a:ext uri="{FF2B5EF4-FFF2-40B4-BE49-F238E27FC236}">
              <a16:creationId xmlns:a16="http://schemas.microsoft.com/office/drawing/2014/main" id="{D73F22A5-F67B-1F6D-E547-34049A5EA0F8}"/>
            </a:ext>
          </a:extLst>
        </xdr:cNvPr>
        <xdr:cNvPicPr>
          <a:picLocks noChangeAspect="1"/>
        </xdr:cNvPicPr>
      </xdr:nvPicPr>
      <xdr:blipFill>
        <a:blip xmlns:r="http://schemas.openxmlformats.org/officeDocument/2006/relationships" r:embed="rId25"/>
        <a:stretch>
          <a:fillRect/>
        </a:stretch>
      </xdr:blipFill>
      <xdr:spPr>
        <a:xfrm>
          <a:off x="7630704" y="1690955"/>
          <a:ext cx="1680252" cy="1272492"/>
        </a:xfrm>
        <a:prstGeom prst="rect">
          <a:avLst/>
        </a:prstGeom>
      </xdr:spPr>
    </xdr:pic>
    <xdr:clientData/>
  </xdr:twoCellAnchor>
  <xdr:twoCellAnchor editAs="oneCell">
    <xdr:from>
      <xdr:col>8</xdr:col>
      <xdr:colOff>139130</xdr:colOff>
      <xdr:row>15</xdr:row>
      <xdr:rowOff>82518</xdr:rowOff>
    </xdr:from>
    <xdr:to>
      <xdr:col>10</xdr:col>
      <xdr:colOff>363876</xdr:colOff>
      <xdr:row>22</xdr:row>
      <xdr:rowOff>141237</xdr:rowOff>
    </xdr:to>
    <xdr:pic>
      <xdr:nvPicPr>
        <xdr:cNvPr id="917" name="Imagen 916">
          <a:extLst>
            <a:ext uri="{FF2B5EF4-FFF2-40B4-BE49-F238E27FC236}">
              <a16:creationId xmlns:a16="http://schemas.microsoft.com/office/drawing/2014/main" id="{4C11917E-314D-F0A3-E9D6-1A8E51DD7453}"/>
            </a:ext>
          </a:extLst>
        </xdr:cNvPr>
        <xdr:cNvPicPr>
          <a:picLocks noChangeAspect="1"/>
        </xdr:cNvPicPr>
      </xdr:nvPicPr>
      <xdr:blipFill>
        <a:blip xmlns:r="http://schemas.openxmlformats.org/officeDocument/2006/relationships" r:embed="rId26"/>
        <a:stretch>
          <a:fillRect/>
        </a:stretch>
      </xdr:blipFill>
      <xdr:spPr>
        <a:xfrm>
          <a:off x="7737726" y="2993529"/>
          <a:ext cx="1658847" cy="1407202"/>
        </a:xfrm>
        <a:prstGeom prst="rect">
          <a:avLst/>
        </a:prstGeom>
      </xdr:spPr>
    </xdr:pic>
    <xdr:clientData/>
  </xdr:twoCellAnchor>
  <xdr:twoCellAnchor editAs="oneCell">
    <xdr:from>
      <xdr:col>8</xdr:col>
      <xdr:colOff>192641</xdr:colOff>
      <xdr:row>23</xdr:row>
      <xdr:rowOff>42807</xdr:rowOff>
    </xdr:from>
    <xdr:to>
      <xdr:col>10</xdr:col>
      <xdr:colOff>85617</xdr:colOff>
      <xdr:row>30</xdr:row>
      <xdr:rowOff>164371</xdr:rowOff>
    </xdr:to>
    <xdr:pic>
      <xdr:nvPicPr>
        <xdr:cNvPr id="918" name="Imagen 917">
          <a:extLst>
            <a:ext uri="{FF2B5EF4-FFF2-40B4-BE49-F238E27FC236}">
              <a16:creationId xmlns:a16="http://schemas.microsoft.com/office/drawing/2014/main" id="{A8A1B415-341C-121B-AF5D-055AEC44D550}"/>
            </a:ext>
          </a:extLst>
        </xdr:cNvPr>
        <xdr:cNvPicPr>
          <a:picLocks noChangeAspect="1"/>
        </xdr:cNvPicPr>
      </xdr:nvPicPr>
      <xdr:blipFill>
        <a:blip xmlns:r="http://schemas.openxmlformats.org/officeDocument/2006/relationships" r:embed="rId27"/>
        <a:stretch>
          <a:fillRect/>
        </a:stretch>
      </xdr:blipFill>
      <xdr:spPr>
        <a:xfrm>
          <a:off x="7791237" y="4484240"/>
          <a:ext cx="1327077" cy="1395132"/>
        </a:xfrm>
        <a:prstGeom prst="rect">
          <a:avLst/>
        </a:prstGeom>
      </xdr:spPr>
    </xdr:pic>
    <xdr:clientData/>
  </xdr:twoCellAnchor>
  <xdr:twoCellAnchor editAs="oneCell">
    <xdr:from>
      <xdr:col>11</xdr:col>
      <xdr:colOff>53510</xdr:colOff>
      <xdr:row>43</xdr:row>
      <xdr:rowOff>53513</xdr:rowOff>
    </xdr:from>
    <xdr:to>
      <xdr:col>12</xdr:col>
      <xdr:colOff>603014</xdr:colOff>
      <xdr:row>50</xdr:row>
      <xdr:rowOff>192642</xdr:rowOff>
    </xdr:to>
    <xdr:pic>
      <xdr:nvPicPr>
        <xdr:cNvPr id="919" name="Imagen 918">
          <a:extLst>
            <a:ext uri="{FF2B5EF4-FFF2-40B4-BE49-F238E27FC236}">
              <a16:creationId xmlns:a16="http://schemas.microsoft.com/office/drawing/2014/main" id="{6ACCBF1F-D333-4F0F-928D-41044E083E3B}"/>
            </a:ext>
          </a:extLst>
        </xdr:cNvPr>
        <xdr:cNvPicPr>
          <a:picLocks noChangeAspect="1"/>
        </xdr:cNvPicPr>
      </xdr:nvPicPr>
      <xdr:blipFill>
        <a:blip xmlns:r="http://schemas.openxmlformats.org/officeDocument/2006/relationships" r:embed="rId22"/>
        <a:stretch>
          <a:fillRect/>
        </a:stretch>
      </xdr:blipFill>
      <xdr:spPr>
        <a:xfrm>
          <a:off x="9856768" y="8882867"/>
          <a:ext cx="1266555" cy="1669550"/>
        </a:xfrm>
        <a:prstGeom prst="rect">
          <a:avLst/>
        </a:prstGeom>
      </xdr:spPr>
    </xdr:pic>
    <xdr:clientData/>
  </xdr:twoCellAnchor>
  <xdr:twoCellAnchor editAs="oneCell">
    <xdr:from>
      <xdr:col>11</xdr:col>
      <xdr:colOff>684943</xdr:colOff>
      <xdr:row>48</xdr:row>
      <xdr:rowOff>224745</xdr:rowOff>
    </xdr:from>
    <xdr:to>
      <xdr:col>13</xdr:col>
      <xdr:colOff>674241</xdr:colOff>
      <xdr:row>56</xdr:row>
      <xdr:rowOff>175970</xdr:rowOff>
    </xdr:to>
    <xdr:pic>
      <xdr:nvPicPr>
        <xdr:cNvPr id="920" name="Imagen 919">
          <a:extLst>
            <a:ext uri="{FF2B5EF4-FFF2-40B4-BE49-F238E27FC236}">
              <a16:creationId xmlns:a16="http://schemas.microsoft.com/office/drawing/2014/main" id="{B4074E5E-0F9C-4989-B106-7E7BD5F577F9}"/>
            </a:ext>
          </a:extLst>
        </xdr:cNvPr>
        <xdr:cNvPicPr>
          <a:picLocks noChangeAspect="1"/>
        </xdr:cNvPicPr>
      </xdr:nvPicPr>
      <xdr:blipFill>
        <a:blip xmlns:r="http://schemas.openxmlformats.org/officeDocument/2006/relationships" r:embed="rId23"/>
        <a:stretch>
          <a:fillRect/>
        </a:stretch>
      </xdr:blipFill>
      <xdr:spPr>
        <a:xfrm>
          <a:off x="10488201" y="10092217"/>
          <a:ext cx="1423400" cy="1952545"/>
        </a:xfrm>
        <a:prstGeom prst="rect">
          <a:avLst/>
        </a:prstGeom>
      </xdr:spPr>
    </xdr:pic>
    <xdr:clientData/>
  </xdr:twoCellAnchor>
  <xdr:twoCellAnchor editAs="oneCell">
    <xdr:from>
      <xdr:col>11</xdr:col>
      <xdr:colOff>50522</xdr:colOff>
      <xdr:row>56</xdr:row>
      <xdr:rowOff>2996</xdr:rowOff>
    </xdr:from>
    <xdr:to>
      <xdr:col>14</xdr:col>
      <xdr:colOff>48898</xdr:colOff>
      <xdr:row>61</xdr:row>
      <xdr:rowOff>224747</xdr:rowOff>
    </xdr:to>
    <xdr:pic>
      <xdr:nvPicPr>
        <xdr:cNvPr id="922" name="Imagen 921">
          <a:extLst>
            <a:ext uri="{FF2B5EF4-FFF2-40B4-BE49-F238E27FC236}">
              <a16:creationId xmlns:a16="http://schemas.microsoft.com/office/drawing/2014/main" id="{6E337E52-F329-908A-1CFE-3B77A26051AC}"/>
            </a:ext>
          </a:extLst>
        </xdr:cNvPr>
        <xdr:cNvPicPr>
          <a:picLocks noChangeAspect="1" noChangeArrowheads="1"/>
        </xdr:cNvPicPr>
      </xdr:nvPicPr>
      <xdr:blipFill>
        <a:blip xmlns:r="http://schemas.openxmlformats.org/officeDocument/2006/relationships" r:embed="rId28">
          <a:extLst>
            <a:ext uri="{28A0092B-C50C-407E-A947-70E740481C1C}">
              <a14:useLocalDpi xmlns:a14="http://schemas.microsoft.com/office/drawing/2010/main" val="0"/>
            </a:ext>
          </a:extLst>
        </a:blip>
        <a:srcRect/>
        <a:stretch>
          <a:fillRect/>
        </a:stretch>
      </xdr:blipFill>
      <xdr:spPr bwMode="auto">
        <a:xfrm rot="16200000">
          <a:off x="10180884" y="11544684"/>
          <a:ext cx="1495319" cy="21495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321068</xdr:colOff>
      <xdr:row>43</xdr:row>
      <xdr:rowOff>149832</xdr:rowOff>
    </xdr:from>
    <xdr:to>
      <xdr:col>10</xdr:col>
      <xdr:colOff>567219</xdr:colOff>
      <xdr:row>49</xdr:row>
      <xdr:rowOff>138054</xdr:rowOff>
    </xdr:to>
    <xdr:pic>
      <xdr:nvPicPr>
        <xdr:cNvPr id="923" name="Imagen 922">
          <a:extLst>
            <a:ext uri="{FF2B5EF4-FFF2-40B4-BE49-F238E27FC236}">
              <a16:creationId xmlns:a16="http://schemas.microsoft.com/office/drawing/2014/main" id="{C01C6F2D-14E0-4BE1-B5D8-4993867D361C}"/>
            </a:ext>
          </a:extLst>
        </xdr:cNvPr>
        <xdr:cNvPicPr>
          <a:picLocks noChangeAspect="1"/>
        </xdr:cNvPicPr>
      </xdr:nvPicPr>
      <xdr:blipFill>
        <a:blip xmlns:r="http://schemas.openxmlformats.org/officeDocument/2006/relationships" r:embed="rId25"/>
        <a:stretch>
          <a:fillRect/>
        </a:stretch>
      </xdr:blipFill>
      <xdr:spPr>
        <a:xfrm>
          <a:off x="7919664" y="8979186"/>
          <a:ext cx="1680252" cy="1272492"/>
        </a:xfrm>
        <a:prstGeom prst="rect">
          <a:avLst/>
        </a:prstGeom>
      </xdr:spPr>
    </xdr:pic>
    <xdr:clientData/>
  </xdr:twoCellAnchor>
  <xdr:twoCellAnchor editAs="oneCell">
    <xdr:from>
      <xdr:col>8</xdr:col>
      <xdr:colOff>395983</xdr:colOff>
      <xdr:row>50</xdr:row>
      <xdr:rowOff>192641</xdr:rowOff>
    </xdr:from>
    <xdr:to>
      <xdr:col>10</xdr:col>
      <xdr:colOff>620729</xdr:colOff>
      <xdr:row>56</xdr:row>
      <xdr:rowOff>90826</xdr:rowOff>
    </xdr:to>
    <xdr:pic>
      <xdr:nvPicPr>
        <xdr:cNvPr id="924" name="Imagen 923">
          <a:extLst>
            <a:ext uri="{FF2B5EF4-FFF2-40B4-BE49-F238E27FC236}">
              <a16:creationId xmlns:a16="http://schemas.microsoft.com/office/drawing/2014/main" id="{03CB4763-8549-461B-A547-378D653B32E3}"/>
            </a:ext>
          </a:extLst>
        </xdr:cNvPr>
        <xdr:cNvPicPr>
          <a:picLocks noChangeAspect="1"/>
        </xdr:cNvPicPr>
      </xdr:nvPicPr>
      <xdr:blipFill>
        <a:blip xmlns:r="http://schemas.openxmlformats.org/officeDocument/2006/relationships" r:embed="rId26"/>
        <a:stretch>
          <a:fillRect/>
        </a:stretch>
      </xdr:blipFill>
      <xdr:spPr>
        <a:xfrm>
          <a:off x="7994579" y="10552416"/>
          <a:ext cx="1658847" cy="1407202"/>
        </a:xfrm>
        <a:prstGeom prst="rect">
          <a:avLst/>
        </a:prstGeom>
      </xdr:spPr>
    </xdr:pic>
    <xdr:clientData/>
  </xdr:twoCellAnchor>
  <xdr:twoCellAnchor editAs="oneCell">
    <xdr:from>
      <xdr:col>8</xdr:col>
      <xdr:colOff>460196</xdr:colOff>
      <xdr:row>56</xdr:row>
      <xdr:rowOff>192640</xdr:rowOff>
    </xdr:from>
    <xdr:to>
      <xdr:col>10</xdr:col>
      <xdr:colOff>353172</xdr:colOff>
      <xdr:row>62</xdr:row>
      <xdr:rowOff>68053</xdr:rowOff>
    </xdr:to>
    <xdr:pic>
      <xdr:nvPicPr>
        <xdr:cNvPr id="925" name="Imagen 924">
          <a:extLst>
            <a:ext uri="{FF2B5EF4-FFF2-40B4-BE49-F238E27FC236}">
              <a16:creationId xmlns:a16="http://schemas.microsoft.com/office/drawing/2014/main" id="{79DC98AA-8F78-4FEE-81F9-7496E7518BE3}"/>
            </a:ext>
          </a:extLst>
        </xdr:cNvPr>
        <xdr:cNvPicPr>
          <a:picLocks noChangeAspect="1"/>
        </xdr:cNvPicPr>
      </xdr:nvPicPr>
      <xdr:blipFill>
        <a:blip xmlns:r="http://schemas.openxmlformats.org/officeDocument/2006/relationships" r:embed="rId27"/>
        <a:stretch>
          <a:fillRect/>
        </a:stretch>
      </xdr:blipFill>
      <xdr:spPr>
        <a:xfrm>
          <a:off x="8058792" y="12061432"/>
          <a:ext cx="1327077" cy="1395132"/>
        </a:xfrm>
        <a:prstGeom prst="rect">
          <a:avLst/>
        </a:prstGeom>
      </xdr:spPr>
    </xdr:pic>
    <xdr:clientData/>
  </xdr:twoCellAnchor>
  <xdr:twoCellAnchor>
    <xdr:from>
      <xdr:col>1</xdr:col>
      <xdr:colOff>560690</xdr:colOff>
      <xdr:row>4</xdr:row>
      <xdr:rowOff>74658</xdr:rowOff>
    </xdr:from>
    <xdr:to>
      <xdr:col>2</xdr:col>
      <xdr:colOff>331770</xdr:colOff>
      <xdr:row>4</xdr:row>
      <xdr:rowOff>437892</xdr:rowOff>
    </xdr:to>
    <xdr:pic>
      <xdr:nvPicPr>
        <xdr:cNvPr id="926" name="Imagen 39" descr="Logo CSJ RGB_01">
          <a:extLst>
            <a:ext uri="{FF2B5EF4-FFF2-40B4-BE49-F238E27FC236}">
              <a16:creationId xmlns:a16="http://schemas.microsoft.com/office/drawing/2014/main" id="{08ED5756-42BE-4B03-B94D-306A0A657A0D}"/>
            </a:ext>
          </a:extLst>
        </xdr:cNvPr>
        <xdr:cNvPicPr>
          <a:picLocks noChangeAspect="1" noChangeArrowheads="1"/>
        </xdr:cNvPicPr>
      </xdr:nvPicPr>
      <xdr:blipFill>
        <a:blip xmlns:r="http://schemas.openxmlformats.org/officeDocument/2006/relationships" r:embed="rId29" cstate="print">
          <a:extLst>
            <a:ext uri="{28A0092B-C50C-407E-A947-70E740481C1C}">
              <a14:useLocalDpi xmlns:a14="http://schemas.microsoft.com/office/drawing/2010/main" val="0"/>
            </a:ext>
          </a:extLst>
        </a:blip>
        <a:srcRect/>
        <a:stretch>
          <a:fillRect/>
        </a:stretch>
      </xdr:blipFill>
      <xdr:spPr bwMode="auto">
        <a:xfrm>
          <a:off x="881757" y="2814433"/>
          <a:ext cx="1355013" cy="3632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492303</xdr:colOff>
      <xdr:row>0</xdr:row>
      <xdr:rowOff>117724</xdr:rowOff>
    </xdr:from>
    <xdr:to>
      <xdr:col>20</xdr:col>
      <xdr:colOff>86269</xdr:colOff>
      <xdr:row>3</xdr:row>
      <xdr:rowOff>149488</xdr:rowOff>
    </xdr:to>
    <xdr:pic>
      <xdr:nvPicPr>
        <xdr:cNvPr id="927" name="Imagen 926">
          <a:extLst>
            <a:ext uri="{FF2B5EF4-FFF2-40B4-BE49-F238E27FC236}">
              <a16:creationId xmlns:a16="http://schemas.microsoft.com/office/drawing/2014/main" id="{E0EDECDC-5E05-4E5F-BC26-8841464B62B0}"/>
            </a:ext>
          </a:extLst>
        </xdr:cNvPr>
        <xdr:cNvPicPr>
          <a:picLocks noChangeAspect="1"/>
        </xdr:cNvPicPr>
      </xdr:nvPicPr>
      <xdr:blipFill>
        <a:blip xmlns:r="http://schemas.openxmlformats.org/officeDocument/2006/relationships" r:embed="rId30"/>
        <a:stretch>
          <a:fillRect/>
        </a:stretch>
      </xdr:blipFill>
      <xdr:spPr>
        <a:xfrm>
          <a:off x="12446713" y="117724"/>
          <a:ext cx="3896269" cy="609685"/>
        </a:xfrm>
        <a:prstGeom prst="rect">
          <a:avLst/>
        </a:prstGeom>
      </xdr:spPr>
    </xdr:pic>
    <xdr:clientData/>
  </xdr:twoCellAnchor>
  <xdr:twoCellAnchor editAs="oneCell">
    <xdr:from>
      <xdr:col>11</xdr:col>
      <xdr:colOff>139130</xdr:colOff>
      <xdr:row>73</xdr:row>
      <xdr:rowOff>128427</xdr:rowOff>
    </xdr:from>
    <xdr:to>
      <xdr:col>13</xdr:col>
      <xdr:colOff>460200</xdr:colOff>
      <xdr:row>80</xdr:row>
      <xdr:rowOff>75845</xdr:rowOff>
    </xdr:to>
    <xdr:pic>
      <xdr:nvPicPr>
        <xdr:cNvPr id="928" name="Imagen 927">
          <a:extLst>
            <a:ext uri="{FF2B5EF4-FFF2-40B4-BE49-F238E27FC236}">
              <a16:creationId xmlns:a16="http://schemas.microsoft.com/office/drawing/2014/main" id="{FE92B879-0E9F-4844-BC41-A9B371D4336C}"/>
            </a:ext>
          </a:extLst>
        </xdr:cNvPr>
        <xdr:cNvPicPr>
          <a:picLocks noChangeAspect="1" noChangeArrowheads="1"/>
        </xdr:cNvPicPr>
      </xdr:nvPicPr>
      <xdr:blipFill>
        <a:blip xmlns:r="http://schemas.openxmlformats.org/officeDocument/2006/relationships" r:embed="rId28">
          <a:extLst>
            <a:ext uri="{28A0092B-C50C-407E-A947-70E740481C1C}">
              <a14:useLocalDpi xmlns:a14="http://schemas.microsoft.com/office/drawing/2010/main" val="0"/>
            </a:ext>
          </a:extLst>
        </a:blip>
        <a:srcRect/>
        <a:stretch>
          <a:fillRect/>
        </a:stretch>
      </xdr:blipFill>
      <xdr:spPr bwMode="auto">
        <a:xfrm rot="16200000">
          <a:off x="10209481" y="16835098"/>
          <a:ext cx="1220985" cy="17551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160533</xdr:colOff>
      <xdr:row>80</xdr:row>
      <xdr:rowOff>171237</xdr:rowOff>
    </xdr:from>
    <xdr:to>
      <xdr:col>13</xdr:col>
      <xdr:colOff>495845</xdr:colOff>
      <xdr:row>87</xdr:row>
      <xdr:rowOff>80537</xdr:rowOff>
    </xdr:to>
    <xdr:pic>
      <xdr:nvPicPr>
        <xdr:cNvPr id="929" name="Imagen 928">
          <a:extLst>
            <a:ext uri="{FF2B5EF4-FFF2-40B4-BE49-F238E27FC236}">
              <a16:creationId xmlns:a16="http://schemas.microsoft.com/office/drawing/2014/main" id="{1E2FBB1B-725A-FA3C-30AA-17BEE63569CA}"/>
            </a:ext>
          </a:extLst>
        </xdr:cNvPr>
        <xdr:cNvPicPr>
          <a:picLocks noChangeAspect="1"/>
        </xdr:cNvPicPr>
      </xdr:nvPicPr>
      <xdr:blipFill>
        <a:blip xmlns:r="http://schemas.openxmlformats.org/officeDocument/2006/relationships" r:embed="rId31"/>
        <a:stretch>
          <a:fillRect/>
        </a:stretch>
      </xdr:blipFill>
      <xdr:spPr>
        <a:xfrm>
          <a:off x="9963791" y="18418568"/>
          <a:ext cx="1769414" cy="1182868"/>
        </a:xfrm>
        <a:prstGeom prst="rect">
          <a:avLst/>
        </a:prstGeom>
      </xdr:spPr>
    </xdr:pic>
    <xdr:clientData/>
  </xdr:twoCellAnchor>
  <xdr:twoCellAnchor editAs="oneCell">
    <xdr:from>
      <xdr:col>8</xdr:col>
      <xdr:colOff>256855</xdr:colOff>
      <xdr:row>73</xdr:row>
      <xdr:rowOff>64213</xdr:rowOff>
    </xdr:from>
    <xdr:to>
      <xdr:col>10</xdr:col>
      <xdr:colOff>503006</xdr:colOff>
      <xdr:row>80</xdr:row>
      <xdr:rowOff>63138</xdr:rowOff>
    </xdr:to>
    <xdr:pic>
      <xdr:nvPicPr>
        <xdr:cNvPr id="930" name="Imagen 929">
          <a:extLst>
            <a:ext uri="{FF2B5EF4-FFF2-40B4-BE49-F238E27FC236}">
              <a16:creationId xmlns:a16="http://schemas.microsoft.com/office/drawing/2014/main" id="{F0C0DC64-EACF-4A87-B6F5-18DF5A5FE7A1}"/>
            </a:ext>
          </a:extLst>
        </xdr:cNvPr>
        <xdr:cNvPicPr>
          <a:picLocks noChangeAspect="1"/>
        </xdr:cNvPicPr>
      </xdr:nvPicPr>
      <xdr:blipFill>
        <a:blip xmlns:r="http://schemas.openxmlformats.org/officeDocument/2006/relationships" r:embed="rId25"/>
        <a:stretch>
          <a:fillRect/>
        </a:stretch>
      </xdr:blipFill>
      <xdr:spPr>
        <a:xfrm>
          <a:off x="7855451" y="17037977"/>
          <a:ext cx="1680252" cy="1272492"/>
        </a:xfrm>
        <a:prstGeom prst="rect">
          <a:avLst/>
        </a:prstGeom>
      </xdr:spPr>
    </xdr:pic>
    <xdr:clientData/>
  </xdr:twoCellAnchor>
  <xdr:twoCellAnchor editAs="oneCell">
    <xdr:from>
      <xdr:col>8</xdr:col>
      <xdr:colOff>288960</xdr:colOff>
      <xdr:row>80</xdr:row>
      <xdr:rowOff>64214</xdr:rowOff>
    </xdr:from>
    <xdr:to>
      <xdr:col>10</xdr:col>
      <xdr:colOff>513706</xdr:colOff>
      <xdr:row>88</xdr:row>
      <xdr:rowOff>15910</xdr:rowOff>
    </xdr:to>
    <xdr:pic>
      <xdr:nvPicPr>
        <xdr:cNvPr id="931" name="Imagen 930">
          <a:extLst>
            <a:ext uri="{FF2B5EF4-FFF2-40B4-BE49-F238E27FC236}">
              <a16:creationId xmlns:a16="http://schemas.microsoft.com/office/drawing/2014/main" id="{1CCC7C4F-16C7-4128-A6B1-9C82254598F7}"/>
            </a:ext>
          </a:extLst>
        </xdr:cNvPr>
        <xdr:cNvPicPr>
          <a:picLocks noChangeAspect="1"/>
        </xdr:cNvPicPr>
      </xdr:nvPicPr>
      <xdr:blipFill>
        <a:blip xmlns:r="http://schemas.openxmlformats.org/officeDocument/2006/relationships" r:embed="rId26"/>
        <a:stretch>
          <a:fillRect/>
        </a:stretch>
      </xdr:blipFill>
      <xdr:spPr>
        <a:xfrm>
          <a:off x="7887556" y="18311545"/>
          <a:ext cx="1658847" cy="1407202"/>
        </a:xfrm>
        <a:prstGeom prst="rect">
          <a:avLst/>
        </a:prstGeom>
      </xdr:spPr>
    </xdr:pic>
    <xdr:clientData/>
  </xdr:twoCellAnchor>
  <xdr:twoCellAnchor editAs="oneCell">
    <xdr:from>
      <xdr:col>10</xdr:col>
      <xdr:colOff>64214</xdr:colOff>
      <xdr:row>86</xdr:row>
      <xdr:rowOff>181937</xdr:rowOff>
    </xdr:from>
    <xdr:to>
      <xdr:col>11</xdr:col>
      <xdr:colOff>620730</xdr:colOff>
      <xdr:row>94</xdr:row>
      <xdr:rowOff>3839</xdr:rowOff>
    </xdr:to>
    <xdr:pic>
      <xdr:nvPicPr>
        <xdr:cNvPr id="932" name="Imagen 931">
          <a:extLst>
            <a:ext uri="{FF2B5EF4-FFF2-40B4-BE49-F238E27FC236}">
              <a16:creationId xmlns:a16="http://schemas.microsoft.com/office/drawing/2014/main" id="{306B025D-13CE-4B28-A228-DEBBA7FCFBCB}"/>
            </a:ext>
          </a:extLst>
        </xdr:cNvPr>
        <xdr:cNvPicPr>
          <a:picLocks noChangeAspect="1"/>
        </xdr:cNvPicPr>
      </xdr:nvPicPr>
      <xdr:blipFill>
        <a:blip xmlns:r="http://schemas.openxmlformats.org/officeDocument/2006/relationships" r:embed="rId27"/>
        <a:stretch>
          <a:fillRect/>
        </a:stretch>
      </xdr:blipFill>
      <xdr:spPr>
        <a:xfrm>
          <a:off x="9096911" y="19520898"/>
          <a:ext cx="1327077" cy="1395132"/>
        </a:xfrm>
        <a:prstGeom prst="rect">
          <a:avLst/>
        </a:prstGeom>
      </xdr:spPr>
    </xdr:pic>
    <xdr:clientData/>
  </xdr:twoCellAnchor>
  <xdr:twoCellAnchor editAs="oneCell">
    <xdr:from>
      <xdr:col>11</xdr:col>
      <xdr:colOff>214045</xdr:colOff>
      <xdr:row>104</xdr:row>
      <xdr:rowOff>117725</xdr:rowOff>
    </xdr:from>
    <xdr:to>
      <xdr:col>13</xdr:col>
      <xdr:colOff>549357</xdr:colOff>
      <xdr:row>111</xdr:row>
      <xdr:rowOff>27026</xdr:rowOff>
    </xdr:to>
    <xdr:pic>
      <xdr:nvPicPr>
        <xdr:cNvPr id="933" name="Imagen 932">
          <a:extLst>
            <a:ext uri="{FF2B5EF4-FFF2-40B4-BE49-F238E27FC236}">
              <a16:creationId xmlns:a16="http://schemas.microsoft.com/office/drawing/2014/main" id="{DA188E56-D933-4A73-A529-18E9AB9CBBBC}"/>
            </a:ext>
          </a:extLst>
        </xdr:cNvPr>
        <xdr:cNvPicPr>
          <a:picLocks noChangeAspect="1"/>
        </xdr:cNvPicPr>
      </xdr:nvPicPr>
      <xdr:blipFill>
        <a:blip xmlns:r="http://schemas.openxmlformats.org/officeDocument/2006/relationships" r:embed="rId31"/>
        <a:stretch>
          <a:fillRect/>
        </a:stretch>
      </xdr:blipFill>
      <xdr:spPr>
        <a:xfrm>
          <a:off x="10017303" y="23395113"/>
          <a:ext cx="1769414" cy="1182868"/>
        </a:xfrm>
        <a:prstGeom prst="rect">
          <a:avLst/>
        </a:prstGeom>
      </xdr:spPr>
    </xdr:pic>
    <xdr:clientData/>
  </xdr:twoCellAnchor>
  <xdr:twoCellAnchor editAs="oneCell">
    <xdr:from>
      <xdr:col>11</xdr:col>
      <xdr:colOff>256854</xdr:colOff>
      <xdr:row>134</xdr:row>
      <xdr:rowOff>171236</xdr:rowOff>
    </xdr:from>
    <xdr:to>
      <xdr:col>13</xdr:col>
      <xdr:colOff>592166</xdr:colOff>
      <xdr:row>140</xdr:row>
      <xdr:rowOff>37726</xdr:rowOff>
    </xdr:to>
    <xdr:pic>
      <xdr:nvPicPr>
        <xdr:cNvPr id="934" name="Imagen 933">
          <a:extLst>
            <a:ext uri="{FF2B5EF4-FFF2-40B4-BE49-F238E27FC236}">
              <a16:creationId xmlns:a16="http://schemas.microsoft.com/office/drawing/2014/main" id="{8A2E3A7F-34FF-411E-8B13-8AF20E91B778}"/>
            </a:ext>
          </a:extLst>
        </xdr:cNvPr>
        <xdr:cNvPicPr>
          <a:picLocks noChangeAspect="1"/>
        </xdr:cNvPicPr>
      </xdr:nvPicPr>
      <xdr:blipFill>
        <a:blip xmlns:r="http://schemas.openxmlformats.org/officeDocument/2006/relationships" r:embed="rId31"/>
        <a:stretch>
          <a:fillRect/>
        </a:stretch>
      </xdr:blipFill>
      <xdr:spPr>
        <a:xfrm>
          <a:off x="10060112" y="30094719"/>
          <a:ext cx="1769414" cy="1182868"/>
        </a:xfrm>
        <a:prstGeom prst="rect">
          <a:avLst/>
        </a:prstGeom>
      </xdr:spPr>
    </xdr:pic>
    <xdr:clientData/>
  </xdr:twoCellAnchor>
  <xdr:twoCellAnchor editAs="oneCell">
    <xdr:from>
      <xdr:col>11</xdr:col>
      <xdr:colOff>57795</xdr:colOff>
      <xdr:row>402</xdr:row>
      <xdr:rowOff>77056</xdr:rowOff>
    </xdr:from>
    <xdr:to>
      <xdr:col>13</xdr:col>
      <xdr:colOff>693559</xdr:colOff>
      <xdr:row>408</xdr:row>
      <xdr:rowOff>34247</xdr:rowOff>
    </xdr:to>
    <xdr:pic>
      <xdr:nvPicPr>
        <xdr:cNvPr id="937" name="Imagen 936">
          <a:extLst>
            <a:ext uri="{FF2B5EF4-FFF2-40B4-BE49-F238E27FC236}">
              <a16:creationId xmlns:a16="http://schemas.microsoft.com/office/drawing/2014/main" id="{FD0DAED7-ACFE-2D91-0C46-3EC1DD914B88}"/>
            </a:ext>
          </a:extLst>
        </xdr:cNvPr>
        <xdr:cNvPicPr>
          <a:picLocks noChangeAspect="1"/>
        </xdr:cNvPicPr>
      </xdr:nvPicPr>
      <xdr:blipFill>
        <a:blip xmlns:r="http://schemas.openxmlformats.org/officeDocument/2006/relationships" r:embed="rId32"/>
        <a:stretch>
          <a:fillRect/>
        </a:stretch>
      </xdr:blipFill>
      <xdr:spPr>
        <a:xfrm>
          <a:off x="10135031" y="53836584"/>
          <a:ext cx="2091270" cy="984607"/>
        </a:xfrm>
        <a:prstGeom prst="rect">
          <a:avLst/>
        </a:prstGeom>
      </xdr:spPr>
    </xdr:pic>
    <xdr:clientData/>
  </xdr:twoCellAnchor>
  <xdr:twoCellAnchor editAs="oneCell">
    <xdr:from>
      <xdr:col>11</xdr:col>
      <xdr:colOff>111303</xdr:colOff>
      <xdr:row>189</xdr:row>
      <xdr:rowOff>51652</xdr:rowOff>
    </xdr:from>
    <xdr:to>
      <xdr:col>13</xdr:col>
      <xdr:colOff>625475</xdr:colOff>
      <xdr:row>204</xdr:row>
      <xdr:rowOff>59932</xdr:rowOff>
    </xdr:to>
    <xdr:pic>
      <xdr:nvPicPr>
        <xdr:cNvPr id="2" name="Imagen 1">
          <a:extLst>
            <a:ext uri="{FF2B5EF4-FFF2-40B4-BE49-F238E27FC236}">
              <a16:creationId xmlns:a16="http://schemas.microsoft.com/office/drawing/2014/main" id="{A712544C-A719-41B0-B2C4-C8B375E70004}"/>
            </a:ext>
          </a:extLst>
        </xdr:cNvPr>
        <xdr:cNvPicPr>
          <a:picLocks noChangeAspect="1"/>
        </xdr:cNvPicPr>
      </xdr:nvPicPr>
      <xdr:blipFill>
        <a:blip xmlns:r="http://schemas.openxmlformats.org/officeDocument/2006/relationships" r:embed="rId33"/>
        <a:stretch>
          <a:fillRect/>
        </a:stretch>
      </xdr:blipFill>
      <xdr:spPr>
        <a:xfrm>
          <a:off x="10188539" y="33511158"/>
          <a:ext cx="1969678" cy="2576819"/>
        </a:xfrm>
        <a:prstGeom prst="rect">
          <a:avLst/>
        </a:prstGeom>
      </xdr:spPr>
    </xdr:pic>
    <xdr:clientData/>
  </xdr:twoCellAnchor>
  <xdr:twoCellAnchor editAs="oneCell">
    <xdr:from>
      <xdr:col>8</xdr:col>
      <xdr:colOff>282540</xdr:colOff>
      <xdr:row>189</xdr:row>
      <xdr:rowOff>125923</xdr:rowOff>
    </xdr:from>
    <xdr:to>
      <xdr:col>10</xdr:col>
      <xdr:colOff>753438</xdr:colOff>
      <xdr:row>204</xdr:row>
      <xdr:rowOff>88327</xdr:rowOff>
    </xdr:to>
    <xdr:pic>
      <xdr:nvPicPr>
        <xdr:cNvPr id="199" name="Imagen 198">
          <a:extLst>
            <a:ext uri="{FF2B5EF4-FFF2-40B4-BE49-F238E27FC236}">
              <a16:creationId xmlns:a16="http://schemas.microsoft.com/office/drawing/2014/main" id="{5DAB3949-B4A9-46E1-927D-7A0A561E2241}"/>
            </a:ext>
          </a:extLst>
        </xdr:cNvPr>
        <xdr:cNvPicPr>
          <a:picLocks noChangeAspect="1"/>
        </xdr:cNvPicPr>
      </xdr:nvPicPr>
      <xdr:blipFill>
        <a:blip xmlns:r="http://schemas.openxmlformats.org/officeDocument/2006/relationships" r:embed="rId34"/>
        <a:stretch>
          <a:fillRect/>
        </a:stretch>
      </xdr:blipFill>
      <xdr:spPr>
        <a:xfrm>
          <a:off x="8108023" y="33585429"/>
          <a:ext cx="1926404" cy="2530943"/>
        </a:xfrm>
        <a:prstGeom prst="rect">
          <a:avLst/>
        </a:prstGeom>
      </xdr:spPr>
    </xdr:pic>
    <xdr:clientData/>
  </xdr:twoCellAnchor>
  <xdr:twoCellAnchor editAs="oneCell">
    <xdr:from>
      <xdr:col>11</xdr:col>
      <xdr:colOff>0</xdr:colOff>
      <xdr:row>220</xdr:row>
      <xdr:rowOff>0</xdr:rowOff>
    </xdr:from>
    <xdr:to>
      <xdr:col>13</xdr:col>
      <xdr:colOff>514172</xdr:colOff>
      <xdr:row>235</xdr:row>
      <xdr:rowOff>8280</xdr:rowOff>
    </xdr:to>
    <xdr:pic>
      <xdr:nvPicPr>
        <xdr:cNvPr id="769" name="Imagen 768">
          <a:extLst>
            <a:ext uri="{FF2B5EF4-FFF2-40B4-BE49-F238E27FC236}">
              <a16:creationId xmlns:a16="http://schemas.microsoft.com/office/drawing/2014/main" id="{F6998C0E-80CC-4F29-B06A-EE1868BACB0A}"/>
            </a:ext>
          </a:extLst>
        </xdr:cNvPr>
        <xdr:cNvPicPr>
          <a:picLocks noChangeAspect="1"/>
        </xdr:cNvPicPr>
      </xdr:nvPicPr>
      <xdr:blipFill>
        <a:blip xmlns:r="http://schemas.openxmlformats.org/officeDocument/2006/relationships" r:embed="rId33"/>
        <a:stretch>
          <a:fillRect/>
        </a:stretch>
      </xdr:blipFill>
      <xdr:spPr>
        <a:xfrm>
          <a:off x="10077236" y="39709618"/>
          <a:ext cx="1969678" cy="2576819"/>
        </a:xfrm>
        <a:prstGeom prst="rect">
          <a:avLst/>
        </a:prstGeom>
      </xdr:spPr>
    </xdr:pic>
    <xdr:clientData/>
  </xdr:twoCellAnchor>
  <xdr:twoCellAnchor editAs="oneCell">
    <xdr:from>
      <xdr:col>9</xdr:col>
      <xdr:colOff>359595</xdr:colOff>
      <xdr:row>280</xdr:row>
      <xdr:rowOff>162674</xdr:rowOff>
    </xdr:from>
    <xdr:to>
      <xdr:col>13</xdr:col>
      <xdr:colOff>188359</xdr:colOff>
      <xdr:row>302</xdr:row>
      <xdr:rowOff>85037</xdr:rowOff>
    </xdr:to>
    <xdr:pic>
      <xdr:nvPicPr>
        <xdr:cNvPr id="770" name="Imagen 769">
          <a:extLst>
            <a:ext uri="{FF2B5EF4-FFF2-40B4-BE49-F238E27FC236}">
              <a16:creationId xmlns:a16="http://schemas.microsoft.com/office/drawing/2014/main" id="{279E2799-9047-4C22-A673-2355946E6E73}"/>
            </a:ext>
          </a:extLst>
        </xdr:cNvPr>
        <xdr:cNvPicPr>
          <a:picLocks noChangeAspect="1"/>
        </xdr:cNvPicPr>
      </xdr:nvPicPr>
      <xdr:blipFill>
        <a:blip xmlns:r="http://schemas.openxmlformats.org/officeDocument/2006/relationships" r:embed="rId34"/>
        <a:stretch>
          <a:fillRect/>
        </a:stretch>
      </xdr:blipFill>
      <xdr:spPr>
        <a:xfrm>
          <a:off x="8912831" y="45112112"/>
          <a:ext cx="2808270" cy="3689554"/>
        </a:xfrm>
        <a:prstGeom prst="rect">
          <a:avLst/>
        </a:prstGeom>
      </xdr:spPr>
    </xdr:pic>
    <xdr:clientData/>
  </xdr:twoCellAnchor>
  <xdr:twoCellAnchor editAs="oneCell">
    <xdr:from>
      <xdr:col>8</xdr:col>
      <xdr:colOff>136989</xdr:colOff>
      <xdr:row>391</xdr:row>
      <xdr:rowOff>166589</xdr:rowOff>
    </xdr:from>
    <xdr:to>
      <xdr:col>10</xdr:col>
      <xdr:colOff>736314</xdr:colOff>
      <xdr:row>401</xdr:row>
      <xdr:rowOff>65404</xdr:rowOff>
    </xdr:to>
    <xdr:pic>
      <xdr:nvPicPr>
        <xdr:cNvPr id="200" name="Imagen 199">
          <a:extLst>
            <a:ext uri="{FF2B5EF4-FFF2-40B4-BE49-F238E27FC236}">
              <a16:creationId xmlns:a16="http://schemas.microsoft.com/office/drawing/2014/main" id="{B3DD6E65-A655-48D5-9200-2F40A99C145F}"/>
            </a:ext>
          </a:extLst>
        </xdr:cNvPr>
        <xdr:cNvPicPr>
          <a:picLocks noChangeAspect="1"/>
        </xdr:cNvPicPr>
      </xdr:nvPicPr>
      <xdr:blipFill>
        <a:blip xmlns:r="http://schemas.openxmlformats.org/officeDocument/2006/relationships" r:embed="rId35"/>
        <a:stretch>
          <a:fillRect/>
        </a:stretch>
      </xdr:blipFill>
      <xdr:spPr>
        <a:xfrm>
          <a:off x="7962472" y="52042522"/>
          <a:ext cx="2054831" cy="1611174"/>
        </a:xfrm>
        <a:prstGeom prst="rect">
          <a:avLst/>
        </a:prstGeom>
      </xdr:spPr>
    </xdr:pic>
    <xdr:clientData/>
  </xdr:twoCellAnchor>
  <xdr:twoCellAnchor editAs="oneCell">
    <xdr:from>
      <xdr:col>11</xdr:col>
      <xdr:colOff>488022</xdr:colOff>
      <xdr:row>420</xdr:row>
      <xdr:rowOff>136988</xdr:rowOff>
    </xdr:from>
    <xdr:to>
      <xdr:col>13</xdr:col>
      <xdr:colOff>338188</xdr:colOff>
      <xdr:row>430</xdr:row>
      <xdr:rowOff>147549</xdr:rowOff>
    </xdr:to>
    <xdr:pic>
      <xdr:nvPicPr>
        <xdr:cNvPr id="771" name="Imagen 770">
          <a:extLst>
            <a:ext uri="{FF2B5EF4-FFF2-40B4-BE49-F238E27FC236}">
              <a16:creationId xmlns:a16="http://schemas.microsoft.com/office/drawing/2014/main" id="{88F272EB-88E4-4721-A85E-8174AA066C92}"/>
            </a:ext>
          </a:extLst>
        </xdr:cNvPr>
        <xdr:cNvPicPr>
          <a:picLocks noChangeAspect="1"/>
        </xdr:cNvPicPr>
      </xdr:nvPicPr>
      <xdr:blipFill>
        <a:blip xmlns:r="http://schemas.openxmlformats.org/officeDocument/2006/relationships" r:embed="rId24"/>
        <a:stretch>
          <a:fillRect/>
        </a:stretch>
      </xdr:blipFill>
      <xdr:spPr>
        <a:xfrm>
          <a:off x="10565258" y="57963370"/>
          <a:ext cx="1305672" cy="1722921"/>
        </a:xfrm>
        <a:prstGeom prst="rect">
          <a:avLst/>
        </a:prstGeom>
      </xdr:spPr>
    </xdr:pic>
    <xdr:clientData/>
  </xdr:twoCellAnchor>
  <xdr:twoCellAnchor editAs="oneCell">
    <xdr:from>
      <xdr:col>11</xdr:col>
      <xdr:colOff>77056</xdr:colOff>
      <xdr:row>433</xdr:row>
      <xdr:rowOff>68495</xdr:rowOff>
    </xdr:from>
    <xdr:to>
      <xdr:col>13</xdr:col>
      <xdr:colOff>712820</xdr:colOff>
      <xdr:row>439</xdr:row>
      <xdr:rowOff>25686</xdr:rowOff>
    </xdr:to>
    <xdr:pic>
      <xdr:nvPicPr>
        <xdr:cNvPr id="772" name="Imagen 771">
          <a:extLst>
            <a:ext uri="{FF2B5EF4-FFF2-40B4-BE49-F238E27FC236}">
              <a16:creationId xmlns:a16="http://schemas.microsoft.com/office/drawing/2014/main" id="{B8780D07-2838-4763-BB4A-29863A6C5A06}"/>
            </a:ext>
          </a:extLst>
        </xdr:cNvPr>
        <xdr:cNvPicPr>
          <a:picLocks noChangeAspect="1"/>
        </xdr:cNvPicPr>
      </xdr:nvPicPr>
      <xdr:blipFill>
        <a:blip xmlns:r="http://schemas.openxmlformats.org/officeDocument/2006/relationships" r:embed="rId32"/>
        <a:stretch>
          <a:fillRect/>
        </a:stretch>
      </xdr:blipFill>
      <xdr:spPr>
        <a:xfrm>
          <a:off x="10154292" y="60120944"/>
          <a:ext cx="2091270" cy="984607"/>
        </a:xfrm>
        <a:prstGeom prst="rect">
          <a:avLst/>
        </a:prstGeom>
      </xdr:spPr>
    </xdr:pic>
    <xdr:clientData/>
  </xdr:twoCellAnchor>
  <xdr:twoCellAnchor editAs="oneCell">
    <xdr:from>
      <xdr:col>8</xdr:col>
      <xdr:colOff>94181</xdr:colOff>
      <xdr:row>420</xdr:row>
      <xdr:rowOff>162675</xdr:rowOff>
    </xdr:from>
    <xdr:to>
      <xdr:col>11</xdr:col>
      <xdr:colOff>359170</xdr:colOff>
      <xdr:row>432</xdr:row>
      <xdr:rowOff>148951</xdr:rowOff>
    </xdr:to>
    <xdr:pic>
      <xdr:nvPicPr>
        <xdr:cNvPr id="318" name="Imagen 317">
          <a:extLst>
            <a:ext uri="{FF2B5EF4-FFF2-40B4-BE49-F238E27FC236}">
              <a16:creationId xmlns:a16="http://schemas.microsoft.com/office/drawing/2014/main" id="{4663CE94-9816-480A-8B6E-3E850A6B0BCD}"/>
            </a:ext>
          </a:extLst>
        </xdr:cNvPr>
        <xdr:cNvPicPr>
          <a:picLocks noChangeAspect="1"/>
        </xdr:cNvPicPr>
      </xdr:nvPicPr>
      <xdr:blipFill>
        <a:blip xmlns:r="http://schemas.openxmlformats.org/officeDocument/2006/relationships" r:embed="rId36"/>
        <a:stretch>
          <a:fillRect/>
        </a:stretch>
      </xdr:blipFill>
      <xdr:spPr>
        <a:xfrm>
          <a:off x="7919664" y="57989057"/>
          <a:ext cx="2516742" cy="2041108"/>
        </a:xfrm>
        <a:prstGeom prst="rect">
          <a:avLst/>
        </a:prstGeom>
      </xdr:spPr>
    </xdr:pic>
    <xdr:clientData/>
  </xdr:twoCellAnchor>
  <xdr:twoCellAnchor editAs="oneCell">
    <xdr:from>
      <xdr:col>11</xdr:col>
      <xdr:colOff>34247</xdr:colOff>
      <xdr:row>587</xdr:row>
      <xdr:rowOff>17125</xdr:rowOff>
    </xdr:from>
    <xdr:to>
      <xdr:col>13</xdr:col>
      <xdr:colOff>548419</xdr:colOff>
      <xdr:row>602</xdr:row>
      <xdr:rowOff>25405</xdr:rowOff>
    </xdr:to>
    <xdr:pic>
      <xdr:nvPicPr>
        <xdr:cNvPr id="776" name="Imagen 775">
          <a:extLst>
            <a:ext uri="{FF2B5EF4-FFF2-40B4-BE49-F238E27FC236}">
              <a16:creationId xmlns:a16="http://schemas.microsoft.com/office/drawing/2014/main" id="{7E907A76-C7F3-41E0-94B6-41C738222FCD}"/>
            </a:ext>
          </a:extLst>
        </xdr:cNvPr>
        <xdr:cNvPicPr>
          <a:picLocks noChangeAspect="1"/>
        </xdr:cNvPicPr>
      </xdr:nvPicPr>
      <xdr:blipFill>
        <a:blip xmlns:r="http://schemas.openxmlformats.org/officeDocument/2006/relationships" r:embed="rId33"/>
        <a:stretch>
          <a:fillRect/>
        </a:stretch>
      </xdr:blipFill>
      <xdr:spPr>
        <a:xfrm>
          <a:off x="10111483" y="64427529"/>
          <a:ext cx="1969678" cy="2576819"/>
        </a:xfrm>
        <a:prstGeom prst="rect">
          <a:avLst/>
        </a:prstGeom>
      </xdr:spPr>
    </xdr:pic>
    <xdr:clientData/>
  </xdr:twoCellAnchor>
  <xdr:oneCellAnchor>
    <xdr:from>
      <xdr:col>1</xdr:col>
      <xdr:colOff>722313</xdr:colOff>
      <xdr:row>154</xdr:row>
      <xdr:rowOff>84138</xdr:rowOff>
    </xdr:from>
    <xdr:ext cx="1485900" cy="400050"/>
    <xdr:pic>
      <xdr:nvPicPr>
        <xdr:cNvPr id="777" name="image16.jpg" descr="Logo CSJ RGB_01">
          <a:extLst>
            <a:ext uri="{FF2B5EF4-FFF2-40B4-BE49-F238E27FC236}">
              <a16:creationId xmlns:a16="http://schemas.microsoft.com/office/drawing/2014/main" id="{CF950910-3E48-445A-86DB-A06E794D749E}"/>
            </a:ext>
          </a:extLst>
        </xdr:cNvPr>
        <xdr:cNvPicPr preferRelativeResize="0"/>
      </xdr:nvPicPr>
      <xdr:blipFill>
        <a:blip xmlns:r="http://schemas.openxmlformats.org/officeDocument/2006/relationships" r:embed="rId8" cstate="print"/>
        <a:stretch>
          <a:fillRect/>
        </a:stretch>
      </xdr:blipFill>
      <xdr:spPr>
        <a:xfrm>
          <a:off x="1055688" y="32810451"/>
          <a:ext cx="1485900" cy="400050"/>
        </a:xfrm>
        <a:prstGeom prst="rect">
          <a:avLst/>
        </a:prstGeom>
        <a:noFill/>
      </xdr:spPr>
    </xdr:pic>
    <xdr:clientData fLocksWithSheet="0"/>
  </xdr:oneCellAnchor>
  <xdr:twoCellAnchor editAs="oneCell">
    <xdr:from>
      <xdr:col>11</xdr:col>
      <xdr:colOff>85619</xdr:colOff>
      <xdr:row>158</xdr:row>
      <xdr:rowOff>152182</xdr:rowOff>
    </xdr:from>
    <xdr:to>
      <xdr:col>13</xdr:col>
      <xdr:colOff>419528</xdr:colOff>
      <xdr:row>177</xdr:row>
      <xdr:rowOff>38687</xdr:rowOff>
    </xdr:to>
    <xdr:pic>
      <xdr:nvPicPr>
        <xdr:cNvPr id="779" name="Imagen 778">
          <a:extLst>
            <a:ext uri="{FF2B5EF4-FFF2-40B4-BE49-F238E27FC236}">
              <a16:creationId xmlns:a16="http://schemas.microsoft.com/office/drawing/2014/main" id="{721EFB2B-B85E-4A05-9E0B-D437AF493E68}"/>
            </a:ext>
          </a:extLst>
        </xdr:cNvPr>
        <xdr:cNvPicPr>
          <a:picLocks noChangeAspect="1"/>
        </xdr:cNvPicPr>
      </xdr:nvPicPr>
      <xdr:blipFill>
        <a:blip xmlns:r="http://schemas.openxmlformats.org/officeDocument/2006/relationships" r:embed="rId37"/>
        <a:stretch>
          <a:fillRect/>
        </a:stretch>
      </xdr:blipFill>
      <xdr:spPr>
        <a:xfrm>
          <a:off x="10162855" y="33543193"/>
          <a:ext cx="1789415" cy="3139988"/>
        </a:xfrm>
        <a:prstGeom prst="rect">
          <a:avLst/>
        </a:prstGeom>
      </xdr:spPr>
    </xdr:pic>
    <xdr:clientData/>
  </xdr:twoCellAnchor>
  <xdr:twoCellAnchor editAs="oneCell">
    <xdr:from>
      <xdr:col>8</xdr:col>
      <xdr:colOff>196922</xdr:colOff>
      <xdr:row>159</xdr:row>
      <xdr:rowOff>94179</xdr:rowOff>
    </xdr:from>
    <xdr:to>
      <xdr:col>10</xdr:col>
      <xdr:colOff>513708</xdr:colOff>
      <xdr:row>175</xdr:row>
      <xdr:rowOff>148730</xdr:rowOff>
    </xdr:to>
    <xdr:pic>
      <xdr:nvPicPr>
        <xdr:cNvPr id="320" name="Imagen 319">
          <a:extLst>
            <a:ext uri="{FF2B5EF4-FFF2-40B4-BE49-F238E27FC236}">
              <a16:creationId xmlns:a16="http://schemas.microsoft.com/office/drawing/2014/main" id="{5EECD64D-DD55-42E9-B74C-10131C7AB124}"/>
            </a:ext>
          </a:extLst>
        </xdr:cNvPr>
        <xdr:cNvPicPr>
          <a:picLocks noChangeAspect="1"/>
        </xdr:cNvPicPr>
      </xdr:nvPicPr>
      <xdr:blipFill>
        <a:blip xmlns:r="http://schemas.openxmlformats.org/officeDocument/2006/relationships" r:embed="rId38"/>
        <a:stretch>
          <a:fillRect/>
        </a:stretch>
      </xdr:blipFill>
      <xdr:spPr>
        <a:xfrm>
          <a:off x="8022405" y="33656426"/>
          <a:ext cx="1772292" cy="2794326"/>
        </a:xfrm>
        <a:prstGeom prst="rect">
          <a:avLst/>
        </a:prstGeom>
      </xdr:spPr>
    </xdr:pic>
    <xdr:clientData/>
  </xdr:twoCellAnchor>
  <xdr:twoCellAnchor editAs="oneCell">
    <xdr:from>
      <xdr:col>11</xdr:col>
      <xdr:colOff>282540</xdr:colOff>
      <xdr:row>1357</xdr:row>
      <xdr:rowOff>25685</xdr:rowOff>
    </xdr:from>
    <xdr:to>
      <xdr:col>13</xdr:col>
      <xdr:colOff>434948</xdr:colOff>
      <xdr:row>1370</xdr:row>
      <xdr:rowOff>109905</xdr:rowOff>
    </xdr:to>
    <xdr:pic>
      <xdr:nvPicPr>
        <xdr:cNvPr id="322" name="Imagen 321">
          <a:extLst>
            <a:ext uri="{FF2B5EF4-FFF2-40B4-BE49-F238E27FC236}">
              <a16:creationId xmlns:a16="http://schemas.microsoft.com/office/drawing/2014/main" id="{2AE99FE4-DA24-4523-8336-AE552EF5D623}"/>
            </a:ext>
          </a:extLst>
        </xdr:cNvPr>
        <xdr:cNvPicPr>
          <a:picLocks noChangeAspect="1"/>
        </xdr:cNvPicPr>
      </xdr:nvPicPr>
      <xdr:blipFill>
        <a:blip xmlns:r="http://schemas.openxmlformats.org/officeDocument/2006/relationships" r:embed="rId39"/>
        <a:stretch>
          <a:fillRect/>
        </a:stretch>
      </xdr:blipFill>
      <xdr:spPr>
        <a:xfrm>
          <a:off x="10359776" y="88280696"/>
          <a:ext cx="1607914" cy="2310288"/>
        </a:xfrm>
        <a:prstGeom prst="rect">
          <a:avLst/>
        </a:prstGeom>
      </xdr:spPr>
    </xdr:pic>
    <xdr:clientData/>
  </xdr:twoCellAnchor>
  <xdr:twoCellAnchor editAs="oneCell">
    <xdr:from>
      <xdr:col>8</xdr:col>
      <xdr:colOff>471556</xdr:colOff>
      <xdr:row>1393</xdr:row>
      <xdr:rowOff>34247</xdr:rowOff>
    </xdr:from>
    <xdr:to>
      <xdr:col>13</xdr:col>
      <xdr:colOff>550522</xdr:colOff>
      <xdr:row>1402</xdr:row>
      <xdr:rowOff>111302</xdr:rowOff>
    </xdr:to>
    <xdr:pic>
      <xdr:nvPicPr>
        <xdr:cNvPr id="324" name="Imagen 323">
          <a:extLst>
            <a:ext uri="{FF2B5EF4-FFF2-40B4-BE49-F238E27FC236}">
              <a16:creationId xmlns:a16="http://schemas.microsoft.com/office/drawing/2014/main" id="{546C6447-351C-4C0A-B310-4A30C4576598}"/>
            </a:ext>
          </a:extLst>
        </xdr:cNvPr>
        <xdr:cNvPicPr>
          <a:picLocks noChangeAspect="1"/>
        </xdr:cNvPicPr>
      </xdr:nvPicPr>
      <xdr:blipFill>
        <a:blip xmlns:r="http://schemas.openxmlformats.org/officeDocument/2006/relationships" r:embed="rId40"/>
        <a:stretch>
          <a:fillRect/>
        </a:stretch>
      </xdr:blipFill>
      <xdr:spPr>
        <a:xfrm>
          <a:off x="8297039" y="95267123"/>
          <a:ext cx="3786225" cy="1618179"/>
        </a:xfrm>
        <a:prstGeom prst="rect">
          <a:avLst/>
        </a:prstGeom>
      </xdr:spPr>
    </xdr:pic>
    <xdr:clientData/>
  </xdr:twoCellAnchor>
  <xdr:twoCellAnchor editAs="oneCell">
    <xdr:from>
      <xdr:col>11</xdr:col>
      <xdr:colOff>273977</xdr:colOff>
      <xdr:row>1420</xdr:row>
      <xdr:rowOff>136989</xdr:rowOff>
    </xdr:from>
    <xdr:to>
      <xdr:col>13</xdr:col>
      <xdr:colOff>426385</xdr:colOff>
      <xdr:row>1434</xdr:row>
      <xdr:rowOff>49973</xdr:rowOff>
    </xdr:to>
    <xdr:pic>
      <xdr:nvPicPr>
        <xdr:cNvPr id="781" name="Imagen 780">
          <a:extLst>
            <a:ext uri="{FF2B5EF4-FFF2-40B4-BE49-F238E27FC236}">
              <a16:creationId xmlns:a16="http://schemas.microsoft.com/office/drawing/2014/main" id="{D4DE64E0-61F8-404B-BCD4-9ADC026D4724}"/>
            </a:ext>
          </a:extLst>
        </xdr:cNvPr>
        <xdr:cNvPicPr>
          <a:picLocks noChangeAspect="1"/>
        </xdr:cNvPicPr>
      </xdr:nvPicPr>
      <xdr:blipFill>
        <a:blip xmlns:r="http://schemas.openxmlformats.org/officeDocument/2006/relationships" r:embed="rId39"/>
        <a:stretch>
          <a:fillRect/>
        </a:stretch>
      </xdr:blipFill>
      <xdr:spPr>
        <a:xfrm>
          <a:off x="10351213" y="100541191"/>
          <a:ext cx="1607914" cy="2310288"/>
        </a:xfrm>
        <a:prstGeom prst="rect">
          <a:avLst/>
        </a:prstGeom>
      </xdr:spPr>
    </xdr:pic>
    <xdr:clientData/>
  </xdr:twoCellAnchor>
  <xdr:twoCellAnchor editAs="oneCell">
    <xdr:from>
      <xdr:col>11</xdr:col>
      <xdr:colOff>273978</xdr:colOff>
      <xdr:row>1449</xdr:row>
      <xdr:rowOff>85618</xdr:rowOff>
    </xdr:from>
    <xdr:to>
      <xdr:col>13</xdr:col>
      <xdr:colOff>426386</xdr:colOff>
      <xdr:row>1462</xdr:row>
      <xdr:rowOff>135591</xdr:rowOff>
    </xdr:to>
    <xdr:pic>
      <xdr:nvPicPr>
        <xdr:cNvPr id="782" name="Imagen 781">
          <a:extLst>
            <a:ext uri="{FF2B5EF4-FFF2-40B4-BE49-F238E27FC236}">
              <a16:creationId xmlns:a16="http://schemas.microsoft.com/office/drawing/2014/main" id="{1A7D693A-E231-4D88-8FBF-8B3DAABCFE48}"/>
            </a:ext>
          </a:extLst>
        </xdr:cNvPr>
        <xdr:cNvPicPr>
          <a:picLocks noChangeAspect="1"/>
        </xdr:cNvPicPr>
      </xdr:nvPicPr>
      <xdr:blipFill>
        <a:blip xmlns:r="http://schemas.openxmlformats.org/officeDocument/2006/relationships" r:embed="rId39"/>
        <a:stretch>
          <a:fillRect/>
        </a:stretch>
      </xdr:blipFill>
      <xdr:spPr>
        <a:xfrm>
          <a:off x="10351214" y="106132045"/>
          <a:ext cx="1607914" cy="2310288"/>
        </a:xfrm>
        <a:prstGeom prst="rect">
          <a:avLst/>
        </a:prstGeom>
      </xdr:spPr>
    </xdr:pic>
    <xdr:clientData/>
  </xdr:twoCellAnchor>
  <xdr:twoCellAnchor editAs="oneCell">
    <xdr:from>
      <xdr:col>8</xdr:col>
      <xdr:colOff>402405</xdr:colOff>
      <xdr:row>1511</xdr:row>
      <xdr:rowOff>17123</xdr:rowOff>
    </xdr:from>
    <xdr:to>
      <xdr:col>13</xdr:col>
      <xdr:colOff>481371</xdr:colOff>
      <xdr:row>1520</xdr:row>
      <xdr:rowOff>94178</xdr:rowOff>
    </xdr:to>
    <xdr:pic>
      <xdr:nvPicPr>
        <xdr:cNvPr id="783" name="Imagen 782">
          <a:extLst>
            <a:ext uri="{FF2B5EF4-FFF2-40B4-BE49-F238E27FC236}">
              <a16:creationId xmlns:a16="http://schemas.microsoft.com/office/drawing/2014/main" id="{562470F5-840F-48E4-A29A-29D6DB737406}"/>
            </a:ext>
          </a:extLst>
        </xdr:cNvPr>
        <xdr:cNvPicPr>
          <a:picLocks noChangeAspect="1"/>
        </xdr:cNvPicPr>
      </xdr:nvPicPr>
      <xdr:blipFill>
        <a:blip xmlns:r="http://schemas.openxmlformats.org/officeDocument/2006/relationships" r:embed="rId40"/>
        <a:stretch>
          <a:fillRect/>
        </a:stretch>
      </xdr:blipFill>
      <xdr:spPr>
        <a:xfrm>
          <a:off x="8227888" y="119702494"/>
          <a:ext cx="3786225" cy="1618179"/>
        </a:xfrm>
        <a:prstGeom prst="rect">
          <a:avLst/>
        </a:prstGeom>
      </xdr:spPr>
    </xdr:pic>
    <xdr:clientData/>
  </xdr:twoCellAnchor>
  <xdr:twoCellAnchor editAs="oneCell">
    <xdr:from>
      <xdr:col>11</xdr:col>
      <xdr:colOff>453775</xdr:colOff>
      <xdr:row>1643</xdr:row>
      <xdr:rowOff>68494</xdr:rowOff>
    </xdr:from>
    <xdr:to>
      <xdr:col>13</xdr:col>
      <xdr:colOff>606183</xdr:colOff>
      <xdr:row>1656</xdr:row>
      <xdr:rowOff>152715</xdr:rowOff>
    </xdr:to>
    <xdr:pic>
      <xdr:nvPicPr>
        <xdr:cNvPr id="784" name="Imagen 783">
          <a:extLst>
            <a:ext uri="{FF2B5EF4-FFF2-40B4-BE49-F238E27FC236}">
              <a16:creationId xmlns:a16="http://schemas.microsoft.com/office/drawing/2014/main" id="{9519BF4D-0D29-42E1-9970-343EE7F9C549}"/>
            </a:ext>
          </a:extLst>
        </xdr:cNvPr>
        <xdr:cNvPicPr>
          <a:picLocks noChangeAspect="1"/>
        </xdr:cNvPicPr>
      </xdr:nvPicPr>
      <xdr:blipFill>
        <a:blip xmlns:r="http://schemas.openxmlformats.org/officeDocument/2006/relationships" r:embed="rId39"/>
        <a:stretch>
          <a:fillRect/>
        </a:stretch>
      </xdr:blipFill>
      <xdr:spPr>
        <a:xfrm>
          <a:off x="10531011" y="138281595"/>
          <a:ext cx="1607914" cy="2310288"/>
        </a:xfrm>
        <a:prstGeom prst="rect">
          <a:avLst/>
        </a:prstGeom>
      </xdr:spPr>
    </xdr:pic>
    <xdr:clientData/>
  </xdr:twoCellAnchor>
  <xdr:twoCellAnchor editAs="oneCell">
    <xdr:from>
      <xdr:col>8</xdr:col>
      <xdr:colOff>359596</xdr:colOff>
      <xdr:row>1485</xdr:row>
      <xdr:rowOff>171235</xdr:rowOff>
    </xdr:from>
    <xdr:to>
      <xdr:col>13</xdr:col>
      <xdr:colOff>438562</xdr:colOff>
      <xdr:row>1495</xdr:row>
      <xdr:rowOff>77054</xdr:rowOff>
    </xdr:to>
    <xdr:pic>
      <xdr:nvPicPr>
        <xdr:cNvPr id="785" name="Imagen 784">
          <a:extLst>
            <a:ext uri="{FF2B5EF4-FFF2-40B4-BE49-F238E27FC236}">
              <a16:creationId xmlns:a16="http://schemas.microsoft.com/office/drawing/2014/main" id="{CB301C3A-A976-4268-AF01-48E1C670DEE3}"/>
            </a:ext>
          </a:extLst>
        </xdr:cNvPr>
        <xdr:cNvPicPr>
          <a:picLocks noChangeAspect="1"/>
        </xdr:cNvPicPr>
      </xdr:nvPicPr>
      <xdr:blipFill>
        <a:blip xmlns:r="http://schemas.openxmlformats.org/officeDocument/2006/relationships" r:embed="rId40"/>
        <a:stretch>
          <a:fillRect/>
        </a:stretch>
      </xdr:blipFill>
      <xdr:spPr>
        <a:xfrm>
          <a:off x="8185079" y="113281145"/>
          <a:ext cx="3786225" cy="1618179"/>
        </a:xfrm>
        <a:prstGeom prst="rect">
          <a:avLst/>
        </a:prstGeom>
      </xdr:spPr>
    </xdr:pic>
    <xdr:clientData/>
  </xdr:twoCellAnchor>
  <xdr:twoCellAnchor editAs="oneCell">
    <xdr:from>
      <xdr:col>8</xdr:col>
      <xdr:colOff>92715</xdr:colOff>
      <xdr:row>1726</xdr:row>
      <xdr:rowOff>59935</xdr:rowOff>
    </xdr:from>
    <xdr:to>
      <xdr:col>11</xdr:col>
      <xdr:colOff>254465</xdr:colOff>
      <xdr:row>1734</xdr:row>
      <xdr:rowOff>128427</xdr:rowOff>
    </xdr:to>
    <xdr:pic>
      <xdr:nvPicPr>
        <xdr:cNvPr id="340" name="Imagen 339">
          <a:extLst>
            <a:ext uri="{FF2B5EF4-FFF2-40B4-BE49-F238E27FC236}">
              <a16:creationId xmlns:a16="http://schemas.microsoft.com/office/drawing/2014/main" id="{DD838A9A-E1F9-497D-9A3E-BE3EE4AE2811}"/>
            </a:ext>
          </a:extLst>
        </xdr:cNvPr>
        <xdr:cNvPicPr>
          <a:picLocks noChangeAspect="1"/>
        </xdr:cNvPicPr>
      </xdr:nvPicPr>
      <xdr:blipFill>
        <a:blip xmlns:r="http://schemas.openxmlformats.org/officeDocument/2006/relationships" r:embed="rId41"/>
        <a:stretch>
          <a:fillRect/>
        </a:stretch>
      </xdr:blipFill>
      <xdr:spPr>
        <a:xfrm>
          <a:off x="7918198" y="149155081"/>
          <a:ext cx="2413503" cy="1438380"/>
        </a:xfrm>
        <a:prstGeom prst="rect">
          <a:avLst/>
        </a:prstGeom>
      </xdr:spPr>
    </xdr:pic>
    <xdr:clientData/>
  </xdr:twoCellAnchor>
  <xdr:twoCellAnchor editAs="oneCell">
    <xdr:from>
      <xdr:col>8</xdr:col>
      <xdr:colOff>102742</xdr:colOff>
      <xdr:row>1735</xdr:row>
      <xdr:rowOff>42808</xdr:rowOff>
    </xdr:from>
    <xdr:to>
      <xdr:col>11</xdr:col>
      <xdr:colOff>121733</xdr:colOff>
      <xdr:row>1744</xdr:row>
      <xdr:rowOff>1232</xdr:rowOff>
    </xdr:to>
    <xdr:pic>
      <xdr:nvPicPr>
        <xdr:cNvPr id="513" name="Imagen 512">
          <a:extLst>
            <a:ext uri="{FF2B5EF4-FFF2-40B4-BE49-F238E27FC236}">
              <a16:creationId xmlns:a16="http://schemas.microsoft.com/office/drawing/2014/main" id="{997A5A7C-94D7-4ACD-B1B9-7EA7A04AC850}"/>
            </a:ext>
          </a:extLst>
        </xdr:cNvPr>
        <xdr:cNvPicPr>
          <a:picLocks noChangeAspect="1"/>
        </xdr:cNvPicPr>
      </xdr:nvPicPr>
      <xdr:blipFill>
        <a:blip xmlns:r="http://schemas.openxmlformats.org/officeDocument/2006/relationships" r:embed="rId42"/>
        <a:stretch>
          <a:fillRect/>
        </a:stretch>
      </xdr:blipFill>
      <xdr:spPr>
        <a:xfrm>
          <a:off x="7928225" y="150679078"/>
          <a:ext cx="2270744" cy="1499548"/>
        </a:xfrm>
        <a:prstGeom prst="rect">
          <a:avLst/>
        </a:prstGeom>
      </xdr:spPr>
    </xdr:pic>
    <xdr:clientData/>
  </xdr:twoCellAnchor>
  <xdr:twoCellAnchor editAs="oneCell">
    <xdr:from>
      <xdr:col>10</xdr:col>
      <xdr:colOff>638649</xdr:colOff>
      <xdr:row>1737</xdr:row>
      <xdr:rowOff>111303</xdr:rowOff>
    </xdr:from>
    <xdr:to>
      <xdr:col>13</xdr:col>
      <xdr:colOff>622797</xdr:colOff>
      <xdr:row>1746</xdr:row>
      <xdr:rowOff>8562</xdr:rowOff>
    </xdr:to>
    <xdr:pic>
      <xdr:nvPicPr>
        <xdr:cNvPr id="520" name="Imagen 519">
          <a:extLst>
            <a:ext uri="{FF2B5EF4-FFF2-40B4-BE49-F238E27FC236}">
              <a16:creationId xmlns:a16="http://schemas.microsoft.com/office/drawing/2014/main" id="{8BACDB6C-BCFB-406D-B5D9-4B6E97F8FDC9}"/>
            </a:ext>
          </a:extLst>
        </xdr:cNvPr>
        <xdr:cNvPicPr>
          <a:picLocks noChangeAspect="1"/>
        </xdr:cNvPicPr>
      </xdr:nvPicPr>
      <xdr:blipFill>
        <a:blip xmlns:r="http://schemas.openxmlformats.org/officeDocument/2006/relationships" r:embed="rId43"/>
        <a:stretch>
          <a:fillRect/>
        </a:stretch>
      </xdr:blipFill>
      <xdr:spPr>
        <a:xfrm>
          <a:off x="9919638" y="151090045"/>
          <a:ext cx="2235901" cy="1438382"/>
        </a:xfrm>
        <a:prstGeom prst="rect">
          <a:avLst/>
        </a:prstGeom>
      </xdr:spPr>
    </xdr:pic>
    <xdr:clientData/>
  </xdr:twoCellAnchor>
  <xdr:twoCellAnchor editAs="oneCell">
    <xdr:from>
      <xdr:col>11</xdr:col>
      <xdr:colOff>265416</xdr:colOff>
      <xdr:row>1701</xdr:row>
      <xdr:rowOff>68494</xdr:rowOff>
    </xdr:from>
    <xdr:to>
      <xdr:col>13</xdr:col>
      <xdr:colOff>417824</xdr:colOff>
      <xdr:row>1714</xdr:row>
      <xdr:rowOff>152715</xdr:rowOff>
    </xdr:to>
    <xdr:pic>
      <xdr:nvPicPr>
        <xdr:cNvPr id="107" name="Imagen 106">
          <a:extLst>
            <a:ext uri="{FF2B5EF4-FFF2-40B4-BE49-F238E27FC236}">
              <a16:creationId xmlns:a16="http://schemas.microsoft.com/office/drawing/2014/main" id="{86B41935-ECBF-4AEB-9238-9E07E2F09DCE}"/>
            </a:ext>
          </a:extLst>
        </xdr:cNvPr>
        <xdr:cNvPicPr>
          <a:picLocks noChangeAspect="1"/>
        </xdr:cNvPicPr>
      </xdr:nvPicPr>
      <xdr:blipFill>
        <a:blip xmlns:r="http://schemas.openxmlformats.org/officeDocument/2006/relationships" r:embed="rId39"/>
        <a:stretch>
          <a:fillRect/>
        </a:stretch>
      </xdr:blipFill>
      <xdr:spPr>
        <a:xfrm>
          <a:off x="10342652" y="143281685"/>
          <a:ext cx="1607914" cy="2310288"/>
        </a:xfrm>
        <a:prstGeom prst="rect">
          <a:avLst/>
        </a:prstGeom>
      </xdr:spPr>
    </xdr:pic>
    <xdr:clientData/>
  </xdr:twoCellAnchor>
  <xdr:twoCellAnchor editAs="oneCell">
    <xdr:from>
      <xdr:col>11</xdr:col>
      <xdr:colOff>149413</xdr:colOff>
      <xdr:row>1758</xdr:row>
      <xdr:rowOff>89646</xdr:rowOff>
    </xdr:from>
    <xdr:to>
      <xdr:col>12</xdr:col>
      <xdr:colOff>500810</xdr:colOff>
      <xdr:row>1768</xdr:row>
      <xdr:rowOff>99876</xdr:rowOff>
    </xdr:to>
    <xdr:pic>
      <xdr:nvPicPr>
        <xdr:cNvPr id="3" name="Imagen 2">
          <a:extLst>
            <a:ext uri="{FF2B5EF4-FFF2-40B4-BE49-F238E27FC236}">
              <a16:creationId xmlns:a16="http://schemas.microsoft.com/office/drawing/2014/main" id="{AD6CB19B-1B50-4429-B562-A16EAAD3D4C9}"/>
            </a:ext>
          </a:extLst>
        </xdr:cNvPr>
        <xdr:cNvPicPr>
          <a:picLocks noChangeAspect="1"/>
        </xdr:cNvPicPr>
      </xdr:nvPicPr>
      <xdr:blipFill>
        <a:blip xmlns:r="http://schemas.openxmlformats.org/officeDocument/2006/relationships" r:embed="rId44"/>
        <a:stretch>
          <a:fillRect/>
        </a:stretch>
      </xdr:blipFill>
      <xdr:spPr>
        <a:xfrm>
          <a:off x="10219766" y="154491764"/>
          <a:ext cx="1083515" cy="1728465"/>
        </a:xfrm>
        <a:prstGeom prst="rect">
          <a:avLst/>
        </a:prstGeom>
      </xdr:spPr>
    </xdr:pic>
    <xdr:clientData/>
  </xdr:twoCellAnchor>
  <xdr:twoCellAnchor editAs="oneCell">
    <xdr:from>
      <xdr:col>12</xdr:col>
      <xdr:colOff>224117</xdr:colOff>
      <xdr:row>1767</xdr:row>
      <xdr:rowOff>136119</xdr:rowOff>
    </xdr:from>
    <xdr:to>
      <xdr:col>13</xdr:col>
      <xdr:colOff>709706</xdr:colOff>
      <xdr:row>1777</xdr:row>
      <xdr:rowOff>48513</xdr:rowOff>
    </xdr:to>
    <xdr:pic>
      <xdr:nvPicPr>
        <xdr:cNvPr id="4" name="Imagen 3">
          <a:extLst>
            <a:ext uri="{FF2B5EF4-FFF2-40B4-BE49-F238E27FC236}">
              <a16:creationId xmlns:a16="http://schemas.microsoft.com/office/drawing/2014/main" id="{240E6802-4663-44D5-8D92-9A929BFFB7D2}"/>
            </a:ext>
          </a:extLst>
        </xdr:cNvPr>
        <xdr:cNvPicPr>
          <a:picLocks noChangeAspect="1"/>
        </xdr:cNvPicPr>
      </xdr:nvPicPr>
      <xdr:blipFill>
        <a:blip xmlns:r="http://schemas.openxmlformats.org/officeDocument/2006/relationships" r:embed="rId45"/>
        <a:stretch>
          <a:fillRect/>
        </a:stretch>
      </xdr:blipFill>
      <xdr:spPr>
        <a:xfrm>
          <a:off x="11026588" y="156084648"/>
          <a:ext cx="1217706" cy="1630630"/>
        </a:xfrm>
        <a:prstGeom prst="rect">
          <a:avLst/>
        </a:prstGeom>
      </xdr:spPr>
    </xdr:pic>
    <xdr:clientData/>
  </xdr:twoCellAnchor>
  <xdr:twoCellAnchor editAs="oneCell">
    <xdr:from>
      <xdr:col>11</xdr:col>
      <xdr:colOff>493059</xdr:colOff>
      <xdr:row>1789</xdr:row>
      <xdr:rowOff>104588</xdr:rowOff>
    </xdr:from>
    <xdr:to>
      <xdr:col>13</xdr:col>
      <xdr:colOff>112339</xdr:colOff>
      <xdr:row>1799</xdr:row>
      <xdr:rowOff>114818</xdr:rowOff>
    </xdr:to>
    <xdr:pic>
      <xdr:nvPicPr>
        <xdr:cNvPr id="110" name="Imagen 109">
          <a:extLst>
            <a:ext uri="{FF2B5EF4-FFF2-40B4-BE49-F238E27FC236}">
              <a16:creationId xmlns:a16="http://schemas.microsoft.com/office/drawing/2014/main" id="{8A470E2B-9939-4672-BB73-472368B21DB7}"/>
            </a:ext>
          </a:extLst>
        </xdr:cNvPr>
        <xdr:cNvPicPr>
          <a:picLocks noChangeAspect="1"/>
        </xdr:cNvPicPr>
      </xdr:nvPicPr>
      <xdr:blipFill>
        <a:blip xmlns:r="http://schemas.openxmlformats.org/officeDocument/2006/relationships" r:embed="rId44"/>
        <a:stretch>
          <a:fillRect/>
        </a:stretch>
      </xdr:blipFill>
      <xdr:spPr>
        <a:xfrm>
          <a:off x="10563412" y="160468235"/>
          <a:ext cx="1083515" cy="1728465"/>
        </a:xfrm>
        <a:prstGeom prst="rect">
          <a:avLst/>
        </a:prstGeom>
      </xdr:spPr>
    </xdr:pic>
    <xdr:clientData/>
  </xdr:twoCellAnchor>
  <xdr:twoCellAnchor editAs="oneCell">
    <xdr:from>
      <xdr:col>11</xdr:col>
      <xdr:colOff>403411</xdr:colOff>
      <xdr:row>1814</xdr:row>
      <xdr:rowOff>119529</xdr:rowOff>
    </xdr:from>
    <xdr:to>
      <xdr:col>13</xdr:col>
      <xdr:colOff>22691</xdr:colOff>
      <xdr:row>1824</xdr:row>
      <xdr:rowOff>129759</xdr:rowOff>
    </xdr:to>
    <xdr:pic>
      <xdr:nvPicPr>
        <xdr:cNvPr id="111" name="Imagen 110">
          <a:extLst>
            <a:ext uri="{FF2B5EF4-FFF2-40B4-BE49-F238E27FC236}">
              <a16:creationId xmlns:a16="http://schemas.microsoft.com/office/drawing/2014/main" id="{94FFA838-9B55-46AB-9FBA-C42E128FC6C4}"/>
            </a:ext>
          </a:extLst>
        </xdr:cNvPr>
        <xdr:cNvPicPr>
          <a:picLocks noChangeAspect="1"/>
        </xdr:cNvPicPr>
      </xdr:nvPicPr>
      <xdr:blipFill>
        <a:blip xmlns:r="http://schemas.openxmlformats.org/officeDocument/2006/relationships" r:embed="rId44"/>
        <a:stretch>
          <a:fillRect/>
        </a:stretch>
      </xdr:blipFill>
      <xdr:spPr>
        <a:xfrm>
          <a:off x="10473764" y="166384941"/>
          <a:ext cx="1083515" cy="1728465"/>
        </a:xfrm>
        <a:prstGeom prst="rect">
          <a:avLst/>
        </a:prstGeom>
      </xdr:spPr>
    </xdr:pic>
    <xdr:clientData/>
  </xdr:twoCellAnchor>
  <xdr:twoCellAnchor editAs="oneCell">
    <xdr:from>
      <xdr:col>8</xdr:col>
      <xdr:colOff>37353</xdr:colOff>
      <xdr:row>1841</xdr:row>
      <xdr:rowOff>44824</xdr:rowOff>
    </xdr:from>
    <xdr:to>
      <xdr:col>11</xdr:col>
      <xdr:colOff>980</xdr:colOff>
      <xdr:row>1848</xdr:row>
      <xdr:rowOff>161848</xdr:rowOff>
    </xdr:to>
    <xdr:pic>
      <xdr:nvPicPr>
        <xdr:cNvPr id="112" name="Imagen 111">
          <a:extLst>
            <a:ext uri="{FF2B5EF4-FFF2-40B4-BE49-F238E27FC236}">
              <a16:creationId xmlns:a16="http://schemas.microsoft.com/office/drawing/2014/main" id="{A2B133EE-E97E-4C9D-984F-B541E5372569}"/>
            </a:ext>
          </a:extLst>
        </xdr:cNvPr>
        <xdr:cNvPicPr>
          <a:picLocks noChangeAspect="1"/>
        </xdr:cNvPicPr>
      </xdr:nvPicPr>
      <xdr:blipFill>
        <a:blip xmlns:r="http://schemas.openxmlformats.org/officeDocument/2006/relationships" r:embed="rId41"/>
        <a:stretch>
          <a:fillRect/>
        </a:stretch>
      </xdr:blipFill>
      <xdr:spPr>
        <a:xfrm>
          <a:off x="7851588" y="170150118"/>
          <a:ext cx="2211294" cy="1319789"/>
        </a:xfrm>
        <a:prstGeom prst="rect">
          <a:avLst/>
        </a:prstGeom>
      </xdr:spPr>
    </xdr:pic>
    <xdr:clientData/>
  </xdr:twoCellAnchor>
  <xdr:twoCellAnchor editAs="oneCell">
    <xdr:from>
      <xdr:col>8</xdr:col>
      <xdr:colOff>47381</xdr:colOff>
      <xdr:row>1849</xdr:row>
      <xdr:rowOff>50110</xdr:rowOff>
    </xdr:from>
    <xdr:to>
      <xdr:col>10</xdr:col>
      <xdr:colOff>717177</xdr:colOff>
      <xdr:row>1857</xdr:row>
      <xdr:rowOff>87044</xdr:rowOff>
    </xdr:to>
    <xdr:pic>
      <xdr:nvPicPr>
        <xdr:cNvPr id="113" name="Imagen 112">
          <a:extLst>
            <a:ext uri="{FF2B5EF4-FFF2-40B4-BE49-F238E27FC236}">
              <a16:creationId xmlns:a16="http://schemas.microsoft.com/office/drawing/2014/main" id="{40D618F1-EF58-4BB1-B944-258EE1C04CF6}"/>
            </a:ext>
          </a:extLst>
        </xdr:cNvPr>
        <xdr:cNvPicPr>
          <a:picLocks noChangeAspect="1"/>
        </xdr:cNvPicPr>
      </xdr:nvPicPr>
      <xdr:blipFill>
        <a:blip xmlns:r="http://schemas.openxmlformats.org/officeDocument/2006/relationships" r:embed="rId42"/>
        <a:stretch>
          <a:fillRect/>
        </a:stretch>
      </xdr:blipFill>
      <xdr:spPr>
        <a:xfrm>
          <a:off x="7861616" y="171529992"/>
          <a:ext cx="2134032" cy="1411523"/>
        </a:xfrm>
        <a:prstGeom prst="rect">
          <a:avLst/>
        </a:prstGeom>
      </xdr:spPr>
    </xdr:pic>
    <xdr:clientData/>
  </xdr:twoCellAnchor>
  <xdr:twoCellAnchor editAs="oneCell">
    <xdr:from>
      <xdr:col>8</xdr:col>
      <xdr:colOff>97117</xdr:colOff>
      <xdr:row>1857</xdr:row>
      <xdr:rowOff>149411</xdr:rowOff>
    </xdr:from>
    <xdr:to>
      <xdr:col>10</xdr:col>
      <xdr:colOff>709704</xdr:colOff>
      <xdr:row>1865</xdr:row>
      <xdr:rowOff>113169</xdr:rowOff>
    </xdr:to>
    <xdr:pic>
      <xdr:nvPicPr>
        <xdr:cNvPr id="114" name="Imagen 113">
          <a:extLst>
            <a:ext uri="{FF2B5EF4-FFF2-40B4-BE49-F238E27FC236}">
              <a16:creationId xmlns:a16="http://schemas.microsoft.com/office/drawing/2014/main" id="{ACF487C8-BC5E-444B-BE83-DE7DAEF81407}"/>
            </a:ext>
          </a:extLst>
        </xdr:cNvPr>
        <xdr:cNvPicPr>
          <a:picLocks noChangeAspect="1"/>
        </xdr:cNvPicPr>
      </xdr:nvPicPr>
      <xdr:blipFill>
        <a:blip xmlns:r="http://schemas.openxmlformats.org/officeDocument/2006/relationships" r:embed="rId43"/>
        <a:stretch>
          <a:fillRect/>
        </a:stretch>
      </xdr:blipFill>
      <xdr:spPr>
        <a:xfrm>
          <a:off x="7911352" y="173003882"/>
          <a:ext cx="2076823" cy="1338346"/>
        </a:xfrm>
        <a:prstGeom prst="rect">
          <a:avLst/>
        </a:prstGeom>
      </xdr:spPr>
    </xdr:pic>
    <xdr:clientData/>
  </xdr:twoCellAnchor>
  <xdr:twoCellAnchor editAs="oneCell">
    <xdr:from>
      <xdr:col>11</xdr:col>
      <xdr:colOff>440765</xdr:colOff>
      <xdr:row>1841</xdr:row>
      <xdr:rowOff>89646</xdr:rowOff>
    </xdr:from>
    <xdr:to>
      <xdr:col>13</xdr:col>
      <xdr:colOff>165357</xdr:colOff>
      <xdr:row>1850</xdr:row>
      <xdr:rowOff>74706</xdr:rowOff>
    </xdr:to>
    <xdr:pic>
      <xdr:nvPicPr>
        <xdr:cNvPr id="8" name="Imagen 7">
          <a:extLst>
            <a:ext uri="{FF2B5EF4-FFF2-40B4-BE49-F238E27FC236}">
              <a16:creationId xmlns:a16="http://schemas.microsoft.com/office/drawing/2014/main" id="{AB199B3D-AC43-4AA8-A2A5-689B5B4F4C10}"/>
            </a:ext>
          </a:extLst>
        </xdr:cNvPr>
        <xdr:cNvPicPr>
          <a:picLocks noChangeAspect="1"/>
        </xdr:cNvPicPr>
      </xdr:nvPicPr>
      <xdr:blipFill>
        <a:blip xmlns:r="http://schemas.openxmlformats.org/officeDocument/2006/relationships" r:embed="rId46"/>
        <a:stretch>
          <a:fillRect/>
        </a:stretch>
      </xdr:blipFill>
      <xdr:spPr>
        <a:xfrm>
          <a:off x="10511118" y="170194940"/>
          <a:ext cx="1188827" cy="1531472"/>
        </a:xfrm>
        <a:prstGeom prst="rect">
          <a:avLst/>
        </a:prstGeom>
      </xdr:spPr>
    </xdr:pic>
    <xdr:clientData/>
  </xdr:twoCellAnchor>
  <xdr:twoCellAnchor editAs="oneCell">
    <xdr:from>
      <xdr:col>11</xdr:col>
      <xdr:colOff>164353</xdr:colOff>
      <xdr:row>1851</xdr:row>
      <xdr:rowOff>90877</xdr:rowOff>
    </xdr:from>
    <xdr:to>
      <xdr:col>13</xdr:col>
      <xdr:colOff>635000</xdr:colOff>
      <xdr:row>1864</xdr:row>
      <xdr:rowOff>107335</xdr:rowOff>
    </xdr:to>
    <xdr:pic>
      <xdr:nvPicPr>
        <xdr:cNvPr id="11" name="Imagen 10">
          <a:extLst>
            <a:ext uri="{FF2B5EF4-FFF2-40B4-BE49-F238E27FC236}">
              <a16:creationId xmlns:a16="http://schemas.microsoft.com/office/drawing/2014/main" id="{DCD2DB9F-356F-4D21-AB45-0E6BFC2B5E29}"/>
            </a:ext>
          </a:extLst>
        </xdr:cNvPr>
        <xdr:cNvPicPr>
          <a:picLocks noChangeAspect="1"/>
        </xdr:cNvPicPr>
      </xdr:nvPicPr>
      <xdr:blipFill>
        <a:blip xmlns:r="http://schemas.openxmlformats.org/officeDocument/2006/relationships" r:embed="rId47"/>
        <a:stretch>
          <a:fillRect/>
        </a:stretch>
      </xdr:blipFill>
      <xdr:spPr>
        <a:xfrm>
          <a:off x="10234706" y="171914406"/>
          <a:ext cx="1934882" cy="2250164"/>
        </a:xfrm>
        <a:prstGeom prst="rect">
          <a:avLst/>
        </a:prstGeom>
      </xdr:spPr>
    </xdr:pic>
    <xdr:clientData/>
  </xdr:twoCellAnchor>
  <xdr:twoCellAnchor editAs="oneCell">
    <xdr:from>
      <xdr:col>8</xdr:col>
      <xdr:colOff>22412</xdr:colOff>
      <xdr:row>1876</xdr:row>
      <xdr:rowOff>37354</xdr:rowOff>
    </xdr:from>
    <xdr:to>
      <xdr:col>10</xdr:col>
      <xdr:colOff>567764</xdr:colOff>
      <xdr:row>1883</xdr:row>
      <xdr:rowOff>33992</xdr:rowOff>
    </xdr:to>
    <xdr:pic>
      <xdr:nvPicPr>
        <xdr:cNvPr id="122" name="Imagen 121">
          <a:extLst>
            <a:ext uri="{FF2B5EF4-FFF2-40B4-BE49-F238E27FC236}">
              <a16:creationId xmlns:a16="http://schemas.microsoft.com/office/drawing/2014/main" id="{65F9A457-8AA3-4A1E-94AE-0BFC44FF82B7}"/>
            </a:ext>
          </a:extLst>
        </xdr:cNvPr>
        <xdr:cNvPicPr>
          <a:picLocks noChangeAspect="1"/>
        </xdr:cNvPicPr>
      </xdr:nvPicPr>
      <xdr:blipFill>
        <a:blip xmlns:r="http://schemas.openxmlformats.org/officeDocument/2006/relationships" r:embed="rId41"/>
        <a:stretch>
          <a:fillRect/>
        </a:stretch>
      </xdr:blipFill>
      <xdr:spPr>
        <a:xfrm>
          <a:off x="7836647" y="176373119"/>
          <a:ext cx="2009588" cy="1199402"/>
        </a:xfrm>
        <a:prstGeom prst="rect">
          <a:avLst/>
        </a:prstGeom>
      </xdr:spPr>
    </xdr:pic>
    <xdr:clientData/>
  </xdr:twoCellAnchor>
  <xdr:twoCellAnchor editAs="oneCell">
    <xdr:from>
      <xdr:col>8</xdr:col>
      <xdr:colOff>10028</xdr:colOff>
      <xdr:row>1883</xdr:row>
      <xdr:rowOff>65052</xdr:rowOff>
    </xdr:from>
    <xdr:to>
      <xdr:col>10</xdr:col>
      <xdr:colOff>612588</xdr:colOff>
      <xdr:row>1891</xdr:row>
      <xdr:rowOff>57514</xdr:rowOff>
    </xdr:to>
    <xdr:pic>
      <xdr:nvPicPr>
        <xdr:cNvPr id="123" name="Imagen 122">
          <a:extLst>
            <a:ext uri="{FF2B5EF4-FFF2-40B4-BE49-F238E27FC236}">
              <a16:creationId xmlns:a16="http://schemas.microsoft.com/office/drawing/2014/main" id="{3EEF0B52-5910-4367-891F-F6E00F86CEB2}"/>
            </a:ext>
          </a:extLst>
        </xdr:cNvPr>
        <xdr:cNvPicPr>
          <a:picLocks noChangeAspect="1"/>
        </xdr:cNvPicPr>
      </xdr:nvPicPr>
      <xdr:blipFill>
        <a:blip xmlns:r="http://schemas.openxmlformats.org/officeDocument/2006/relationships" r:embed="rId42"/>
        <a:stretch>
          <a:fillRect/>
        </a:stretch>
      </xdr:blipFill>
      <xdr:spPr>
        <a:xfrm>
          <a:off x="7824263" y="177603581"/>
          <a:ext cx="2066796" cy="1367051"/>
        </a:xfrm>
        <a:prstGeom prst="rect">
          <a:avLst/>
        </a:prstGeom>
      </xdr:spPr>
    </xdr:pic>
    <xdr:clientData/>
  </xdr:twoCellAnchor>
  <xdr:twoCellAnchor editAs="oneCell">
    <xdr:from>
      <xdr:col>8</xdr:col>
      <xdr:colOff>59765</xdr:colOff>
      <xdr:row>1891</xdr:row>
      <xdr:rowOff>89647</xdr:rowOff>
    </xdr:from>
    <xdr:to>
      <xdr:col>10</xdr:col>
      <xdr:colOff>590177</xdr:colOff>
      <xdr:row>1899</xdr:row>
      <xdr:rowOff>450</xdr:rowOff>
    </xdr:to>
    <xdr:pic>
      <xdr:nvPicPr>
        <xdr:cNvPr id="124" name="Imagen 123">
          <a:extLst>
            <a:ext uri="{FF2B5EF4-FFF2-40B4-BE49-F238E27FC236}">
              <a16:creationId xmlns:a16="http://schemas.microsoft.com/office/drawing/2014/main" id="{97717393-F6CF-4967-9937-7D22CC4275DB}"/>
            </a:ext>
          </a:extLst>
        </xdr:cNvPr>
        <xdr:cNvPicPr>
          <a:picLocks noChangeAspect="1"/>
        </xdr:cNvPicPr>
      </xdr:nvPicPr>
      <xdr:blipFill>
        <a:blip xmlns:r="http://schemas.openxmlformats.org/officeDocument/2006/relationships" r:embed="rId43"/>
        <a:stretch>
          <a:fillRect/>
        </a:stretch>
      </xdr:blipFill>
      <xdr:spPr>
        <a:xfrm>
          <a:off x="7874000" y="179002765"/>
          <a:ext cx="1994648" cy="1285391"/>
        </a:xfrm>
        <a:prstGeom prst="rect">
          <a:avLst/>
        </a:prstGeom>
      </xdr:spPr>
    </xdr:pic>
    <xdr:clientData/>
  </xdr:twoCellAnchor>
  <xdr:twoCellAnchor editAs="oneCell">
    <xdr:from>
      <xdr:col>11</xdr:col>
      <xdr:colOff>171824</xdr:colOff>
      <xdr:row>1878</xdr:row>
      <xdr:rowOff>59765</xdr:rowOff>
    </xdr:from>
    <xdr:to>
      <xdr:col>13</xdr:col>
      <xdr:colOff>642471</xdr:colOff>
      <xdr:row>1891</xdr:row>
      <xdr:rowOff>76223</xdr:rowOff>
    </xdr:to>
    <xdr:pic>
      <xdr:nvPicPr>
        <xdr:cNvPr id="125" name="Imagen 124">
          <a:extLst>
            <a:ext uri="{FF2B5EF4-FFF2-40B4-BE49-F238E27FC236}">
              <a16:creationId xmlns:a16="http://schemas.microsoft.com/office/drawing/2014/main" id="{72816E7E-6624-4589-80FF-4E7769A0F83C}"/>
            </a:ext>
          </a:extLst>
        </xdr:cNvPr>
        <xdr:cNvPicPr>
          <a:picLocks noChangeAspect="1"/>
        </xdr:cNvPicPr>
      </xdr:nvPicPr>
      <xdr:blipFill>
        <a:blip xmlns:r="http://schemas.openxmlformats.org/officeDocument/2006/relationships" r:embed="rId47"/>
        <a:stretch>
          <a:fillRect/>
        </a:stretch>
      </xdr:blipFill>
      <xdr:spPr>
        <a:xfrm>
          <a:off x="10242177" y="176739177"/>
          <a:ext cx="1934882" cy="2250164"/>
        </a:xfrm>
        <a:prstGeom prst="rect">
          <a:avLst/>
        </a:prstGeom>
      </xdr:spPr>
    </xdr:pic>
    <xdr:clientData/>
  </xdr:twoCellAnchor>
  <xdr:oneCellAnchor>
    <xdr:from>
      <xdr:col>1</xdr:col>
      <xdr:colOff>431052</xdr:colOff>
      <xdr:row>2882</xdr:row>
      <xdr:rowOff>85166</xdr:rowOff>
    </xdr:from>
    <xdr:ext cx="1333500" cy="371475"/>
    <xdr:pic>
      <xdr:nvPicPr>
        <xdr:cNvPr id="141" name="image57.jpg" descr="Logo CSJ RGB_01">
          <a:extLst>
            <a:ext uri="{FF2B5EF4-FFF2-40B4-BE49-F238E27FC236}">
              <a16:creationId xmlns:a16="http://schemas.microsoft.com/office/drawing/2014/main" id="{34468676-26B2-407D-9AB4-418A14BD1B10}"/>
            </a:ext>
          </a:extLst>
        </xdr:cNvPr>
        <xdr:cNvPicPr preferRelativeResize="0"/>
      </xdr:nvPicPr>
      <xdr:blipFill>
        <a:blip xmlns:r="http://schemas.openxmlformats.org/officeDocument/2006/relationships" r:embed="rId48" cstate="print"/>
        <a:stretch>
          <a:fillRect/>
        </a:stretch>
      </xdr:blipFill>
      <xdr:spPr>
        <a:xfrm>
          <a:off x="767228" y="337830460"/>
          <a:ext cx="1333500" cy="371475"/>
        </a:xfrm>
        <a:prstGeom prst="rect">
          <a:avLst/>
        </a:prstGeom>
        <a:noFill/>
      </xdr:spPr>
    </xdr:pic>
    <xdr:clientData fLocksWithSheet="0"/>
  </xdr:oneCellAnchor>
  <xdr:oneCellAnchor>
    <xdr:from>
      <xdr:col>1</xdr:col>
      <xdr:colOff>378758</xdr:colOff>
      <xdr:row>2905</xdr:row>
      <xdr:rowOff>107578</xdr:rowOff>
    </xdr:from>
    <xdr:ext cx="1333500" cy="371475"/>
    <xdr:pic>
      <xdr:nvPicPr>
        <xdr:cNvPr id="143" name="image57.jpg" descr="Logo CSJ RGB_01">
          <a:extLst>
            <a:ext uri="{FF2B5EF4-FFF2-40B4-BE49-F238E27FC236}">
              <a16:creationId xmlns:a16="http://schemas.microsoft.com/office/drawing/2014/main" id="{1153436C-425F-455D-93B1-5DB6944B222A}"/>
            </a:ext>
          </a:extLst>
        </xdr:cNvPr>
        <xdr:cNvPicPr preferRelativeResize="0"/>
      </xdr:nvPicPr>
      <xdr:blipFill>
        <a:blip xmlns:r="http://schemas.openxmlformats.org/officeDocument/2006/relationships" r:embed="rId48" cstate="print"/>
        <a:stretch>
          <a:fillRect/>
        </a:stretch>
      </xdr:blipFill>
      <xdr:spPr>
        <a:xfrm>
          <a:off x="714934" y="342940343"/>
          <a:ext cx="1333500" cy="371475"/>
        </a:xfrm>
        <a:prstGeom prst="rect">
          <a:avLst/>
        </a:prstGeom>
        <a:noFill/>
      </xdr:spPr>
    </xdr:pic>
    <xdr:clientData fLocksWithSheet="0"/>
  </xdr:oneCellAnchor>
  <xdr:oneCellAnchor>
    <xdr:from>
      <xdr:col>1</xdr:col>
      <xdr:colOff>378758</xdr:colOff>
      <xdr:row>2940</xdr:row>
      <xdr:rowOff>85166</xdr:rowOff>
    </xdr:from>
    <xdr:ext cx="1333500" cy="371475"/>
    <xdr:pic>
      <xdr:nvPicPr>
        <xdr:cNvPr id="144" name="image57.jpg" descr="Logo CSJ RGB_01">
          <a:extLst>
            <a:ext uri="{FF2B5EF4-FFF2-40B4-BE49-F238E27FC236}">
              <a16:creationId xmlns:a16="http://schemas.microsoft.com/office/drawing/2014/main" id="{9A45C1BD-EF2D-4708-AEA7-35E2CB50CBA2}"/>
            </a:ext>
          </a:extLst>
        </xdr:cNvPr>
        <xdr:cNvPicPr preferRelativeResize="0"/>
      </xdr:nvPicPr>
      <xdr:blipFill>
        <a:blip xmlns:r="http://schemas.openxmlformats.org/officeDocument/2006/relationships" r:embed="rId48" cstate="print"/>
        <a:stretch>
          <a:fillRect/>
        </a:stretch>
      </xdr:blipFill>
      <xdr:spPr>
        <a:xfrm>
          <a:off x="714934" y="347908284"/>
          <a:ext cx="1333500" cy="371475"/>
        </a:xfrm>
        <a:prstGeom prst="rect">
          <a:avLst/>
        </a:prstGeom>
        <a:noFill/>
      </xdr:spPr>
    </xdr:pic>
    <xdr:clientData fLocksWithSheet="0"/>
  </xdr:oneCellAnchor>
  <xdr:oneCellAnchor>
    <xdr:from>
      <xdr:col>1</xdr:col>
      <xdr:colOff>431052</xdr:colOff>
      <xdr:row>2959</xdr:row>
      <xdr:rowOff>85166</xdr:rowOff>
    </xdr:from>
    <xdr:ext cx="1333500" cy="371475"/>
    <xdr:pic>
      <xdr:nvPicPr>
        <xdr:cNvPr id="145" name="image57.jpg" descr="Logo CSJ RGB_01">
          <a:extLst>
            <a:ext uri="{FF2B5EF4-FFF2-40B4-BE49-F238E27FC236}">
              <a16:creationId xmlns:a16="http://schemas.microsoft.com/office/drawing/2014/main" id="{4B6C995C-8C5C-40D2-A0A7-10C19568B152}"/>
            </a:ext>
          </a:extLst>
        </xdr:cNvPr>
        <xdr:cNvPicPr preferRelativeResize="0"/>
      </xdr:nvPicPr>
      <xdr:blipFill>
        <a:blip xmlns:r="http://schemas.openxmlformats.org/officeDocument/2006/relationships" r:embed="rId48" cstate="print"/>
        <a:stretch>
          <a:fillRect/>
        </a:stretch>
      </xdr:blipFill>
      <xdr:spPr>
        <a:xfrm>
          <a:off x="767228" y="337830460"/>
          <a:ext cx="1333500" cy="371475"/>
        </a:xfrm>
        <a:prstGeom prst="rect">
          <a:avLst/>
        </a:prstGeom>
        <a:noFill/>
      </xdr:spPr>
    </xdr:pic>
    <xdr:clientData fLocksWithSheet="0"/>
  </xdr:oneCellAnchor>
  <xdr:oneCellAnchor>
    <xdr:from>
      <xdr:col>1</xdr:col>
      <xdr:colOff>393700</xdr:colOff>
      <xdr:row>2981</xdr:row>
      <xdr:rowOff>40342</xdr:rowOff>
    </xdr:from>
    <xdr:ext cx="1333500" cy="371475"/>
    <xdr:pic>
      <xdr:nvPicPr>
        <xdr:cNvPr id="146" name="image57.jpg" descr="Logo CSJ RGB_01">
          <a:extLst>
            <a:ext uri="{FF2B5EF4-FFF2-40B4-BE49-F238E27FC236}">
              <a16:creationId xmlns:a16="http://schemas.microsoft.com/office/drawing/2014/main" id="{A8AA375F-E6DD-4D50-BFD1-4B75F0481429}"/>
            </a:ext>
          </a:extLst>
        </xdr:cNvPr>
        <xdr:cNvPicPr preferRelativeResize="0"/>
      </xdr:nvPicPr>
      <xdr:blipFill>
        <a:blip xmlns:r="http://schemas.openxmlformats.org/officeDocument/2006/relationships" r:embed="rId48" cstate="print"/>
        <a:stretch>
          <a:fillRect/>
        </a:stretch>
      </xdr:blipFill>
      <xdr:spPr>
        <a:xfrm>
          <a:off x="729876" y="357410871"/>
          <a:ext cx="1333500" cy="371475"/>
        </a:xfrm>
        <a:prstGeom prst="rect">
          <a:avLst/>
        </a:prstGeom>
        <a:noFill/>
      </xdr:spPr>
    </xdr:pic>
    <xdr:clientData fLocksWithSheet="0"/>
  </xdr:oneCellAnchor>
  <xdr:oneCellAnchor>
    <xdr:from>
      <xdr:col>1</xdr:col>
      <xdr:colOff>431052</xdr:colOff>
      <xdr:row>3003</xdr:row>
      <xdr:rowOff>85166</xdr:rowOff>
    </xdr:from>
    <xdr:ext cx="1333500" cy="371475"/>
    <xdr:pic>
      <xdr:nvPicPr>
        <xdr:cNvPr id="147" name="image57.jpg" descr="Logo CSJ RGB_01">
          <a:extLst>
            <a:ext uri="{FF2B5EF4-FFF2-40B4-BE49-F238E27FC236}">
              <a16:creationId xmlns:a16="http://schemas.microsoft.com/office/drawing/2014/main" id="{7168796A-CA7B-4C03-821E-D0E9364C0285}"/>
            </a:ext>
          </a:extLst>
        </xdr:cNvPr>
        <xdr:cNvPicPr preferRelativeResize="0"/>
      </xdr:nvPicPr>
      <xdr:blipFill>
        <a:blip xmlns:r="http://schemas.openxmlformats.org/officeDocument/2006/relationships" r:embed="rId48" cstate="print"/>
        <a:stretch>
          <a:fillRect/>
        </a:stretch>
      </xdr:blipFill>
      <xdr:spPr>
        <a:xfrm>
          <a:off x="767228" y="337830460"/>
          <a:ext cx="1333500" cy="371475"/>
        </a:xfrm>
        <a:prstGeom prst="rect">
          <a:avLst/>
        </a:prstGeom>
        <a:noFill/>
      </xdr:spPr>
    </xdr:pic>
    <xdr:clientData fLocksWithSheet="0"/>
  </xdr:oneCellAnchor>
  <xdr:oneCellAnchor>
    <xdr:from>
      <xdr:col>1</xdr:col>
      <xdr:colOff>378758</xdr:colOff>
      <xdr:row>3023</xdr:row>
      <xdr:rowOff>77695</xdr:rowOff>
    </xdr:from>
    <xdr:ext cx="1333500" cy="371475"/>
    <xdr:pic>
      <xdr:nvPicPr>
        <xdr:cNvPr id="148" name="image57.jpg" descr="Logo CSJ RGB_01">
          <a:extLst>
            <a:ext uri="{FF2B5EF4-FFF2-40B4-BE49-F238E27FC236}">
              <a16:creationId xmlns:a16="http://schemas.microsoft.com/office/drawing/2014/main" id="{A7DA38D2-9238-45D1-92AD-E093D3C4DDFD}"/>
            </a:ext>
          </a:extLst>
        </xdr:cNvPr>
        <xdr:cNvPicPr preferRelativeResize="0"/>
      </xdr:nvPicPr>
      <xdr:blipFill>
        <a:blip xmlns:r="http://schemas.openxmlformats.org/officeDocument/2006/relationships" r:embed="rId48" cstate="print"/>
        <a:stretch>
          <a:fillRect/>
        </a:stretch>
      </xdr:blipFill>
      <xdr:spPr>
        <a:xfrm>
          <a:off x="714934" y="367421460"/>
          <a:ext cx="1333500" cy="371475"/>
        </a:xfrm>
        <a:prstGeom prst="rect">
          <a:avLst/>
        </a:prstGeom>
        <a:noFill/>
      </xdr:spPr>
    </xdr:pic>
    <xdr:clientData fLocksWithSheet="0"/>
  </xdr:oneCellAnchor>
  <xdr:oneCellAnchor>
    <xdr:from>
      <xdr:col>1</xdr:col>
      <xdr:colOff>386229</xdr:colOff>
      <xdr:row>3045</xdr:row>
      <xdr:rowOff>70225</xdr:rowOff>
    </xdr:from>
    <xdr:ext cx="1333500" cy="371475"/>
    <xdr:pic>
      <xdr:nvPicPr>
        <xdr:cNvPr id="149" name="image57.jpg" descr="Logo CSJ RGB_01">
          <a:extLst>
            <a:ext uri="{FF2B5EF4-FFF2-40B4-BE49-F238E27FC236}">
              <a16:creationId xmlns:a16="http://schemas.microsoft.com/office/drawing/2014/main" id="{FE4C3D57-F40F-4791-8953-8A49EFE5A8FF}"/>
            </a:ext>
          </a:extLst>
        </xdr:cNvPr>
        <xdr:cNvPicPr preferRelativeResize="0"/>
      </xdr:nvPicPr>
      <xdr:blipFill>
        <a:blip xmlns:r="http://schemas.openxmlformats.org/officeDocument/2006/relationships" r:embed="rId48" cstate="print"/>
        <a:stretch>
          <a:fillRect/>
        </a:stretch>
      </xdr:blipFill>
      <xdr:spPr>
        <a:xfrm>
          <a:off x="722405" y="372486519"/>
          <a:ext cx="1333500" cy="371475"/>
        </a:xfrm>
        <a:prstGeom prst="rect">
          <a:avLst/>
        </a:prstGeom>
        <a:noFill/>
      </xdr:spPr>
    </xdr:pic>
    <xdr:clientData fLocksWithSheet="0"/>
  </xdr:oneCellAnchor>
  <xdr:oneCellAnchor>
    <xdr:from>
      <xdr:col>1</xdr:col>
      <xdr:colOff>431052</xdr:colOff>
      <xdr:row>3067</xdr:row>
      <xdr:rowOff>85166</xdr:rowOff>
    </xdr:from>
    <xdr:ext cx="1333500" cy="371475"/>
    <xdr:pic>
      <xdr:nvPicPr>
        <xdr:cNvPr id="150" name="image57.jpg" descr="Logo CSJ RGB_01">
          <a:extLst>
            <a:ext uri="{FF2B5EF4-FFF2-40B4-BE49-F238E27FC236}">
              <a16:creationId xmlns:a16="http://schemas.microsoft.com/office/drawing/2014/main" id="{2B43395F-FD05-453C-AB07-BDDDEFFC6527}"/>
            </a:ext>
          </a:extLst>
        </xdr:cNvPr>
        <xdr:cNvPicPr preferRelativeResize="0"/>
      </xdr:nvPicPr>
      <xdr:blipFill>
        <a:blip xmlns:r="http://schemas.openxmlformats.org/officeDocument/2006/relationships" r:embed="rId48" cstate="print"/>
        <a:stretch>
          <a:fillRect/>
        </a:stretch>
      </xdr:blipFill>
      <xdr:spPr>
        <a:xfrm>
          <a:off x="767228" y="337830460"/>
          <a:ext cx="1333500" cy="371475"/>
        </a:xfrm>
        <a:prstGeom prst="rect">
          <a:avLst/>
        </a:prstGeom>
        <a:noFill/>
      </xdr:spPr>
    </xdr:pic>
    <xdr:clientData fLocksWithSheet="0"/>
  </xdr:oneCellAnchor>
  <xdr:oneCellAnchor>
    <xdr:from>
      <xdr:col>1</xdr:col>
      <xdr:colOff>378758</xdr:colOff>
      <xdr:row>3089</xdr:row>
      <xdr:rowOff>62754</xdr:rowOff>
    </xdr:from>
    <xdr:ext cx="1333500" cy="371475"/>
    <xdr:pic>
      <xdr:nvPicPr>
        <xdr:cNvPr id="151" name="image57.jpg" descr="Logo CSJ RGB_01">
          <a:extLst>
            <a:ext uri="{FF2B5EF4-FFF2-40B4-BE49-F238E27FC236}">
              <a16:creationId xmlns:a16="http://schemas.microsoft.com/office/drawing/2014/main" id="{65E1ECE0-C22D-4E1C-BDAD-7F6689C5ABBC}"/>
            </a:ext>
          </a:extLst>
        </xdr:cNvPr>
        <xdr:cNvPicPr preferRelativeResize="0"/>
      </xdr:nvPicPr>
      <xdr:blipFill>
        <a:blip xmlns:r="http://schemas.openxmlformats.org/officeDocument/2006/relationships" r:embed="rId48" cstate="print"/>
        <a:stretch>
          <a:fillRect/>
        </a:stretch>
      </xdr:blipFill>
      <xdr:spPr>
        <a:xfrm>
          <a:off x="714934" y="382228166"/>
          <a:ext cx="1333500" cy="371475"/>
        </a:xfrm>
        <a:prstGeom prst="rect">
          <a:avLst/>
        </a:prstGeom>
        <a:noFill/>
      </xdr:spPr>
    </xdr:pic>
    <xdr:clientData fLocksWithSheet="0"/>
  </xdr:oneCellAnchor>
  <xdr:oneCellAnchor>
    <xdr:from>
      <xdr:col>1</xdr:col>
      <xdr:colOff>378758</xdr:colOff>
      <xdr:row>3111</xdr:row>
      <xdr:rowOff>62754</xdr:rowOff>
    </xdr:from>
    <xdr:ext cx="1333500" cy="371475"/>
    <xdr:pic>
      <xdr:nvPicPr>
        <xdr:cNvPr id="152" name="image57.jpg" descr="Logo CSJ RGB_01">
          <a:extLst>
            <a:ext uri="{FF2B5EF4-FFF2-40B4-BE49-F238E27FC236}">
              <a16:creationId xmlns:a16="http://schemas.microsoft.com/office/drawing/2014/main" id="{BA0CCAF2-5878-4516-9B30-DB9BCDF20776}"/>
            </a:ext>
          </a:extLst>
        </xdr:cNvPr>
        <xdr:cNvPicPr preferRelativeResize="0"/>
      </xdr:nvPicPr>
      <xdr:blipFill>
        <a:blip xmlns:r="http://schemas.openxmlformats.org/officeDocument/2006/relationships" r:embed="rId48" cstate="print"/>
        <a:stretch>
          <a:fillRect/>
        </a:stretch>
      </xdr:blipFill>
      <xdr:spPr>
        <a:xfrm>
          <a:off x="714934" y="382228166"/>
          <a:ext cx="1333500" cy="371475"/>
        </a:xfrm>
        <a:prstGeom prst="rect">
          <a:avLst/>
        </a:prstGeom>
        <a:noFill/>
      </xdr:spPr>
    </xdr:pic>
    <xdr:clientData fLocksWithSheet="0"/>
  </xdr:oneCellAnchor>
  <xdr:oneCellAnchor>
    <xdr:from>
      <xdr:col>1</xdr:col>
      <xdr:colOff>378758</xdr:colOff>
      <xdr:row>3200</xdr:row>
      <xdr:rowOff>40342</xdr:rowOff>
    </xdr:from>
    <xdr:ext cx="1333500" cy="371475"/>
    <xdr:pic>
      <xdr:nvPicPr>
        <xdr:cNvPr id="153" name="image57.jpg" descr="Logo CSJ RGB_01">
          <a:extLst>
            <a:ext uri="{FF2B5EF4-FFF2-40B4-BE49-F238E27FC236}">
              <a16:creationId xmlns:a16="http://schemas.microsoft.com/office/drawing/2014/main" id="{B3F1A89D-3B04-4546-BFD6-6AE1DD2EF79F}"/>
            </a:ext>
          </a:extLst>
        </xdr:cNvPr>
        <xdr:cNvPicPr preferRelativeResize="0"/>
      </xdr:nvPicPr>
      <xdr:blipFill>
        <a:blip xmlns:r="http://schemas.openxmlformats.org/officeDocument/2006/relationships" r:embed="rId48" cstate="print"/>
        <a:stretch>
          <a:fillRect/>
        </a:stretch>
      </xdr:blipFill>
      <xdr:spPr>
        <a:xfrm>
          <a:off x="714934" y="391573871"/>
          <a:ext cx="1333500" cy="371475"/>
        </a:xfrm>
        <a:prstGeom prst="rect">
          <a:avLst/>
        </a:prstGeom>
        <a:noFill/>
      </xdr:spPr>
    </xdr:pic>
    <xdr:clientData fLocksWithSheet="0"/>
  </xdr:oneCellAnchor>
  <xdr:oneCellAnchor>
    <xdr:from>
      <xdr:col>1</xdr:col>
      <xdr:colOff>311523</xdr:colOff>
      <xdr:row>3222</xdr:row>
      <xdr:rowOff>32871</xdr:rowOff>
    </xdr:from>
    <xdr:ext cx="1333500" cy="371475"/>
    <xdr:pic>
      <xdr:nvPicPr>
        <xdr:cNvPr id="154" name="image57.jpg" descr="Logo CSJ RGB_01">
          <a:extLst>
            <a:ext uri="{FF2B5EF4-FFF2-40B4-BE49-F238E27FC236}">
              <a16:creationId xmlns:a16="http://schemas.microsoft.com/office/drawing/2014/main" id="{1B50A3BE-D6C0-4A66-A9F7-9A05C03A3DB6}"/>
            </a:ext>
          </a:extLst>
        </xdr:cNvPr>
        <xdr:cNvPicPr preferRelativeResize="0"/>
      </xdr:nvPicPr>
      <xdr:blipFill>
        <a:blip xmlns:r="http://schemas.openxmlformats.org/officeDocument/2006/relationships" r:embed="rId48" cstate="print"/>
        <a:stretch>
          <a:fillRect/>
        </a:stretch>
      </xdr:blipFill>
      <xdr:spPr>
        <a:xfrm>
          <a:off x="647699" y="396205636"/>
          <a:ext cx="1333500" cy="371475"/>
        </a:xfrm>
        <a:prstGeom prst="rect">
          <a:avLst/>
        </a:prstGeom>
        <a:noFill/>
      </xdr:spPr>
    </xdr:pic>
    <xdr:clientData fLocksWithSheet="0"/>
  </xdr:oneCellAnchor>
  <xdr:oneCellAnchor>
    <xdr:from>
      <xdr:col>1</xdr:col>
      <xdr:colOff>378758</xdr:colOff>
      <xdr:row>3245</xdr:row>
      <xdr:rowOff>62754</xdr:rowOff>
    </xdr:from>
    <xdr:ext cx="1333500" cy="371475"/>
    <xdr:pic>
      <xdr:nvPicPr>
        <xdr:cNvPr id="155" name="image57.jpg" descr="Logo CSJ RGB_01">
          <a:extLst>
            <a:ext uri="{FF2B5EF4-FFF2-40B4-BE49-F238E27FC236}">
              <a16:creationId xmlns:a16="http://schemas.microsoft.com/office/drawing/2014/main" id="{F051BC17-0B4A-43E7-95D9-3BF61D9AE268}"/>
            </a:ext>
          </a:extLst>
        </xdr:cNvPr>
        <xdr:cNvPicPr preferRelativeResize="0"/>
      </xdr:nvPicPr>
      <xdr:blipFill>
        <a:blip xmlns:r="http://schemas.openxmlformats.org/officeDocument/2006/relationships" r:embed="rId48" cstate="print"/>
        <a:stretch>
          <a:fillRect/>
        </a:stretch>
      </xdr:blipFill>
      <xdr:spPr>
        <a:xfrm>
          <a:off x="714934" y="382228166"/>
          <a:ext cx="1333500" cy="371475"/>
        </a:xfrm>
        <a:prstGeom prst="rect">
          <a:avLst/>
        </a:prstGeom>
        <a:noFill/>
      </xdr:spPr>
    </xdr:pic>
    <xdr:clientData fLocksWithSheet="0"/>
  </xdr:oneCellAnchor>
  <xdr:oneCellAnchor>
    <xdr:from>
      <xdr:col>1</xdr:col>
      <xdr:colOff>348876</xdr:colOff>
      <xdr:row>3267</xdr:row>
      <xdr:rowOff>40343</xdr:rowOff>
    </xdr:from>
    <xdr:ext cx="1333500" cy="371475"/>
    <xdr:pic>
      <xdr:nvPicPr>
        <xdr:cNvPr id="156" name="image57.jpg" descr="Logo CSJ RGB_01">
          <a:extLst>
            <a:ext uri="{FF2B5EF4-FFF2-40B4-BE49-F238E27FC236}">
              <a16:creationId xmlns:a16="http://schemas.microsoft.com/office/drawing/2014/main" id="{4D48A5FE-E1DD-48CD-8541-1F22B7BA357F}"/>
            </a:ext>
          </a:extLst>
        </xdr:cNvPr>
        <xdr:cNvPicPr preferRelativeResize="0"/>
      </xdr:nvPicPr>
      <xdr:blipFill>
        <a:blip xmlns:r="http://schemas.openxmlformats.org/officeDocument/2006/relationships" r:embed="rId48" cstate="print"/>
        <a:stretch>
          <a:fillRect/>
        </a:stretch>
      </xdr:blipFill>
      <xdr:spPr>
        <a:xfrm>
          <a:off x="685052" y="405424343"/>
          <a:ext cx="1333500" cy="371475"/>
        </a:xfrm>
        <a:prstGeom prst="rect">
          <a:avLst/>
        </a:prstGeom>
        <a:noFill/>
      </xdr:spPr>
    </xdr:pic>
    <xdr:clientData fLocksWithSheet="0"/>
  </xdr:oneCellAnchor>
  <xdr:oneCellAnchor>
    <xdr:from>
      <xdr:col>1</xdr:col>
      <xdr:colOff>378758</xdr:colOff>
      <xdr:row>3289</xdr:row>
      <xdr:rowOff>62754</xdr:rowOff>
    </xdr:from>
    <xdr:ext cx="1333500" cy="371475"/>
    <xdr:pic>
      <xdr:nvPicPr>
        <xdr:cNvPr id="157" name="image57.jpg" descr="Logo CSJ RGB_01">
          <a:extLst>
            <a:ext uri="{FF2B5EF4-FFF2-40B4-BE49-F238E27FC236}">
              <a16:creationId xmlns:a16="http://schemas.microsoft.com/office/drawing/2014/main" id="{4224268E-7D45-43F3-8616-C7C6289B5015}"/>
            </a:ext>
          </a:extLst>
        </xdr:cNvPr>
        <xdr:cNvPicPr preferRelativeResize="0"/>
      </xdr:nvPicPr>
      <xdr:blipFill>
        <a:blip xmlns:r="http://schemas.openxmlformats.org/officeDocument/2006/relationships" r:embed="rId48" cstate="print"/>
        <a:stretch>
          <a:fillRect/>
        </a:stretch>
      </xdr:blipFill>
      <xdr:spPr>
        <a:xfrm>
          <a:off x="714934" y="382228166"/>
          <a:ext cx="1333500" cy="371475"/>
        </a:xfrm>
        <a:prstGeom prst="rect">
          <a:avLst/>
        </a:prstGeom>
        <a:noFill/>
      </xdr:spPr>
    </xdr:pic>
    <xdr:clientData fLocksWithSheet="0"/>
  </xdr:oneCellAnchor>
  <xdr:oneCellAnchor>
    <xdr:from>
      <xdr:col>1</xdr:col>
      <xdr:colOff>378758</xdr:colOff>
      <xdr:row>3311</xdr:row>
      <xdr:rowOff>10460</xdr:rowOff>
    </xdr:from>
    <xdr:ext cx="1333500" cy="371475"/>
    <xdr:pic>
      <xdr:nvPicPr>
        <xdr:cNvPr id="158" name="image57.jpg" descr="Logo CSJ RGB_01">
          <a:extLst>
            <a:ext uri="{FF2B5EF4-FFF2-40B4-BE49-F238E27FC236}">
              <a16:creationId xmlns:a16="http://schemas.microsoft.com/office/drawing/2014/main" id="{C92230B8-BE8B-490F-A865-4B48B30627D0}"/>
            </a:ext>
          </a:extLst>
        </xdr:cNvPr>
        <xdr:cNvPicPr preferRelativeResize="0"/>
      </xdr:nvPicPr>
      <xdr:blipFill>
        <a:blip xmlns:r="http://schemas.openxmlformats.org/officeDocument/2006/relationships" r:embed="rId48" cstate="print"/>
        <a:stretch>
          <a:fillRect/>
        </a:stretch>
      </xdr:blipFill>
      <xdr:spPr>
        <a:xfrm>
          <a:off x="714934" y="414209754"/>
          <a:ext cx="1333500" cy="371475"/>
        </a:xfrm>
        <a:prstGeom prst="rect">
          <a:avLst/>
        </a:prstGeom>
        <a:noFill/>
      </xdr:spPr>
    </xdr:pic>
    <xdr:clientData fLocksWithSheet="0"/>
  </xdr:oneCellAnchor>
  <xdr:oneCellAnchor>
    <xdr:from>
      <xdr:col>1</xdr:col>
      <xdr:colOff>326464</xdr:colOff>
      <xdr:row>3333</xdr:row>
      <xdr:rowOff>77695</xdr:rowOff>
    </xdr:from>
    <xdr:ext cx="1333500" cy="371475"/>
    <xdr:pic>
      <xdr:nvPicPr>
        <xdr:cNvPr id="159" name="image57.jpg" descr="Logo CSJ RGB_01">
          <a:extLst>
            <a:ext uri="{FF2B5EF4-FFF2-40B4-BE49-F238E27FC236}">
              <a16:creationId xmlns:a16="http://schemas.microsoft.com/office/drawing/2014/main" id="{046B40EC-A067-4BB5-B557-B5C4C28E5C3B}"/>
            </a:ext>
          </a:extLst>
        </xdr:cNvPr>
        <xdr:cNvPicPr preferRelativeResize="0"/>
      </xdr:nvPicPr>
      <xdr:blipFill>
        <a:blip xmlns:r="http://schemas.openxmlformats.org/officeDocument/2006/relationships" r:embed="rId48" cstate="print"/>
        <a:stretch>
          <a:fillRect/>
        </a:stretch>
      </xdr:blipFill>
      <xdr:spPr>
        <a:xfrm>
          <a:off x="662640" y="419640871"/>
          <a:ext cx="1333500" cy="371475"/>
        </a:xfrm>
        <a:prstGeom prst="rect">
          <a:avLst/>
        </a:prstGeom>
        <a:noFill/>
      </xdr:spPr>
    </xdr:pic>
    <xdr:clientData fLocksWithSheet="0"/>
  </xdr:oneCellAnchor>
  <xdr:oneCellAnchor>
    <xdr:from>
      <xdr:col>1</xdr:col>
      <xdr:colOff>378758</xdr:colOff>
      <xdr:row>3355</xdr:row>
      <xdr:rowOff>62754</xdr:rowOff>
    </xdr:from>
    <xdr:ext cx="1333500" cy="371475"/>
    <xdr:pic>
      <xdr:nvPicPr>
        <xdr:cNvPr id="160" name="image57.jpg" descr="Logo CSJ RGB_01">
          <a:extLst>
            <a:ext uri="{FF2B5EF4-FFF2-40B4-BE49-F238E27FC236}">
              <a16:creationId xmlns:a16="http://schemas.microsoft.com/office/drawing/2014/main" id="{8E528D45-E7DA-4005-8D07-8F57549CE380}"/>
            </a:ext>
          </a:extLst>
        </xdr:cNvPr>
        <xdr:cNvPicPr preferRelativeResize="0"/>
      </xdr:nvPicPr>
      <xdr:blipFill>
        <a:blip xmlns:r="http://schemas.openxmlformats.org/officeDocument/2006/relationships" r:embed="rId48" cstate="print"/>
        <a:stretch>
          <a:fillRect/>
        </a:stretch>
      </xdr:blipFill>
      <xdr:spPr>
        <a:xfrm>
          <a:off x="714934" y="382228166"/>
          <a:ext cx="1333500" cy="371475"/>
        </a:xfrm>
        <a:prstGeom prst="rect">
          <a:avLst/>
        </a:prstGeom>
        <a:noFill/>
      </xdr:spPr>
    </xdr:pic>
    <xdr:clientData fLocksWithSheet="0"/>
  </xdr:oneCellAnchor>
  <xdr:oneCellAnchor>
    <xdr:from>
      <xdr:col>1</xdr:col>
      <xdr:colOff>356347</xdr:colOff>
      <xdr:row>3377</xdr:row>
      <xdr:rowOff>55284</xdr:rowOff>
    </xdr:from>
    <xdr:ext cx="1333500" cy="371475"/>
    <xdr:pic>
      <xdr:nvPicPr>
        <xdr:cNvPr id="161" name="image57.jpg" descr="Logo CSJ RGB_01">
          <a:extLst>
            <a:ext uri="{FF2B5EF4-FFF2-40B4-BE49-F238E27FC236}">
              <a16:creationId xmlns:a16="http://schemas.microsoft.com/office/drawing/2014/main" id="{41628703-DC61-4CDE-B6B6-523F534F9507}"/>
            </a:ext>
          </a:extLst>
        </xdr:cNvPr>
        <xdr:cNvPicPr preferRelativeResize="0"/>
      </xdr:nvPicPr>
      <xdr:blipFill>
        <a:blip xmlns:r="http://schemas.openxmlformats.org/officeDocument/2006/relationships" r:embed="rId48" cstate="print"/>
        <a:stretch>
          <a:fillRect/>
        </a:stretch>
      </xdr:blipFill>
      <xdr:spPr>
        <a:xfrm>
          <a:off x="692523" y="430144519"/>
          <a:ext cx="1333500" cy="371475"/>
        </a:xfrm>
        <a:prstGeom prst="rect">
          <a:avLst/>
        </a:prstGeom>
        <a:noFill/>
      </xdr:spPr>
    </xdr:pic>
    <xdr:clientData fLocksWithSheet="0"/>
  </xdr:oneCellAnchor>
  <xdr:oneCellAnchor>
    <xdr:from>
      <xdr:col>1</xdr:col>
      <xdr:colOff>356347</xdr:colOff>
      <xdr:row>3399</xdr:row>
      <xdr:rowOff>55284</xdr:rowOff>
    </xdr:from>
    <xdr:ext cx="1333500" cy="371475"/>
    <xdr:pic>
      <xdr:nvPicPr>
        <xdr:cNvPr id="162" name="image57.jpg" descr="Logo CSJ RGB_01">
          <a:extLst>
            <a:ext uri="{FF2B5EF4-FFF2-40B4-BE49-F238E27FC236}">
              <a16:creationId xmlns:a16="http://schemas.microsoft.com/office/drawing/2014/main" id="{C9119396-416C-42C4-A106-5BCA4908B923}"/>
            </a:ext>
          </a:extLst>
        </xdr:cNvPr>
        <xdr:cNvPicPr preferRelativeResize="0"/>
      </xdr:nvPicPr>
      <xdr:blipFill>
        <a:blip xmlns:r="http://schemas.openxmlformats.org/officeDocument/2006/relationships" r:embed="rId48" cstate="print"/>
        <a:stretch>
          <a:fillRect/>
        </a:stretch>
      </xdr:blipFill>
      <xdr:spPr>
        <a:xfrm>
          <a:off x="692523" y="430144519"/>
          <a:ext cx="1333500" cy="371475"/>
        </a:xfrm>
        <a:prstGeom prst="rect">
          <a:avLst/>
        </a:prstGeom>
        <a:noFill/>
      </xdr:spPr>
    </xdr:pic>
    <xdr:clientData fLocksWithSheet="0"/>
  </xdr:oneCellAnchor>
  <xdr:oneCellAnchor>
    <xdr:from>
      <xdr:col>1</xdr:col>
      <xdr:colOff>356347</xdr:colOff>
      <xdr:row>3421</xdr:row>
      <xdr:rowOff>55284</xdr:rowOff>
    </xdr:from>
    <xdr:ext cx="1333500" cy="371475"/>
    <xdr:pic>
      <xdr:nvPicPr>
        <xdr:cNvPr id="163" name="image57.jpg" descr="Logo CSJ RGB_01">
          <a:extLst>
            <a:ext uri="{FF2B5EF4-FFF2-40B4-BE49-F238E27FC236}">
              <a16:creationId xmlns:a16="http://schemas.microsoft.com/office/drawing/2014/main" id="{63FE6B56-1B5E-4FCC-A2F7-8597B426CB15}"/>
            </a:ext>
          </a:extLst>
        </xdr:cNvPr>
        <xdr:cNvPicPr preferRelativeResize="0"/>
      </xdr:nvPicPr>
      <xdr:blipFill>
        <a:blip xmlns:r="http://schemas.openxmlformats.org/officeDocument/2006/relationships" r:embed="rId48" cstate="print"/>
        <a:stretch>
          <a:fillRect/>
        </a:stretch>
      </xdr:blipFill>
      <xdr:spPr>
        <a:xfrm>
          <a:off x="692523" y="430144519"/>
          <a:ext cx="1333500" cy="371475"/>
        </a:xfrm>
        <a:prstGeom prst="rect">
          <a:avLst/>
        </a:prstGeom>
        <a:noFill/>
      </xdr:spPr>
    </xdr:pic>
    <xdr:clientData fLocksWithSheet="0"/>
  </xdr:oneCellAnchor>
  <xdr:oneCellAnchor>
    <xdr:from>
      <xdr:col>1</xdr:col>
      <xdr:colOff>324597</xdr:colOff>
      <xdr:row>3443</xdr:row>
      <xdr:rowOff>39409</xdr:rowOff>
    </xdr:from>
    <xdr:ext cx="1333500" cy="371475"/>
    <xdr:pic>
      <xdr:nvPicPr>
        <xdr:cNvPr id="164" name="image57.jpg" descr="Logo CSJ RGB_01">
          <a:extLst>
            <a:ext uri="{FF2B5EF4-FFF2-40B4-BE49-F238E27FC236}">
              <a16:creationId xmlns:a16="http://schemas.microsoft.com/office/drawing/2014/main" id="{FA5B142D-2648-418D-AE29-549E3AB72A5A}"/>
            </a:ext>
          </a:extLst>
        </xdr:cNvPr>
        <xdr:cNvPicPr preferRelativeResize="0"/>
      </xdr:nvPicPr>
      <xdr:blipFill>
        <a:blip xmlns:r="http://schemas.openxmlformats.org/officeDocument/2006/relationships" r:embed="rId48" cstate="print"/>
        <a:stretch>
          <a:fillRect/>
        </a:stretch>
      </xdr:blipFill>
      <xdr:spPr>
        <a:xfrm>
          <a:off x="657972" y="451191034"/>
          <a:ext cx="1333500" cy="371475"/>
        </a:xfrm>
        <a:prstGeom prst="rect">
          <a:avLst/>
        </a:prstGeom>
        <a:noFill/>
      </xdr:spPr>
    </xdr:pic>
    <xdr:clientData fLocksWithSheet="0"/>
  </xdr:oneCellAnchor>
  <xdr:oneCellAnchor>
    <xdr:from>
      <xdr:col>1</xdr:col>
      <xdr:colOff>356347</xdr:colOff>
      <xdr:row>3465</xdr:row>
      <xdr:rowOff>55284</xdr:rowOff>
    </xdr:from>
    <xdr:ext cx="1333500" cy="371475"/>
    <xdr:pic>
      <xdr:nvPicPr>
        <xdr:cNvPr id="165" name="image57.jpg" descr="Logo CSJ RGB_01">
          <a:extLst>
            <a:ext uri="{FF2B5EF4-FFF2-40B4-BE49-F238E27FC236}">
              <a16:creationId xmlns:a16="http://schemas.microsoft.com/office/drawing/2014/main" id="{EB0DC412-1793-410A-B050-38F7EC87E8AF}"/>
            </a:ext>
          </a:extLst>
        </xdr:cNvPr>
        <xdr:cNvPicPr preferRelativeResize="0"/>
      </xdr:nvPicPr>
      <xdr:blipFill>
        <a:blip xmlns:r="http://schemas.openxmlformats.org/officeDocument/2006/relationships" r:embed="rId48" cstate="print"/>
        <a:stretch>
          <a:fillRect/>
        </a:stretch>
      </xdr:blipFill>
      <xdr:spPr>
        <a:xfrm>
          <a:off x="692523" y="430144519"/>
          <a:ext cx="1333500" cy="371475"/>
        </a:xfrm>
        <a:prstGeom prst="rect">
          <a:avLst/>
        </a:prstGeom>
        <a:noFill/>
      </xdr:spPr>
    </xdr:pic>
    <xdr:clientData fLocksWithSheet="0"/>
  </xdr:oneCellAnchor>
  <xdr:twoCellAnchor editAs="oneCell">
    <xdr:from>
      <xdr:col>8</xdr:col>
      <xdr:colOff>47031</xdr:colOff>
      <xdr:row>2886</xdr:row>
      <xdr:rowOff>31229</xdr:rowOff>
    </xdr:from>
    <xdr:to>
      <xdr:col>10</xdr:col>
      <xdr:colOff>34395</xdr:colOff>
      <xdr:row>2892</xdr:row>
      <xdr:rowOff>15919</xdr:rowOff>
    </xdr:to>
    <xdr:pic>
      <xdr:nvPicPr>
        <xdr:cNvPr id="5" name="Imagen 4">
          <a:extLst>
            <a:ext uri="{FF2B5EF4-FFF2-40B4-BE49-F238E27FC236}">
              <a16:creationId xmlns:a16="http://schemas.microsoft.com/office/drawing/2014/main" id="{1B9D2424-4F09-4CEA-A2C1-C1440F91F707}"/>
            </a:ext>
          </a:extLst>
        </xdr:cNvPr>
        <xdr:cNvPicPr>
          <a:picLocks noChangeAspect="1"/>
        </xdr:cNvPicPr>
      </xdr:nvPicPr>
      <xdr:blipFill>
        <a:blip xmlns:r="http://schemas.openxmlformats.org/officeDocument/2006/relationships" r:embed="rId49"/>
        <a:stretch>
          <a:fillRect/>
        </a:stretch>
      </xdr:blipFill>
      <xdr:spPr>
        <a:xfrm>
          <a:off x="7960588" y="344080475"/>
          <a:ext cx="1448905" cy="1146428"/>
        </a:xfrm>
        <a:prstGeom prst="rect">
          <a:avLst/>
        </a:prstGeom>
      </xdr:spPr>
    </xdr:pic>
    <xdr:clientData/>
  </xdr:twoCellAnchor>
  <xdr:twoCellAnchor editAs="oneCell">
    <xdr:from>
      <xdr:col>10</xdr:col>
      <xdr:colOff>109733</xdr:colOff>
      <xdr:row>2886</xdr:row>
      <xdr:rowOff>51028</xdr:rowOff>
    </xdr:from>
    <xdr:to>
      <xdr:col>11</xdr:col>
      <xdr:colOff>537148</xdr:colOff>
      <xdr:row>2891</xdr:row>
      <xdr:rowOff>174519</xdr:rowOff>
    </xdr:to>
    <xdr:pic>
      <xdr:nvPicPr>
        <xdr:cNvPr id="6" name="Imagen 5">
          <a:extLst>
            <a:ext uri="{FF2B5EF4-FFF2-40B4-BE49-F238E27FC236}">
              <a16:creationId xmlns:a16="http://schemas.microsoft.com/office/drawing/2014/main" id="{6F515DB0-349E-4B7F-A837-EE8814DA0434}"/>
            </a:ext>
          </a:extLst>
        </xdr:cNvPr>
        <xdr:cNvPicPr>
          <a:picLocks noChangeAspect="1"/>
        </xdr:cNvPicPr>
      </xdr:nvPicPr>
      <xdr:blipFill>
        <a:blip xmlns:r="http://schemas.openxmlformats.org/officeDocument/2006/relationships" r:embed="rId50"/>
        <a:stretch>
          <a:fillRect/>
        </a:stretch>
      </xdr:blipFill>
      <xdr:spPr>
        <a:xfrm>
          <a:off x="9484831" y="344100274"/>
          <a:ext cx="1220645" cy="1091606"/>
        </a:xfrm>
        <a:prstGeom prst="rect">
          <a:avLst/>
        </a:prstGeom>
      </xdr:spPr>
    </xdr:pic>
    <xdr:clientData/>
  </xdr:twoCellAnchor>
  <xdr:twoCellAnchor editAs="oneCell">
    <xdr:from>
      <xdr:col>8</xdr:col>
      <xdr:colOff>112977</xdr:colOff>
      <xdr:row>2917</xdr:row>
      <xdr:rowOff>23636</xdr:rowOff>
    </xdr:from>
    <xdr:to>
      <xdr:col>10</xdr:col>
      <xdr:colOff>645696</xdr:colOff>
      <xdr:row>2926</xdr:row>
      <xdr:rowOff>54769</xdr:rowOff>
    </xdr:to>
    <xdr:pic>
      <xdr:nvPicPr>
        <xdr:cNvPr id="12" name="Imagen 11">
          <a:extLst>
            <a:ext uri="{FF2B5EF4-FFF2-40B4-BE49-F238E27FC236}">
              <a16:creationId xmlns:a16="http://schemas.microsoft.com/office/drawing/2014/main" id="{70910AD6-F32F-41CD-8613-2E561F0092D3}"/>
            </a:ext>
          </a:extLst>
        </xdr:cNvPr>
        <xdr:cNvPicPr>
          <a:picLocks noChangeAspect="1"/>
        </xdr:cNvPicPr>
      </xdr:nvPicPr>
      <xdr:blipFill>
        <a:blip xmlns:r="http://schemas.openxmlformats.org/officeDocument/2006/relationships" r:embed="rId51"/>
        <a:stretch>
          <a:fillRect/>
        </a:stretch>
      </xdr:blipFill>
      <xdr:spPr>
        <a:xfrm>
          <a:off x="8026534" y="350837193"/>
          <a:ext cx="1994260" cy="1773741"/>
        </a:xfrm>
        <a:prstGeom prst="rect">
          <a:avLst/>
        </a:prstGeom>
      </xdr:spPr>
    </xdr:pic>
    <xdr:clientData/>
  </xdr:twoCellAnchor>
  <xdr:twoCellAnchor editAs="oneCell">
    <xdr:from>
      <xdr:col>8</xdr:col>
      <xdr:colOff>84872</xdr:colOff>
      <xdr:row>2909</xdr:row>
      <xdr:rowOff>89647</xdr:rowOff>
    </xdr:from>
    <xdr:to>
      <xdr:col>10</xdr:col>
      <xdr:colOff>590756</xdr:colOff>
      <xdr:row>2915</xdr:row>
      <xdr:rowOff>127414</xdr:rowOff>
    </xdr:to>
    <xdr:pic>
      <xdr:nvPicPr>
        <xdr:cNvPr id="13" name="Imagen 12">
          <a:extLst>
            <a:ext uri="{FF2B5EF4-FFF2-40B4-BE49-F238E27FC236}">
              <a16:creationId xmlns:a16="http://schemas.microsoft.com/office/drawing/2014/main" id="{B89FD182-0F2D-4ACD-8F53-6E02D66BDFD2}"/>
            </a:ext>
          </a:extLst>
        </xdr:cNvPr>
        <xdr:cNvPicPr>
          <a:picLocks noChangeAspect="1"/>
        </xdr:cNvPicPr>
      </xdr:nvPicPr>
      <xdr:blipFill>
        <a:blip xmlns:r="http://schemas.openxmlformats.org/officeDocument/2006/relationships" r:embed="rId52"/>
        <a:stretch>
          <a:fillRect/>
        </a:stretch>
      </xdr:blipFill>
      <xdr:spPr>
        <a:xfrm>
          <a:off x="7998429" y="349354221"/>
          <a:ext cx="1967425" cy="1199505"/>
        </a:xfrm>
        <a:prstGeom prst="rect">
          <a:avLst/>
        </a:prstGeom>
      </xdr:spPr>
    </xdr:pic>
    <xdr:clientData/>
  </xdr:twoCellAnchor>
  <xdr:twoCellAnchor editAs="oneCell">
    <xdr:from>
      <xdr:col>11</xdr:col>
      <xdr:colOff>52294</xdr:colOff>
      <xdr:row>2909</xdr:row>
      <xdr:rowOff>67235</xdr:rowOff>
    </xdr:from>
    <xdr:to>
      <xdr:col>13</xdr:col>
      <xdr:colOff>485588</xdr:colOff>
      <xdr:row>2921</xdr:row>
      <xdr:rowOff>7904</xdr:rowOff>
    </xdr:to>
    <xdr:pic>
      <xdr:nvPicPr>
        <xdr:cNvPr id="14" name="Imagen 13">
          <a:extLst>
            <a:ext uri="{FF2B5EF4-FFF2-40B4-BE49-F238E27FC236}">
              <a16:creationId xmlns:a16="http://schemas.microsoft.com/office/drawing/2014/main" id="{6412008B-89A0-4ABA-865A-850EFFA55DA1}"/>
            </a:ext>
          </a:extLst>
        </xdr:cNvPr>
        <xdr:cNvPicPr>
          <a:picLocks noChangeAspect="1"/>
        </xdr:cNvPicPr>
      </xdr:nvPicPr>
      <xdr:blipFill>
        <a:blip xmlns:r="http://schemas.openxmlformats.org/officeDocument/2006/relationships" r:embed="rId53"/>
        <a:stretch>
          <a:fillRect/>
        </a:stretch>
      </xdr:blipFill>
      <xdr:spPr>
        <a:xfrm>
          <a:off x="10212294" y="344506176"/>
          <a:ext cx="1897529" cy="2271494"/>
        </a:xfrm>
        <a:prstGeom prst="rect">
          <a:avLst/>
        </a:prstGeom>
      </xdr:spPr>
    </xdr:pic>
    <xdr:clientData/>
  </xdr:twoCellAnchor>
  <xdr:twoCellAnchor editAs="oneCell">
    <xdr:from>
      <xdr:col>10</xdr:col>
      <xdr:colOff>598025</xdr:colOff>
      <xdr:row>2922</xdr:row>
      <xdr:rowOff>179681</xdr:rowOff>
    </xdr:from>
    <xdr:to>
      <xdr:col>13</xdr:col>
      <xdr:colOff>684834</xdr:colOff>
      <xdr:row>2933</xdr:row>
      <xdr:rowOff>104297</xdr:rowOff>
    </xdr:to>
    <xdr:pic>
      <xdr:nvPicPr>
        <xdr:cNvPr id="19" name="Imagen 18">
          <a:extLst>
            <a:ext uri="{FF2B5EF4-FFF2-40B4-BE49-F238E27FC236}">
              <a16:creationId xmlns:a16="http://schemas.microsoft.com/office/drawing/2014/main" id="{A2397F6C-7455-4F87-8C16-F24418BE3476}"/>
            </a:ext>
          </a:extLst>
        </xdr:cNvPr>
        <xdr:cNvPicPr>
          <a:picLocks noChangeAspect="1"/>
        </xdr:cNvPicPr>
      </xdr:nvPicPr>
      <xdr:blipFill>
        <a:blip xmlns:r="http://schemas.openxmlformats.org/officeDocument/2006/relationships" r:embed="rId54"/>
        <a:stretch>
          <a:fillRect/>
        </a:stretch>
      </xdr:blipFill>
      <xdr:spPr>
        <a:xfrm>
          <a:off x="9983164" y="349590440"/>
          <a:ext cx="2343873" cy="2046642"/>
        </a:xfrm>
        <a:prstGeom prst="rect">
          <a:avLst/>
        </a:prstGeom>
      </xdr:spPr>
    </xdr:pic>
    <xdr:clientData/>
  </xdr:twoCellAnchor>
  <xdr:twoCellAnchor editAs="oneCell">
    <xdr:from>
      <xdr:col>11</xdr:col>
      <xdr:colOff>81088</xdr:colOff>
      <xdr:row>2892</xdr:row>
      <xdr:rowOff>62459</xdr:rowOff>
    </xdr:from>
    <xdr:to>
      <xdr:col>13</xdr:col>
      <xdr:colOff>626440</xdr:colOff>
      <xdr:row>2898</xdr:row>
      <xdr:rowOff>121555</xdr:rowOff>
    </xdr:to>
    <xdr:pic>
      <xdr:nvPicPr>
        <xdr:cNvPr id="183" name="Imagen 182">
          <a:extLst>
            <a:ext uri="{FF2B5EF4-FFF2-40B4-BE49-F238E27FC236}">
              <a16:creationId xmlns:a16="http://schemas.microsoft.com/office/drawing/2014/main" id="{A16B8507-61D3-4D09-866C-683162ED7631}"/>
            </a:ext>
          </a:extLst>
        </xdr:cNvPr>
        <xdr:cNvPicPr>
          <a:picLocks noChangeAspect="1"/>
        </xdr:cNvPicPr>
      </xdr:nvPicPr>
      <xdr:blipFill>
        <a:blip xmlns:r="http://schemas.openxmlformats.org/officeDocument/2006/relationships" r:embed="rId41"/>
        <a:stretch>
          <a:fillRect/>
        </a:stretch>
      </xdr:blipFill>
      <xdr:spPr>
        <a:xfrm>
          <a:off x="10249416" y="345273443"/>
          <a:ext cx="2006893" cy="1220834"/>
        </a:xfrm>
        <a:prstGeom prst="rect">
          <a:avLst/>
        </a:prstGeom>
      </xdr:spPr>
    </xdr:pic>
    <xdr:clientData/>
  </xdr:twoCellAnchor>
  <xdr:twoCellAnchor editAs="oneCell">
    <xdr:from>
      <xdr:col>8</xdr:col>
      <xdr:colOff>199870</xdr:colOff>
      <xdr:row>2892</xdr:row>
      <xdr:rowOff>102649</xdr:rowOff>
    </xdr:from>
    <xdr:to>
      <xdr:col>10</xdr:col>
      <xdr:colOff>499672</xdr:colOff>
      <xdr:row>2898</xdr:row>
      <xdr:rowOff>128346</xdr:rowOff>
    </xdr:to>
    <xdr:pic>
      <xdr:nvPicPr>
        <xdr:cNvPr id="184" name="Imagen 183">
          <a:extLst>
            <a:ext uri="{FF2B5EF4-FFF2-40B4-BE49-F238E27FC236}">
              <a16:creationId xmlns:a16="http://schemas.microsoft.com/office/drawing/2014/main" id="{38AC0BC1-B4E6-4DBA-8E3F-63CA9CA0FA17}"/>
            </a:ext>
          </a:extLst>
        </xdr:cNvPr>
        <xdr:cNvPicPr>
          <a:picLocks noChangeAspect="1"/>
        </xdr:cNvPicPr>
      </xdr:nvPicPr>
      <xdr:blipFill>
        <a:blip xmlns:r="http://schemas.openxmlformats.org/officeDocument/2006/relationships" r:embed="rId42"/>
        <a:stretch>
          <a:fillRect/>
        </a:stretch>
      </xdr:blipFill>
      <xdr:spPr>
        <a:xfrm>
          <a:off x="8113427" y="345313633"/>
          <a:ext cx="1761343" cy="1187435"/>
        </a:xfrm>
        <a:prstGeom prst="rect">
          <a:avLst/>
        </a:prstGeom>
      </xdr:spPr>
    </xdr:pic>
    <xdr:clientData/>
  </xdr:twoCellAnchor>
  <xdr:twoCellAnchor editAs="oneCell">
    <xdr:from>
      <xdr:col>8</xdr:col>
      <xdr:colOff>268941</xdr:colOff>
      <xdr:row>3007</xdr:row>
      <xdr:rowOff>104589</xdr:rowOff>
    </xdr:from>
    <xdr:to>
      <xdr:col>10</xdr:col>
      <xdr:colOff>309417</xdr:colOff>
      <xdr:row>3016</xdr:row>
      <xdr:rowOff>127000</xdr:rowOff>
    </xdr:to>
    <xdr:pic>
      <xdr:nvPicPr>
        <xdr:cNvPr id="20" name="Imagen 19">
          <a:extLst>
            <a:ext uri="{FF2B5EF4-FFF2-40B4-BE49-F238E27FC236}">
              <a16:creationId xmlns:a16="http://schemas.microsoft.com/office/drawing/2014/main" id="{9DD99D7E-8E0C-46FE-B53D-BB6A5D82B950}"/>
            </a:ext>
          </a:extLst>
        </xdr:cNvPr>
        <xdr:cNvPicPr>
          <a:picLocks noChangeAspect="1"/>
        </xdr:cNvPicPr>
      </xdr:nvPicPr>
      <xdr:blipFill>
        <a:blip xmlns:r="http://schemas.openxmlformats.org/officeDocument/2006/relationships" r:embed="rId55"/>
        <a:stretch>
          <a:fillRect/>
        </a:stretch>
      </xdr:blipFill>
      <xdr:spPr>
        <a:xfrm>
          <a:off x="8172823" y="366708765"/>
          <a:ext cx="1504712" cy="1770529"/>
        </a:xfrm>
        <a:prstGeom prst="rect">
          <a:avLst/>
        </a:prstGeom>
      </xdr:spPr>
    </xdr:pic>
    <xdr:clientData/>
  </xdr:twoCellAnchor>
  <xdr:twoCellAnchor editAs="oneCell">
    <xdr:from>
      <xdr:col>8</xdr:col>
      <xdr:colOff>119530</xdr:colOff>
      <xdr:row>3027</xdr:row>
      <xdr:rowOff>185176</xdr:rowOff>
    </xdr:from>
    <xdr:to>
      <xdr:col>10</xdr:col>
      <xdr:colOff>605118</xdr:colOff>
      <xdr:row>3037</xdr:row>
      <xdr:rowOff>141194</xdr:rowOff>
    </xdr:to>
    <xdr:pic>
      <xdr:nvPicPr>
        <xdr:cNvPr id="21" name="Imagen 20">
          <a:extLst>
            <a:ext uri="{FF2B5EF4-FFF2-40B4-BE49-F238E27FC236}">
              <a16:creationId xmlns:a16="http://schemas.microsoft.com/office/drawing/2014/main" id="{5EC17B17-2B46-4900-88DC-B4997D327F53}"/>
            </a:ext>
          </a:extLst>
        </xdr:cNvPr>
        <xdr:cNvPicPr>
          <a:picLocks noChangeAspect="1"/>
        </xdr:cNvPicPr>
      </xdr:nvPicPr>
      <xdr:blipFill>
        <a:blip xmlns:r="http://schemas.openxmlformats.org/officeDocument/2006/relationships" r:embed="rId56"/>
        <a:stretch>
          <a:fillRect/>
        </a:stretch>
      </xdr:blipFill>
      <xdr:spPr>
        <a:xfrm>
          <a:off x="8023412" y="371294117"/>
          <a:ext cx="1949824" cy="1898370"/>
        </a:xfrm>
        <a:prstGeom prst="rect">
          <a:avLst/>
        </a:prstGeom>
      </xdr:spPr>
    </xdr:pic>
    <xdr:clientData/>
  </xdr:twoCellAnchor>
  <xdr:twoCellAnchor editAs="oneCell">
    <xdr:from>
      <xdr:col>11</xdr:col>
      <xdr:colOff>134472</xdr:colOff>
      <xdr:row>3050</xdr:row>
      <xdr:rowOff>29881</xdr:rowOff>
    </xdr:from>
    <xdr:to>
      <xdr:col>13</xdr:col>
      <xdr:colOff>481957</xdr:colOff>
      <xdr:row>3060</xdr:row>
      <xdr:rowOff>135077</xdr:rowOff>
    </xdr:to>
    <xdr:pic>
      <xdr:nvPicPr>
        <xdr:cNvPr id="22" name="Imagen 21">
          <a:extLst>
            <a:ext uri="{FF2B5EF4-FFF2-40B4-BE49-F238E27FC236}">
              <a16:creationId xmlns:a16="http://schemas.microsoft.com/office/drawing/2014/main" id="{AD4F6E61-2168-4079-8AD1-9D9310ADDB62}"/>
            </a:ext>
          </a:extLst>
        </xdr:cNvPr>
        <xdr:cNvPicPr>
          <a:picLocks noChangeAspect="1"/>
        </xdr:cNvPicPr>
      </xdr:nvPicPr>
      <xdr:blipFill>
        <a:blip xmlns:r="http://schemas.openxmlformats.org/officeDocument/2006/relationships" r:embed="rId57"/>
        <a:stretch>
          <a:fillRect/>
        </a:stretch>
      </xdr:blipFill>
      <xdr:spPr>
        <a:xfrm>
          <a:off x="10294472" y="376151587"/>
          <a:ext cx="1811720" cy="2047549"/>
        </a:xfrm>
        <a:prstGeom prst="rect">
          <a:avLst/>
        </a:prstGeom>
      </xdr:spPr>
    </xdr:pic>
    <xdr:clientData/>
  </xdr:twoCellAnchor>
  <xdr:twoCellAnchor editAs="oneCell">
    <xdr:from>
      <xdr:col>11</xdr:col>
      <xdr:colOff>62911</xdr:colOff>
      <xdr:row>3115</xdr:row>
      <xdr:rowOff>70167</xdr:rowOff>
    </xdr:from>
    <xdr:to>
      <xdr:col>12</xdr:col>
      <xdr:colOff>463176</xdr:colOff>
      <xdr:row>3121</xdr:row>
      <xdr:rowOff>83214</xdr:rowOff>
    </xdr:to>
    <xdr:pic>
      <xdr:nvPicPr>
        <xdr:cNvPr id="23" name="Imagen 22">
          <a:extLst>
            <a:ext uri="{FF2B5EF4-FFF2-40B4-BE49-F238E27FC236}">
              <a16:creationId xmlns:a16="http://schemas.microsoft.com/office/drawing/2014/main" id="{66DAEF7F-7BBF-45A5-8321-1000AA940471}"/>
            </a:ext>
          </a:extLst>
        </xdr:cNvPr>
        <xdr:cNvPicPr>
          <a:picLocks noChangeAspect="1"/>
        </xdr:cNvPicPr>
      </xdr:nvPicPr>
      <xdr:blipFill>
        <a:blip xmlns:r="http://schemas.openxmlformats.org/officeDocument/2006/relationships" r:embed="rId58"/>
        <a:stretch>
          <a:fillRect/>
        </a:stretch>
      </xdr:blipFill>
      <xdr:spPr>
        <a:xfrm>
          <a:off x="10222911" y="390512991"/>
          <a:ext cx="1132383" cy="1178458"/>
        </a:xfrm>
        <a:prstGeom prst="rect">
          <a:avLst/>
        </a:prstGeom>
      </xdr:spPr>
    </xdr:pic>
    <xdr:clientData/>
  </xdr:twoCellAnchor>
  <xdr:twoCellAnchor editAs="oneCell">
    <xdr:from>
      <xdr:col>11</xdr:col>
      <xdr:colOff>89650</xdr:colOff>
      <xdr:row>3121</xdr:row>
      <xdr:rowOff>164353</xdr:rowOff>
    </xdr:from>
    <xdr:to>
      <xdr:col>12</xdr:col>
      <xdr:colOff>358889</xdr:colOff>
      <xdr:row>3127</xdr:row>
      <xdr:rowOff>104940</xdr:rowOff>
    </xdr:to>
    <xdr:pic>
      <xdr:nvPicPr>
        <xdr:cNvPr id="24" name="Imagen 23">
          <a:extLst>
            <a:ext uri="{FF2B5EF4-FFF2-40B4-BE49-F238E27FC236}">
              <a16:creationId xmlns:a16="http://schemas.microsoft.com/office/drawing/2014/main" id="{4E6C4D5B-D8D7-48CB-AC08-FAB0483A6926}"/>
            </a:ext>
          </a:extLst>
        </xdr:cNvPr>
        <xdr:cNvPicPr>
          <a:picLocks noChangeAspect="1"/>
        </xdr:cNvPicPr>
      </xdr:nvPicPr>
      <xdr:blipFill>
        <a:blip xmlns:r="http://schemas.openxmlformats.org/officeDocument/2006/relationships" r:embed="rId59"/>
        <a:stretch>
          <a:fillRect/>
        </a:stretch>
      </xdr:blipFill>
      <xdr:spPr>
        <a:xfrm>
          <a:off x="10249650" y="391772588"/>
          <a:ext cx="1001357" cy="1106000"/>
        </a:xfrm>
        <a:prstGeom prst="rect">
          <a:avLst/>
        </a:prstGeom>
      </xdr:spPr>
    </xdr:pic>
    <xdr:clientData/>
  </xdr:twoCellAnchor>
  <xdr:twoCellAnchor editAs="oneCell">
    <xdr:from>
      <xdr:col>8</xdr:col>
      <xdr:colOff>212339</xdr:colOff>
      <xdr:row>3115</xdr:row>
      <xdr:rowOff>106848</xdr:rowOff>
    </xdr:from>
    <xdr:to>
      <xdr:col>10</xdr:col>
      <xdr:colOff>321235</xdr:colOff>
      <xdr:row>3120</xdr:row>
      <xdr:rowOff>82478</xdr:rowOff>
    </xdr:to>
    <xdr:pic>
      <xdr:nvPicPr>
        <xdr:cNvPr id="25" name="Imagen 24">
          <a:extLst>
            <a:ext uri="{FF2B5EF4-FFF2-40B4-BE49-F238E27FC236}">
              <a16:creationId xmlns:a16="http://schemas.microsoft.com/office/drawing/2014/main" id="{18E910D8-827E-42DE-BFF9-22CB47CB96D1}"/>
            </a:ext>
          </a:extLst>
        </xdr:cNvPr>
        <xdr:cNvPicPr>
          <a:picLocks noChangeAspect="1"/>
        </xdr:cNvPicPr>
      </xdr:nvPicPr>
      <xdr:blipFill>
        <a:blip xmlns:r="http://schemas.openxmlformats.org/officeDocument/2006/relationships" r:embed="rId60"/>
        <a:stretch>
          <a:fillRect/>
        </a:stretch>
      </xdr:blipFill>
      <xdr:spPr>
        <a:xfrm>
          <a:off x="8116221" y="390549672"/>
          <a:ext cx="1573132" cy="946806"/>
        </a:xfrm>
        <a:prstGeom prst="rect">
          <a:avLst/>
        </a:prstGeom>
      </xdr:spPr>
    </xdr:pic>
    <xdr:clientData/>
  </xdr:twoCellAnchor>
  <xdr:twoCellAnchor editAs="oneCell">
    <xdr:from>
      <xdr:col>12</xdr:col>
      <xdr:colOff>361531</xdr:colOff>
      <xdr:row>3226</xdr:row>
      <xdr:rowOff>50867</xdr:rowOff>
    </xdr:from>
    <xdr:to>
      <xdr:col>13</xdr:col>
      <xdr:colOff>620060</xdr:colOff>
      <xdr:row>3233</xdr:row>
      <xdr:rowOff>0</xdr:rowOff>
    </xdr:to>
    <xdr:pic>
      <xdr:nvPicPr>
        <xdr:cNvPr id="27" name="Imagen 26">
          <a:extLst>
            <a:ext uri="{FF2B5EF4-FFF2-40B4-BE49-F238E27FC236}">
              <a16:creationId xmlns:a16="http://schemas.microsoft.com/office/drawing/2014/main" id="{918FCFF0-7D21-4A83-A899-F4E0DF96722A}"/>
            </a:ext>
          </a:extLst>
        </xdr:cNvPr>
        <xdr:cNvPicPr>
          <a:picLocks noChangeAspect="1"/>
        </xdr:cNvPicPr>
      </xdr:nvPicPr>
      <xdr:blipFill>
        <a:blip xmlns:r="http://schemas.openxmlformats.org/officeDocument/2006/relationships" r:embed="rId61"/>
        <a:stretch>
          <a:fillRect/>
        </a:stretch>
      </xdr:blipFill>
      <xdr:spPr>
        <a:xfrm>
          <a:off x="11253649" y="400444514"/>
          <a:ext cx="990646" cy="1308780"/>
        </a:xfrm>
        <a:prstGeom prst="rect">
          <a:avLst/>
        </a:prstGeom>
      </xdr:spPr>
    </xdr:pic>
    <xdr:clientData/>
  </xdr:twoCellAnchor>
  <xdr:twoCellAnchor editAs="oneCell">
    <xdr:from>
      <xdr:col>10</xdr:col>
      <xdr:colOff>695118</xdr:colOff>
      <xdr:row>3027</xdr:row>
      <xdr:rowOff>148641</xdr:rowOff>
    </xdr:from>
    <xdr:to>
      <xdr:col>13</xdr:col>
      <xdr:colOff>693618</xdr:colOff>
      <xdr:row>3036</xdr:row>
      <xdr:rowOff>97117</xdr:rowOff>
    </xdr:to>
    <xdr:pic>
      <xdr:nvPicPr>
        <xdr:cNvPr id="28" name="Imagen 27">
          <a:extLst>
            <a:ext uri="{FF2B5EF4-FFF2-40B4-BE49-F238E27FC236}">
              <a16:creationId xmlns:a16="http://schemas.microsoft.com/office/drawing/2014/main" id="{D7042D96-E4F3-4AF1-A605-E92720E999DC}"/>
            </a:ext>
          </a:extLst>
        </xdr:cNvPr>
        <xdr:cNvPicPr>
          <a:picLocks noChangeAspect="1"/>
        </xdr:cNvPicPr>
      </xdr:nvPicPr>
      <xdr:blipFill>
        <a:blip xmlns:r="http://schemas.openxmlformats.org/officeDocument/2006/relationships" r:embed="rId62"/>
        <a:stretch>
          <a:fillRect/>
        </a:stretch>
      </xdr:blipFill>
      <xdr:spPr>
        <a:xfrm>
          <a:off x="10063236" y="371257582"/>
          <a:ext cx="2254617" cy="1696593"/>
        </a:xfrm>
        <a:prstGeom prst="rect">
          <a:avLst/>
        </a:prstGeom>
      </xdr:spPr>
    </xdr:pic>
    <xdr:clientData/>
  </xdr:twoCellAnchor>
  <xdr:twoCellAnchor editAs="oneCell">
    <xdr:from>
      <xdr:col>10</xdr:col>
      <xdr:colOff>499108</xdr:colOff>
      <xdr:row>3204</xdr:row>
      <xdr:rowOff>97563</xdr:rowOff>
    </xdr:from>
    <xdr:to>
      <xdr:col>13</xdr:col>
      <xdr:colOff>678515</xdr:colOff>
      <xdr:row>3211</xdr:row>
      <xdr:rowOff>119530</xdr:rowOff>
    </xdr:to>
    <xdr:pic>
      <xdr:nvPicPr>
        <xdr:cNvPr id="30" name="Imagen 29">
          <a:extLst>
            <a:ext uri="{FF2B5EF4-FFF2-40B4-BE49-F238E27FC236}">
              <a16:creationId xmlns:a16="http://schemas.microsoft.com/office/drawing/2014/main" id="{4D188D88-41D9-4983-BAEF-5302955F3D7F}"/>
            </a:ext>
          </a:extLst>
        </xdr:cNvPr>
        <xdr:cNvPicPr>
          <a:picLocks noChangeAspect="1"/>
        </xdr:cNvPicPr>
      </xdr:nvPicPr>
      <xdr:blipFill>
        <a:blip xmlns:r="http://schemas.openxmlformats.org/officeDocument/2006/relationships" r:embed="rId63"/>
        <a:stretch>
          <a:fillRect/>
        </a:stretch>
      </xdr:blipFill>
      <xdr:spPr>
        <a:xfrm>
          <a:off x="9867226" y="395553151"/>
          <a:ext cx="2435524" cy="1381614"/>
        </a:xfrm>
        <a:prstGeom prst="rect">
          <a:avLst/>
        </a:prstGeom>
      </xdr:spPr>
    </xdr:pic>
    <xdr:clientData/>
  </xdr:twoCellAnchor>
  <xdr:twoCellAnchor editAs="oneCell">
    <xdr:from>
      <xdr:col>8</xdr:col>
      <xdr:colOff>29884</xdr:colOff>
      <xdr:row>3204</xdr:row>
      <xdr:rowOff>44823</xdr:rowOff>
    </xdr:from>
    <xdr:to>
      <xdr:col>10</xdr:col>
      <xdr:colOff>631473</xdr:colOff>
      <xdr:row>3215</xdr:row>
      <xdr:rowOff>14329</xdr:rowOff>
    </xdr:to>
    <xdr:pic>
      <xdr:nvPicPr>
        <xdr:cNvPr id="33" name="Imagen 32">
          <a:extLst>
            <a:ext uri="{FF2B5EF4-FFF2-40B4-BE49-F238E27FC236}">
              <a16:creationId xmlns:a16="http://schemas.microsoft.com/office/drawing/2014/main" id="{F5C73550-6430-488D-B8D9-2CE5FEA7F290}"/>
            </a:ext>
          </a:extLst>
        </xdr:cNvPr>
        <xdr:cNvPicPr>
          <a:picLocks noChangeAspect="1"/>
        </xdr:cNvPicPr>
      </xdr:nvPicPr>
      <xdr:blipFill>
        <a:blip xmlns:r="http://schemas.openxmlformats.org/officeDocument/2006/relationships" r:embed="rId64"/>
        <a:stretch>
          <a:fillRect/>
        </a:stretch>
      </xdr:blipFill>
      <xdr:spPr>
        <a:xfrm>
          <a:off x="7933766" y="395500411"/>
          <a:ext cx="2065825" cy="2106094"/>
        </a:xfrm>
        <a:prstGeom prst="rect">
          <a:avLst/>
        </a:prstGeom>
      </xdr:spPr>
    </xdr:pic>
    <xdr:clientData/>
  </xdr:twoCellAnchor>
  <xdr:twoCellAnchor editAs="oneCell">
    <xdr:from>
      <xdr:col>8</xdr:col>
      <xdr:colOff>97118</xdr:colOff>
      <xdr:row>3226</xdr:row>
      <xdr:rowOff>89647</xdr:rowOff>
    </xdr:from>
    <xdr:to>
      <xdr:col>10</xdr:col>
      <xdr:colOff>698707</xdr:colOff>
      <xdr:row>3237</xdr:row>
      <xdr:rowOff>59154</xdr:rowOff>
    </xdr:to>
    <xdr:pic>
      <xdr:nvPicPr>
        <xdr:cNvPr id="201" name="Imagen 200">
          <a:extLst>
            <a:ext uri="{FF2B5EF4-FFF2-40B4-BE49-F238E27FC236}">
              <a16:creationId xmlns:a16="http://schemas.microsoft.com/office/drawing/2014/main" id="{D763014B-EA72-4582-97AC-51710037E1DB}"/>
            </a:ext>
          </a:extLst>
        </xdr:cNvPr>
        <xdr:cNvPicPr>
          <a:picLocks noChangeAspect="1"/>
        </xdr:cNvPicPr>
      </xdr:nvPicPr>
      <xdr:blipFill>
        <a:blip xmlns:r="http://schemas.openxmlformats.org/officeDocument/2006/relationships" r:embed="rId64"/>
        <a:stretch>
          <a:fillRect/>
        </a:stretch>
      </xdr:blipFill>
      <xdr:spPr>
        <a:xfrm>
          <a:off x="8001000" y="400483294"/>
          <a:ext cx="2065825" cy="2106094"/>
        </a:xfrm>
        <a:prstGeom prst="rect">
          <a:avLst/>
        </a:prstGeom>
      </xdr:spPr>
    </xdr:pic>
    <xdr:clientData/>
  </xdr:twoCellAnchor>
  <xdr:twoCellAnchor editAs="oneCell">
    <xdr:from>
      <xdr:col>10</xdr:col>
      <xdr:colOff>679823</xdr:colOff>
      <xdr:row>3233</xdr:row>
      <xdr:rowOff>53845</xdr:rowOff>
    </xdr:from>
    <xdr:to>
      <xdr:col>13</xdr:col>
      <xdr:colOff>552824</xdr:colOff>
      <xdr:row>3238</xdr:row>
      <xdr:rowOff>181733</xdr:rowOff>
    </xdr:to>
    <xdr:pic>
      <xdr:nvPicPr>
        <xdr:cNvPr id="36" name="Imagen 35">
          <a:extLst>
            <a:ext uri="{FF2B5EF4-FFF2-40B4-BE49-F238E27FC236}">
              <a16:creationId xmlns:a16="http://schemas.microsoft.com/office/drawing/2014/main" id="{58296F82-BBB2-4ACA-97CB-38FB7727B660}"/>
            </a:ext>
          </a:extLst>
        </xdr:cNvPr>
        <xdr:cNvPicPr>
          <a:picLocks noChangeAspect="1"/>
        </xdr:cNvPicPr>
      </xdr:nvPicPr>
      <xdr:blipFill>
        <a:blip xmlns:r="http://schemas.openxmlformats.org/officeDocument/2006/relationships" r:embed="rId65"/>
        <a:stretch>
          <a:fillRect/>
        </a:stretch>
      </xdr:blipFill>
      <xdr:spPr>
        <a:xfrm>
          <a:off x="10047941" y="401807139"/>
          <a:ext cx="2129118" cy="1099065"/>
        </a:xfrm>
        <a:prstGeom prst="rect">
          <a:avLst/>
        </a:prstGeom>
      </xdr:spPr>
    </xdr:pic>
    <xdr:clientData/>
  </xdr:twoCellAnchor>
  <xdr:twoCellAnchor editAs="oneCell">
    <xdr:from>
      <xdr:col>11</xdr:col>
      <xdr:colOff>37354</xdr:colOff>
      <xdr:row>3226</xdr:row>
      <xdr:rowOff>53249</xdr:rowOff>
    </xdr:from>
    <xdr:to>
      <xdr:col>12</xdr:col>
      <xdr:colOff>325145</xdr:colOff>
      <xdr:row>3232</xdr:row>
      <xdr:rowOff>179295</xdr:rowOff>
    </xdr:to>
    <xdr:pic>
      <xdr:nvPicPr>
        <xdr:cNvPr id="38" name="Imagen 37">
          <a:extLst>
            <a:ext uri="{FF2B5EF4-FFF2-40B4-BE49-F238E27FC236}">
              <a16:creationId xmlns:a16="http://schemas.microsoft.com/office/drawing/2014/main" id="{2B1075CC-5691-4597-858A-6B218212F27A}"/>
            </a:ext>
          </a:extLst>
        </xdr:cNvPr>
        <xdr:cNvPicPr>
          <a:picLocks noChangeAspect="1"/>
        </xdr:cNvPicPr>
      </xdr:nvPicPr>
      <xdr:blipFill>
        <a:blip xmlns:r="http://schemas.openxmlformats.org/officeDocument/2006/relationships" r:embed="rId66"/>
        <a:stretch>
          <a:fillRect/>
        </a:stretch>
      </xdr:blipFill>
      <xdr:spPr>
        <a:xfrm>
          <a:off x="10197354" y="400446896"/>
          <a:ext cx="1019909" cy="1291457"/>
        </a:xfrm>
        <a:prstGeom prst="rect">
          <a:avLst/>
        </a:prstGeom>
      </xdr:spPr>
    </xdr:pic>
    <xdr:clientData/>
  </xdr:twoCellAnchor>
  <xdr:twoCellAnchor editAs="oneCell">
    <xdr:from>
      <xdr:col>8</xdr:col>
      <xdr:colOff>143763</xdr:colOff>
      <xdr:row>3293</xdr:row>
      <xdr:rowOff>142717</xdr:rowOff>
    </xdr:from>
    <xdr:to>
      <xdr:col>10</xdr:col>
      <xdr:colOff>580225</xdr:colOff>
      <xdr:row>3304</xdr:row>
      <xdr:rowOff>89163</xdr:rowOff>
    </xdr:to>
    <xdr:pic>
      <xdr:nvPicPr>
        <xdr:cNvPr id="44" name="Imagen 43">
          <a:extLst>
            <a:ext uri="{FF2B5EF4-FFF2-40B4-BE49-F238E27FC236}">
              <a16:creationId xmlns:a16="http://schemas.microsoft.com/office/drawing/2014/main" id="{1DAD0A71-53BC-4638-BC57-4CC03D42A71A}"/>
            </a:ext>
          </a:extLst>
        </xdr:cNvPr>
        <xdr:cNvPicPr>
          <a:picLocks noChangeAspect="1"/>
        </xdr:cNvPicPr>
      </xdr:nvPicPr>
      <xdr:blipFill>
        <a:blip xmlns:r="http://schemas.openxmlformats.org/officeDocument/2006/relationships" r:embed="rId67"/>
        <a:stretch>
          <a:fillRect/>
        </a:stretch>
      </xdr:blipFill>
      <xdr:spPr>
        <a:xfrm>
          <a:off x="8058172" y="416463149"/>
          <a:ext cx="1891189" cy="2041947"/>
        </a:xfrm>
        <a:prstGeom prst="rect">
          <a:avLst/>
        </a:prstGeom>
      </xdr:spPr>
    </xdr:pic>
    <xdr:clientData/>
  </xdr:twoCellAnchor>
  <xdr:twoCellAnchor editAs="oneCell">
    <xdr:from>
      <xdr:col>8</xdr:col>
      <xdr:colOff>77933</xdr:colOff>
      <xdr:row>3315</xdr:row>
      <xdr:rowOff>86591</xdr:rowOff>
    </xdr:from>
    <xdr:to>
      <xdr:col>10</xdr:col>
      <xdr:colOff>683463</xdr:colOff>
      <xdr:row>3327</xdr:row>
      <xdr:rowOff>107230</xdr:rowOff>
    </xdr:to>
    <xdr:pic>
      <xdr:nvPicPr>
        <xdr:cNvPr id="47" name="Imagen 46">
          <a:extLst>
            <a:ext uri="{FF2B5EF4-FFF2-40B4-BE49-F238E27FC236}">
              <a16:creationId xmlns:a16="http://schemas.microsoft.com/office/drawing/2014/main" id="{9D044B27-3548-4054-B11A-7B977D2356A6}"/>
            </a:ext>
          </a:extLst>
        </xdr:cNvPr>
        <xdr:cNvPicPr>
          <a:picLocks noChangeAspect="1"/>
        </xdr:cNvPicPr>
      </xdr:nvPicPr>
      <xdr:blipFill>
        <a:blip xmlns:r="http://schemas.openxmlformats.org/officeDocument/2006/relationships" r:embed="rId68"/>
        <a:stretch>
          <a:fillRect/>
        </a:stretch>
      </xdr:blipFill>
      <xdr:spPr>
        <a:xfrm>
          <a:off x="7992342" y="421697727"/>
          <a:ext cx="2060257" cy="2306638"/>
        </a:xfrm>
        <a:prstGeom prst="rect">
          <a:avLst/>
        </a:prstGeom>
      </xdr:spPr>
    </xdr:pic>
    <xdr:clientData/>
  </xdr:twoCellAnchor>
  <xdr:twoCellAnchor editAs="oneCell">
    <xdr:from>
      <xdr:col>8</xdr:col>
      <xdr:colOff>147205</xdr:colOff>
      <xdr:row>3249</xdr:row>
      <xdr:rowOff>106518</xdr:rowOff>
    </xdr:from>
    <xdr:to>
      <xdr:col>10</xdr:col>
      <xdr:colOff>554182</xdr:colOff>
      <xdr:row>3260</xdr:row>
      <xdr:rowOff>122059</xdr:rowOff>
    </xdr:to>
    <xdr:pic>
      <xdr:nvPicPr>
        <xdr:cNvPr id="49" name="Imagen 48">
          <a:extLst>
            <a:ext uri="{FF2B5EF4-FFF2-40B4-BE49-F238E27FC236}">
              <a16:creationId xmlns:a16="http://schemas.microsoft.com/office/drawing/2014/main" id="{8D06CBDE-3C00-449C-8FAF-22DACEE72319}"/>
            </a:ext>
          </a:extLst>
        </xdr:cNvPr>
        <xdr:cNvPicPr>
          <a:picLocks noChangeAspect="1"/>
        </xdr:cNvPicPr>
      </xdr:nvPicPr>
      <xdr:blipFill>
        <a:blip xmlns:r="http://schemas.openxmlformats.org/officeDocument/2006/relationships" r:embed="rId69"/>
        <a:stretch>
          <a:fillRect/>
        </a:stretch>
      </xdr:blipFill>
      <xdr:spPr>
        <a:xfrm>
          <a:off x="8061614" y="406313132"/>
          <a:ext cx="1861704" cy="2111040"/>
        </a:xfrm>
        <a:prstGeom prst="rect">
          <a:avLst/>
        </a:prstGeom>
      </xdr:spPr>
    </xdr:pic>
    <xdr:clientData/>
  </xdr:twoCellAnchor>
  <xdr:twoCellAnchor editAs="oneCell">
    <xdr:from>
      <xdr:col>10</xdr:col>
      <xdr:colOff>787978</xdr:colOff>
      <xdr:row>3293</xdr:row>
      <xdr:rowOff>139397</xdr:rowOff>
    </xdr:from>
    <xdr:to>
      <xdr:col>13</xdr:col>
      <xdr:colOff>675409</xdr:colOff>
      <xdr:row>3299</xdr:row>
      <xdr:rowOff>34074</xdr:rowOff>
    </xdr:to>
    <xdr:pic>
      <xdr:nvPicPr>
        <xdr:cNvPr id="53" name="Imagen 52">
          <a:extLst>
            <a:ext uri="{FF2B5EF4-FFF2-40B4-BE49-F238E27FC236}">
              <a16:creationId xmlns:a16="http://schemas.microsoft.com/office/drawing/2014/main" id="{E48683BA-D8CA-4674-B10F-F39AACB3A3D3}"/>
            </a:ext>
          </a:extLst>
        </xdr:cNvPr>
        <xdr:cNvPicPr>
          <a:picLocks noChangeAspect="1"/>
        </xdr:cNvPicPr>
      </xdr:nvPicPr>
      <xdr:blipFill>
        <a:blip xmlns:r="http://schemas.openxmlformats.org/officeDocument/2006/relationships" r:embed="rId70"/>
        <a:stretch>
          <a:fillRect/>
        </a:stretch>
      </xdr:blipFill>
      <xdr:spPr>
        <a:xfrm>
          <a:off x="10157114" y="416459829"/>
          <a:ext cx="2138795" cy="1037678"/>
        </a:xfrm>
        <a:prstGeom prst="rect">
          <a:avLst/>
        </a:prstGeom>
      </xdr:spPr>
    </xdr:pic>
    <xdr:clientData/>
  </xdr:twoCellAnchor>
  <xdr:twoCellAnchor editAs="oneCell">
    <xdr:from>
      <xdr:col>11</xdr:col>
      <xdr:colOff>96762</xdr:colOff>
      <xdr:row>3315</xdr:row>
      <xdr:rowOff>155801</xdr:rowOff>
    </xdr:from>
    <xdr:to>
      <xdr:col>13</xdr:col>
      <xdr:colOff>399143</xdr:colOff>
      <xdr:row>3320</xdr:row>
      <xdr:rowOff>169867</xdr:rowOff>
    </xdr:to>
    <xdr:pic>
      <xdr:nvPicPr>
        <xdr:cNvPr id="55" name="Imagen 54">
          <a:extLst>
            <a:ext uri="{FF2B5EF4-FFF2-40B4-BE49-F238E27FC236}">
              <a16:creationId xmlns:a16="http://schemas.microsoft.com/office/drawing/2014/main" id="{1BF454A2-685F-49F9-9B16-EAE5A1759ABA}"/>
            </a:ext>
          </a:extLst>
        </xdr:cNvPr>
        <xdr:cNvPicPr>
          <a:picLocks noChangeAspect="1"/>
        </xdr:cNvPicPr>
      </xdr:nvPicPr>
      <xdr:blipFill>
        <a:blip xmlns:r="http://schemas.openxmlformats.org/officeDocument/2006/relationships" r:embed="rId71"/>
        <a:stretch>
          <a:fillRect/>
        </a:stretch>
      </xdr:blipFill>
      <xdr:spPr>
        <a:xfrm>
          <a:off x="10256762" y="426307325"/>
          <a:ext cx="1765905" cy="981685"/>
        </a:xfrm>
        <a:prstGeom prst="rect">
          <a:avLst/>
        </a:prstGeom>
      </xdr:spPr>
    </xdr:pic>
    <xdr:clientData/>
  </xdr:twoCellAnchor>
  <xdr:twoCellAnchor editAs="oneCell">
    <xdr:from>
      <xdr:col>8</xdr:col>
      <xdr:colOff>190499</xdr:colOff>
      <xdr:row>3359</xdr:row>
      <xdr:rowOff>119061</xdr:rowOff>
    </xdr:from>
    <xdr:to>
      <xdr:col>10</xdr:col>
      <xdr:colOff>423706</xdr:colOff>
      <xdr:row>3369</xdr:row>
      <xdr:rowOff>127623</xdr:rowOff>
    </xdr:to>
    <xdr:pic>
      <xdr:nvPicPr>
        <xdr:cNvPr id="58" name="Imagen 57">
          <a:extLst>
            <a:ext uri="{FF2B5EF4-FFF2-40B4-BE49-F238E27FC236}">
              <a16:creationId xmlns:a16="http://schemas.microsoft.com/office/drawing/2014/main" id="{8DD0FA4A-79F0-465D-BDD9-339A75F6AC7E}"/>
            </a:ext>
          </a:extLst>
        </xdr:cNvPr>
        <xdr:cNvPicPr>
          <a:picLocks noChangeAspect="1"/>
        </xdr:cNvPicPr>
      </xdr:nvPicPr>
      <xdr:blipFill>
        <a:blip xmlns:r="http://schemas.openxmlformats.org/officeDocument/2006/relationships" r:embed="rId72"/>
        <a:stretch>
          <a:fillRect/>
        </a:stretch>
      </xdr:blipFill>
      <xdr:spPr>
        <a:xfrm>
          <a:off x="8104187" y="433562124"/>
          <a:ext cx="1693707" cy="1913563"/>
        </a:xfrm>
        <a:prstGeom prst="rect">
          <a:avLst/>
        </a:prstGeom>
      </xdr:spPr>
    </xdr:pic>
    <xdr:clientData/>
  </xdr:twoCellAnchor>
  <xdr:twoCellAnchor editAs="oneCell">
    <xdr:from>
      <xdr:col>8</xdr:col>
      <xdr:colOff>166688</xdr:colOff>
      <xdr:row>3381</xdr:row>
      <xdr:rowOff>107174</xdr:rowOff>
    </xdr:from>
    <xdr:to>
      <xdr:col>10</xdr:col>
      <xdr:colOff>420688</xdr:colOff>
      <xdr:row>3393</xdr:row>
      <xdr:rowOff>109907</xdr:rowOff>
    </xdr:to>
    <xdr:pic>
      <xdr:nvPicPr>
        <xdr:cNvPr id="61" name="Imagen 60">
          <a:extLst>
            <a:ext uri="{FF2B5EF4-FFF2-40B4-BE49-F238E27FC236}">
              <a16:creationId xmlns:a16="http://schemas.microsoft.com/office/drawing/2014/main" id="{F4972C17-371F-43E4-8FB1-E1EE851D6A02}"/>
            </a:ext>
          </a:extLst>
        </xdr:cNvPr>
        <xdr:cNvPicPr>
          <a:picLocks noChangeAspect="1"/>
        </xdr:cNvPicPr>
      </xdr:nvPicPr>
      <xdr:blipFill>
        <a:blip xmlns:r="http://schemas.openxmlformats.org/officeDocument/2006/relationships" r:embed="rId73"/>
        <a:stretch>
          <a:fillRect/>
        </a:stretch>
      </xdr:blipFill>
      <xdr:spPr>
        <a:xfrm>
          <a:off x="8080376" y="438265112"/>
          <a:ext cx="1714500" cy="2288734"/>
        </a:xfrm>
        <a:prstGeom prst="rect">
          <a:avLst/>
        </a:prstGeom>
      </xdr:spPr>
    </xdr:pic>
    <xdr:clientData/>
  </xdr:twoCellAnchor>
  <xdr:twoCellAnchor editAs="oneCell">
    <xdr:from>
      <xdr:col>8</xdr:col>
      <xdr:colOff>190500</xdr:colOff>
      <xdr:row>3403</xdr:row>
      <xdr:rowOff>63501</xdr:rowOff>
    </xdr:from>
    <xdr:to>
      <xdr:col>10</xdr:col>
      <xdr:colOff>768637</xdr:colOff>
      <xdr:row>3415</xdr:row>
      <xdr:rowOff>101926</xdr:rowOff>
    </xdr:to>
    <xdr:pic>
      <xdr:nvPicPr>
        <xdr:cNvPr id="63" name="Imagen 62">
          <a:extLst>
            <a:ext uri="{FF2B5EF4-FFF2-40B4-BE49-F238E27FC236}">
              <a16:creationId xmlns:a16="http://schemas.microsoft.com/office/drawing/2014/main" id="{3D88E844-8E12-4D8E-9270-6D7441957EEB}"/>
            </a:ext>
          </a:extLst>
        </xdr:cNvPr>
        <xdr:cNvPicPr>
          <a:picLocks noChangeAspect="1"/>
        </xdr:cNvPicPr>
      </xdr:nvPicPr>
      <xdr:blipFill>
        <a:blip xmlns:r="http://schemas.openxmlformats.org/officeDocument/2006/relationships" r:embed="rId74"/>
        <a:stretch>
          <a:fillRect/>
        </a:stretch>
      </xdr:blipFill>
      <xdr:spPr>
        <a:xfrm>
          <a:off x="8104188" y="445968439"/>
          <a:ext cx="2057687" cy="2324424"/>
        </a:xfrm>
        <a:prstGeom prst="rect">
          <a:avLst/>
        </a:prstGeom>
      </xdr:spPr>
    </xdr:pic>
    <xdr:clientData/>
  </xdr:twoCellAnchor>
  <xdr:twoCellAnchor editAs="oneCell">
    <xdr:from>
      <xdr:col>11</xdr:col>
      <xdr:colOff>333375</xdr:colOff>
      <xdr:row>3580</xdr:row>
      <xdr:rowOff>15875</xdr:rowOff>
    </xdr:from>
    <xdr:to>
      <xdr:col>13</xdr:col>
      <xdr:colOff>429837</xdr:colOff>
      <xdr:row>3590</xdr:row>
      <xdr:rowOff>150812</xdr:rowOff>
    </xdr:to>
    <xdr:pic>
      <xdr:nvPicPr>
        <xdr:cNvPr id="9" name="Imagen 8">
          <a:extLst>
            <a:ext uri="{FF2B5EF4-FFF2-40B4-BE49-F238E27FC236}">
              <a16:creationId xmlns:a16="http://schemas.microsoft.com/office/drawing/2014/main" id="{6E3FFE78-4920-450F-B7F1-E6C89BC3E05E}"/>
            </a:ext>
          </a:extLst>
        </xdr:cNvPr>
        <xdr:cNvPicPr>
          <a:picLocks noChangeAspect="1"/>
        </xdr:cNvPicPr>
      </xdr:nvPicPr>
      <xdr:blipFill>
        <a:blip xmlns:r="http://schemas.openxmlformats.org/officeDocument/2006/relationships" r:embed="rId75"/>
        <a:stretch>
          <a:fillRect/>
        </a:stretch>
      </xdr:blipFill>
      <xdr:spPr>
        <a:xfrm>
          <a:off x="10501313" y="485465438"/>
          <a:ext cx="1556962" cy="2039937"/>
        </a:xfrm>
        <a:prstGeom prst="rect">
          <a:avLst/>
        </a:prstGeom>
      </xdr:spPr>
    </xdr:pic>
    <xdr:clientData/>
  </xdr:twoCellAnchor>
  <xdr:oneCellAnchor>
    <xdr:from>
      <xdr:col>1</xdr:col>
      <xdr:colOff>356347</xdr:colOff>
      <xdr:row>3487</xdr:row>
      <xdr:rowOff>55284</xdr:rowOff>
    </xdr:from>
    <xdr:ext cx="1333500" cy="371475"/>
    <xdr:pic>
      <xdr:nvPicPr>
        <xdr:cNvPr id="197" name="image57.jpg" descr="Logo CSJ RGB_01">
          <a:extLst>
            <a:ext uri="{FF2B5EF4-FFF2-40B4-BE49-F238E27FC236}">
              <a16:creationId xmlns:a16="http://schemas.microsoft.com/office/drawing/2014/main" id="{96A3B1AF-C3D1-4950-9693-97E2C77A904B}"/>
            </a:ext>
          </a:extLst>
        </xdr:cNvPr>
        <xdr:cNvPicPr preferRelativeResize="0"/>
      </xdr:nvPicPr>
      <xdr:blipFill>
        <a:blip xmlns:r="http://schemas.openxmlformats.org/officeDocument/2006/relationships" r:embed="rId48" cstate="print"/>
        <a:stretch>
          <a:fillRect/>
        </a:stretch>
      </xdr:blipFill>
      <xdr:spPr>
        <a:xfrm>
          <a:off x="689722" y="456001159"/>
          <a:ext cx="1333500" cy="371475"/>
        </a:xfrm>
        <a:prstGeom prst="rect">
          <a:avLst/>
        </a:prstGeom>
        <a:noFill/>
      </xdr:spPr>
    </xdr:pic>
    <xdr:clientData fLocksWithSheet="0"/>
  </xdr:oneCellAnchor>
  <xdr:oneCellAnchor>
    <xdr:from>
      <xdr:col>1</xdr:col>
      <xdr:colOff>356347</xdr:colOff>
      <xdr:row>3509</xdr:row>
      <xdr:rowOff>55284</xdr:rowOff>
    </xdr:from>
    <xdr:ext cx="1333500" cy="371475"/>
    <xdr:pic>
      <xdr:nvPicPr>
        <xdr:cNvPr id="198" name="image57.jpg" descr="Logo CSJ RGB_01">
          <a:extLst>
            <a:ext uri="{FF2B5EF4-FFF2-40B4-BE49-F238E27FC236}">
              <a16:creationId xmlns:a16="http://schemas.microsoft.com/office/drawing/2014/main" id="{712468C8-6A78-4737-BB50-A8CACC2C7ACB}"/>
            </a:ext>
          </a:extLst>
        </xdr:cNvPr>
        <xdr:cNvPicPr preferRelativeResize="0"/>
      </xdr:nvPicPr>
      <xdr:blipFill>
        <a:blip xmlns:r="http://schemas.openxmlformats.org/officeDocument/2006/relationships" r:embed="rId48" cstate="print"/>
        <a:stretch>
          <a:fillRect/>
        </a:stretch>
      </xdr:blipFill>
      <xdr:spPr>
        <a:xfrm>
          <a:off x="689722" y="456001159"/>
          <a:ext cx="1333500" cy="371475"/>
        </a:xfrm>
        <a:prstGeom prst="rect">
          <a:avLst/>
        </a:prstGeom>
        <a:noFill/>
      </xdr:spPr>
    </xdr:pic>
    <xdr:clientData fLocksWithSheet="0"/>
  </xdr:oneCellAnchor>
  <xdr:oneCellAnchor>
    <xdr:from>
      <xdr:col>1</xdr:col>
      <xdr:colOff>356347</xdr:colOff>
      <xdr:row>3531</xdr:row>
      <xdr:rowOff>55284</xdr:rowOff>
    </xdr:from>
    <xdr:ext cx="1333500" cy="371475"/>
    <xdr:pic>
      <xdr:nvPicPr>
        <xdr:cNvPr id="202" name="image57.jpg" descr="Logo CSJ RGB_01">
          <a:extLst>
            <a:ext uri="{FF2B5EF4-FFF2-40B4-BE49-F238E27FC236}">
              <a16:creationId xmlns:a16="http://schemas.microsoft.com/office/drawing/2014/main" id="{8254E6B6-8C57-4245-97E3-0B6AC602F3B8}"/>
            </a:ext>
          </a:extLst>
        </xdr:cNvPr>
        <xdr:cNvPicPr preferRelativeResize="0"/>
      </xdr:nvPicPr>
      <xdr:blipFill>
        <a:blip xmlns:r="http://schemas.openxmlformats.org/officeDocument/2006/relationships" r:embed="rId48" cstate="print"/>
        <a:stretch>
          <a:fillRect/>
        </a:stretch>
      </xdr:blipFill>
      <xdr:spPr>
        <a:xfrm>
          <a:off x="689722" y="456001159"/>
          <a:ext cx="1333500" cy="371475"/>
        </a:xfrm>
        <a:prstGeom prst="rect">
          <a:avLst/>
        </a:prstGeom>
        <a:noFill/>
      </xdr:spPr>
    </xdr:pic>
    <xdr:clientData fLocksWithSheet="0"/>
  </xdr:oneCellAnchor>
  <xdr:oneCellAnchor>
    <xdr:from>
      <xdr:col>1</xdr:col>
      <xdr:colOff>356347</xdr:colOff>
      <xdr:row>3553</xdr:row>
      <xdr:rowOff>55284</xdr:rowOff>
    </xdr:from>
    <xdr:ext cx="1333500" cy="371475"/>
    <xdr:pic>
      <xdr:nvPicPr>
        <xdr:cNvPr id="203" name="image57.jpg" descr="Logo CSJ RGB_01">
          <a:extLst>
            <a:ext uri="{FF2B5EF4-FFF2-40B4-BE49-F238E27FC236}">
              <a16:creationId xmlns:a16="http://schemas.microsoft.com/office/drawing/2014/main" id="{498E1360-2FF2-401B-8487-38350B076D3C}"/>
            </a:ext>
          </a:extLst>
        </xdr:cNvPr>
        <xdr:cNvPicPr preferRelativeResize="0"/>
      </xdr:nvPicPr>
      <xdr:blipFill>
        <a:blip xmlns:r="http://schemas.openxmlformats.org/officeDocument/2006/relationships" r:embed="rId48" cstate="print"/>
        <a:stretch>
          <a:fillRect/>
        </a:stretch>
      </xdr:blipFill>
      <xdr:spPr>
        <a:xfrm>
          <a:off x="689722" y="470010847"/>
          <a:ext cx="1333500" cy="371475"/>
        </a:xfrm>
        <a:prstGeom prst="rect">
          <a:avLst/>
        </a:prstGeom>
        <a:noFill/>
      </xdr:spPr>
    </xdr:pic>
    <xdr:clientData fLocksWithSheet="0"/>
  </xdr:oneCellAnchor>
  <xdr:oneCellAnchor>
    <xdr:from>
      <xdr:col>1</xdr:col>
      <xdr:colOff>356347</xdr:colOff>
      <xdr:row>3575</xdr:row>
      <xdr:rowOff>55284</xdr:rowOff>
    </xdr:from>
    <xdr:ext cx="1333500" cy="371475"/>
    <xdr:pic>
      <xdr:nvPicPr>
        <xdr:cNvPr id="204" name="image57.jpg" descr="Logo CSJ RGB_01">
          <a:extLst>
            <a:ext uri="{FF2B5EF4-FFF2-40B4-BE49-F238E27FC236}">
              <a16:creationId xmlns:a16="http://schemas.microsoft.com/office/drawing/2014/main" id="{13F111DC-BD5D-4E98-AB54-57240230CDDA}"/>
            </a:ext>
          </a:extLst>
        </xdr:cNvPr>
        <xdr:cNvPicPr preferRelativeResize="0"/>
      </xdr:nvPicPr>
      <xdr:blipFill>
        <a:blip xmlns:r="http://schemas.openxmlformats.org/officeDocument/2006/relationships" r:embed="rId48" cstate="print"/>
        <a:stretch>
          <a:fillRect/>
        </a:stretch>
      </xdr:blipFill>
      <xdr:spPr>
        <a:xfrm>
          <a:off x="689722" y="474852722"/>
          <a:ext cx="1333500" cy="371475"/>
        </a:xfrm>
        <a:prstGeom prst="rect">
          <a:avLst/>
        </a:prstGeom>
        <a:noFill/>
      </xdr:spPr>
    </xdr:pic>
    <xdr:clientData fLocksWithSheet="0"/>
  </xdr:oneCellAnchor>
  <xdr:oneCellAnchor>
    <xdr:from>
      <xdr:col>1</xdr:col>
      <xdr:colOff>356347</xdr:colOff>
      <xdr:row>3597</xdr:row>
      <xdr:rowOff>55284</xdr:rowOff>
    </xdr:from>
    <xdr:ext cx="1333500" cy="371475"/>
    <xdr:pic>
      <xdr:nvPicPr>
        <xdr:cNvPr id="205" name="image57.jpg" descr="Logo CSJ RGB_01">
          <a:extLst>
            <a:ext uri="{FF2B5EF4-FFF2-40B4-BE49-F238E27FC236}">
              <a16:creationId xmlns:a16="http://schemas.microsoft.com/office/drawing/2014/main" id="{51A5CE71-6CAD-4D02-A49F-12C7763BE519}"/>
            </a:ext>
          </a:extLst>
        </xdr:cNvPr>
        <xdr:cNvPicPr preferRelativeResize="0"/>
      </xdr:nvPicPr>
      <xdr:blipFill>
        <a:blip xmlns:r="http://schemas.openxmlformats.org/officeDocument/2006/relationships" r:embed="rId48" cstate="print"/>
        <a:stretch>
          <a:fillRect/>
        </a:stretch>
      </xdr:blipFill>
      <xdr:spPr>
        <a:xfrm>
          <a:off x="689722" y="474852722"/>
          <a:ext cx="1333500" cy="371475"/>
        </a:xfrm>
        <a:prstGeom prst="rect">
          <a:avLst/>
        </a:prstGeom>
        <a:noFill/>
      </xdr:spPr>
    </xdr:pic>
    <xdr:clientData fLocksWithSheet="0"/>
  </xdr:oneCellAnchor>
  <xdr:oneCellAnchor>
    <xdr:from>
      <xdr:col>1</xdr:col>
      <xdr:colOff>356347</xdr:colOff>
      <xdr:row>3619</xdr:row>
      <xdr:rowOff>31471</xdr:rowOff>
    </xdr:from>
    <xdr:ext cx="1333500" cy="371475"/>
    <xdr:pic>
      <xdr:nvPicPr>
        <xdr:cNvPr id="206" name="image57.jpg" descr="Logo CSJ RGB_01">
          <a:extLst>
            <a:ext uri="{FF2B5EF4-FFF2-40B4-BE49-F238E27FC236}">
              <a16:creationId xmlns:a16="http://schemas.microsoft.com/office/drawing/2014/main" id="{74C46B4E-05A7-446D-9264-6D69B3F6E3BF}"/>
            </a:ext>
          </a:extLst>
        </xdr:cNvPr>
        <xdr:cNvPicPr preferRelativeResize="0"/>
      </xdr:nvPicPr>
      <xdr:blipFill>
        <a:blip xmlns:r="http://schemas.openxmlformats.org/officeDocument/2006/relationships" r:embed="rId48" cstate="print"/>
        <a:stretch>
          <a:fillRect/>
        </a:stretch>
      </xdr:blipFill>
      <xdr:spPr>
        <a:xfrm>
          <a:off x="689722" y="493537596"/>
          <a:ext cx="1333500" cy="371475"/>
        </a:xfrm>
        <a:prstGeom prst="rect">
          <a:avLst/>
        </a:prstGeom>
        <a:noFill/>
      </xdr:spPr>
    </xdr:pic>
    <xdr:clientData fLocksWithSheet="0"/>
  </xdr:oneCellAnchor>
  <xdr:oneCellAnchor>
    <xdr:from>
      <xdr:col>1</xdr:col>
      <xdr:colOff>332534</xdr:colOff>
      <xdr:row>3641</xdr:row>
      <xdr:rowOff>55284</xdr:rowOff>
    </xdr:from>
    <xdr:ext cx="1333500" cy="371475"/>
    <xdr:pic>
      <xdr:nvPicPr>
        <xdr:cNvPr id="207" name="image57.jpg" descr="Logo CSJ RGB_01">
          <a:extLst>
            <a:ext uri="{FF2B5EF4-FFF2-40B4-BE49-F238E27FC236}">
              <a16:creationId xmlns:a16="http://schemas.microsoft.com/office/drawing/2014/main" id="{9D619BBA-16B6-49B5-B42C-11656710906F}"/>
            </a:ext>
          </a:extLst>
        </xdr:cNvPr>
        <xdr:cNvPicPr preferRelativeResize="0"/>
      </xdr:nvPicPr>
      <xdr:blipFill>
        <a:blip xmlns:r="http://schemas.openxmlformats.org/officeDocument/2006/relationships" r:embed="rId48" cstate="print"/>
        <a:stretch>
          <a:fillRect/>
        </a:stretch>
      </xdr:blipFill>
      <xdr:spPr>
        <a:xfrm>
          <a:off x="665909" y="498173097"/>
          <a:ext cx="1333500" cy="371475"/>
        </a:xfrm>
        <a:prstGeom prst="rect">
          <a:avLst/>
        </a:prstGeom>
        <a:noFill/>
      </xdr:spPr>
    </xdr:pic>
    <xdr:clientData fLocksWithSheet="0"/>
  </xdr:oneCellAnchor>
  <xdr:oneCellAnchor>
    <xdr:from>
      <xdr:col>1</xdr:col>
      <xdr:colOff>356347</xdr:colOff>
      <xdr:row>3663</xdr:row>
      <xdr:rowOff>55284</xdr:rowOff>
    </xdr:from>
    <xdr:ext cx="1333500" cy="371475"/>
    <xdr:pic>
      <xdr:nvPicPr>
        <xdr:cNvPr id="208" name="image57.jpg" descr="Logo CSJ RGB_01">
          <a:extLst>
            <a:ext uri="{FF2B5EF4-FFF2-40B4-BE49-F238E27FC236}">
              <a16:creationId xmlns:a16="http://schemas.microsoft.com/office/drawing/2014/main" id="{43690F9C-7830-4646-8F9A-B523082D181B}"/>
            </a:ext>
          </a:extLst>
        </xdr:cNvPr>
        <xdr:cNvPicPr preferRelativeResize="0"/>
      </xdr:nvPicPr>
      <xdr:blipFill>
        <a:blip xmlns:r="http://schemas.openxmlformats.org/officeDocument/2006/relationships" r:embed="rId48" cstate="print"/>
        <a:stretch>
          <a:fillRect/>
        </a:stretch>
      </xdr:blipFill>
      <xdr:spPr>
        <a:xfrm>
          <a:off x="689722" y="474852722"/>
          <a:ext cx="1333500" cy="371475"/>
        </a:xfrm>
        <a:prstGeom prst="rect">
          <a:avLst/>
        </a:prstGeom>
        <a:noFill/>
      </xdr:spPr>
    </xdr:pic>
    <xdr:clientData fLocksWithSheet="0"/>
  </xdr:oneCellAnchor>
  <xdr:oneCellAnchor>
    <xdr:from>
      <xdr:col>1</xdr:col>
      <xdr:colOff>356347</xdr:colOff>
      <xdr:row>3685</xdr:row>
      <xdr:rowOff>55284</xdr:rowOff>
    </xdr:from>
    <xdr:ext cx="1333500" cy="371475"/>
    <xdr:pic>
      <xdr:nvPicPr>
        <xdr:cNvPr id="209" name="image57.jpg" descr="Logo CSJ RGB_01">
          <a:extLst>
            <a:ext uri="{FF2B5EF4-FFF2-40B4-BE49-F238E27FC236}">
              <a16:creationId xmlns:a16="http://schemas.microsoft.com/office/drawing/2014/main" id="{B2926C8D-6BE8-40B2-9101-3AE41BCE40E0}"/>
            </a:ext>
          </a:extLst>
        </xdr:cNvPr>
        <xdr:cNvPicPr preferRelativeResize="0"/>
      </xdr:nvPicPr>
      <xdr:blipFill>
        <a:blip xmlns:r="http://schemas.openxmlformats.org/officeDocument/2006/relationships" r:embed="rId48" cstate="print"/>
        <a:stretch>
          <a:fillRect/>
        </a:stretch>
      </xdr:blipFill>
      <xdr:spPr>
        <a:xfrm>
          <a:off x="689722" y="474852722"/>
          <a:ext cx="1333500" cy="371475"/>
        </a:xfrm>
        <a:prstGeom prst="rect">
          <a:avLst/>
        </a:prstGeom>
        <a:noFill/>
      </xdr:spPr>
    </xdr:pic>
    <xdr:clientData fLocksWithSheet="0"/>
  </xdr:oneCellAnchor>
  <xdr:oneCellAnchor>
    <xdr:from>
      <xdr:col>1</xdr:col>
      <xdr:colOff>356347</xdr:colOff>
      <xdr:row>3707</xdr:row>
      <xdr:rowOff>55284</xdr:rowOff>
    </xdr:from>
    <xdr:ext cx="1333500" cy="371475"/>
    <xdr:pic>
      <xdr:nvPicPr>
        <xdr:cNvPr id="210" name="image57.jpg" descr="Logo CSJ RGB_01">
          <a:extLst>
            <a:ext uri="{FF2B5EF4-FFF2-40B4-BE49-F238E27FC236}">
              <a16:creationId xmlns:a16="http://schemas.microsoft.com/office/drawing/2014/main" id="{12910CFC-2D99-448D-89EC-2F46E2519EEF}"/>
            </a:ext>
          </a:extLst>
        </xdr:cNvPr>
        <xdr:cNvPicPr preferRelativeResize="0"/>
      </xdr:nvPicPr>
      <xdr:blipFill>
        <a:blip xmlns:r="http://schemas.openxmlformats.org/officeDocument/2006/relationships" r:embed="rId48" cstate="print"/>
        <a:stretch>
          <a:fillRect/>
        </a:stretch>
      </xdr:blipFill>
      <xdr:spPr>
        <a:xfrm>
          <a:off x="689722" y="474852722"/>
          <a:ext cx="1333500" cy="371475"/>
        </a:xfrm>
        <a:prstGeom prst="rect">
          <a:avLst/>
        </a:prstGeom>
        <a:noFill/>
      </xdr:spPr>
    </xdr:pic>
    <xdr:clientData fLocksWithSheet="0"/>
  </xdr:oneCellAnchor>
  <xdr:oneCellAnchor>
    <xdr:from>
      <xdr:col>1</xdr:col>
      <xdr:colOff>356347</xdr:colOff>
      <xdr:row>3729</xdr:row>
      <xdr:rowOff>55284</xdr:rowOff>
    </xdr:from>
    <xdr:ext cx="1333500" cy="371475"/>
    <xdr:pic>
      <xdr:nvPicPr>
        <xdr:cNvPr id="211" name="image57.jpg" descr="Logo CSJ RGB_01">
          <a:extLst>
            <a:ext uri="{FF2B5EF4-FFF2-40B4-BE49-F238E27FC236}">
              <a16:creationId xmlns:a16="http://schemas.microsoft.com/office/drawing/2014/main" id="{8CBB2190-B500-4BC7-828C-5FB30CA7DF54}"/>
            </a:ext>
          </a:extLst>
        </xdr:cNvPr>
        <xdr:cNvPicPr preferRelativeResize="0"/>
      </xdr:nvPicPr>
      <xdr:blipFill>
        <a:blip xmlns:r="http://schemas.openxmlformats.org/officeDocument/2006/relationships" r:embed="rId48" cstate="print"/>
        <a:stretch>
          <a:fillRect/>
        </a:stretch>
      </xdr:blipFill>
      <xdr:spPr>
        <a:xfrm>
          <a:off x="689722" y="474852722"/>
          <a:ext cx="1333500" cy="371475"/>
        </a:xfrm>
        <a:prstGeom prst="rect">
          <a:avLst/>
        </a:prstGeom>
        <a:noFill/>
      </xdr:spPr>
    </xdr:pic>
    <xdr:clientData fLocksWithSheet="0"/>
  </xdr:oneCellAnchor>
  <xdr:oneCellAnchor>
    <xdr:from>
      <xdr:col>1</xdr:col>
      <xdr:colOff>356347</xdr:colOff>
      <xdr:row>3751</xdr:row>
      <xdr:rowOff>55284</xdr:rowOff>
    </xdr:from>
    <xdr:ext cx="1333500" cy="371475"/>
    <xdr:pic>
      <xdr:nvPicPr>
        <xdr:cNvPr id="212" name="image57.jpg" descr="Logo CSJ RGB_01">
          <a:extLst>
            <a:ext uri="{FF2B5EF4-FFF2-40B4-BE49-F238E27FC236}">
              <a16:creationId xmlns:a16="http://schemas.microsoft.com/office/drawing/2014/main" id="{E2198A35-3A82-4929-9AC8-9141A780CD5D}"/>
            </a:ext>
          </a:extLst>
        </xdr:cNvPr>
        <xdr:cNvPicPr preferRelativeResize="0"/>
      </xdr:nvPicPr>
      <xdr:blipFill>
        <a:blip xmlns:r="http://schemas.openxmlformats.org/officeDocument/2006/relationships" r:embed="rId48" cstate="print"/>
        <a:stretch>
          <a:fillRect/>
        </a:stretch>
      </xdr:blipFill>
      <xdr:spPr>
        <a:xfrm>
          <a:off x="689722" y="474852722"/>
          <a:ext cx="1333500" cy="371475"/>
        </a:xfrm>
        <a:prstGeom prst="rect">
          <a:avLst/>
        </a:prstGeom>
        <a:noFill/>
      </xdr:spPr>
    </xdr:pic>
    <xdr:clientData fLocksWithSheet="0"/>
  </xdr:oneCellAnchor>
  <xdr:oneCellAnchor>
    <xdr:from>
      <xdr:col>1</xdr:col>
      <xdr:colOff>356347</xdr:colOff>
      <xdr:row>3773</xdr:row>
      <xdr:rowOff>55284</xdr:rowOff>
    </xdr:from>
    <xdr:ext cx="1333500" cy="371475"/>
    <xdr:pic>
      <xdr:nvPicPr>
        <xdr:cNvPr id="213" name="image57.jpg" descr="Logo CSJ RGB_01">
          <a:extLst>
            <a:ext uri="{FF2B5EF4-FFF2-40B4-BE49-F238E27FC236}">
              <a16:creationId xmlns:a16="http://schemas.microsoft.com/office/drawing/2014/main" id="{9E10EAC9-D3ED-4001-9E02-DE8B19418254}"/>
            </a:ext>
          </a:extLst>
        </xdr:cNvPr>
        <xdr:cNvPicPr preferRelativeResize="0"/>
      </xdr:nvPicPr>
      <xdr:blipFill>
        <a:blip xmlns:r="http://schemas.openxmlformats.org/officeDocument/2006/relationships" r:embed="rId48" cstate="print"/>
        <a:stretch>
          <a:fillRect/>
        </a:stretch>
      </xdr:blipFill>
      <xdr:spPr>
        <a:xfrm>
          <a:off x="689722" y="474852722"/>
          <a:ext cx="1333500" cy="371475"/>
        </a:xfrm>
        <a:prstGeom prst="rect">
          <a:avLst/>
        </a:prstGeom>
        <a:noFill/>
      </xdr:spPr>
    </xdr:pic>
    <xdr:clientData fLocksWithSheet="0"/>
  </xdr:oneCellAnchor>
  <xdr:oneCellAnchor>
    <xdr:from>
      <xdr:col>1</xdr:col>
      <xdr:colOff>356347</xdr:colOff>
      <xdr:row>3795</xdr:row>
      <xdr:rowOff>55284</xdr:rowOff>
    </xdr:from>
    <xdr:ext cx="1333500" cy="371475"/>
    <xdr:pic>
      <xdr:nvPicPr>
        <xdr:cNvPr id="214" name="image57.jpg" descr="Logo CSJ RGB_01">
          <a:extLst>
            <a:ext uri="{FF2B5EF4-FFF2-40B4-BE49-F238E27FC236}">
              <a16:creationId xmlns:a16="http://schemas.microsoft.com/office/drawing/2014/main" id="{15BDFAD5-549A-47A1-804F-74E54FADF315}"/>
            </a:ext>
          </a:extLst>
        </xdr:cNvPr>
        <xdr:cNvPicPr preferRelativeResize="0"/>
      </xdr:nvPicPr>
      <xdr:blipFill>
        <a:blip xmlns:r="http://schemas.openxmlformats.org/officeDocument/2006/relationships" r:embed="rId48" cstate="print"/>
        <a:stretch>
          <a:fillRect/>
        </a:stretch>
      </xdr:blipFill>
      <xdr:spPr>
        <a:xfrm>
          <a:off x="689722" y="474852722"/>
          <a:ext cx="1333500" cy="371475"/>
        </a:xfrm>
        <a:prstGeom prst="rect">
          <a:avLst/>
        </a:prstGeom>
        <a:noFill/>
      </xdr:spPr>
    </xdr:pic>
    <xdr:clientData fLocksWithSheet="0"/>
  </xdr:oneCellAnchor>
  <xdr:oneCellAnchor>
    <xdr:from>
      <xdr:col>1</xdr:col>
      <xdr:colOff>356347</xdr:colOff>
      <xdr:row>3817</xdr:row>
      <xdr:rowOff>55284</xdr:rowOff>
    </xdr:from>
    <xdr:ext cx="1333500" cy="371475"/>
    <xdr:pic>
      <xdr:nvPicPr>
        <xdr:cNvPr id="215" name="image57.jpg" descr="Logo CSJ RGB_01">
          <a:extLst>
            <a:ext uri="{FF2B5EF4-FFF2-40B4-BE49-F238E27FC236}">
              <a16:creationId xmlns:a16="http://schemas.microsoft.com/office/drawing/2014/main" id="{B0F86CA4-4E08-441B-863C-D1FA9325D38A}"/>
            </a:ext>
          </a:extLst>
        </xdr:cNvPr>
        <xdr:cNvPicPr preferRelativeResize="0"/>
      </xdr:nvPicPr>
      <xdr:blipFill>
        <a:blip xmlns:r="http://schemas.openxmlformats.org/officeDocument/2006/relationships" r:embed="rId48" cstate="print"/>
        <a:stretch>
          <a:fillRect/>
        </a:stretch>
      </xdr:blipFill>
      <xdr:spPr>
        <a:xfrm>
          <a:off x="689722" y="474852722"/>
          <a:ext cx="1333500" cy="371475"/>
        </a:xfrm>
        <a:prstGeom prst="rect">
          <a:avLst/>
        </a:prstGeom>
        <a:noFill/>
      </xdr:spPr>
    </xdr:pic>
    <xdr:clientData fLocksWithSheet="0"/>
  </xdr:oneCellAnchor>
  <xdr:oneCellAnchor>
    <xdr:from>
      <xdr:col>1</xdr:col>
      <xdr:colOff>356347</xdr:colOff>
      <xdr:row>3839</xdr:row>
      <xdr:rowOff>55284</xdr:rowOff>
    </xdr:from>
    <xdr:ext cx="1333500" cy="371475"/>
    <xdr:pic>
      <xdr:nvPicPr>
        <xdr:cNvPr id="216" name="image57.jpg" descr="Logo CSJ RGB_01">
          <a:extLst>
            <a:ext uri="{FF2B5EF4-FFF2-40B4-BE49-F238E27FC236}">
              <a16:creationId xmlns:a16="http://schemas.microsoft.com/office/drawing/2014/main" id="{73F262C2-49EA-459D-B83D-7B36A731763C}"/>
            </a:ext>
          </a:extLst>
        </xdr:cNvPr>
        <xdr:cNvPicPr preferRelativeResize="0"/>
      </xdr:nvPicPr>
      <xdr:blipFill>
        <a:blip xmlns:r="http://schemas.openxmlformats.org/officeDocument/2006/relationships" r:embed="rId48" cstate="print"/>
        <a:stretch>
          <a:fillRect/>
        </a:stretch>
      </xdr:blipFill>
      <xdr:spPr>
        <a:xfrm>
          <a:off x="689722" y="474852722"/>
          <a:ext cx="1333500" cy="371475"/>
        </a:xfrm>
        <a:prstGeom prst="rect">
          <a:avLst/>
        </a:prstGeom>
        <a:noFill/>
      </xdr:spPr>
    </xdr:pic>
    <xdr:clientData fLocksWithSheet="0"/>
  </xdr:oneCellAnchor>
  <xdr:oneCellAnchor>
    <xdr:from>
      <xdr:col>1</xdr:col>
      <xdr:colOff>356347</xdr:colOff>
      <xdr:row>3861</xdr:row>
      <xdr:rowOff>55284</xdr:rowOff>
    </xdr:from>
    <xdr:ext cx="1333500" cy="371475"/>
    <xdr:pic>
      <xdr:nvPicPr>
        <xdr:cNvPr id="217" name="image57.jpg" descr="Logo CSJ RGB_01">
          <a:extLst>
            <a:ext uri="{FF2B5EF4-FFF2-40B4-BE49-F238E27FC236}">
              <a16:creationId xmlns:a16="http://schemas.microsoft.com/office/drawing/2014/main" id="{174A3828-A98D-4BF1-8580-CC60286FD060}"/>
            </a:ext>
          </a:extLst>
        </xdr:cNvPr>
        <xdr:cNvPicPr preferRelativeResize="0"/>
      </xdr:nvPicPr>
      <xdr:blipFill>
        <a:blip xmlns:r="http://schemas.openxmlformats.org/officeDocument/2006/relationships" r:embed="rId48" cstate="print"/>
        <a:stretch>
          <a:fillRect/>
        </a:stretch>
      </xdr:blipFill>
      <xdr:spPr>
        <a:xfrm>
          <a:off x="689722" y="474852722"/>
          <a:ext cx="1333500" cy="371475"/>
        </a:xfrm>
        <a:prstGeom prst="rect">
          <a:avLst/>
        </a:prstGeom>
        <a:noFill/>
      </xdr:spPr>
    </xdr:pic>
    <xdr:clientData fLocksWithSheet="0"/>
  </xdr:oneCellAnchor>
  <xdr:oneCellAnchor>
    <xdr:from>
      <xdr:col>1</xdr:col>
      <xdr:colOff>356347</xdr:colOff>
      <xdr:row>3883</xdr:row>
      <xdr:rowOff>55284</xdr:rowOff>
    </xdr:from>
    <xdr:ext cx="1333500" cy="371475"/>
    <xdr:pic>
      <xdr:nvPicPr>
        <xdr:cNvPr id="218" name="image57.jpg" descr="Logo CSJ RGB_01">
          <a:extLst>
            <a:ext uri="{FF2B5EF4-FFF2-40B4-BE49-F238E27FC236}">
              <a16:creationId xmlns:a16="http://schemas.microsoft.com/office/drawing/2014/main" id="{30ABFE0E-8EE9-473E-B84E-E14EB31882FD}"/>
            </a:ext>
          </a:extLst>
        </xdr:cNvPr>
        <xdr:cNvPicPr preferRelativeResize="0"/>
      </xdr:nvPicPr>
      <xdr:blipFill>
        <a:blip xmlns:r="http://schemas.openxmlformats.org/officeDocument/2006/relationships" r:embed="rId48" cstate="print"/>
        <a:stretch>
          <a:fillRect/>
        </a:stretch>
      </xdr:blipFill>
      <xdr:spPr>
        <a:xfrm>
          <a:off x="689722" y="474852722"/>
          <a:ext cx="1333500" cy="371475"/>
        </a:xfrm>
        <a:prstGeom prst="rect">
          <a:avLst/>
        </a:prstGeom>
        <a:noFill/>
      </xdr:spPr>
    </xdr:pic>
    <xdr:clientData fLocksWithSheet="0"/>
  </xdr:oneCellAnchor>
  <xdr:oneCellAnchor>
    <xdr:from>
      <xdr:col>1</xdr:col>
      <xdr:colOff>356347</xdr:colOff>
      <xdr:row>3905</xdr:row>
      <xdr:rowOff>55284</xdr:rowOff>
    </xdr:from>
    <xdr:ext cx="1333500" cy="371475"/>
    <xdr:pic>
      <xdr:nvPicPr>
        <xdr:cNvPr id="219" name="image57.jpg" descr="Logo CSJ RGB_01">
          <a:extLst>
            <a:ext uri="{FF2B5EF4-FFF2-40B4-BE49-F238E27FC236}">
              <a16:creationId xmlns:a16="http://schemas.microsoft.com/office/drawing/2014/main" id="{3C0455CF-D89D-474F-9721-062ED87099FE}"/>
            </a:ext>
          </a:extLst>
        </xdr:cNvPr>
        <xdr:cNvPicPr preferRelativeResize="0"/>
      </xdr:nvPicPr>
      <xdr:blipFill>
        <a:blip xmlns:r="http://schemas.openxmlformats.org/officeDocument/2006/relationships" r:embed="rId48" cstate="print"/>
        <a:stretch>
          <a:fillRect/>
        </a:stretch>
      </xdr:blipFill>
      <xdr:spPr>
        <a:xfrm>
          <a:off x="689722" y="474852722"/>
          <a:ext cx="1333500" cy="371475"/>
        </a:xfrm>
        <a:prstGeom prst="rect">
          <a:avLst/>
        </a:prstGeom>
        <a:noFill/>
      </xdr:spPr>
    </xdr:pic>
    <xdr:clientData fLocksWithSheet="0"/>
  </xdr:oneCellAnchor>
  <xdr:oneCellAnchor>
    <xdr:from>
      <xdr:col>1</xdr:col>
      <xdr:colOff>356347</xdr:colOff>
      <xdr:row>3927</xdr:row>
      <xdr:rowOff>55284</xdr:rowOff>
    </xdr:from>
    <xdr:ext cx="1333500" cy="371475"/>
    <xdr:pic>
      <xdr:nvPicPr>
        <xdr:cNvPr id="220" name="image57.jpg" descr="Logo CSJ RGB_01">
          <a:extLst>
            <a:ext uri="{FF2B5EF4-FFF2-40B4-BE49-F238E27FC236}">
              <a16:creationId xmlns:a16="http://schemas.microsoft.com/office/drawing/2014/main" id="{FA2DA1C2-2858-4D8A-9AB2-B1AA17E4D9C6}"/>
            </a:ext>
          </a:extLst>
        </xdr:cNvPr>
        <xdr:cNvPicPr preferRelativeResize="0"/>
      </xdr:nvPicPr>
      <xdr:blipFill>
        <a:blip xmlns:r="http://schemas.openxmlformats.org/officeDocument/2006/relationships" r:embed="rId48" cstate="print"/>
        <a:stretch>
          <a:fillRect/>
        </a:stretch>
      </xdr:blipFill>
      <xdr:spPr>
        <a:xfrm>
          <a:off x="689722" y="474852722"/>
          <a:ext cx="1333500" cy="371475"/>
        </a:xfrm>
        <a:prstGeom prst="rect">
          <a:avLst/>
        </a:prstGeom>
        <a:noFill/>
      </xdr:spPr>
    </xdr:pic>
    <xdr:clientData fLocksWithSheet="0"/>
  </xdr:oneCellAnchor>
  <xdr:oneCellAnchor>
    <xdr:from>
      <xdr:col>1</xdr:col>
      <xdr:colOff>364284</xdr:colOff>
      <xdr:row>3949</xdr:row>
      <xdr:rowOff>31471</xdr:rowOff>
    </xdr:from>
    <xdr:ext cx="1333500" cy="371475"/>
    <xdr:pic>
      <xdr:nvPicPr>
        <xdr:cNvPr id="221" name="image57.jpg" descr="Logo CSJ RGB_01">
          <a:extLst>
            <a:ext uri="{FF2B5EF4-FFF2-40B4-BE49-F238E27FC236}">
              <a16:creationId xmlns:a16="http://schemas.microsoft.com/office/drawing/2014/main" id="{D090C298-E142-4956-B432-9D7CCFA43D74}"/>
            </a:ext>
          </a:extLst>
        </xdr:cNvPr>
        <xdr:cNvPicPr preferRelativeResize="0"/>
      </xdr:nvPicPr>
      <xdr:blipFill>
        <a:blip xmlns:r="http://schemas.openxmlformats.org/officeDocument/2006/relationships" r:embed="rId48" cstate="print"/>
        <a:stretch>
          <a:fillRect/>
        </a:stretch>
      </xdr:blipFill>
      <xdr:spPr>
        <a:xfrm>
          <a:off x="697659" y="563967034"/>
          <a:ext cx="1333500" cy="371475"/>
        </a:xfrm>
        <a:prstGeom prst="rect">
          <a:avLst/>
        </a:prstGeom>
        <a:noFill/>
      </xdr:spPr>
    </xdr:pic>
    <xdr:clientData fLocksWithSheet="0"/>
  </xdr:oneCellAnchor>
  <xdr:oneCellAnchor>
    <xdr:from>
      <xdr:col>1</xdr:col>
      <xdr:colOff>356347</xdr:colOff>
      <xdr:row>3971</xdr:row>
      <xdr:rowOff>55284</xdr:rowOff>
    </xdr:from>
    <xdr:ext cx="1333500" cy="371475"/>
    <xdr:pic>
      <xdr:nvPicPr>
        <xdr:cNvPr id="222" name="image57.jpg" descr="Logo CSJ RGB_01">
          <a:extLst>
            <a:ext uri="{FF2B5EF4-FFF2-40B4-BE49-F238E27FC236}">
              <a16:creationId xmlns:a16="http://schemas.microsoft.com/office/drawing/2014/main" id="{21D54F24-E55B-4945-9D34-094B884185DC}"/>
            </a:ext>
          </a:extLst>
        </xdr:cNvPr>
        <xdr:cNvPicPr preferRelativeResize="0"/>
      </xdr:nvPicPr>
      <xdr:blipFill>
        <a:blip xmlns:r="http://schemas.openxmlformats.org/officeDocument/2006/relationships" r:embed="rId48" cstate="print"/>
        <a:stretch>
          <a:fillRect/>
        </a:stretch>
      </xdr:blipFill>
      <xdr:spPr>
        <a:xfrm>
          <a:off x="689722" y="474852722"/>
          <a:ext cx="1333500" cy="371475"/>
        </a:xfrm>
        <a:prstGeom prst="rect">
          <a:avLst/>
        </a:prstGeom>
        <a:noFill/>
      </xdr:spPr>
    </xdr:pic>
    <xdr:clientData fLocksWithSheet="0"/>
  </xdr:oneCellAnchor>
  <xdr:oneCellAnchor>
    <xdr:from>
      <xdr:col>1</xdr:col>
      <xdr:colOff>356347</xdr:colOff>
      <xdr:row>3993</xdr:row>
      <xdr:rowOff>55284</xdr:rowOff>
    </xdr:from>
    <xdr:ext cx="1333500" cy="371475"/>
    <xdr:pic>
      <xdr:nvPicPr>
        <xdr:cNvPr id="223" name="image57.jpg" descr="Logo CSJ RGB_01">
          <a:extLst>
            <a:ext uri="{FF2B5EF4-FFF2-40B4-BE49-F238E27FC236}">
              <a16:creationId xmlns:a16="http://schemas.microsoft.com/office/drawing/2014/main" id="{10AC57D0-37C1-4EA9-9049-71C6853D2D66}"/>
            </a:ext>
          </a:extLst>
        </xdr:cNvPr>
        <xdr:cNvPicPr preferRelativeResize="0"/>
      </xdr:nvPicPr>
      <xdr:blipFill>
        <a:blip xmlns:r="http://schemas.openxmlformats.org/officeDocument/2006/relationships" r:embed="rId48" cstate="print"/>
        <a:stretch>
          <a:fillRect/>
        </a:stretch>
      </xdr:blipFill>
      <xdr:spPr>
        <a:xfrm>
          <a:off x="689722" y="474852722"/>
          <a:ext cx="1333500" cy="371475"/>
        </a:xfrm>
        <a:prstGeom prst="rect">
          <a:avLst/>
        </a:prstGeom>
        <a:noFill/>
      </xdr:spPr>
    </xdr:pic>
    <xdr:clientData fLocksWithSheet="0"/>
  </xdr:oneCellAnchor>
  <xdr:oneCellAnchor>
    <xdr:from>
      <xdr:col>1</xdr:col>
      <xdr:colOff>356347</xdr:colOff>
      <xdr:row>4015</xdr:row>
      <xdr:rowOff>55284</xdr:rowOff>
    </xdr:from>
    <xdr:ext cx="1333500" cy="371475"/>
    <xdr:pic>
      <xdr:nvPicPr>
        <xdr:cNvPr id="224" name="image57.jpg" descr="Logo CSJ RGB_01">
          <a:extLst>
            <a:ext uri="{FF2B5EF4-FFF2-40B4-BE49-F238E27FC236}">
              <a16:creationId xmlns:a16="http://schemas.microsoft.com/office/drawing/2014/main" id="{54974D3D-B661-436C-8D9E-F7B5BAA60270}"/>
            </a:ext>
          </a:extLst>
        </xdr:cNvPr>
        <xdr:cNvPicPr preferRelativeResize="0"/>
      </xdr:nvPicPr>
      <xdr:blipFill>
        <a:blip xmlns:r="http://schemas.openxmlformats.org/officeDocument/2006/relationships" r:embed="rId48" cstate="print"/>
        <a:stretch>
          <a:fillRect/>
        </a:stretch>
      </xdr:blipFill>
      <xdr:spPr>
        <a:xfrm>
          <a:off x="689722" y="474852722"/>
          <a:ext cx="1333500" cy="371475"/>
        </a:xfrm>
        <a:prstGeom prst="rect">
          <a:avLst/>
        </a:prstGeom>
        <a:noFill/>
      </xdr:spPr>
    </xdr:pic>
    <xdr:clientData fLocksWithSheet="0"/>
  </xdr:oneCellAnchor>
  <xdr:oneCellAnchor>
    <xdr:from>
      <xdr:col>1</xdr:col>
      <xdr:colOff>356347</xdr:colOff>
      <xdr:row>4037</xdr:row>
      <xdr:rowOff>55284</xdr:rowOff>
    </xdr:from>
    <xdr:ext cx="1333500" cy="371475"/>
    <xdr:pic>
      <xdr:nvPicPr>
        <xdr:cNvPr id="225" name="image57.jpg" descr="Logo CSJ RGB_01">
          <a:extLst>
            <a:ext uri="{FF2B5EF4-FFF2-40B4-BE49-F238E27FC236}">
              <a16:creationId xmlns:a16="http://schemas.microsoft.com/office/drawing/2014/main" id="{7E889015-3E71-4704-A46B-0D88FD32DE37}"/>
            </a:ext>
          </a:extLst>
        </xdr:cNvPr>
        <xdr:cNvPicPr preferRelativeResize="0"/>
      </xdr:nvPicPr>
      <xdr:blipFill>
        <a:blip xmlns:r="http://schemas.openxmlformats.org/officeDocument/2006/relationships" r:embed="rId48" cstate="print"/>
        <a:stretch>
          <a:fillRect/>
        </a:stretch>
      </xdr:blipFill>
      <xdr:spPr>
        <a:xfrm>
          <a:off x="689722" y="474852722"/>
          <a:ext cx="1333500" cy="371475"/>
        </a:xfrm>
        <a:prstGeom prst="rect">
          <a:avLst/>
        </a:prstGeom>
        <a:noFill/>
      </xdr:spPr>
    </xdr:pic>
    <xdr:clientData fLocksWithSheet="0"/>
  </xdr:oneCellAnchor>
  <xdr:oneCellAnchor>
    <xdr:from>
      <xdr:col>1</xdr:col>
      <xdr:colOff>356347</xdr:colOff>
      <xdr:row>4059</xdr:row>
      <xdr:rowOff>55284</xdr:rowOff>
    </xdr:from>
    <xdr:ext cx="1333500" cy="371475"/>
    <xdr:pic>
      <xdr:nvPicPr>
        <xdr:cNvPr id="226" name="image57.jpg" descr="Logo CSJ RGB_01">
          <a:extLst>
            <a:ext uri="{FF2B5EF4-FFF2-40B4-BE49-F238E27FC236}">
              <a16:creationId xmlns:a16="http://schemas.microsoft.com/office/drawing/2014/main" id="{EE2AA0C3-7C11-4320-AA94-3B8D52AC4AD1}"/>
            </a:ext>
          </a:extLst>
        </xdr:cNvPr>
        <xdr:cNvPicPr preferRelativeResize="0"/>
      </xdr:nvPicPr>
      <xdr:blipFill>
        <a:blip xmlns:r="http://schemas.openxmlformats.org/officeDocument/2006/relationships" r:embed="rId48" cstate="print"/>
        <a:stretch>
          <a:fillRect/>
        </a:stretch>
      </xdr:blipFill>
      <xdr:spPr>
        <a:xfrm>
          <a:off x="689722" y="474852722"/>
          <a:ext cx="1333500" cy="371475"/>
        </a:xfrm>
        <a:prstGeom prst="rect">
          <a:avLst/>
        </a:prstGeom>
        <a:noFill/>
      </xdr:spPr>
    </xdr:pic>
    <xdr:clientData fLocksWithSheet="0"/>
  </xdr:oneCellAnchor>
  <xdr:oneCellAnchor>
    <xdr:from>
      <xdr:col>1</xdr:col>
      <xdr:colOff>356347</xdr:colOff>
      <xdr:row>4081</xdr:row>
      <xdr:rowOff>55284</xdr:rowOff>
    </xdr:from>
    <xdr:ext cx="1333500" cy="371475"/>
    <xdr:pic>
      <xdr:nvPicPr>
        <xdr:cNvPr id="227" name="image57.jpg" descr="Logo CSJ RGB_01">
          <a:extLst>
            <a:ext uri="{FF2B5EF4-FFF2-40B4-BE49-F238E27FC236}">
              <a16:creationId xmlns:a16="http://schemas.microsoft.com/office/drawing/2014/main" id="{2BC3DC34-3FE6-4F3B-8C6F-57458B02C9B3}"/>
            </a:ext>
          </a:extLst>
        </xdr:cNvPr>
        <xdr:cNvPicPr preferRelativeResize="0"/>
      </xdr:nvPicPr>
      <xdr:blipFill>
        <a:blip xmlns:r="http://schemas.openxmlformats.org/officeDocument/2006/relationships" r:embed="rId48" cstate="print"/>
        <a:stretch>
          <a:fillRect/>
        </a:stretch>
      </xdr:blipFill>
      <xdr:spPr>
        <a:xfrm>
          <a:off x="689722" y="474852722"/>
          <a:ext cx="1333500" cy="371475"/>
        </a:xfrm>
        <a:prstGeom prst="rect">
          <a:avLst/>
        </a:prstGeom>
        <a:noFill/>
      </xdr:spPr>
    </xdr:pic>
    <xdr:clientData fLocksWithSheet="0"/>
  </xdr:oneCellAnchor>
  <xdr:oneCellAnchor>
    <xdr:from>
      <xdr:col>1</xdr:col>
      <xdr:colOff>356347</xdr:colOff>
      <xdr:row>4103</xdr:row>
      <xdr:rowOff>55284</xdr:rowOff>
    </xdr:from>
    <xdr:ext cx="1333500" cy="371475"/>
    <xdr:pic>
      <xdr:nvPicPr>
        <xdr:cNvPr id="228" name="image57.jpg" descr="Logo CSJ RGB_01">
          <a:extLst>
            <a:ext uri="{FF2B5EF4-FFF2-40B4-BE49-F238E27FC236}">
              <a16:creationId xmlns:a16="http://schemas.microsoft.com/office/drawing/2014/main" id="{C7AFCE9E-5B99-4491-B568-B6FD8E912740}"/>
            </a:ext>
          </a:extLst>
        </xdr:cNvPr>
        <xdr:cNvPicPr preferRelativeResize="0"/>
      </xdr:nvPicPr>
      <xdr:blipFill>
        <a:blip xmlns:r="http://schemas.openxmlformats.org/officeDocument/2006/relationships" r:embed="rId48" cstate="print"/>
        <a:stretch>
          <a:fillRect/>
        </a:stretch>
      </xdr:blipFill>
      <xdr:spPr>
        <a:xfrm>
          <a:off x="689722" y="474852722"/>
          <a:ext cx="1333500" cy="371475"/>
        </a:xfrm>
        <a:prstGeom prst="rect">
          <a:avLst/>
        </a:prstGeom>
        <a:noFill/>
      </xdr:spPr>
    </xdr:pic>
    <xdr:clientData fLocksWithSheet="0"/>
  </xdr:oneCellAnchor>
  <xdr:oneCellAnchor>
    <xdr:from>
      <xdr:col>1</xdr:col>
      <xdr:colOff>356347</xdr:colOff>
      <xdr:row>4125</xdr:row>
      <xdr:rowOff>55284</xdr:rowOff>
    </xdr:from>
    <xdr:ext cx="1333500" cy="371475"/>
    <xdr:pic>
      <xdr:nvPicPr>
        <xdr:cNvPr id="229" name="image57.jpg" descr="Logo CSJ RGB_01">
          <a:extLst>
            <a:ext uri="{FF2B5EF4-FFF2-40B4-BE49-F238E27FC236}">
              <a16:creationId xmlns:a16="http://schemas.microsoft.com/office/drawing/2014/main" id="{8954858A-2CAC-4258-B61F-863370FEF54D}"/>
            </a:ext>
          </a:extLst>
        </xdr:cNvPr>
        <xdr:cNvPicPr preferRelativeResize="0"/>
      </xdr:nvPicPr>
      <xdr:blipFill>
        <a:blip xmlns:r="http://schemas.openxmlformats.org/officeDocument/2006/relationships" r:embed="rId48" cstate="print"/>
        <a:stretch>
          <a:fillRect/>
        </a:stretch>
      </xdr:blipFill>
      <xdr:spPr>
        <a:xfrm>
          <a:off x="689722" y="474852722"/>
          <a:ext cx="1333500" cy="371475"/>
        </a:xfrm>
        <a:prstGeom prst="rect">
          <a:avLst/>
        </a:prstGeom>
        <a:noFill/>
      </xdr:spPr>
    </xdr:pic>
    <xdr:clientData fLocksWithSheet="0"/>
  </xdr:oneCellAnchor>
  <xdr:oneCellAnchor>
    <xdr:from>
      <xdr:col>1</xdr:col>
      <xdr:colOff>356347</xdr:colOff>
      <xdr:row>4147</xdr:row>
      <xdr:rowOff>55284</xdr:rowOff>
    </xdr:from>
    <xdr:ext cx="1333500" cy="371475"/>
    <xdr:pic>
      <xdr:nvPicPr>
        <xdr:cNvPr id="230" name="image57.jpg" descr="Logo CSJ RGB_01">
          <a:extLst>
            <a:ext uri="{FF2B5EF4-FFF2-40B4-BE49-F238E27FC236}">
              <a16:creationId xmlns:a16="http://schemas.microsoft.com/office/drawing/2014/main" id="{454647C1-DD41-4A74-BDD6-E46451B0117F}"/>
            </a:ext>
          </a:extLst>
        </xdr:cNvPr>
        <xdr:cNvPicPr preferRelativeResize="0"/>
      </xdr:nvPicPr>
      <xdr:blipFill>
        <a:blip xmlns:r="http://schemas.openxmlformats.org/officeDocument/2006/relationships" r:embed="rId48" cstate="print"/>
        <a:stretch>
          <a:fillRect/>
        </a:stretch>
      </xdr:blipFill>
      <xdr:spPr>
        <a:xfrm>
          <a:off x="689722" y="474852722"/>
          <a:ext cx="1333500" cy="371475"/>
        </a:xfrm>
        <a:prstGeom prst="rect">
          <a:avLst/>
        </a:prstGeom>
        <a:noFill/>
      </xdr:spPr>
    </xdr:pic>
    <xdr:clientData fLocksWithSheet="0"/>
  </xdr:oneCellAnchor>
  <xdr:oneCellAnchor>
    <xdr:from>
      <xdr:col>1</xdr:col>
      <xdr:colOff>356347</xdr:colOff>
      <xdr:row>4169</xdr:row>
      <xdr:rowOff>55284</xdr:rowOff>
    </xdr:from>
    <xdr:ext cx="1333500" cy="371475"/>
    <xdr:pic>
      <xdr:nvPicPr>
        <xdr:cNvPr id="231" name="image57.jpg" descr="Logo CSJ RGB_01">
          <a:extLst>
            <a:ext uri="{FF2B5EF4-FFF2-40B4-BE49-F238E27FC236}">
              <a16:creationId xmlns:a16="http://schemas.microsoft.com/office/drawing/2014/main" id="{6E674BD6-52D1-4D44-8FE8-94D8621F9544}"/>
            </a:ext>
          </a:extLst>
        </xdr:cNvPr>
        <xdr:cNvPicPr preferRelativeResize="0"/>
      </xdr:nvPicPr>
      <xdr:blipFill>
        <a:blip xmlns:r="http://schemas.openxmlformats.org/officeDocument/2006/relationships" r:embed="rId48" cstate="print"/>
        <a:stretch>
          <a:fillRect/>
        </a:stretch>
      </xdr:blipFill>
      <xdr:spPr>
        <a:xfrm>
          <a:off x="689722" y="474852722"/>
          <a:ext cx="1333500" cy="371475"/>
        </a:xfrm>
        <a:prstGeom prst="rect">
          <a:avLst/>
        </a:prstGeom>
        <a:noFill/>
      </xdr:spPr>
    </xdr:pic>
    <xdr:clientData fLocksWithSheet="0"/>
  </xdr:oneCellAnchor>
  <xdr:oneCellAnchor>
    <xdr:from>
      <xdr:col>1</xdr:col>
      <xdr:colOff>356347</xdr:colOff>
      <xdr:row>4191</xdr:row>
      <xdr:rowOff>55284</xdr:rowOff>
    </xdr:from>
    <xdr:ext cx="1333500" cy="371475"/>
    <xdr:pic>
      <xdr:nvPicPr>
        <xdr:cNvPr id="232" name="image57.jpg" descr="Logo CSJ RGB_01">
          <a:extLst>
            <a:ext uri="{FF2B5EF4-FFF2-40B4-BE49-F238E27FC236}">
              <a16:creationId xmlns:a16="http://schemas.microsoft.com/office/drawing/2014/main" id="{2A2EE7FF-AA22-4863-9A96-21C5A1C0A0C8}"/>
            </a:ext>
          </a:extLst>
        </xdr:cNvPr>
        <xdr:cNvPicPr preferRelativeResize="0"/>
      </xdr:nvPicPr>
      <xdr:blipFill>
        <a:blip xmlns:r="http://schemas.openxmlformats.org/officeDocument/2006/relationships" r:embed="rId48" cstate="print"/>
        <a:stretch>
          <a:fillRect/>
        </a:stretch>
      </xdr:blipFill>
      <xdr:spPr>
        <a:xfrm>
          <a:off x="689722" y="474852722"/>
          <a:ext cx="1333500" cy="371475"/>
        </a:xfrm>
        <a:prstGeom prst="rect">
          <a:avLst/>
        </a:prstGeom>
        <a:noFill/>
      </xdr:spPr>
    </xdr:pic>
    <xdr:clientData fLocksWithSheet="0"/>
  </xdr:oneCellAnchor>
  <xdr:oneCellAnchor>
    <xdr:from>
      <xdr:col>1</xdr:col>
      <xdr:colOff>356347</xdr:colOff>
      <xdr:row>4213</xdr:row>
      <xdr:rowOff>55284</xdr:rowOff>
    </xdr:from>
    <xdr:ext cx="1333500" cy="371475"/>
    <xdr:pic>
      <xdr:nvPicPr>
        <xdr:cNvPr id="233" name="image57.jpg" descr="Logo CSJ RGB_01">
          <a:extLst>
            <a:ext uri="{FF2B5EF4-FFF2-40B4-BE49-F238E27FC236}">
              <a16:creationId xmlns:a16="http://schemas.microsoft.com/office/drawing/2014/main" id="{800B153D-8262-4856-8A7A-F34879F36D61}"/>
            </a:ext>
          </a:extLst>
        </xdr:cNvPr>
        <xdr:cNvPicPr preferRelativeResize="0"/>
      </xdr:nvPicPr>
      <xdr:blipFill>
        <a:blip xmlns:r="http://schemas.openxmlformats.org/officeDocument/2006/relationships" r:embed="rId48" cstate="print"/>
        <a:stretch>
          <a:fillRect/>
        </a:stretch>
      </xdr:blipFill>
      <xdr:spPr>
        <a:xfrm>
          <a:off x="689722" y="474852722"/>
          <a:ext cx="1333500" cy="371475"/>
        </a:xfrm>
        <a:prstGeom prst="rect">
          <a:avLst/>
        </a:prstGeom>
        <a:noFill/>
      </xdr:spPr>
    </xdr:pic>
    <xdr:clientData fLocksWithSheet="0"/>
  </xdr:oneCellAnchor>
  <xdr:oneCellAnchor>
    <xdr:from>
      <xdr:col>1</xdr:col>
      <xdr:colOff>356347</xdr:colOff>
      <xdr:row>4235</xdr:row>
      <xdr:rowOff>55284</xdr:rowOff>
    </xdr:from>
    <xdr:ext cx="1333500" cy="371475"/>
    <xdr:pic>
      <xdr:nvPicPr>
        <xdr:cNvPr id="234" name="image57.jpg" descr="Logo CSJ RGB_01">
          <a:extLst>
            <a:ext uri="{FF2B5EF4-FFF2-40B4-BE49-F238E27FC236}">
              <a16:creationId xmlns:a16="http://schemas.microsoft.com/office/drawing/2014/main" id="{48E47042-2A57-4AC9-88B8-AF2397974F57}"/>
            </a:ext>
          </a:extLst>
        </xdr:cNvPr>
        <xdr:cNvPicPr preferRelativeResize="0"/>
      </xdr:nvPicPr>
      <xdr:blipFill>
        <a:blip xmlns:r="http://schemas.openxmlformats.org/officeDocument/2006/relationships" r:embed="rId48" cstate="print"/>
        <a:stretch>
          <a:fillRect/>
        </a:stretch>
      </xdr:blipFill>
      <xdr:spPr>
        <a:xfrm>
          <a:off x="689722" y="474852722"/>
          <a:ext cx="1333500" cy="371475"/>
        </a:xfrm>
        <a:prstGeom prst="rect">
          <a:avLst/>
        </a:prstGeom>
        <a:noFill/>
      </xdr:spPr>
    </xdr:pic>
    <xdr:clientData fLocksWithSheet="0"/>
  </xdr:oneCellAnchor>
  <xdr:oneCellAnchor>
    <xdr:from>
      <xdr:col>1</xdr:col>
      <xdr:colOff>356347</xdr:colOff>
      <xdr:row>4257</xdr:row>
      <xdr:rowOff>55284</xdr:rowOff>
    </xdr:from>
    <xdr:ext cx="1333500" cy="371475"/>
    <xdr:pic>
      <xdr:nvPicPr>
        <xdr:cNvPr id="235" name="image57.jpg" descr="Logo CSJ RGB_01">
          <a:extLst>
            <a:ext uri="{FF2B5EF4-FFF2-40B4-BE49-F238E27FC236}">
              <a16:creationId xmlns:a16="http://schemas.microsoft.com/office/drawing/2014/main" id="{99ADF3ED-4568-498F-BD17-17E9CF1B6FDC}"/>
            </a:ext>
          </a:extLst>
        </xdr:cNvPr>
        <xdr:cNvPicPr preferRelativeResize="0"/>
      </xdr:nvPicPr>
      <xdr:blipFill>
        <a:blip xmlns:r="http://schemas.openxmlformats.org/officeDocument/2006/relationships" r:embed="rId48" cstate="print"/>
        <a:stretch>
          <a:fillRect/>
        </a:stretch>
      </xdr:blipFill>
      <xdr:spPr>
        <a:xfrm>
          <a:off x="689722" y="474852722"/>
          <a:ext cx="1333500" cy="371475"/>
        </a:xfrm>
        <a:prstGeom prst="rect">
          <a:avLst/>
        </a:prstGeom>
        <a:noFill/>
      </xdr:spPr>
    </xdr:pic>
    <xdr:clientData fLocksWithSheet="0"/>
  </xdr:oneCellAnchor>
  <xdr:oneCellAnchor>
    <xdr:from>
      <xdr:col>1</xdr:col>
      <xdr:colOff>356347</xdr:colOff>
      <xdr:row>4279</xdr:row>
      <xdr:rowOff>55284</xdr:rowOff>
    </xdr:from>
    <xdr:ext cx="1333500" cy="371475"/>
    <xdr:pic>
      <xdr:nvPicPr>
        <xdr:cNvPr id="236" name="image57.jpg" descr="Logo CSJ RGB_01">
          <a:extLst>
            <a:ext uri="{FF2B5EF4-FFF2-40B4-BE49-F238E27FC236}">
              <a16:creationId xmlns:a16="http://schemas.microsoft.com/office/drawing/2014/main" id="{A28DBDBC-67A0-4BDA-8427-7CCA7A285970}"/>
            </a:ext>
          </a:extLst>
        </xdr:cNvPr>
        <xdr:cNvPicPr preferRelativeResize="0"/>
      </xdr:nvPicPr>
      <xdr:blipFill>
        <a:blip xmlns:r="http://schemas.openxmlformats.org/officeDocument/2006/relationships" r:embed="rId48" cstate="print"/>
        <a:stretch>
          <a:fillRect/>
        </a:stretch>
      </xdr:blipFill>
      <xdr:spPr>
        <a:xfrm>
          <a:off x="689722" y="474852722"/>
          <a:ext cx="1333500" cy="371475"/>
        </a:xfrm>
        <a:prstGeom prst="rect">
          <a:avLst/>
        </a:prstGeom>
        <a:noFill/>
      </xdr:spPr>
    </xdr:pic>
    <xdr:clientData fLocksWithSheet="0"/>
  </xdr:oneCellAnchor>
  <xdr:oneCellAnchor>
    <xdr:from>
      <xdr:col>1</xdr:col>
      <xdr:colOff>356347</xdr:colOff>
      <xdr:row>4301</xdr:row>
      <xdr:rowOff>55284</xdr:rowOff>
    </xdr:from>
    <xdr:ext cx="1333500" cy="371475"/>
    <xdr:pic>
      <xdr:nvPicPr>
        <xdr:cNvPr id="237" name="image57.jpg" descr="Logo CSJ RGB_01">
          <a:extLst>
            <a:ext uri="{FF2B5EF4-FFF2-40B4-BE49-F238E27FC236}">
              <a16:creationId xmlns:a16="http://schemas.microsoft.com/office/drawing/2014/main" id="{B72C4354-2831-4C34-AFB7-2953512B5AF7}"/>
            </a:ext>
          </a:extLst>
        </xdr:cNvPr>
        <xdr:cNvPicPr preferRelativeResize="0"/>
      </xdr:nvPicPr>
      <xdr:blipFill>
        <a:blip xmlns:r="http://schemas.openxmlformats.org/officeDocument/2006/relationships" r:embed="rId48" cstate="print"/>
        <a:stretch>
          <a:fillRect/>
        </a:stretch>
      </xdr:blipFill>
      <xdr:spPr>
        <a:xfrm>
          <a:off x="689722" y="474852722"/>
          <a:ext cx="1333500" cy="371475"/>
        </a:xfrm>
        <a:prstGeom prst="rect">
          <a:avLst/>
        </a:prstGeom>
        <a:noFill/>
      </xdr:spPr>
    </xdr:pic>
    <xdr:clientData fLocksWithSheet="0"/>
  </xdr:oneCellAnchor>
  <xdr:oneCellAnchor>
    <xdr:from>
      <xdr:col>1</xdr:col>
      <xdr:colOff>356347</xdr:colOff>
      <xdr:row>4323</xdr:row>
      <xdr:rowOff>55284</xdr:rowOff>
    </xdr:from>
    <xdr:ext cx="1333500" cy="371475"/>
    <xdr:pic>
      <xdr:nvPicPr>
        <xdr:cNvPr id="238" name="image57.jpg" descr="Logo CSJ RGB_01">
          <a:extLst>
            <a:ext uri="{FF2B5EF4-FFF2-40B4-BE49-F238E27FC236}">
              <a16:creationId xmlns:a16="http://schemas.microsoft.com/office/drawing/2014/main" id="{68A233D8-222C-43BD-9B2A-28B746B3B32D}"/>
            </a:ext>
          </a:extLst>
        </xdr:cNvPr>
        <xdr:cNvPicPr preferRelativeResize="0"/>
      </xdr:nvPicPr>
      <xdr:blipFill>
        <a:blip xmlns:r="http://schemas.openxmlformats.org/officeDocument/2006/relationships" r:embed="rId48" cstate="print"/>
        <a:stretch>
          <a:fillRect/>
        </a:stretch>
      </xdr:blipFill>
      <xdr:spPr>
        <a:xfrm>
          <a:off x="689722" y="474852722"/>
          <a:ext cx="1333500" cy="371475"/>
        </a:xfrm>
        <a:prstGeom prst="rect">
          <a:avLst/>
        </a:prstGeom>
        <a:noFill/>
      </xdr:spPr>
    </xdr:pic>
    <xdr:clientData fLocksWithSheet="0"/>
  </xdr:oneCellAnchor>
  <xdr:oneCellAnchor>
    <xdr:from>
      <xdr:col>1</xdr:col>
      <xdr:colOff>356347</xdr:colOff>
      <xdr:row>4345</xdr:row>
      <xdr:rowOff>55284</xdr:rowOff>
    </xdr:from>
    <xdr:ext cx="1333500" cy="371475"/>
    <xdr:pic>
      <xdr:nvPicPr>
        <xdr:cNvPr id="239" name="image57.jpg" descr="Logo CSJ RGB_01">
          <a:extLst>
            <a:ext uri="{FF2B5EF4-FFF2-40B4-BE49-F238E27FC236}">
              <a16:creationId xmlns:a16="http://schemas.microsoft.com/office/drawing/2014/main" id="{254435B1-3395-49A4-A06B-70A858168FBB}"/>
            </a:ext>
          </a:extLst>
        </xdr:cNvPr>
        <xdr:cNvPicPr preferRelativeResize="0"/>
      </xdr:nvPicPr>
      <xdr:blipFill>
        <a:blip xmlns:r="http://schemas.openxmlformats.org/officeDocument/2006/relationships" r:embed="rId48" cstate="print"/>
        <a:stretch>
          <a:fillRect/>
        </a:stretch>
      </xdr:blipFill>
      <xdr:spPr>
        <a:xfrm>
          <a:off x="689722" y="474852722"/>
          <a:ext cx="1333500" cy="371475"/>
        </a:xfrm>
        <a:prstGeom prst="rect">
          <a:avLst/>
        </a:prstGeom>
        <a:noFill/>
      </xdr:spPr>
    </xdr:pic>
    <xdr:clientData fLocksWithSheet="0"/>
  </xdr:oneCellAnchor>
  <xdr:oneCellAnchor>
    <xdr:from>
      <xdr:col>1</xdr:col>
      <xdr:colOff>356347</xdr:colOff>
      <xdr:row>4367</xdr:row>
      <xdr:rowOff>55284</xdr:rowOff>
    </xdr:from>
    <xdr:ext cx="1333500" cy="371475"/>
    <xdr:pic>
      <xdr:nvPicPr>
        <xdr:cNvPr id="240" name="image57.jpg" descr="Logo CSJ RGB_01">
          <a:extLst>
            <a:ext uri="{FF2B5EF4-FFF2-40B4-BE49-F238E27FC236}">
              <a16:creationId xmlns:a16="http://schemas.microsoft.com/office/drawing/2014/main" id="{41029633-5C12-486D-8E9F-F5B41840EAAF}"/>
            </a:ext>
          </a:extLst>
        </xdr:cNvPr>
        <xdr:cNvPicPr preferRelativeResize="0"/>
      </xdr:nvPicPr>
      <xdr:blipFill>
        <a:blip xmlns:r="http://schemas.openxmlformats.org/officeDocument/2006/relationships" r:embed="rId48" cstate="print"/>
        <a:stretch>
          <a:fillRect/>
        </a:stretch>
      </xdr:blipFill>
      <xdr:spPr>
        <a:xfrm>
          <a:off x="689722" y="474852722"/>
          <a:ext cx="1333500" cy="371475"/>
        </a:xfrm>
        <a:prstGeom prst="rect">
          <a:avLst/>
        </a:prstGeom>
        <a:noFill/>
      </xdr:spPr>
    </xdr:pic>
    <xdr:clientData fLocksWithSheet="0"/>
  </xdr:oneCellAnchor>
  <xdr:oneCellAnchor>
    <xdr:from>
      <xdr:col>1</xdr:col>
      <xdr:colOff>356347</xdr:colOff>
      <xdr:row>4389</xdr:row>
      <xdr:rowOff>55284</xdr:rowOff>
    </xdr:from>
    <xdr:ext cx="1333500" cy="371475"/>
    <xdr:pic>
      <xdr:nvPicPr>
        <xdr:cNvPr id="241" name="image57.jpg" descr="Logo CSJ RGB_01">
          <a:extLst>
            <a:ext uri="{FF2B5EF4-FFF2-40B4-BE49-F238E27FC236}">
              <a16:creationId xmlns:a16="http://schemas.microsoft.com/office/drawing/2014/main" id="{B47E5BD5-6849-4983-9FBC-B76F74A4D88D}"/>
            </a:ext>
          </a:extLst>
        </xdr:cNvPr>
        <xdr:cNvPicPr preferRelativeResize="0"/>
      </xdr:nvPicPr>
      <xdr:blipFill>
        <a:blip xmlns:r="http://schemas.openxmlformats.org/officeDocument/2006/relationships" r:embed="rId48" cstate="print"/>
        <a:stretch>
          <a:fillRect/>
        </a:stretch>
      </xdr:blipFill>
      <xdr:spPr>
        <a:xfrm>
          <a:off x="689722" y="474852722"/>
          <a:ext cx="1333500" cy="371475"/>
        </a:xfrm>
        <a:prstGeom prst="rect">
          <a:avLst/>
        </a:prstGeom>
        <a:noFill/>
      </xdr:spPr>
    </xdr:pic>
    <xdr:clientData fLocksWithSheet="0"/>
  </xdr:oneCellAnchor>
  <xdr:oneCellAnchor>
    <xdr:from>
      <xdr:col>1</xdr:col>
      <xdr:colOff>356347</xdr:colOff>
      <xdr:row>4411</xdr:row>
      <xdr:rowOff>55284</xdr:rowOff>
    </xdr:from>
    <xdr:ext cx="1333500" cy="371475"/>
    <xdr:pic>
      <xdr:nvPicPr>
        <xdr:cNvPr id="242" name="image57.jpg" descr="Logo CSJ RGB_01">
          <a:extLst>
            <a:ext uri="{FF2B5EF4-FFF2-40B4-BE49-F238E27FC236}">
              <a16:creationId xmlns:a16="http://schemas.microsoft.com/office/drawing/2014/main" id="{AA1A9838-C5DE-432D-805B-0B033C5A3BA7}"/>
            </a:ext>
          </a:extLst>
        </xdr:cNvPr>
        <xdr:cNvPicPr preferRelativeResize="0"/>
      </xdr:nvPicPr>
      <xdr:blipFill>
        <a:blip xmlns:r="http://schemas.openxmlformats.org/officeDocument/2006/relationships" r:embed="rId48" cstate="print"/>
        <a:stretch>
          <a:fillRect/>
        </a:stretch>
      </xdr:blipFill>
      <xdr:spPr>
        <a:xfrm>
          <a:off x="689722" y="474852722"/>
          <a:ext cx="1333500" cy="371475"/>
        </a:xfrm>
        <a:prstGeom prst="rect">
          <a:avLst/>
        </a:prstGeom>
        <a:noFill/>
      </xdr:spPr>
    </xdr:pic>
    <xdr:clientData fLocksWithSheet="0"/>
  </xdr:oneCellAnchor>
  <xdr:oneCellAnchor>
    <xdr:from>
      <xdr:col>1</xdr:col>
      <xdr:colOff>356347</xdr:colOff>
      <xdr:row>4433</xdr:row>
      <xdr:rowOff>55284</xdr:rowOff>
    </xdr:from>
    <xdr:ext cx="1333500" cy="371475"/>
    <xdr:pic>
      <xdr:nvPicPr>
        <xdr:cNvPr id="243" name="image57.jpg" descr="Logo CSJ RGB_01">
          <a:extLst>
            <a:ext uri="{FF2B5EF4-FFF2-40B4-BE49-F238E27FC236}">
              <a16:creationId xmlns:a16="http://schemas.microsoft.com/office/drawing/2014/main" id="{C8E88C35-2904-4432-893A-D623B288A476}"/>
            </a:ext>
          </a:extLst>
        </xdr:cNvPr>
        <xdr:cNvPicPr preferRelativeResize="0"/>
      </xdr:nvPicPr>
      <xdr:blipFill>
        <a:blip xmlns:r="http://schemas.openxmlformats.org/officeDocument/2006/relationships" r:embed="rId48" cstate="print"/>
        <a:stretch>
          <a:fillRect/>
        </a:stretch>
      </xdr:blipFill>
      <xdr:spPr>
        <a:xfrm>
          <a:off x="689722" y="474852722"/>
          <a:ext cx="1333500" cy="371475"/>
        </a:xfrm>
        <a:prstGeom prst="rect">
          <a:avLst/>
        </a:prstGeom>
        <a:noFill/>
      </xdr:spPr>
    </xdr:pic>
    <xdr:clientData fLocksWithSheet="0"/>
  </xdr:oneCellAnchor>
  <xdr:oneCellAnchor>
    <xdr:from>
      <xdr:col>1</xdr:col>
      <xdr:colOff>356347</xdr:colOff>
      <xdr:row>4433</xdr:row>
      <xdr:rowOff>55284</xdr:rowOff>
    </xdr:from>
    <xdr:ext cx="1333500" cy="371475"/>
    <xdr:pic>
      <xdr:nvPicPr>
        <xdr:cNvPr id="244" name="image57.jpg" descr="Logo CSJ RGB_01">
          <a:extLst>
            <a:ext uri="{FF2B5EF4-FFF2-40B4-BE49-F238E27FC236}">
              <a16:creationId xmlns:a16="http://schemas.microsoft.com/office/drawing/2014/main" id="{7C8A3264-446A-4949-BA71-CD52E8079910}"/>
            </a:ext>
          </a:extLst>
        </xdr:cNvPr>
        <xdr:cNvPicPr preferRelativeResize="0"/>
      </xdr:nvPicPr>
      <xdr:blipFill>
        <a:blip xmlns:r="http://schemas.openxmlformats.org/officeDocument/2006/relationships" r:embed="rId48" cstate="print"/>
        <a:stretch>
          <a:fillRect/>
        </a:stretch>
      </xdr:blipFill>
      <xdr:spPr>
        <a:xfrm>
          <a:off x="689722" y="474852722"/>
          <a:ext cx="1333500" cy="371475"/>
        </a:xfrm>
        <a:prstGeom prst="rect">
          <a:avLst/>
        </a:prstGeom>
        <a:noFill/>
      </xdr:spPr>
    </xdr:pic>
    <xdr:clientData fLocksWithSheet="0"/>
  </xdr:oneCellAnchor>
  <xdr:oneCellAnchor>
    <xdr:from>
      <xdr:col>1</xdr:col>
      <xdr:colOff>356347</xdr:colOff>
      <xdr:row>4455</xdr:row>
      <xdr:rowOff>55284</xdr:rowOff>
    </xdr:from>
    <xdr:ext cx="1333500" cy="371475"/>
    <xdr:pic>
      <xdr:nvPicPr>
        <xdr:cNvPr id="245" name="image57.jpg" descr="Logo CSJ RGB_01">
          <a:extLst>
            <a:ext uri="{FF2B5EF4-FFF2-40B4-BE49-F238E27FC236}">
              <a16:creationId xmlns:a16="http://schemas.microsoft.com/office/drawing/2014/main" id="{C98683FD-94B2-4219-B8EC-504EF8603213}"/>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4455</xdr:row>
      <xdr:rowOff>55284</xdr:rowOff>
    </xdr:from>
    <xdr:ext cx="1333500" cy="371475"/>
    <xdr:pic>
      <xdr:nvPicPr>
        <xdr:cNvPr id="246" name="image57.jpg" descr="Logo CSJ RGB_01">
          <a:extLst>
            <a:ext uri="{FF2B5EF4-FFF2-40B4-BE49-F238E27FC236}">
              <a16:creationId xmlns:a16="http://schemas.microsoft.com/office/drawing/2014/main" id="{9E2CEE85-8970-47A1-B052-FC59033DB05A}"/>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4477</xdr:row>
      <xdr:rowOff>55284</xdr:rowOff>
    </xdr:from>
    <xdr:ext cx="1333500" cy="371475"/>
    <xdr:pic>
      <xdr:nvPicPr>
        <xdr:cNvPr id="247" name="image57.jpg" descr="Logo CSJ RGB_01">
          <a:extLst>
            <a:ext uri="{FF2B5EF4-FFF2-40B4-BE49-F238E27FC236}">
              <a16:creationId xmlns:a16="http://schemas.microsoft.com/office/drawing/2014/main" id="{EB431FF4-BBBD-4257-8E7B-13F9EB08D755}"/>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4477</xdr:row>
      <xdr:rowOff>55284</xdr:rowOff>
    </xdr:from>
    <xdr:ext cx="1333500" cy="371475"/>
    <xdr:pic>
      <xdr:nvPicPr>
        <xdr:cNvPr id="248" name="image57.jpg" descr="Logo CSJ RGB_01">
          <a:extLst>
            <a:ext uri="{FF2B5EF4-FFF2-40B4-BE49-F238E27FC236}">
              <a16:creationId xmlns:a16="http://schemas.microsoft.com/office/drawing/2014/main" id="{B816B028-403A-437E-9C8D-D7C9F4638F45}"/>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4499</xdr:row>
      <xdr:rowOff>55284</xdr:rowOff>
    </xdr:from>
    <xdr:ext cx="1333500" cy="371475"/>
    <xdr:pic>
      <xdr:nvPicPr>
        <xdr:cNvPr id="250" name="image57.jpg" descr="Logo CSJ RGB_01">
          <a:extLst>
            <a:ext uri="{FF2B5EF4-FFF2-40B4-BE49-F238E27FC236}">
              <a16:creationId xmlns:a16="http://schemas.microsoft.com/office/drawing/2014/main" id="{B8E9158D-9231-4303-8D24-0AA6655C3184}"/>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4499</xdr:row>
      <xdr:rowOff>55284</xdr:rowOff>
    </xdr:from>
    <xdr:ext cx="1333500" cy="371475"/>
    <xdr:pic>
      <xdr:nvPicPr>
        <xdr:cNvPr id="251" name="image57.jpg" descr="Logo CSJ RGB_01">
          <a:extLst>
            <a:ext uri="{FF2B5EF4-FFF2-40B4-BE49-F238E27FC236}">
              <a16:creationId xmlns:a16="http://schemas.microsoft.com/office/drawing/2014/main" id="{F0CC1C11-8A10-4BA8-A2CA-65F07506260E}"/>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4521</xdr:row>
      <xdr:rowOff>55284</xdr:rowOff>
    </xdr:from>
    <xdr:ext cx="1333500" cy="371475"/>
    <xdr:pic>
      <xdr:nvPicPr>
        <xdr:cNvPr id="252" name="image57.jpg" descr="Logo CSJ RGB_01">
          <a:extLst>
            <a:ext uri="{FF2B5EF4-FFF2-40B4-BE49-F238E27FC236}">
              <a16:creationId xmlns:a16="http://schemas.microsoft.com/office/drawing/2014/main" id="{97725AE1-8543-4B1A-A79B-DE3B9325A357}"/>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4521</xdr:row>
      <xdr:rowOff>55284</xdr:rowOff>
    </xdr:from>
    <xdr:ext cx="1333500" cy="371475"/>
    <xdr:pic>
      <xdr:nvPicPr>
        <xdr:cNvPr id="253" name="image57.jpg" descr="Logo CSJ RGB_01">
          <a:extLst>
            <a:ext uri="{FF2B5EF4-FFF2-40B4-BE49-F238E27FC236}">
              <a16:creationId xmlns:a16="http://schemas.microsoft.com/office/drawing/2014/main" id="{5B6BA2B6-A7DB-416E-B11C-759A70DB2963}"/>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4572</xdr:row>
      <xdr:rowOff>55284</xdr:rowOff>
    </xdr:from>
    <xdr:ext cx="1333500" cy="371475"/>
    <xdr:pic>
      <xdr:nvPicPr>
        <xdr:cNvPr id="254" name="image57.jpg" descr="Logo CSJ RGB_01">
          <a:extLst>
            <a:ext uri="{FF2B5EF4-FFF2-40B4-BE49-F238E27FC236}">
              <a16:creationId xmlns:a16="http://schemas.microsoft.com/office/drawing/2014/main" id="{EF783E6F-8EF8-41DB-9FCF-E0E86089017F}"/>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4572</xdr:row>
      <xdr:rowOff>55284</xdr:rowOff>
    </xdr:from>
    <xdr:ext cx="1333500" cy="371475"/>
    <xdr:pic>
      <xdr:nvPicPr>
        <xdr:cNvPr id="255" name="image57.jpg" descr="Logo CSJ RGB_01">
          <a:extLst>
            <a:ext uri="{FF2B5EF4-FFF2-40B4-BE49-F238E27FC236}">
              <a16:creationId xmlns:a16="http://schemas.microsoft.com/office/drawing/2014/main" id="{ED41B6EE-4938-471C-A10E-851FDD497837}"/>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4594</xdr:row>
      <xdr:rowOff>55284</xdr:rowOff>
    </xdr:from>
    <xdr:ext cx="1333500" cy="371475"/>
    <xdr:pic>
      <xdr:nvPicPr>
        <xdr:cNvPr id="256" name="image57.jpg" descr="Logo CSJ RGB_01">
          <a:extLst>
            <a:ext uri="{FF2B5EF4-FFF2-40B4-BE49-F238E27FC236}">
              <a16:creationId xmlns:a16="http://schemas.microsoft.com/office/drawing/2014/main" id="{CCF76306-E8C9-4B0D-97B5-A45DB6600C39}"/>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4594</xdr:row>
      <xdr:rowOff>55284</xdr:rowOff>
    </xdr:from>
    <xdr:ext cx="1333500" cy="371475"/>
    <xdr:pic>
      <xdr:nvPicPr>
        <xdr:cNvPr id="257" name="image57.jpg" descr="Logo CSJ RGB_01">
          <a:extLst>
            <a:ext uri="{FF2B5EF4-FFF2-40B4-BE49-F238E27FC236}">
              <a16:creationId xmlns:a16="http://schemas.microsoft.com/office/drawing/2014/main" id="{44F7A161-16CE-4EE4-9DAC-7E5F55F3C9F8}"/>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4616</xdr:row>
      <xdr:rowOff>55284</xdr:rowOff>
    </xdr:from>
    <xdr:ext cx="1333500" cy="371475"/>
    <xdr:pic>
      <xdr:nvPicPr>
        <xdr:cNvPr id="258" name="image57.jpg" descr="Logo CSJ RGB_01">
          <a:extLst>
            <a:ext uri="{FF2B5EF4-FFF2-40B4-BE49-F238E27FC236}">
              <a16:creationId xmlns:a16="http://schemas.microsoft.com/office/drawing/2014/main" id="{9274FA2E-E2AF-44DC-BFE9-2D0A28AA52DD}"/>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4616</xdr:row>
      <xdr:rowOff>55284</xdr:rowOff>
    </xdr:from>
    <xdr:ext cx="1333500" cy="371475"/>
    <xdr:pic>
      <xdr:nvPicPr>
        <xdr:cNvPr id="259" name="image57.jpg" descr="Logo CSJ RGB_01">
          <a:extLst>
            <a:ext uri="{FF2B5EF4-FFF2-40B4-BE49-F238E27FC236}">
              <a16:creationId xmlns:a16="http://schemas.microsoft.com/office/drawing/2014/main" id="{53A046C3-2176-4EA1-A252-9E37F19B105E}"/>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4638</xdr:row>
      <xdr:rowOff>55284</xdr:rowOff>
    </xdr:from>
    <xdr:ext cx="1333500" cy="371475"/>
    <xdr:pic>
      <xdr:nvPicPr>
        <xdr:cNvPr id="260" name="image57.jpg" descr="Logo CSJ RGB_01">
          <a:extLst>
            <a:ext uri="{FF2B5EF4-FFF2-40B4-BE49-F238E27FC236}">
              <a16:creationId xmlns:a16="http://schemas.microsoft.com/office/drawing/2014/main" id="{40768F03-0038-409B-8FC1-467FF2CEFA6C}"/>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4638</xdr:row>
      <xdr:rowOff>55284</xdr:rowOff>
    </xdr:from>
    <xdr:ext cx="1333500" cy="371475"/>
    <xdr:pic>
      <xdr:nvPicPr>
        <xdr:cNvPr id="261" name="image57.jpg" descr="Logo CSJ RGB_01">
          <a:extLst>
            <a:ext uri="{FF2B5EF4-FFF2-40B4-BE49-F238E27FC236}">
              <a16:creationId xmlns:a16="http://schemas.microsoft.com/office/drawing/2014/main" id="{B3DDDA0E-BE9D-4EB9-B08A-3221AAB8D75C}"/>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4660</xdr:row>
      <xdr:rowOff>55284</xdr:rowOff>
    </xdr:from>
    <xdr:ext cx="1333500" cy="371475"/>
    <xdr:pic>
      <xdr:nvPicPr>
        <xdr:cNvPr id="262" name="image57.jpg" descr="Logo CSJ RGB_01">
          <a:extLst>
            <a:ext uri="{FF2B5EF4-FFF2-40B4-BE49-F238E27FC236}">
              <a16:creationId xmlns:a16="http://schemas.microsoft.com/office/drawing/2014/main" id="{23ABAA77-3056-4D8F-9FD2-F1E782D3AE9D}"/>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4660</xdr:row>
      <xdr:rowOff>55284</xdr:rowOff>
    </xdr:from>
    <xdr:ext cx="1333500" cy="371475"/>
    <xdr:pic>
      <xdr:nvPicPr>
        <xdr:cNvPr id="263" name="image57.jpg" descr="Logo CSJ RGB_01">
          <a:extLst>
            <a:ext uri="{FF2B5EF4-FFF2-40B4-BE49-F238E27FC236}">
              <a16:creationId xmlns:a16="http://schemas.microsoft.com/office/drawing/2014/main" id="{682E35D5-58C0-4FCE-85ED-2826EC683AFC}"/>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4682</xdr:row>
      <xdr:rowOff>55284</xdr:rowOff>
    </xdr:from>
    <xdr:ext cx="1333500" cy="371475"/>
    <xdr:pic>
      <xdr:nvPicPr>
        <xdr:cNvPr id="264" name="image57.jpg" descr="Logo CSJ RGB_01">
          <a:extLst>
            <a:ext uri="{FF2B5EF4-FFF2-40B4-BE49-F238E27FC236}">
              <a16:creationId xmlns:a16="http://schemas.microsoft.com/office/drawing/2014/main" id="{ACF9FD11-36CD-471E-A668-4AF18F166DDC}"/>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4682</xdr:row>
      <xdr:rowOff>55284</xdr:rowOff>
    </xdr:from>
    <xdr:ext cx="1333500" cy="371475"/>
    <xdr:pic>
      <xdr:nvPicPr>
        <xdr:cNvPr id="265" name="image57.jpg" descr="Logo CSJ RGB_01">
          <a:extLst>
            <a:ext uri="{FF2B5EF4-FFF2-40B4-BE49-F238E27FC236}">
              <a16:creationId xmlns:a16="http://schemas.microsoft.com/office/drawing/2014/main" id="{22186E41-65FE-43A0-8BD4-D58F67C57A93}"/>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4704</xdr:row>
      <xdr:rowOff>55284</xdr:rowOff>
    </xdr:from>
    <xdr:ext cx="1333500" cy="371475"/>
    <xdr:pic>
      <xdr:nvPicPr>
        <xdr:cNvPr id="266" name="image57.jpg" descr="Logo CSJ RGB_01">
          <a:extLst>
            <a:ext uri="{FF2B5EF4-FFF2-40B4-BE49-F238E27FC236}">
              <a16:creationId xmlns:a16="http://schemas.microsoft.com/office/drawing/2014/main" id="{F1857F64-FF53-4AB5-A97B-F021686737BE}"/>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4704</xdr:row>
      <xdr:rowOff>55284</xdr:rowOff>
    </xdr:from>
    <xdr:ext cx="1333500" cy="371475"/>
    <xdr:pic>
      <xdr:nvPicPr>
        <xdr:cNvPr id="267" name="image57.jpg" descr="Logo CSJ RGB_01">
          <a:extLst>
            <a:ext uri="{FF2B5EF4-FFF2-40B4-BE49-F238E27FC236}">
              <a16:creationId xmlns:a16="http://schemas.microsoft.com/office/drawing/2014/main" id="{7C76F71F-F4E4-4EE3-9A28-A3FBC698CC21}"/>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4726</xdr:row>
      <xdr:rowOff>55284</xdr:rowOff>
    </xdr:from>
    <xdr:ext cx="1333500" cy="371475"/>
    <xdr:pic>
      <xdr:nvPicPr>
        <xdr:cNvPr id="268" name="image57.jpg" descr="Logo CSJ RGB_01">
          <a:extLst>
            <a:ext uri="{FF2B5EF4-FFF2-40B4-BE49-F238E27FC236}">
              <a16:creationId xmlns:a16="http://schemas.microsoft.com/office/drawing/2014/main" id="{657073A9-2E7E-47CD-9A6D-B43F3D88B3A2}"/>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4726</xdr:row>
      <xdr:rowOff>55284</xdr:rowOff>
    </xdr:from>
    <xdr:ext cx="1333500" cy="371475"/>
    <xdr:pic>
      <xdr:nvPicPr>
        <xdr:cNvPr id="269" name="image57.jpg" descr="Logo CSJ RGB_01">
          <a:extLst>
            <a:ext uri="{FF2B5EF4-FFF2-40B4-BE49-F238E27FC236}">
              <a16:creationId xmlns:a16="http://schemas.microsoft.com/office/drawing/2014/main" id="{FF1F4146-64C0-4060-8E64-093AECE91E6C}"/>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4748</xdr:row>
      <xdr:rowOff>55284</xdr:rowOff>
    </xdr:from>
    <xdr:ext cx="1333500" cy="371475"/>
    <xdr:pic>
      <xdr:nvPicPr>
        <xdr:cNvPr id="270" name="image57.jpg" descr="Logo CSJ RGB_01">
          <a:extLst>
            <a:ext uri="{FF2B5EF4-FFF2-40B4-BE49-F238E27FC236}">
              <a16:creationId xmlns:a16="http://schemas.microsoft.com/office/drawing/2014/main" id="{343B8F25-DB91-4DE0-B2D0-2763FC3B1B73}"/>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4748</xdr:row>
      <xdr:rowOff>55284</xdr:rowOff>
    </xdr:from>
    <xdr:ext cx="1333500" cy="371475"/>
    <xdr:pic>
      <xdr:nvPicPr>
        <xdr:cNvPr id="271" name="image57.jpg" descr="Logo CSJ RGB_01">
          <a:extLst>
            <a:ext uri="{FF2B5EF4-FFF2-40B4-BE49-F238E27FC236}">
              <a16:creationId xmlns:a16="http://schemas.microsoft.com/office/drawing/2014/main" id="{9AEF1FB3-23EC-436C-963B-505AF743AD04}"/>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4770</xdr:row>
      <xdr:rowOff>55284</xdr:rowOff>
    </xdr:from>
    <xdr:ext cx="1333500" cy="371475"/>
    <xdr:pic>
      <xdr:nvPicPr>
        <xdr:cNvPr id="272" name="image57.jpg" descr="Logo CSJ RGB_01">
          <a:extLst>
            <a:ext uri="{FF2B5EF4-FFF2-40B4-BE49-F238E27FC236}">
              <a16:creationId xmlns:a16="http://schemas.microsoft.com/office/drawing/2014/main" id="{698DAA03-5E1C-4624-92E9-0391EC1A74F2}"/>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4770</xdr:row>
      <xdr:rowOff>55284</xdr:rowOff>
    </xdr:from>
    <xdr:ext cx="1333500" cy="371475"/>
    <xdr:pic>
      <xdr:nvPicPr>
        <xdr:cNvPr id="273" name="image57.jpg" descr="Logo CSJ RGB_01">
          <a:extLst>
            <a:ext uri="{FF2B5EF4-FFF2-40B4-BE49-F238E27FC236}">
              <a16:creationId xmlns:a16="http://schemas.microsoft.com/office/drawing/2014/main" id="{AE6DE9B9-03CF-4F1E-A918-0BAC9D039ECA}"/>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4792</xdr:row>
      <xdr:rowOff>55284</xdr:rowOff>
    </xdr:from>
    <xdr:ext cx="1333500" cy="371475"/>
    <xdr:pic>
      <xdr:nvPicPr>
        <xdr:cNvPr id="274" name="image57.jpg" descr="Logo CSJ RGB_01">
          <a:extLst>
            <a:ext uri="{FF2B5EF4-FFF2-40B4-BE49-F238E27FC236}">
              <a16:creationId xmlns:a16="http://schemas.microsoft.com/office/drawing/2014/main" id="{AD359712-83D8-4F00-A90A-2917B6B17F4B}"/>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4792</xdr:row>
      <xdr:rowOff>55284</xdr:rowOff>
    </xdr:from>
    <xdr:ext cx="1333500" cy="371475"/>
    <xdr:pic>
      <xdr:nvPicPr>
        <xdr:cNvPr id="275" name="image57.jpg" descr="Logo CSJ RGB_01">
          <a:extLst>
            <a:ext uri="{FF2B5EF4-FFF2-40B4-BE49-F238E27FC236}">
              <a16:creationId xmlns:a16="http://schemas.microsoft.com/office/drawing/2014/main" id="{6B44BFD2-6093-4085-84B6-DDBF729292FD}"/>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4814</xdr:row>
      <xdr:rowOff>55284</xdr:rowOff>
    </xdr:from>
    <xdr:ext cx="1333500" cy="371475"/>
    <xdr:pic>
      <xdr:nvPicPr>
        <xdr:cNvPr id="276" name="image57.jpg" descr="Logo CSJ RGB_01">
          <a:extLst>
            <a:ext uri="{FF2B5EF4-FFF2-40B4-BE49-F238E27FC236}">
              <a16:creationId xmlns:a16="http://schemas.microsoft.com/office/drawing/2014/main" id="{182DE4E6-EDE8-4ED7-A3AF-54E8043931F6}"/>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4814</xdr:row>
      <xdr:rowOff>55284</xdr:rowOff>
    </xdr:from>
    <xdr:ext cx="1333500" cy="371475"/>
    <xdr:pic>
      <xdr:nvPicPr>
        <xdr:cNvPr id="277" name="image57.jpg" descr="Logo CSJ RGB_01">
          <a:extLst>
            <a:ext uri="{FF2B5EF4-FFF2-40B4-BE49-F238E27FC236}">
              <a16:creationId xmlns:a16="http://schemas.microsoft.com/office/drawing/2014/main" id="{1E52A30D-A4D2-4505-B429-A9E96A5C8A37}"/>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4836</xdr:row>
      <xdr:rowOff>55284</xdr:rowOff>
    </xdr:from>
    <xdr:ext cx="1333500" cy="371475"/>
    <xdr:pic>
      <xdr:nvPicPr>
        <xdr:cNvPr id="278" name="image57.jpg" descr="Logo CSJ RGB_01">
          <a:extLst>
            <a:ext uri="{FF2B5EF4-FFF2-40B4-BE49-F238E27FC236}">
              <a16:creationId xmlns:a16="http://schemas.microsoft.com/office/drawing/2014/main" id="{197A5DF5-D0A4-4E90-BC1E-E02D25D2D292}"/>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4836</xdr:row>
      <xdr:rowOff>55284</xdr:rowOff>
    </xdr:from>
    <xdr:ext cx="1333500" cy="371475"/>
    <xdr:pic>
      <xdr:nvPicPr>
        <xdr:cNvPr id="279" name="image57.jpg" descr="Logo CSJ RGB_01">
          <a:extLst>
            <a:ext uri="{FF2B5EF4-FFF2-40B4-BE49-F238E27FC236}">
              <a16:creationId xmlns:a16="http://schemas.microsoft.com/office/drawing/2014/main" id="{CFC3B498-0D2B-4A37-9EC1-C6A7EF0260AA}"/>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4883</xdr:row>
      <xdr:rowOff>55284</xdr:rowOff>
    </xdr:from>
    <xdr:ext cx="1333500" cy="371475"/>
    <xdr:pic>
      <xdr:nvPicPr>
        <xdr:cNvPr id="280" name="image57.jpg" descr="Logo CSJ RGB_01">
          <a:extLst>
            <a:ext uri="{FF2B5EF4-FFF2-40B4-BE49-F238E27FC236}">
              <a16:creationId xmlns:a16="http://schemas.microsoft.com/office/drawing/2014/main" id="{721CAB4E-DEFB-4F65-BC6B-975F6DF43F36}"/>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4883</xdr:row>
      <xdr:rowOff>55284</xdr:rowOff>
    </xdr:from>
    <xdr:ext cx="1333500" cy="371475"/>
    <xdr:pic>
      <xdr:nvPicPr>
        <xdr:cNvPr id="281" name="image57.jpg" descr="Logo CSJ RGB_01">
          <a:extLst>
            <a:ext uri="{FF2B5EF4-FFF2-40B4-BE49-F238E27FC236}">
              <a16:creationId xmlns:a16="http://schemas.microsoft.com/office/drawing/2014/main" id="{4946C919-0691-446E-B03C-7C686729D752}"/>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4905</xdr:row>
      <xdr:rowOff>55284</xdr:rowOff>
    </xdr:from>
    <xdr:ext cx="1333500" cy="371475"/>
    <xdr:pic>
      <xdr:nvPicPr>
        <xdr:cNvPr id="282" name="image57.jpg" descr="Logo CSJ RGB_01">
          <a:extLst>
            <a:ext uri="{FF2B5EF4-FFF2-40B4-BE49-F238E27FC236}">
              <a16:creationId xmlns:a16="http://schemas.microsoft.com/office/drawing/2014/main" id="{C35D0141-46F3-4817-AD48-2045E5072446}"/>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4905</xdr:row>
      <xdr:rowOff>55284</xdr:rowOff>
    </xdr:from>
    <xdr:ext cx="1333500" cy="371475"/>
    <xdr:pic>
      <xdr:nvPicPr>
        <xdr:cNvPr id="283" name="image57.jpg" descr="Logo CSJ RGB_01">
          <a:extLst>
            <a:ext uri="{FF2B5EF4-FFF2-40B4-BE49-F238E27FC236}">
              <a16:creationId xmlns:a16="http://schemas.microsoft.com/office/drawing/2014/main" id="{FAFE98A6-CC21-4F8B-AA6B-7F759C04655A}"/>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4927</xdr:row>
      <xdr:rowOff>55284</xdr:rowOff>
    </xdr:from>
    <xdr:ext cx="1333500" cy="371475"/>
    <xdr:pic>
      <xdr:nvPicPr>
        <xdr:cNvPr id="284" name="image57.jpg" descr="Logo CSJ RGB_01">
          <a:extLst>
            <a:ext uri="{FF2B5EF4-FFF2-40B4-BE49-F238E27FC236}">
              <a16:creationId xmlns:a16="http://schemas.microsoft.com/office/drawing/2014/main" id="{37378863-7AF8-4B79-B583-7C2BA9BFDCBB}"/>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4927</xdr:row>
      <xdr:rowOff>55284</xdr:rowOff>
    </xdr:from>
    <xdr:ext cx="1333500" cy="371475"/>
    <xdr:pic>
      <xdr:nvPicPr>
        <xdr:cNvPr id="285" name="image57.jpg" descr="Logo CSJ RGB_01">
          <a:extLst>
            <a:ext uri="{FF2B5EF4-FFF2-40B4-BE49-F238E27FC236}">
              <a16:creationId xmlns:a16="http://schemas.microsoft.com/office/drawing/2014/main" id="{2F04DB12-5FD7-4788-96D4-8759BB3B4531}"/>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4949</xdr:row>
      <xdr:rowOff>55284</xdr:rowOff>
    </xdr:from>
    <xdr:ext cx="1333500" cy="371475"/>
    <xdr:pic>
      <xdr:nvPicPr>
        <xdr:cNvPr id="286" name="image57.jpg" descr="Logo CSJ RGB_01">
          <a:extLst>
            <a:ext uri="{FF2B5EF4-FFF2-40B4-BE49-F238E27FC236}">
              <a16:creationId xmlns:a16="http://schemas.microsoft.com/office/drawing/2014/main" id="{9A1ABDB2-B5D9-418A-9A00-23ED6815FD7B}"/>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4949</xdr:row>
      <xdr:rowOff>55284</xdr:rowOff>
    </xdr:from>
    <xdr:ext cx="1333500" cy="371475"/>
    <xdr:pic>
      <xdr:nvPicPr>
        <xdr:cNvPr id="287" name="image57.jpg" descr="Logo CSJ RGB_01">
          <a:extLst>
            <a:ext uri="{FF2B5EF4-FFF2-40B4-BE49-F238E27FC236}">
              <a16:creationId xmlns:a16="http://schemas.microsoft.com/office/drawing/2014/main" id="{8E889E13-9673-472B-AC0F-D5E8A4AF1343}"/>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4971</xdr:row>
      <xdr:rowOff>55284</xdr:rowOff>
    </xdr:from>
    <xdr:ext cx="1333500" cy="371475"/>
    <xdr:pic>
      <xdr:nvPicPr>
        <xdr:cNvPr id="288" name="image57.jpg" descr="Logo CSJ RGB_01">
          <a:extLst>
            <a:ext uri="{FF2B5EF4-FFF2-40B4-BE49-F238E27FC236}">
              <a16:creationId xmlns:a16="http://schemas.microsoft.com/office/drawing/2014/main" id="{3062C1AA-C3B3-4C31-80B0-E126CA771A0F}"/>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4971</xdr:row>
      <xdr:rowOff>55284</xdr:rowOff>
    </xdr:from>
    <xdr:ext cx="1333500" cy="371475"/>
    <xdr:pic>
      <xdr:nvPicPr>
        <xdr:cNvPr id="289" name="image57.jpg" descr="Logo CSJ RGB_01">
          <a:extLst>
            <a:ext uri="{FF2B5EF4-FFF2-40B4-BE49-F238E27FC236}">
              <a16:creationId xmlns:a16="http://schemas.microsoft.com/office/drawing/2014/main" id="{EC5FCB89-CBC5-4C58-ABC7-725EFA701A08}"/>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4993</xdr:row>
      <xdr:rowOff>55284</xdr:rowOff>
    </xdr:from>
    <xdr:ext cx="1333500" cy="371475"/>
    <xdr:pic>
      <xdr:nvPicPr>
        <xdr:cNvPr id="290" name="image57.jpg" descr="Logo CSJ RGB_01">
          <a:extLst>
            <a:ext uri="{FF2B5EF4-FFF2-40B4-BE49-F238E27FC236}">
              <a16:creationId xmlns:a16="http://schemas.microsoft.com/office/drawing/2014/main" id="{C72E23D3-FF35-4AD1-89A5-047C729A3438}"/>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4993</xdr:row>
      <xdr:rowOff>55284</xdr:rowOff>
    </xdr:from>
    <xdr:ext cx="1333500" cy="371475"/>
    <xdr:pic>
      <xdr:nvPicPr>
        <xdr:cNvPr id="291" name="image57.jpg" descr="Logo CSJ RGB_01">
          <a:extLst>
            <a:ext uri="{FF2B5EF4-FFF2-40B4-BE49-F238E27FC236}">
              <a16:creationId xmlns:a16="http://schemas.microsoft.com/office/drawing/2014/main" id="{6BE50537-80C1-4FC8-AD67-16AD4B9A1B89}"/>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5015</xdr:row>
      <xdr:rowOff>55284</xdr:rowOff>
    </xdr:from>
    <xdr:ext cx="1333500" cy="371475"/>
    <xdr:pic>
      <xdr:nvPicPr>
        <xdr:cNvPr id="292" name="image57.jpg" descr="Logo CSJ RGB_01">
          <a:extLst>
            <a:ext uri="{FF2B5EF4-FFF2-40B4-BE49-F238E27FC236}">
              <a16:creationId xmlns:a16="http://schemas.microsoft.com/office/drawing/2014/main" id="{164C0800-4B0F-454D-BF69-89BA3CA373FF}"/>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5015</xdr:row>
      <xdr:rowOff>55284</xdr:rowOff>
    </xdr:from>
    <xdr:ext cx="1333500" cy="371475"/>
    <xdr:pic>
      <xdr:nvPicPr>
        <xdr:cNvPr id="293" name="image57.jpg" descr="Logo CSJ RGB_01">
          <a:extLst>
            <a:ext uri="{FF2B5EF4-FFF2-40B4-BE49-F238E27FC236}">
              <a16:creationId xmlns:a16="http://schemas.microsoft.com/office/drawing/2014/main" id="{B6B6E1B3-726C-4310-BD3A-E39DF744587C}"/>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5037</xdr:row>
      <xdr:rowOff>55284</xdr:rowOff>
    </xdr:from>
    <xdr:ext cx="1333500" cy="371475"/>
    <xdr:pic>
      <xdr:nvPicPr>
        <xdr:cNvPr id="294" name="image57.jpg" descr="Logo CSJ RGB_01">
          <a:extLst>
            <a:ext uri="{FF2B5EF4-FFF2-40B4-BE49-F238E27FC236}">
              <a16:creationId xmlns:a16="http://schemas.microsoft.com/office/drawing/2014/main" id="{EDCFF4BA-AF3C-4D78-BF40-3243D54FB3C7}"/>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5037</xdr:row>
      <xdr:rowOff>55284</xdr:rowOff>
    </xdr:from>
    <xdr:ext cx="1333500" cy="371475"/>
    <xdr:pic>
      <xdr:nvPicPr>
        <xdr:cNvPr id="295" name="image57.jpg" descr="Logo CSJ RGB_01">
          <a:extLst>
            <a:ext uri="{FF2B5EF4-FFF2-40B4-BE49-F238E27FC236}">
              <a16:creationId xmlns:a16="http://schemas.microsoft.com/office/drawing/2014/main" id="{5D1AADEF-DF9A-44A9-952B-8B0429B2E6FD}"/>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5059</xdr:row>
      <xdr:rowOff>55284</xdr:rowOff>
    </xdr:from>
    <xdr:ext cx="1333500" cy="371475"/>
    <xdr:pic>
      <xdr:nvPicPr>
        <xdr:cNvPr id="296" name="image57.jpg" descr="Logo CSJ RGB_01">
          <a:extLst>
            <a:ext uri="{FF2B5EF4-FFF2-40B4-BE49-F238E27FC236}">
              <a16:creationId xmlns:a16="http://schemas.microsoft.com/office/drawing/2014/main" id="{5B4B7C22-A7F6-47F8-BD49-2F066D3AD96C}"/>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5059</xdr:row>
      <xdr:rowOff>55284</xdr:rowOff>
    </xdr:from>
    <xdr:ext cx="1333500" cy="371475"/>
    <xdr:pic>
      <xdr:nvPicPr>
        <xdr:cNvPr id="297" name="image57.jpg" descr="Logo CSJ RGB_01">
          <a:extLst>
            <a:ext uri="{FF2B5EF4-FFF2-40B4-BE49-F238E27FC236}">
              <a16:creationId xmlns:a16="http://schemas.microsoft.com/office/drawing/2014/main" id="{CE3CB35B-9405-4383-8A25-DEEDC824297F}"/>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5081</xdr:row>
      <xdr:rowOff>55284</xdr:rowOff>
    </xdr:from>
    <xdr:ext cx="1333500" cy="371475"/>
    <xdr:pic>
      <xdr:nvPicPr>
        <xdr:cNvPr id="298" name="image57.jpg" descr="Logo CSJ RGB_01">
          <a:extLst>
            <a:ext uri="{FF2B5EF4-FFF2-40B4-BE49-F238E27FC236}">
              <a16:creationId xmlns:a16="http://schemas.microsoft.com/office/drawing/2014/main" id="{6FB38672-B25B-45A1-A9C6-2D66EE2FECAF}"/>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5081</xdr:row>
      <xdr:rowOff>55284</xdr:rowOff>
    </xdr:from>
    <xdr:ext cx="1333500" cy="371475"/>
    <xdr:pic>
      <xdr:nvPicPr>
        <xdr:cNvPr id="299" name="image57.jpg" descr="Logo CSJ RGB_01">
          <a:extLst>
            <a:ext uri="{FF2B5EF4-FFF2-40B4-BE49-F238E27FC236}">
              <a16:creationId xmlns:a16="http://schemas.microsoft.com/office/drawing/2014/main" id="{7162207D-78A9-46DC-AD6F-89D1952E1270}"/>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5103</xdr:row>
      <xdr:rowOff>55284</xdr:rowOff>
    </xdr:from>
    <xdr:ext cx="1333500" cy="371475"/>
    <xdr:pic>
      <xdr:nvPicPr>
        <xdr:cNvPr id="300" name="image57.jpg" descr="Logo CSJ RGB_01">
          <a:extLst>
            <a:ext uri="{FF2B5EF4-FFF2-40B4-BE49-F238E27FC236}">
              <a16:creationId xmlns:a16="http://schemas.microsoft.com/office/drawing/2014/main" id="{9A7FAC8F-02EB-4B7D-8533-67A536207008}"/>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5103</xdr:row>
      <xdr:rowOff>55284</xdr:rowOff>
    </xdr:from>
    <xdr:ext cx="1333500" cy="371475"/>
    <xdr:pic>
      <xdr:nvPicPr>
        <xdr:cNvPr id="301" name="image57.jpg" descr="Logo CSJ RGB_01">
          <a:extLst>
            <a:ext uri="{FF2B5EF4-FFF2-40B4-BE49-F238E27FC236}">
              <a16:creationId xmlns:a16="http://schemas.microsoft.com/office/drawing/2014/main" id="{595CAD26-892F-400A-8BCF-6C797A676765}"/>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5125</xdr:row>
      <xdr:rowOff>55284</xdr:rowOff>
    </xdr:from>
    <xdr:ext cx="1333500" cy="371475"/>
    <xdr:pic>
      <xdr:nvPicPr>
        <xdr:cNvPr id="302" name="image57.jpg" descr="Logo CSJ RGB_01">
          <a:extLst>
            <a:ext uri="{FF2B5EF4-FFF2-40B4-BE49-F238E27FC236}">
              <a16:creationId xmlns:a16="http://schemas.microsoft.com/office/drawing/2014/main" id="{8E7B45C5-B8F3-479B-8856-8EF49EE21800}"/>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5125</xdr:row>
      <xdr:rowOff>55284</xdr:rowOff>
    </xdr:from>
    <xdr:ext cx="1333500" cy="371475"/>
    <xdr:pic>
      <xdr:nvPicPr>
        <xdr:cNvPr id="303" name="image57.jpg" descr="Logo CSJ RGB_01">
          <a:extLst>
            <a:ext uri="{FF2B5EF4-FFF2-40B4-BE49-F238E27FC236}">
              <a16:creationId xmlns:a16="http://schemas.microsoft.com/office/drawing/2014/main" id="{AED3F08B-D93B-49EA-8662-27D867959479}"/>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5147</xdr:row>
      <xdr:rowOff>55284</xdr:rowOff>
    </xdr:from>
    <xdr:ext cx="1333500" cy="371475"/>
    <xdr:pic>
      <xdr:nvPicPr>
        <xdr:cNvPr id="304" name="image57.jpg" descr="Logo CSJ RGB_01">
          <a:extLst>
            <a:ext uri="{FF2B5EF4-FFF2-40B4-BE49-F238E27FC236}">
              <a16:creationId xmlns:a16="http://schemas.microsoft.com/office/drawing/2014/main" id="{427CC244-8DC3-43C6-A954-13CAF62921FD}"/>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5147</xdr:row>
      <xdr:rowOff>55284</xdr:rowOff>
    </xdr:from>
    <xdr:ext cx="1333500" cy="371475"/>
    <xdr:pic>
      <xdr:nvPicPr>
        <xdr:cNvPr id="305" name="image57.jpg" descr="Logo CSJ RGB_01">
          <a:extLst>
            <a:ext uri="{FF2B5EF4-FFF2-40B4-BE49-F238E27FC236}">
              <a16:creationId xmlns:a16="http://schemas.microsoft.com/office/drawing/2014/main" id="{511E5604-9E8D-473A-AB72-6F45BEFF2A68}"/>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5169</xdr:row>
      <xdr:rowOff>55284</xdr:rowOff>
    </xdr:from>
    <xdr:ext cx="1333500" cy="371475"/>
    <xdr:pic>
      <xdr:nvPicPr>
        <xdr:cNvPr id="306" name="image57.jpg" descr="Logo CSJ RGB_01">
          <a:extLst>
            <a:ext uri="{FF2B5EF4-FFF2-40B4-BE49-F238E27FC236}">
              <a16:creationId xmlns:a16="http://schemas.microsoft.com/office/drawing/2014/main" id="{D8C4F7FF-E64F-4A25-860B-64AE0DAF6B96}"/>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5169</xdr:row>
      <xdr:rowOff>55284</xdr:rowOff>
    </xdr:from>
    <xdr:ext cx="1333500" cy="371475"/>
    <xdr:pic>
      <xdr:nvPicPr>
        <xdr:cNvPr id="307" name="image57.jpg" descr="Logo CSJ RGB_01">
          <a:extLst>
            <a:ext uri="{FF2B5EF4-FFF2-40B4-BE49-F238E27FC236}">
              <a16:creationId xmlns:a16="http://schemas.microsoft.com/office/drawing/2014/main" id="{1ABBAAF1-C3CE-407F-B9C7-34316A9CE1F3}"/>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5191</xdr:row>
      <xdr:rowOff>55284</xdr:rowOff>
    </xdr:from>
    <xdr:ext cx="1333500" cy="371475"/>
    <xdr:pic>
      <xdr:nvPicPr>
        <xdr:cNvPr id="308" name="image57.jpg" descr="Logo CSJ RGB_01">
          <a:extLst>
            <a:ext uri="{FF2B5EF4-FFF2-40B4-BE49-F238E27FC236}">
              <a16:creationId xmlns:a16="http://schemas.microsoft.com/office/drawing/2014/main" id="{A0D41C81-B598-4ED4-82ED-BCE7C6DAD0A4}"/>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5191</xdr:row>
      <xdr:rowOff>55284</xdr:rowOff>
    </xdr:from>
    <xdr:ext cx="1333500" cy="371475"/>
    <xdr:pic>
      <xdr:nvPicPr>
        <xdr:cNvPr id="309" name="image57.jpg" descr="Logo CSJ RGB_01">
          <a:extLst>
            <a:ext uri="{FF2B5EF4-FFF2-40B4-BE49-F238E27FC236}">
              <a16:creationId xmlns:a16="http://schemas.microsoft.com/office/drawing/2014/main" id="{CA91AB99-1310-452D-A0FA-2B9479F75B96}"/>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5213</xdr:row>
      <xdr:rowOff>55284</xdr:rowOff>
    </xdr:from>
    <xdr:ext cx="1333500" cy="371475"/>
    <xdr:pic>
      <xdr:nvPicPr>
        <xdr:cNvPr id="310" name="image57.jpg" descr="Logo CSJ RGB_01">
          <a:extLst>
            <a:ext uri="{FF2B5EF4-FFF2-40B4-BE49-F238E27FC236}">
              <a16:creationId xmlns:a16="http://schemas.microsoft.com/office/drawing/2014/main" id="{B1C13F15-55AA-4841-B44F-5126B352C614}"/>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5213</xdr:row>
      <xdr:rowOff>55284</xdr:rowOff>
    </xdr:from>
    <xdr:ext cx="1333500" cy="371475"/>
    <xdr:pic>
      <xdr:nvPicPr>
        <xdr:cNvPr id="311" name="image57.jpg" descr="Logo CSJ RGB_01">
          <a:extLst>
            <a:ext uri="{FF2B5EF4-FFF2-40B4-BE49-F238E27FC236}">
              <a16:creationId xmlns:a16="http://schemas.microsoft.com/office/drawing/2014/main" id="{12D96B56-DC12-44DE-8CCD-EAA48821799E}"/>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5235</xdr:row>
      <xdr:rowOff>55284</xdr:rowOff>
    </xdr:from>
    <xdr:ext cx="1333500" cy="371475"/>
    <xdr:pic>
      <xdr:nvPicPr>
        <xdr:cNvPr id="312" name="image57.jpg" descr="Logo CSJ RGB_01">
          <a:extLst>
            <a:ext uri="{FF2B5EF4-FFF2-40B4-BE49-F238E27FC236}">
              <a16:creationId xmlns:a16="http://schemas.microsoft.com/office/drawing/2014/main" id="{E9C1CCD6-B331-4194-83B6-43806C1DD990}"/>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5235</xdr:row>
      <xdr:rowOff>55284</xdr:rowOff>
    </xdr:from>
    <xdr:ext cx="1333500" cy="371475"/>
    <xdr:pic>
      <xdr:nvPicPr>
        <xdr:cNvPr id="313" name="image57.jpg" descr="Logo CSJ RGB_01">
          <a:extLst>
            <a:ext uri="{FF2B5EF4-FFF2-40B4-BE49-F238E27FC236}">
              <a16:creationId xmlns:a16="http://schemas.microsoft.com/office/drawing/2014/main" id="{C404A2BF-5D06-4ECA-9ABC-0ECC4EDF82AF}"/>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5257</xdr:row>
      <xdr:rowOff>55284</xdr:rowOff>
    </xdr:from>
    <xdr:ext cx="1333500" cy="371475"/>
    <xdr:pic>
      <xdr:nvPicPr>
        <xdr:cNvPr id="314" name="image57.jpg" descr="Logo CSJ RGB_01">
          <a:extLst>
            <a:ext uri="{FF2B5EF4-FFF2-40B4-BE49-F238E27FC236}">
              <a16:creationId xmlns:a16="http://schemas.microsoft.com/office/drawing/2014/main" id="{48BD58E4-1444-4D18-ACDE-D9CA8FAF9C51}"/>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5257</xdr:row>
      <xdr:rowOff>55284</xdr:rowOff>
    </xdr:from>
    <xdr:ext cx="1333500" cy="371475"/>
    <xdr:pic>
      <xdr:nvPicPr>
        <xdr:cNvPr id="315" name="image57.jpg" descr="Logo CSJ RGB_01">
          <a:extLst>
            <a:ext uri="{FF2B5EF4-FFF2-40B4-BE49-F238E27FC236}">
              <a16:creationId xmlns:a16="http://schemas.microsoft.com/office/drawing/2014/main" id="{D4D29CE9-FB73-4D98-80C3-94123F77B267}"/>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5279</xdr:row>
      <xdr:rowOff>55284</xdr:rowOff>
    </xdr:from>
    <xdr:ext cx="1333500" cy="371475"/>
    <xdr:pic>
      <xdr:nvPicPr>
        <xdr:cNvPr id="316" name="image57.jpg" descr="Logo CSJ RGB_01">
          <a:extLst>
            <a:ext uri="{FF2B5EF4-FFF2-40B4-BE49-F238E27FC236}">
              <a16:creationId xmlns:a16="http://schemas.microsoft.com/office/drawing/2014/main" id="{D8DBBF07-871E-4BA9-B658-2CD7D4BD8960}"/>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oneCellAnchor>
    <xdr:from>
      <xdr:col>1</xdr:col>
      <xdr:colOff>356347</xdr:colOff>
      <xdr:row>5279</xdr:row>
      <xdr:rowOff>55284</xdr:rowOff>
    </xdr:from>
    <xdr:ext cx="1333500" cy="371475"/>
    <xdr:pic>
      <xdr:nvPicPr>
        <xdr:cNvPr id="317" name="image57.jpg" descr="Logo CSJ RGB_01">
          <a:extLst>
            <a:ext uri="{FF2B5EF4-FFF2-40B4-BE49-F238E27FC236}">
              <a16:creationId xmlns:a16="http://schemas.microsoft.com/office/drawing/2014/main" id="{11A7E874-99CA-4D96-8FD5-52F0D32FE283}"/>
            </a:ext>
          </a:extLst>
        </xdr:cNvPr>
        <xdr:cNvPicPr preferRelativeResize="0"/>
      </xdr:nvPicPr>
      <xdr:blipFill>
        <a:blip xmlns:r="http://schemas.openxmlformats.org/officeDocument/2006/relationships" r:embed="rId48" cstate="print"/>
        <a:stretch>
          <a:fillRect/>
        </a:stretch>
      </xdr:blipFill>
      <xdr:spPr>
        <a:xfrm>
          <a:off x="689722" y="642492722"/>
          <a:ext cx="1333500" cy="371475"/>
        </a:xfrm>
        <a:prstGeom prst="rect">
          <a:avLst/>
        </a:prstGeom>
        <a:noFill/>
      </xdr:spPr>
    </xdr:pic>
    <xdr:clientData fLocksWithSheet="0"/>
  </xdr:oneCellAnchor>
  <xdr:twoCellAnchor editAs="oneCell">
    <xdr:from>
      <xdr:col>8</xdr:col>
      <xdr:colOff>174625</xdr:colOff>
      <xdr:row>3337</xdr:row>
      <xdr:rowOff>31751</xdr:rowOff>
    </xdr:from>
    <xdr:to>
      <xdr:col>11</xdr:col>
      <xdr:colOff>5342</xdr:colOff>
      <xdr:row>3349</xdr:row>
      <xdr:rowOff>38732</xdr:rowOff>
    </xdr:to>
    <xdr:pic>
      <xdr:nvPicPr>
        <xdr:cNvPr id="39" name="Imagen 38">
          <a:extLst>
            <a:ext uri="{FF2B5EF4-FFF2-40B4-BE49-F238E27FC236}">
              <a16:creationId xmlns:a16="http://schemas.microsoft.com/office/drawing/2014/main" id="{5C870403-CEED-44B6-893C-DAD333B6C8AE}"/>
            </a:ext>
          </a:extLst>
        </xdr:cNvPr>
        <xdr:cNvPicPr>
          <a:picLocks noChangeAspect="1"/>
        </xdr:cNvPicPr>
      </xdr:nvPicPr>
      <xdr:blipFill>
        <a:blip xmlns:r="http://schemas.openxmlformats.org/officeDocument/2006/relationships" r:embed="rId76"/>
        <a:stretch>
          <a:fillRect/>
        </a:stretch>
      </xdr:blipFill>
      <xdr:spPr>
        <a:xfrm>
          <a:off x="8088313" y="430768126"/>
          <a:ext cx="2084967" cy="2292980"/>
        </a:xfrm>
        <a:prstGeom prst="rect">
          <a:avLst/>
        </a:prstGeom>
      </xdr:spPr>
    </xdr:pic>
    <xdr:clientData/>
  </xdr:twoCellAnchor>
  <xdr:twoCellAnchor editAs="oneCell">
    <xdr:from>
      <xdr:col>8</xdr:col>
      <xdr:colOff>246062</xdr:colOff>
      <xdr:row>3447</xdr:row>
      <xdr:rowOff>115465</xdr:rowOff>
    </xdr:from>
    <xdr:to>
      <xdr:col>10</xdr:col>
      <xdr:colOff>627061</xdr:colOff>
      <xdr:row>3458</xdr:row>
      <xdr:rowOff>173007</xdr:rowOff>
    </xdr:to>
    <xdr:pic>
      <xdr:nvPicPr>
        <xdr:cNvPr id="45" name="Imagen 44">
          <a:extLst>
            <a:ext uri="{FF2B5EF4-FFF2-40B4-BE49-F238E27FC236}">
              <a16:creationId xmlns:a16="http://schemas.microsoft.com/office/drawing/2014/main" id="{5FBD0A5C-D866-458E-95FA-B75CC05B9EE3}"/>
            </a:ext>
          </a:extLst>
        </xdr:cNvPr>
        <xdr:cNvPicPr>
          <a:picLocks noChangeAspect="1"/>
        </xdr:cNvPicPr>
      </xdr:nvPicPr>
      <xdr:blipFill>
        <a:blip xmlns:r="http://schemas.openxmlformats.org/officeDocument/2006/relationships" r:embed="rId77"/>
        <a:stretch>
          <a:fillRect/>
        </a:stretch>
      </xdr:blipFill>
      <xdr:spPr>
        <a:xfrm>
          <a:off x="8159750" y="455442215"/>
          <a:ext cx="1841499" cy="2153042"/>
        </a:xfrm>
        <a:prstGeom prst="rect">
          <a:avLst/>
        </a:prstGeom>
      </xdr:spPr>
    </xdr:pic>
    <xdr:clientData/>
  </xdr:twoCellAnchor>
  <xdr:twoCellAnchor editAs="oneCell">
    <xdr:from>
      <xdr:col>11</xdr:col>
      <xdr:colOff>39689</xdr:colOff>
      <xdr:row>3469</xdr:row>
      <xdr:rowOff>187607</xdr:rowOff>
    </xdr:from>
    <xdr:to>
      <xdr:col>13</xdr:col>
      <xdr:colOff>627063</xdr:colOff>
      <xdr:row>3478</xdr:row>
      <xdr:rowOff>113199</xdr:rowOff>
    </xdr:to>
    <xdr:pic>
      <xdr:nvPicPr>
        <xdr:cNvPr id="46" name="Imagen 45">
          <a:extLst>
            <a:ext uri="{FF2B5EF4-FFF2-40B4-BE49-F238E27FC236}">
              <a16:creationId xmlns:a16="http://schemas.microsoft.com/office/drawing/2014/main" id="{9918DADF-9E07-4054-A3EF-FE6E61BFAD21}"/>
            </a:ext>
          </a:extLst>
        </xdr:cNvPr>
        <xdr:cNvPicPr>
          <a:picLocks noChangeAspect="1"/>
        </xdr:cNvPicPr>
      </xdr:nvPicPr>
      <xdr:blipFill>
        <a:blip xmlns:r="http://schemas.openxmlformats.org/officeDocument/2006/relationships" r:embed="rId78"/>
        <a:stretch>
          <a:fillRect/>
        </a:stretch>
      </xdr:blipFill>
      <xdr:spPr>
        <a:xfrm>
          <a:off x="10207627" y="460618170"/>
          <a:ext cx="2047874" cy="1640092"/>
        </a:xfrm>
        <a:prstGeom prst="rect">
          <a:avLst/>
        </a:prstGeom>
      </xdr:spPr>
    </xdr:pic>
    <xdr:clientData/>
  </xdr:twoCellAnchor>
  <xdr:twoCellAnchor editAs="oneCell">
    <xdr:from>
      <xdr:col>8</xdr:col>
      <xdr:colOff>388938</xdr:colOff>
      <xdr:row>3469</xdr:row>
      <xdr:rowOff>111125</xdr:rowOff>
    </xdr:from>
    <xdr:to>
      <xdr:col>10</xdr:col>
      <xdr:colOff>769937</xdr:colOff>
      <xdr:row>3480</xdr:row>
      <xdr:rowOff>168667</xdr:rowOff>
    </xdr:to>
    <xdr:pic>
      <xdr:nvPicPr>
        <xdr:cNvPr id="327" name="Imagen 326">
          <a:extLst>
            <a:ext uri="{FF2B5EF4-FFF2-40B4-BE49-F238E27FC236}">
              <a16:creationId xmlns:a16="http://schemas.microsoft.com/office/drawing/2014/main" id="{1DEAABD5-4558-432A-A6C0-C39884F4CD67}"/>
            </a:ext>
          </a:extLst>
        </xdr:cNvPr>
        <xdr:cNvPicPr>
          <a:picLocks noChangeAspect="1"/>
        </xdr:cNvPicPr>
      </xdr:nvPicPr>
      <xdr:blipFill>
        <a:blip xmlns:r="http://schemas.openxmlformats.org/officeDocument/2006/relationships" r:embed="rId77"/>
        <a:stretch>
          <a:fillRect/>
        </a:stretch>
      </xdr:blipFill>
      <xdr:spPr>
        <a:xfrm>
          <a:off x="8302626" y="460541688"/>
          <a:ext cx="1841499" cy="2153042"/>
        </a:xfrm>
        <a:prstGeom prst="rect">
          <a:avLst/>
        </a:prstGeom>
      </xdr:spPr>
    </xdr:pic>
    <xdr:clientData/>
  </xdr:twoCellAnchor>
  <xdr:twoCellAnchor editAs="oneCell">
    <xdr:from>
      <xdr:col>8</xdr:col>
      <xdr:colOff>127000</xdr:colOff>
      <xdr:row>3491</xdr:row>
      <xdr:rowOff>95250</xdr:rowOff>
    </xdr:from>
    <xdr:to>
      <xdr:col>10</xdr:col>
      <xdr:colOff>724187</xdr:colOff>
      <xdr:row>3503</xdr:row>
      <xdr:rowOff>133674</xdr:rowOff>
    </xdr:to>
    <xdr:pic>
      <xdr:nvPicPr>
        <xdr:cNvPr id="328" name="Imagen 327">
          <a:extLst>
            <a:ext uri="{FF2B5EF4-FFF2-40B4-BE49-F238E27FC236}">
              <a16:creationId xmlns:a16="http://schemas.microsoft.com/office/drawing/2014/main" id="{80E5351E-EAC9-4FE3-BBF4-F9E958C1BEEC}"/>
            </a:ext>
          </a:extLst>
        </xdr:cNvPr>
        <xdr:cNvPicPr>
          <a:picLocks noChangeAspect="1"/>
        </xdr:cNvPicPr>
      </xdr:nvPicPr>
      <xdr:blipFill>
        <a:blip xmlns:r="http://schemas.openxmlformats.org/officeDocument/2006/relationships" r:embed="rId74"/>
        <a:stretch>
          <a:fillRect/>
        </a:stretch>
      </xdr:blipFill>
      <xdr:spPr>
        <a:xfrm>
          <a:off x="8040688" y="465351813"/>
          <a:ext cx="2057687" cy="2324424"/>
        </a:xfrm>
        <a:prstGeom prst="rect">
          <a:avLst/>
        </a:prstGeom>
      </xdr:spPr>
    </xdr:pic>
    <xdr:clientData/>
  </xdr:twoCellAnchor>
  <xdr:twoCellAnchor editAs="oneCell">
    <xdr:from>
      <xdr:col>10</xdr:col>
      <xdr:colOff>291894</xdr:colOff>
      <xdr:row>3513</xdr:row>
      <xdr:rowOff>92699</xdr:rowOff>
    </xdr:from>
    <xdr:to>
      <xdr:col>13</xdr:col>
      <xdr:colOff>698499</xdr:colOff>
      <xdr:row>3521</xdr:row>
      <xdr:rowOff>111125</xdr:rowOff>
    </xdr:to>
    <xdr:pic>
      <xdr:nvPicPr>
        <xdr:cNvPr id="48" name="Imagen 47">
          <a:extLst>
            <a:ext uri="{FF2B5EF4-FFF2-40B4-BE49-F238E27FC236}">
              <a16:creationId xmlns:a16="http://schemas.microsoft.com/office/drawing/2014/main" id="{6FF809E3-2680-4F01-9EED-E52865F39609}"/>
            </a:ext>
          </a:extLst>
        </xdr:cNvPr>
        <xdr:cNvPicPr>
          <a:picLocks noChangeAspect="1"/>
        </xdr:cNvPicPr>
      </xdr:nvPicPr>
      <xdr:blipFill rotWithShape="1">
        <a:blip xmlns:r="http://schemas.openxmlformats.org/officeDocument/2006/relationships" r:embed="rId79"/>
        <a:srcRect r="6389" b="11135"/>
        <a:stretch/>
      </xdr:blipFill>
      <xdr:spPr>
        <a:xfrm>
          <a:off x="9666082" y="470064137"/>
          <a:ext cx="2660855" cy="1542426"/>
        </a:xfrm>
        <a:prstGeom prst="rect">
          <a:avLst/>
        </a:prstGeom>
      </xdr:spPr>
    </xdr:pic>
    <xdr:clientData/>
  </xdr:twoCellAnchor>
  <xdr:twoCellAnchor editAs="oneCell">
    <xdr:from>
      <xdr:col>10</xdr:col>
      <xdr:colOff>293687</xdr:colOff>
      <xdr:row>3536</xdr:row>
      <xdr:rowOff>15875</xdr:rowOff>
    </xdr:from>
    <xdr:to>
      <xdr:col>13</xdr:col>
      <xdr:colOff>700292</xdr:colOff>
      <xdr:row>3544</xdr:row>
      <xdr:rowOff>34301</xdr:rowOff>
    </xdr:to>
    <xdr:pic>
      <xdr:nvPicPr>
        <xdr:cNvPr id="332" name="Imagen 331">
          <a:extLst>
            <a:ext uri="{FF2B5EF4-FFF2-40B4-BE49-F238E27FC236}">
              <a16:creationId xmlns:a16="http://schemas.microsoft.com/office/drawing/2014/main" id="{274DB4E6-C859-4410-99D5-7484EBF69B8D}"/>
            </a:ext>
          </a:extLst>
        </xdr:cNvPr>
        <xdr:cNvPicPr>
          <a:picLocks noChangeAspect="1"/>
        </xdr:cNvPicPr>
      </xdr:nvPicPr>
      <xdr:blipFill rotWithShape="1">
        <a:blip xmlns:r="http://schemas.openxmlformats.org/officeDocument/2006/relationships" r:embed="rId79"/>
        <a:srcRect r="6389" b="11135"/>
        <a:stretch/>
      </xdr:blipFill>
      <xdr:spPr>
        <a:xfrm>
          <a:off x="9667875" y="475019688"/>
          <a:ext cx="2660855" cy="1542426"/>
        </a:xfrm>
        <a:prstGeom prst="rect">
          <a:avLst/>
        </a:prstGeom>
      </xdr:spPr>
    </xdr:pic>
    <xdr:clientData/>
  </xdr:twoCellAnchor>
  <xdr:twoCellAnchor editAs="oneCell">
    <xdr:from>
      <xdr:col>10</xdr:col>
      <xdr:colOff>158750</xdr:colOff>
      <xdr:row>3558</xdr:row>
      <xdr:rowOff>174625</xdr:rowOff>
    </xdr:from>
    <xdr:to>
      <xdr:col>13</xdr:col>
      <xdr:colOff>565355</xdr:colOff>
      <xdr:row>3567</xdr:row>
      <xdr:rowOff>2551</xdr:rowOff>
    </xdr:to>
    <xdr:pic>
      <xdr:nvPicPr>
        <xdr:cNvPr id="333" name="Imagen 332">
          <a:extLst>
            <a:ext uri="{FF2B5EF4-FFF2-40B4-BE49-F238E27FC236}">
              <a16:creationId xmlns:a16="http://schemas.microsoft.com/office/drawing/2014/main" id="{B47B7554-D20F-4677-8AAB-834D3E760CB0}"/>
            </a:ext>
          </a:extLst>
        </xdr:cNvPr>
        <xdr:cNvPicPr>
          <a:picLocks noChangeAspect="1"/>
        </xdr:cNvPicPr>
      </xdr:nvPicPr>
      <xdr:blipFill rotWithShape="1">
        <a:blip xmlns:r="http://schemas.openxmlformats.org/officeDocument/2006/relationships" r:embed="rId79"/>
        <a:srcRect r="6389" b="11135"/>
        <a:stretch/>
      </xdr:blipFill>
      <xdr:spPr>
        <a:xfrm>
          <a:off x="9532938" y="480480688"/>
          <a:ext cx="2660855" cy="1542426"/>
        </a:xfrm>
        <a:prstGeom prst="rect">
          <a:avLst/>
        </a:prstGeom>
      </xdr:spPr>
    </xdr:pic>
    <xdr:clientData/>
  </xdr:twoCellAnchor>
  <xdr:twoCellAnchor editAs="oneCell">
    <xdr:from>
      <xdr:col>10</xdr:col>
      <xdr:colOff>785813</xdr:colOff>
      <xdr:row>3601</xdr:row>
      <xdr:rowOff>182563</xdr:rowOff>
    </xdr:from>
    <xdr:to>
      <xdr:col>13</xdr:col>
      <xdr:colOff>579437</xdr:colOff>
      <xdr:row>3610</xdr:row>
      <xdr:rowOff>108155</xdr:rowOff>
    </xdr:to>
    <xdr:pic>
      <xdr:nvPicPr>
        <xdr:cNvPr id="334" name="Imagen 333">
          <a:extLst>
            <a:ext uri="{FF2B5EF4-FFF2-40B4-BE49-F238E27FC236}">
              <a16:creationId xmlns:a16="http://schemas.microsoft.com/office/drawing/2014/main" id="{8451EB8F-52D7-4D90-BA3C-6BF2A9A6DA34}"/>
            </a:ext>
          </a:extLst>
        </xdr:cNvPr>
        <xdr:cNvPicPr>
          <a:picLocks noChangeAspect="1"/>
        </xdr:cNvPicPr>
      </xdr:nvPicPr>
      <xdr:blipFill>
        <a:blip xmlns:r="http://schemas.openxmlformats.org/officeDocument/2006/relationships" r:embed="rId78"/>
        <a:stretch>
          <a:fillRect/>
        </a:stretch>
      </xdr:blipFill>
      <xdr:spPr>
        <a:xfrm>
          <a:off x="10160001" y="489799313"/>
          <a:ext cx="2047874" cy="1640092"/>
        </a:xfrm>
        <a:prstGeom prst="rect">
          <a:avLst/>
        </a:prstGeom>
      </xdr:spPr>
    </xdr:pic>
    <xdr:clientData/>
  </xdr:twoCellAnchor>
  <xdr:twoCellAnchor editAs="oneCell">
    <xdr:from>
      <xdr:col>11</xdr:col>
      <xdr:colOff>0</xdr:colOff>
      <xdr:row>3624</xdr:row>
      <xdr:rowOff>71438</xdr:rowOff>
    </xdr:from>
    <xdr:to>
      <xdr:col>13</xdr:col>
      <xdr:colOff>587374</xdr:colOff>
      <xdr:row>3632</xdr:row>
      <xdr:rowOff>187530</xdr:rowOff>
    </xdr:to>
    <xdr:pic>
      <xdr:nvPicPr>
        <xdr:cNvPr id="335" name="Imagen 334">
          <a:extLst>
            <a:ext uri="{FF2B5EF4-FFF2-40B4-BE49-F238E27FC236}">
              <a16:creationId xmlns:a16="http://schemas.microsoft.com/office/drawing/2014/main" id="{B3B5A13F-7F5B-4013-A3FF-5184EE48A833}"/>
            </a:ext>
          </a:extLst>
        </xdr:cNvPr>
        <xdr:cNvPicPr>
          <a:picLocks noChangeAspect="1"/>
        </xdr:cNvPicPr>
      </xdr:nvPicPr>
      <xdr:blipFill>
        <a:blip xmlns:r="http://schemas.openxmlformats.org/officeDocument/2006/relationships" r:embed="rId78"/>
        <a:stretch>
          <a:fillRect/>
        </a:stretch>
      </xdr:blipFill>
      <xdr:spPr>
        <a:xfrm>
          <a:off x="10167938" y="494950751"/>
          <a:ext cx="2047874" cy="1640092"/>
        </a:xfrm>
        <a:prstGeom prst="rect">
          <a:avLst/>
        </a:prstGeom>
      </xdr:spPr>
    </xdr:pic>
    <xdr:clientData/>
  </xdr:twoCellAnchor>
  <xdr:twoCellAnchor editAs="oneCell">
    <xdr:from>
      <xdr:col>12</xdr:col>
      <xdr:colOff>23813</xdr:colOff>
      <xdr:row>3645</xdr:row>
      <xdr:rowOff>30464</xdr:rowOff>
    </xdr:from>
    <xdr:to>
      <xdr:col>13</xdr:col>
      <xdr:colOff>674689</xdr:colOff>
      <xdr:row>3654</xdr:row>
      <xdr:rowOff>169121</xdr:rowOff>
    </xdr:to>
    <xdr:pic>
      <xdr:nvPicPr>
        <xdr:cNvPr id="50" name="Imagen 49">
          <a:extLst>
            <a:ext uri="{FF2B5EF4-FFF2-40B4-BE49-F238E27FC236}">
              <a16:creationId xmlns:a16="http://schemas.microsoft.com/office/drawing/2014/main" id="{2813078E-3816-4E9F-B011-B0D0E5FC486C}"/>
            </a:ext>
          </a:extLst>
        </xdr:cNvPr>
        <xdr:cNvPicPr>
          <a:picLocks noChangeAspect="1"/>
        </xdr:cNvPicPr>
      </xdr:nvPicPr>
      <xdr:blipFill>
        <a:blip xmlns:r="http://schemas.openxmlformats.org/officeDocument/2006/relationships" r:embed="rId80"/>
        <a:stretch>
          <a:fillRect/>
        </a:stretch>
      </xdr:blipFill>
      <xdr:spPr>
        <a:xfrm>
          <a:off x="10922001" y="499426214"/>
          <a:ext cx="1381126" cy="1853157"/>
        </a:xfrm>
        <a:prstGeom prst="rect">
          <a:avLst/>
        </a:prstGeom>
      </xdr:spPr>
    </xdr:pic>
    <xdr:clientData/>
  </xdr:twoCellAnchor>
  <xdr:twoCellAnchor editAs="oneCell">
    <xdr:from>
      <xdr:col>9</xdr:col>
      <xdr:colOff>103187</xdr:colOff>
      <xdr:row>3580</xdr:row>
      <xdr:rowOff>1529</xdr:rowOff>
    </xdr:from>
    <xdr:to>
      <xdr:col>11</xdr:col>
      <xdr:colOff>126998</xdr:colOff>
      <xdr:row>3591</xdr:row>
      <xdr:rowOff>9290</xdr:rowOff>
    </xdr:to>
    <xdr:pic>
      <xdr:nvPicPr>
        <xdr:cNvPr id="51" name="Imagen 50">
          <a:extLst>
            <a:ext uri="{FF2B5EF4-FFF2-40B4-BE49-F238E27FC236}">
              <a16:creationId xmlns:a16="http://schemas.microsoft.com/office/drawing/2014/main" id="{AA130735-33B8-49F6-8C00-7A6781ADDDAB}"/>
            </a:ext>
          </a:extLst>
        </xdr:cNvPr>
        <xdr:cNvPicPr>
          <a:picLocks noChangeAspect="1"/>
        </xdr:cNvPicPr>
      </xdr:nvPicPr>
      <xdr:blipFill>
        <a:blip xmlns:r="http://schemas.openxmlformats.org/officeDocument/2006/relationships" r:embed="rId81"/>
        <a:stretch>
          <a:fillRect/>
        </a:stretch>
      </xdr:blipFill>
      <xdr:spPr>
        <a:xfrm>
          <a:off x="8747125" y="485617779"/>
          <a:ext cx="1547811" cy="2103261"/>
        </a:xfrm>
        <a:prstGeom prst="rect">
          <a:avLst/>
        </a:prstGeom>
      </xdr:spPr>
    </xdr:pic>
    <xdr:clientData/>
  </xdr:twoCellAnchor>
  <xdr:twoCellAnchor editAs="oneCell">
    <xdr:from>
      <xdr:col>10</xdr:col>
      <xdr:colOff>23814</xdr:colOff>
      <xdr:row>3645</xdr:row>
      <xdr:rowOff>59679</xdr:rowOff>
    </xdr:from>
    <xdr:to>
      <xdr:col>11</xdr:col>
      <xdr:colOff>687246</xdr:colOff>
      <xdr:row>3655</xdr:row>
      <xdr:rowOff>47627</xdr:rowOff>
    </xdr:to>
    <xdr:pic>
      <xdr:nvPicPr>
        <xdr:cNvPr id="52" name="Imagen 51">
          <a:extLst>
            <a:ext uri="{FF2B5EF4-FFF2-40B4-BE49-F238E27FC236}">
              <a16:creationId xmlns:a16="http://schemas.microsoft.com/office/drawing/2014/main" id="{7B69DD4D-6034-4A9A-A7F6-E0838D4EEF58}"/>
            </a:ext>
          </a:extLst>
        </xdr:cNvPr>
        <xdr:cNvPicPr>
          <a:picLocks noChangeAspect="1"/>
        </xdr:cNvPicPr>
      </xdr:nvPicPr>
      <xdr:blipFill>
        <a:blip xmlns:r="http://schemas.openxmlformats.org/officeDocument/2006/relationships" r:embed="rId82"/>
        <a:stretch>
          <a:fillRect/>
        </a:stretch>
      </xdr:blipFill>
      <xdr:spPr>
        <a:xfrm>
          <a:off x="9398002" y="499455429"/>
          <a:ext cx="1457182" cy="1892948"/>
        </a:xfrm>
        <a:prstGeom prst="rect">
          <a:avLst/>
        </a:prstGeom>
      </xdr:spPr>
    </xdr:pic>
    <xdr:clientData/>
  </xdr:twoCellAnchor>
  <xdr:twoCellAnchor editAs="oneCell">
    <xdr:from>
      <xdr:col>8</xdr:col>
      <xdr:colOff>134938</xdr:colOff>
      <xdr:row>3667</xdr:row>
      <xdr:rowOff>119063</xdr:rowOff>
    </xdr:from>
    <xdr:to>
      <xdr:col>10</xdr:col>
      <xdr:colOff>142875</xdr:colOff>
      <xdr:row>3676</xdr:row>
      <xdr:rowOff>30822</xdr:rowOff>
    </xdr:to>
    <xdr:pic>
      <xdr:nvPicPr>
        <xdr:cNvPr id="341" name="Imagen 340">
          <a:extLst>
            <a:ext uri="{FF2B5EF4-FFF2-40B4-BE49-F238E27FC236}">
              <a16:creationId xmlns:a16="http://schemas.microsoft.com/office/drawing/2014/main" id="{B652B4E6-B3E8-4FF9-854E-07C23AFF3328}"/>
            </a:ext>
          </a:extLst>
        </xdr:cNvPr>
        <xdr:cNvPicPr>
          <a:picLocks noChangeAspect="1"/>
        </xdr:cNvPicPr>
      </xdr:nvPicPr>
      <xdr:blipFill>
        <a:blip xmlns:r="http://schemas.openxmlformats.org/officeDocument/2006/relationships" r:embed="rId83"/>
        <a:stretch>
          <a:fillRect/>
        </a:stretch>
      </xdr:blipFill>
      <xdr:spPr>
        <a:xfrm>
          <a:off x="8048626" y="504213813"/>
          <a:ext cx="1468437" cy="1626259"/>
        </a:xfrm>
        <a:prstGeom prst="rect">
          <a:avLst/>
        </a:prstGeom>
      </xdr:spPr>
    </xdr:pic>
    <xdr:clientData/>
  </xdr:twoCellAnchor>
  <xdr:twoCellAnchor editAs="oneCell">
    <xdr:from>
      <xdr:col>11</xdr:col>
      <xdr:colOff>711806</xdr:colOff>
      <xdr:row>3667</xdr:row>
      <xdr:rowOff>55008</xdr:rowOff>
    </xdr:from>
    <xdr:to>
      <xdr:col>13</xdr:col>
      <xdr:colOff>651267</xdr:colOff>
      <xdr:row>3676</xdr:row>
      <xdr:rowOff>111125</xdr:rowOff>
    </xdr:to>
    <xdr:pic>
      <xdr:nvPicPr>
        <xdr:cNvPr id="56" name="Imagen 55">
          <a:extLst>
            <a:ext uri="{FF2B5EF4-FFF2-40B4-BE49-F238E27FC236}">
              <a16:creationId xmlns:a16="http://schemas.microsoft.com/office/drawing/2014/main" id="{076BB261-B3AB-4AFE-8B43-668FA17EC822}"/>
            </a:ext>
          </a:extLst>
        </xdr:cNvPr>
        <xdr:cNvPicPr>
          <a:picLocks noChangeAspect="1"/>
        </xdr:cNvPicPr>
      </xdr:nvPicPr>
      <xdr:blipFill>
        <a:blip xmlns:r="http://schemas.openxmlformats.org/officeDocument/2006/relationships" r:embed="rId84"/>
        <a:stretch>
          <a:fillRect/>
        </a:stretch>
      </xdr:blipFill>
      <xdr:spPr>
        <a:xfrm>
          <a:off x="10879744" y="504149758"/>
          <a:ext cx="1399961" cy="1770617"/>
        </a:xfrm>
        <a:prstGeom prst="rect">
          <a:avLst/>
        </a:prstGeom>
      </xdr:spPr>
    </xdr:pic>
    <xdr:clientData/>
  </xdr:twoCellAnchor>
  <xdr:twoCellAnchor editAs="oneCell">
    <xdr:from>
      <xdr:col>11</xdr:col>
      <xdr:colOff>158749</xdr:colOff>
      <xdr:row>3689</xdr:row>
      <xdr:rowOff>87312</xdr:rowOff>
    </xdr:from>
    <xdr:to>
      <xdr:col>13</xdr:col>
      <xdr:colOff>357186</xdr:colOff>
      <xdr:row>3700</xdr:row>
      <xdr:rowOff>89973</xdr:rowOff>
    </xdr:to>
    <xdr:pic>
      <xdr:nvPicPr>
        <xdr:cNvPr id="342" name="Imagen 341">
          <a:extLst>
            <a:ext uri="{FF2B5EF4-FFF2-40B4-BE49-F238E27FC236}">
              <a16:creationId xmlns:a16="http://schemas.microsoft.com/office/drawing/2014/main" id="{91BC4493-A25F-4E09-AEDB-77BE26A381B4}"/>
            </a:ext>
          </a:extLst>
        </xdr:cNvPr>
        <xdr:cNvPicPr>
          <a:picLocks noChangeAspect="1"/>
        </xdr:cNvPicPr>
      </xdr:nvPicPr>
      <xdr:blipFill>
        <a:blip xmlns:r="http://schemas.openxmlformats.org/officeDocument/2006/relationships" r:embed="rId84"/>
        <a:stretch>
          <a:fillRect/>
        </a:stretch>
      </xdr:blipFill>
      <xdr:spPr>
        <a:xfrm>
          <a:off x="10326687" y="508889000"/>
          <a:ext cx="1658937" cy="2098161"/>
        </a:xfrm>
        <a:prstGeom prst="rect">
          <a:avLst/>
        </a:prstGeom>
      </xdr:spPr>
    </xdr:pic>
    <xdr:clientData/>
  </xdr:twoCellAnchor>
  <xdr:twoCellAnchor editAs="oneCell">
    <xdr:from>
      <xdr:col>8</xdr:col>
      <xdr:colOff>63501</xdr:colOff>
      <xdr:row>3645</xdr:row>
      <xdr:rowOff>128015</xdr:rowOff>
    </xdr:from>
    <xdr:to>
      <xdr:col>9</xdr:col>
      <xdr:colOff>712787</xdr:colOff>
      <xdr:row>3655</xdr:row>
      <xdr:rowOff>53048</xdr:rowOff>
    </xdr:to>
    <xdr:pic>
      <xdr:nvPicPr>
        <xdr:cNvPr id="57" name="Imagen 56">
          <a:extLst>
            <a:ext uri="{FF2B5EF4-FFF2-40B4-BE49-F238E27FC236}">
              <a16:creationId xmlns:a16="http://schemas.microsoft.com/office/drawing/2014/main" id="{7D235670-73CA-4394-BB6B-FC9CD68B018C}"/>
            </a:ext>
          </a:extLst>
        </xdr:cNvPr>
        <xdr:cNvPicPr>
          <a:picLocks noChangeAspect="1"/>
        </xdr:cNvPicPr>
      </xdr:nvPicPr>
      <xdr:blipFill>
        <a:blip xmlns:r="http://schemas.openxmlformats.org/officeDocument/2006/relationships" r:embed="rId85"/>
        <a:stretch>
          <a:fillRect/>
        </a:stretch>
      </xdr:blipFill>
      <xdr:spPr>
        <a:xfrm>
          <a:off x="7977189" y="499523765"/>
          <a:ext cx="1389061" cy="1830033"/>
        </a:xfrm>
        <a:prstGeom prst="rect">
          <a:avLst/>
        </a:prstGeom>
      </xdr:spPr>
    </xdr:pic>
    <xdr:clientData/>
  </xdr:twoCellAnchor>
  <xdr:twoCellAnchor editAs="oneCell">
    <xdr:from>
      <xdr:col>11</xdr:col>
      <xdr:colOff>500061</xdr:colOff>
      <xdr:row>4174</xdr:row>
      <xdr:rowOff>38273</xdr:rowOff>
    </xdr:from>
    <xdr:to>
      <xdr:col>13</xdr:col>
      <xdr:colOff>460374</xdr:colOff>
      <xdr:row>4184</xdr:row>
      <xdr:rowOff>39682</xdr:rowOff>
    </xdr:to>
    <xdr:pic>
      <xdr:nvPicPr>
        <xdr:cNvPr id="344" name="Imagen 343">
          <a:extLst>
            <a:ext uri="{FF2B5EF4-FFF2-40B4-BE49-F238E27FC236}">
              <a16:creationId xmlns:a16="http://schemas.microsoft.com/office/drawing/2014/main" id="{88A8068B-94F3-457D-87FA-4AA045703CE3}"/>
            </a:ext>
          </a:extLst>
        </xdr:cNvPr>
        <xdr:cNvPicPr>
          <a:picLocks noChangeAspect="1"/>
        </xdr:cNvPicPr>
      </xdr:nvPicPr>
      <xdr:blipFill>
        <a:blip xmlns:r="http://schemas.openxmlformats.org/officeDocument/2006/relationships" r:embed="rId80"/>
        <a:stretch>
          <a:fillRect/>
        </a:stretch>
      </xdr:blipFill>
      <xdr:spPr>
        <a:xfrm>
          <a:off x="10667999" y="613019648"/>
          <a:ext cx="1420813" cy="1906409"/>
        </a:xfrm>
        <a:prstGeom prst="rect">
          <a:avLst/>
        </a:prstGeom>
      </xdr:spPr>
    </xdr:pic>
    <xdr:clientData/>
  </xdr:twoCellAnchor>
  <xdr:twoCellAnchor editAs="oneCell">
    <xdr:from>
      <xdr:col>11</xdr:col>
      <xdr:colOff>269875</xdr:colOff>
      <xdr:row>3711</xdr:row>
      <xdr:rowOff>134937</xdr:rowOff>
    </xdr:from>
    <xdr:to>
      <xdr:col>13</xdr:col>
      <xdr:colOff>349250</xdr:colOff>
      <xdr:row>3723</xdr:row>
      <xdr:rowOff>39904</xdr:rowOff>
    </xdr:to>
    <xdr:pic>
      <xdr:nvPicPr>
        <xdr:cNvPr id="59" name="Imagen 58">
          <a:extLst>
            <a:ext uri="{FF2B5EF4-FFF2-40B4-BE49-F238E27FC236}">
              <a16:creationId xmlns:a16="http://schemas.microsoft.com/office/drawing/2014/main" id="{33C5EC10-CA85-4FC5-A6B1-3084039B7E56}"/>
            </a:ext>
          </a:extLst>
        </xdr:cNvPr>
        <xdr:cNvPicPr>
          <a:picLocks noChangeAspect="1"/>
        </xdr:cNvPicPr>
      </xdr:nvPicPr>
      <xdr:blipFill>
        <a:blip xmlns:r="http://schemas.openxmlformats.org/officeDocument/2006/relationships" r:embed="rId86"/>
        <a:stretch>
          <a:fillRect/>
        </a:stretch>
      </xdr:blipFill>
      <xdr:spPr>
        <a:xfrm>
          <a:off x="10437813" y="513699125"/>
          <a:ext cx="1539875" cy="2190967"/>
        </a:xfrm>
        <a:prstGeom prst="rect">
          <a:avLst/>
        </a:prstGeom>
      </xdr:spPr>
    </xdr:pic>
    <xdr:clientData/>
  </xdr:twoCellAnchor>
  <xdr:twoCellAnchor editAs="oneCell">
    <xdr:from>
      <xdr:col>8</xdr:col>
      <xdr:colOff>404813</xdr:colOff>
      <xdr:row>3755</xdr:row>
      <xdr:rowOff>142875</xdr:rowOff>
    </xdr:from>
    <xdr:to>
      <xdr:col>10</xdr:col>
      <xdr:colOff>325438</xdr:colOff>
      <xdr:row>3764</xdr:row>
      <xdr:rowOff>129041</xdr:rowOff>
    </xdr:to>
    <xdr:pic>
      <xdr:nvPicPr>
        <xdr:cNvPr id="347" name="Imagen 346">
          <a:extLst>
            <a:ext uri="{FF2B5EF4-FFF2-40B4-BE49-F238E27FC236}">
              <a16:creationId xmlns:a16="http://schemas.microsoft.com/office/drawing/2014/main" id="{5D014CE2-5F48-4C06-848F-2EAA2E8F9D2D}"/>
            </a:ext>
          </a:extLst>
        </xdr:cNvPr>
        <xdr:cNvPicPr>
          <a:picLocks noChangeAspect="1"/>
        </xdr:cNvPicPr>
      </xdr:nvPicPr>
      <xdr:blipFill>
        <a:blip xmlns:r="http://schemas.openxmlformats.org/officeDocument/2006/relationships" r:embed="rId87"/>
        <a:stretch>
          <a:fillRect/>
        </a:stretch>
      </xdr:blipFill>
      <xdr:spPr>
        <a:xfrm>
          <a:off x="8318501" y="523105063"/>
          <a:ext cx="1381125" cy="1700666"/>
        </a:xfrm>
        <a:prstGeom prst="rect">
          <a:avLst/>
        </a:prstGeom>
      </xdr:spPr>
    </xdr:pic>
    <xdr:clientData/>
  </xdr:twoCellAnchor>
  <xdr:twoCellAnchor editAs="oneCell">
    <xdr:from>
      <xdr:col>8</xdr:col>
      <xdr:colOff>142875</xdr:colOff>
      <xdr:row>3843</xdr:row>
      <xdr:rowOff>119062</xdr:rowOff>
    </xdr:from>
    <xdr:to>
      <xdr:col>10</xdr:col>
      <xdr:colOff>349250</xdr:colOff>
      <xdr:row>3854</xdr:row>
      <xdr:rowOff>76090</xdr:rowOff>
    </xdr:to>
    <xdr:pic>
      <xdr:nvPicPr>
        <xdr:cNvPr id="348" name="Imagen 347">
          <a:extLst>
            <a:ext uri="{FF2B5EF4-FFF2-40B4-BE49-F238E27FC236}">
              <a16:creationId xmlns:a16="http://schemas.microsoft.com/office/drawing/2014/main" id="{159E603C-F8B0-4025-853A-E71364D4A980}"/>
            </a:ext>
          </a:extLst>
        </xdr:cNvPr>
        <xdr:cNvPicPr>
          <a:picLocks noChangeAspect="1"/>
        </xdr:cNvPicPr>
      </xdr:nvPicPr>
      <xdr:blipFill>
        <a:blip xmlns:r="http://schemas.openxmlformats.org/officeDocument/2006/relationships" r:embed="rId87"/>
        <a:stretch>
          <a:fillRect/>
        </a:stretch>
      </xdr:blipFill>
      <xdr:spPr>
        <a:xfrm>
          <a:off x="8056563" y="541972500"/>
          <a:ext cx="1666875" cy="2052528"/>
        </a:xfrm>
        <a:prstGeom prst="rect">
          <a:avLst/>
        </a:prstGeom>
      </xdr:spPr>
    </xdr:pic>
    <xdr:clientData/>
  </xdr:twoCellAnchor>
  <xdr:twoCellAnchor editAs="oneCell">
    <xdr:from>
      <xdr:col>11</xdr:col>
      <xdr:colOff>95250</xdr:colOff>
      <xdr:row>3932</xdr:row>
      <xdr:rowOff>-1</xdr:rowOff>
    </xdr:from>
    <xdr:to>
      <xdr:col>13</xdr:col>
      <xdr:colOff>658528</xdr:colOff>
      <xdr:row>3942</xdr:row>
      <xdr:rowOff>39687</xdr:rowOff>
    </xdr:to>
    <xdr:pic>
      <xdr:nvPicPr>
        <xdr:cNvPr id="62" name="Imagen 61">
          <a:extLst>
            <a:ext uri="{FF2B5EF4-FFF2-40B4-BE49-F238E27FC236}">
              <a16:creationId xmlns:a16="http://schemas.microsoft.com/office/drawing/2014/main" id="{676E355C-355B-4612-946E-A1685F8287D6}"/>
            </a:ext>
          </a:extLst>
        </xdr:cNvPr>
        <xdr:cNvPicPr>
          <a:picLocks noChangeAspect="1"/>
        </xdr:cNvPicPr>
      </xdr:nvPicPr>
      <xdr:blipFill>
        <a:blip xmlns:r="http://schemas.openxmlformats.org/officeDocument/2006/relationships" r:embed="rId88"/>
        <a:stretch>
          <a:fillRect/>
        </a:stretch>
      </xdr:blipFill>
      <xdr:spPr>
        <a:xfrm>
          <a:off x="10263188" y="560697062"/>
          <a:ext cx="2023778" cy="1944688"/>
        </a:xfrm>
        <a:prstGeom prst="rect">
          <a:avLst/>
        </a:prstGeom>
      </xdr:spPr>
    </xdr:pic>
    <xdr:clientData/>
  </xdr:twoCellAnchor>
  <xdr:twoCellAnchor editAs="oneCell">
    <xdr:from>
      <xdr:col>8</xdr:col>
      <xdr:colOff>166688</xdr:colOff>
      <xdr:row>3997</xdr:row>
      <xdr:rowOff>95251</xdr:rowOff>
    </xdr:from>
    <xdr:to>
      <xdr:col>10</xdr:col>
      <xdr:colOff>698606</xdr:colOff>
      <xdr:row>4009</xdr:row>
      <xdr:rowOff>81503</xdr:rowOff>
    </xdr:to>
    <xdr:pic>
      <xdr:nvPicPr>
        <xdr:cNvPr id="897" name="Imagen 896">
          <a:extLst>
            <a:ext uri="{FF2B5EF4-FFF2-40B4-BE49-F238E27FC236}">
              <a16:creationId xmlns:a16="http://schemas.microsoft.com/office/drawing/2014/main" id="{C69E08E8-0E55-4875-A118-2B768F5EE748}"/>
            </a:ext>
          </a:extLst>
        </xdr:cNvPr>
        <xdr:cNvPicPr>
          <a:picLocks noChangeAspect="1"/>
        </xdr:cNvPicPr>
      </xdr:nvPicPr>
      <xdr:blipFill>
        <a:blip xmlns:r="http://schemas.openxmlformats.org/officeDocument/2006/relationships" r:embed="rId89"/>
        <a:stretch>
          <a:fillRect/>
        </a:stretch>
      </xdr:blipFill>
      <xdr:spPr>
        <a:xfrm>
          <a:off x="8080376" y="574373376"/>
          <a:ext cx="1992418" cy="2272252"/>
        </a:xfrm>
        <a:prstGeom prst="rect">
          <a:avLst/>
        </a:prstGeom>
      </xdr:spPr>
    </xdr:pic>
    <xdr:clientData/>
  </xdr:twoCellAnchor>
  <xdr:twoCellAnchor editAs="oneCell">
    <xdr:from>
      <xdr:col>8</xdr:col>
      <xdr:colOff>222251</xdr:colOff>
      <xdr:row>3734</xdr:row>
      <xdr:rowOff>66879</xdr:rowOff>
    </xdr:from>
    <xdr:to>
      <xdr:col>10</xdr:col>
      <xdr:colOff>468313</xdr:colOff>
      <xdr:row>3744</xdr:row>
      <xdr:rowOff>827</xdr:rowOff>
    </xdr:to>
    <xdr:pic>
      <xdr:nvPicPr>
        <xdr:cNvPr id="898" name="Imagen 897">
          <a:extLst>
            <a:ext uri="{FF2B5EF4-FFF2-40B4-BE49-F238E27FC236}">
              <a16:creationId xmlns:a16="http://schemas.microsoft.com/office/drawing/2014/main" id="{0F00B9A5-C1B6-42F6-B6CD-16336D193616}"/>
            </a:ext>
          </a:extLst>
        </xdr:cNvPr>
        <xdr:cNvPicPr>
          <a:picLocks noChangeAspect="1"/>
        </xdr:cNvPicPr>
      </xdr:nvPicPr>
      <xdr:blipFill>
        <a:blip xmlns:r="http://schemas.openxmlformats.org/officeDocument/2006/relationships" r:embed="rId90"/>
        <a:stretch>
          <a:fillRect/>
        </a:stretch>
      </xdr:blipFill>
      <xdr:spPr>
        <a:xfrm>
          <a:off x="8135939" y="518576129"/>
          <a:ext cx="1706562" cy="1836964"/>
        </a:xfrm>
        <a:prstGeom prst="rect">
          <a:avLst/>
        </a:prstGeom>
      </xdr:spPr>
    </xdr:pic>
    <xdr:clientData/>
  </xdr:twoCellAnchor>
  <xdr:twoCellAnchor editAs="oneCell">
    <xdr:from>
      <xdr:col>8</xdr:col>
      <xdr:colOff>444500</xdr:colOff>
      <xdr:row>4086</xdr:row>
      <xdr:rowOff>63500</xdr:rowOff>
    </xdr:from>
    <xdr:to>
      <xdr:col>10</xdr:col>
      <xdr:colOff>690562</xdr:colOff>
      <xdr:row>4095</xdr:row>
      <xdr:rowOff>185964</xdr:rowOff>
    </xdr:to>
    <xdr:pic>
      <xdr:nvPicPr>
        <xdr:cNvPr id="357" name="Imagen 356">
          <a:extLst>
            <a:ext uri="{FF2B5EF4-FFF2-40B4-BE49-F238E27FC236}">
              <a16:creationId xmlns:a16="http://schemas.microsoft.com/office/drawing/2014/main" id="{DC4C5E25-5488-4DFF-A2E9-69F7C13D952D}"/>
            </a:ext>
          </a:extLst>
        </xdr:cNvPr>
        <xdr:cNvPicPr>
          <a:picLocks noChangeAspect="1"/>
        </xdr:cNvPicPr>
      </xdr:nvPicPr>
      <xdr:blipFill>
        <a:blip xmlns:r="http://schemas.openxmlformats.org/officeDocument/2006/relationships" r:embed="rId90"/>
        <a:stretch>
          <a:fillRect/>
        </a:stretch>
      </xdr:blipFill>
      <xdr:spPr>
        <a:xfrm>
          <a:off x="8358188" y="593971063"/>
          <a:ext cx="1706562" cy="1836964"/>
        </a:xfrm>
        <a:prstGeom prst="rect">
          <a:avLst/>
        </a:prstGeom>
      </xdr:spPr>
    </xdr:pic>
    <xdr:clientData/>
  </xdr:twoCellAnchor>
  <xdr:twoCellAnchor editAs="oneCell">
    <xdr:from>
      <xdr:col>8</xdr:col>
      <xdr:colOff>547687</xdr:colOff>
      <xdr:row>4107</xdr:row>
      <xdr:rowOff>87313</xdr:rowOff>
    </xdr:from>
    <xdr:to>
      <xdr:col>10</xdr:col>
      <xdr:colOff>468312</xdr:colOff>
      <xdr:row>4116</xdr:row>
      <xdr:rowOff>73479</xdr:rowOff>
    </xdr:to>
    <xdr:pic>
      <xdr:nvPicPr>
        <xdr:cNvPr id="359" name="Imagen 358">
          <a:extLst>
            <a:ext uri="{FF2B5EF4-FFF2-40B4-BE49-F238E27FC236}">
              <a16:creationId xmlns:a16="http://schemas.microsoft.com/office/drawing/2014/main" id="{1BB7BFF9-FA95-4665-AF28-67DAFD5552BD}"/>
            </a:ext>
          </a:extLst>
        </xdr:cNvPr>
        <xdr:cNvPicPr>
          <a:picLocks noChangeAspect="1"/>
        </xdr:cNvPicPr>
      </xdr:nvPicPr>
      <xdr:blipFill>
        <a:blip xmlns:r="http://schemas.openxmlformats.org/officeDocument/2006/relationships" r:embed="rId87"/>
        <a:stretch>
          <a:fillRect/>
        </a:stretch>
      </xdr:blipFill>
      <xdr:spPr>
        <a:xfrm>
          <a:off x="8461375" y="598638313"/>
          <a:ext cx="1381125" cy="1700666"/>
        </a:xfrm>
        <a:prstGeom prst="rect">
          <a:avLst/>
        </a:prstGeom>
      </xdr:spPr>
    </xdr:pic>
    <xdr:clientData/>
  </xdr:twoCellAnchor>
  <xdr:twoCellAnchor editAs="oneCell">
    <xdr:from>
      <xdr:col>8</xdr:col>
      <xdr:colOff>388937</xdr:colOff>
      <xdr:row>4130</xdr:row>
      <xdr:rowOff>79375</xdr:rowOff>
    </xdr:from>
    <xdr:to>
      <xdr:col>10</xdr:col>
      <xdr:colOff>634999</xdr:colOff>
      <xdr:row>4140</xdr:row>
      <xdr:rowOff>11339</xdr:rowOff>
    </xdr:to>
    <xdr:pic>
      <xdr:nvPicPr>
        <xdr:cNvPr id="360" name="Imagen 359">
          <a:extLst>
            <a:ext uri="{FF2B5EF4-FFF2-40B4-BE49-F238E27FC236}">
              <a16:creationId xmlns:a16="http://schemas.microsoft.com/office/drawing/2014/main" id="{5B5602E8-F022-4192-91EC-52E56C19E6D8}"/>
            </a:ext>
          </a:extLst>
        </xdr:cNvPr>
        <xdr:cNvPicPr>
          <a:picLocks noChangeAspect="1"/>
        </xdr:cNvPicPr>
      </xdr:nvPicPr>
      <xdr:blipFill>
        <a:blip xmlns:r="http://schemas.openxmlformats.org/officeDocument/2006/relationships" r:embed="rId90"/>
        <a:stretch>
          <a:fillRect/>
        </a:stretch>
      </xdr:blipFill>
      <xdr:spPr>
        <a:xfrm>
          <a:off x="8302625" y="603718313"/>
          <a:ext cx="1706562" cy="1836964"/>
        </a:xfrm>
        <a:prstGeom prst="rect">
          <a:avLst/>
        </a:prstGeom>
      </xdr:spPr>
    </xdr:pic>
    <xdr:clientData/>
  </xdr:twoCellAnchor>
  <xdr:twoCellAnchor editAs="oneCell">
    <xdr:from>
      <xdr:col>8</xdr:col>
      <xdr:colOff>396875</xdr:colOff>
      <xdr:row>4173</xdr:row>
      <xdr:rowOff>134937</xdr:rowOff>
    </xdr:from>
    <xdr:to>
      <xdr:col>10</xdr:col>
      <xdr:colOff>317500</xdr:colOff>
      <xdr:row>4182</xdr:row>
      <xdr:rowOff>121103</xdr:rowOff>
    </xdr:to>
    <xdr:pic>
      <xdr:nvPicPr>
        <xdr:cNvPr id="339" name="Imagen 338">
          <a:extLst>
            <a:ext uri="{FF2B5EF4-FFF2-40B4-BE49-F238E27FC236}">
              <a16:creationId xmlns:a16="http://schemas.microsoft.com/office/drawing/2014/main" id="{70D3A675-5C2B-42B1-A5C4-09FDE79721DD}"/>
            </a:ext>
          </a:extLst>
        </xdr:cNvPr>
        <xdr:cNvPicPr>
          <a:picLocks noChangeAspect="1"/>
        </xdr:cNvPicPr>
      </xdr:nvPicPr>
      <xdr:blipFill>
        <a:blip xmlns:r="http://schemas.openxmlformats.org/officeDocument/2006/relationships" r:embed="rId87"/>
        <a:stretch>
          <a:fillRect/>
        </a:stretch>
      </xdr:blipFill>
      <xdr:spPr>
        <a:xfrm>
          <a:off x="8310563" y="612925812"/>
          <a:ext cx="1381125" cy="1700666"/>
        </a:xfrm>
        <a:prstGeom prst="rect">
          <a:avLst/>
        </a:prstGeom>
      </xdr:spPr>
    </xdr:pic>
    <xdr:clientData/>
  </xdr:twoCellAnchor>
  <xdr:twoCellAnchor editAs="oneCell">
    <xdr:from>
      <xdr:col>8</xdr:col>
      <xdr:colOff>246062</xdr:colOff>
      <xdr:row>4196</xdr:row>
      <xdr:rowOff>23813</xdr:rowOff>
    </xdr:from>
    <xdr:to>
      <xdr:col>10</xdr:col>
      <xdr:colOff>166687</xdr:colOff>
      <xdr:row>4205</xdr:row>
      <xdr:rowOff>9979</xdr:rowOff>
    </xdr:to>
    <xdr:pic>
      <xdr:nvPicPr>
        <xdr:cNvPr id="343" name="Imagen 342">
          <a:extLst>
            <a:ext uri="{FF2B5EF4-FFF2-40B4-BE49-F238E27FC236}">
              <a16:creationId xmlns:a16="http://schemas.microsoft.com/office/drawing/2014/main" id="{721E63FE-0E55-4C12-90C4-92D06B0D7E80}"/>
            </a:ext>
          </a:extLst>
        </xdr:cNvPr>
        <xdr:cNvPicPr>
          <a:picLocks noChangeAspect="1"/>
        </xdr:cNvPicPr>
      </xdr:nvPicPr>
      <xdr:blipFill>
        <a:blip xmlns:r="http://schemas.openxmlformats.org/officeDocument/2006/relationships" r:embed="rId87"/>
        <a:stretch>
          <a:fillRect/>
        </a:stretch>
      </xdr:blipFill>
      <xdr:spPr>
        <a:xfrm>
          <a:off x="8159750" y="617910563"/>
          <a:ext cx="1381125" cy="1700666"/>
        </a:xfrm>
        <a:prstGeom prst="rect">
          <a:avLst/>
        </a:prstGeom>
      </xdr:spPr>
    </xdr:pic>
    <xdr:clientData/>
  </xdr:twoCellAnchor>
  <xdr:twoCellAnchor editAs="oneCell">
    <xdr:from>
      <xdr:col>8</xdr:col>
      <xdr:colOff>635000</xdr:colOff>
      <xdr:row>4264</xdr:row>
      <xdr:rowOff>71438</xdr:rowOff>
    </xdr:from>
    <xdr:to>
      <xdr:col>10</xdr:col>
      <xdr:colOff>555625</xdr:colOff>
      <xdr:row>4273</xdr:row>
      <xdr:rowOff>57604</xdr:rowOff>
    </xdr:to>
    <xdr:pic>
      <xdr:nvPicPr>
        <xdr:cNvPr id="345" name="Imagen 344">
          <a:extLst>
            <a:ext uri="{FF2B5EF4-FFF2-40B4-BE49-F238E27FC236}">
              <a16:creationId xmlns:a16="http://schemas.microsoft.com/office/drawing/2014/main" id="{7A9AD433-F468-48E3-A393-63C46786263F}"/>
            </a:ext>
          </a:extLst>
        </xdr:cNvPr>
        <xdr:cNvPicPr>
          <a:picLocks noChangeAspect="1"/>
        </xdr:cNvPicPr>
      </xdr:nvPicPr>
      <xdr:blipFill>
        <a:blip xmlns:r="http://schemas.openxmlformats.org/officeDocument/2006/relationships" r:embed="rId87"/>
        <a:stretch>
          <a:fillRect/>
        </a:stretch>
      </xdr:blipFill>
      <xdr:spPr>
        <a:xfrm>
          <a:off x="8548688" y="622641313"/>
          <a:ext cx="1381125" cy="1700666"/>
        </a:xfrm>
        <a:prstGeom prst="rect">
          <a:avLst/>
        </a:prstGeom>
      </xdr:spPr>
    </xdr:pic>
    <xdr:clientData/>
  </xdr:twoCellAnchor>
  <xdr:twoCellAnchor editAs="oneCell">
    <xdr:from>
      <xdr:col>8</xdr:col>
      <xdr:colOff>404813</xdr:colOff>
      <xdr:row>4239</xdr:row>
      <xdr:rowOff>158750</xdr:rowOff>
    </xdr:from>
    <xdr:to>
      <xdr:col>10</xdr:col>
      <xdr:colOff>325438</xdr:colOff>
      <xdr:row>4248</xdr:row>
      <xdr:rowOff>144916</xdr:rowOff>
    </xdr:to>
    <xdr:pic>
      <xdr:nvPicPr>
        <xdr:cNvPr id="346" name="Imagen 345">
          <a:extLst>
            <a:ext uri="{FF2B5EF4-FFF2-40B4-BE49-F238E27FC236}">
              <a16:creationId xmlns:a16="http://schemas.microsoft.com/office/drawing/2014/main" id="{A27D6E88-5BB2-4AE1-AF83-50D7D6E7AEDC}"/>
            </a:ext>
          </a:extLst>
        </xdr:cNvPr>
        <xdr:cNvPicPr>
          <a:picLocks noChangeAspect="1"/>
        </xdr:cNvPicPr>
      </xdr:nvPicPr>
      <xdr:blipFill>
        <a:blip xmlns:r="http://schemas.openxmlformats.org/officeDocument/2006/relationships" r:embed="rId87"/>
        <a:stretch>
          <a:fillRect/>
        </a:stretch>
      </xdr:blipFill>
      <xdr:spPr>
        <a:xfrm>
          <a:off x="8318501" y="627173625"/>
          <a:ext cx="1381125" cy="1700666"/>
        </a:xfrm>
        <a:prstGeom prst="rect">
          <a:avLst/>
        </a:prstGeom>
      </xdr:spPr>
    </xdr:pic>
    <xdr:clientData/>
  </xdr:twoCellAnchor>
  <xdr:twoCellAnchor editAs="oneCell">
    <xdr:from>
      <xdr:col>8</xdr:col>
      <xdr:colOff>373063</xdr:colOff>
      <xdr:row>4261</xdr:row>
      <xdr:rowOff>127000</xdr:rowOff>
    </xdr:from>
    <xdr:to>
      <xdr:col>10</xdr:col>
      <xdr:colOff>293688</xdr:colOff>
      <xdr:row>4270</xdr:row>
      <xdr:rowOff>113166</xdr:rowOff>
    </xdr:to>
    <xdr:pic>
      <xdr:nvPicPr>
        <xdr:cNvPr id="349" name="Imagen 348">
          <a:extLst>
            <a:ext uri="{FF2B5EF4-FFF2-40B4-BE49-F238E27FC236}">
              <a16:creationId xmlns:a16="http://schemas.microsoft.com/office/drawing/2014/main" id="{DF644AD2-3276-4822-98AC-D84AFA14F07A}"/>
            </a:ext>
          </a:extLst>
        </xdr:cNvPr>
        <xdr:cNvPicPr>
          <a:picLocks noChangeAspect="1"/>
        </xdr:cNvPicPr>
      </xdr:nvPicPr>
      <xdr:blipFill>
        <a:blip xmlns:r="http://schemas.openxmlformats.org/officeDocument/2006/relationships" r:embed="rId87"/>
        <a:stretch>
          <a:fillRect/>
        </a:stretch>
      </xdr:blipFill>
      <xdr:spPr>
        <a:xfrm>
          <a:off x="8286751" y="631856750"/>
          <a:ext cx="1381125" cy="1700666"/>
        </a:xfrm>
        <a:prstGeom prst="rect">
          <a:avLst/>
        </a:prstGeom>
      </xdr:spPr>
    </xdr:pic>
    <xdr:clientData/>
  </xdr:twoCellAnchor>
  <xdr:twoCellAnchor editAs="oneCell">
    <xdr:from>
      <xdr:col>8</xdr:col>
      <xdr:colOff>269874</xdr:colOff>
      <xdr:row>4327</xdr:row>
      <xdr:rowOff>94667</xdr:rowOff>
    </xdr:from>
    <xdr:to>
      <xdr:col>10</xdr:col>
      <xdr:colOff>428625</xdr:colOff>
      <xdr:row>4338</xdr:row>
      <xdr:rowOff>108275</xdr:rowOff>
    </xdr:to>
    <xdr:pic>
      <xdr:nvPicPr>
        <xdr:cNvPr id="16" name="Imagen 15">
          <a:extLst>
            <a:ext uri="{FF2B5EF4-FFF2-40B4-BE49-F238E27FC236}">
              <a16:creationId xmlns:a16="http://schemas.microsoft.com/office/drawing/2014/main" id="{02140E92-29ED-40F7-950A-A93748AC0EA4}"/>
            </a:ext>
          </a:extLst>
        </xdr:cNvPr>
        <xdr:cNvPicPr>
          <a:picLocks noChangeAspect="1"/>
        </xdr:cNvPicPr>
      </xdr:nvPicPr>
      <xdr:blipFill>
        <a:blip xmlns:r="http://schemas.openxmlformats.org/officeDocument/2006/relationships" r:embed="rId91"/>
        <a:stretch>
          <a:fillRect/>
        </a:stretch>
      </xdr:blipFill>
      <xdr:spPr>
        <a:xfrm>
          <a:off x="8183562" y="646445292"/>
          <a:ext cx="1619251" cy="2109108"/>
        </a:xfrm>
        <a:prstGeom prst="rect">
          <a:avLst/>
        </a:prstGeom>
      </xdr:spPr>
    </xdr:pic>
    <xdr:clientData/>
  </xdr:twoCellAnchor>
  <xdr:twoCellAnchor editAs="oneCell">
    <xdr:from>
      <xdr:col>8</xdr:col>
      <xdr:colOff>325436</xdr:colOff>
      <xdr:row>4459</xdr:row>
      <xdr:rowOff>185145</xdr:rowOff>
    </xdr:from>
    <xdr:to>
      <xdr:col>11</xdr:col>
      <xdr:colOff>253998</xdr:colOff>
      <xdr:row>4468</xdr:row>
      <xdr:rowOff>78183</xdr:rowOff>
    </xdr:to>
    <xdr:pic>
      <xdr:nvPicPr>
        <xdr:cNvPr id="18" name="Imagen 17">
          <a:extLst>
            <a:ext uri="{FF2B5EF4-FFF2-40B4-BE49-F238E27FC236}">
              <a16:creationId xmlns:a16="http://schemas.microsoft.com/office/drawing/2014/main" id="{0A6B3468-77AE-4E0F-B5FF-6209859879FB}"/>
            </a:ext>
          </a:extLst>
        </xdr:cNvPr>
        <xdr:cNvPicPr>
          <a:picLocks noChangeAspect="1"/>
        </xdr:cNvPicPr>
      </xdr:nvPicPr>
      <xdr:blipFill>
        <a:blip xmlns:r="http://schemas.openxmlformats.org/officeDocument/2006/relationships" r:embed="rId92"/>
        <a:stretch>
          <a:fillRect/>
        </a:stretch>
      </xdr:blipFill>
      <xdr:spPr>
        <a:xfrm>
          <a:off x="8239124" y="676698270"/>
          <a:ext cx="2182812" cy="1607539"/>
        </a:xfrm>
        <a:prstGeom prst="rect">
          <a:avLst/>
        </a:prstGeom>
      </xdr:spPr>
    </xdr:pic>
    <xdr:clientData/>
  </xdr:twoCellAnchor>
  <xdr:twoCellAnchor editAs="oneCell">
    <xdr:from>
      <xdr:col>8</xdr:col>
      <xdr:colOff>174625</xdr:colOff>
      <xdr:row>4349</xdr:row>
      <xdr:rowOff>119063</xdr:rowOff>
    </xdr:from>
    <xdr:to>
      <xdr:col>10</xdr:col>
      <xdr:colOff>652290</xdr:colOff>
      <xdr:row>4357</xdr:row>
      <xdr:rowOff>159089</xdr:rowOff>
    </xdr:to>
    <xdr:pic>
      <xdr:nvPicPr>
        <xdr:cNvPr id="32" name="Imagen 31">
          <a:extLst>
            <a:ext uri="{FF2B5EF4-FFF2-40B4-BE49-F238E27FC236}">
              <a16:creationId xmlns:a16="http://schemas.microsoft.com/office/drawing/2014/main" id="{35963A7B-1ADC-40E1-BEA2-A001CF9B8660}"/>
            </a:ext>
          </a:extLst>
        </xdr:cNvPr>
        <xdr:cNvPicPr>
          <a:picLocks noChangeAspect="1"/>
        </xdr:cNvPicPr>
      </xdr:nvPicPr>
      <xdr:blipFill>
        <a:blip xmlns:r="http://schemas.openxmlformats.org/officeDocument/2006/relationships" r:embed="rId93"/>
        <a:stretch>
          <a:fillRect/>
        </a:stretch>
      </xdr:blipFill>
      <xdr:spPr>
        <a:xfrm>
          <a:off x="8088313" y="651422688"/>
          <a:ext cx="1938165" cy="1564026"/>
        </a:xfrm>
        <a:prstGeom prst="rect">
          <a:avLst/>
        </a:prstGeom>
      </xdr:spPr>
    </xdr:pic>
    <xdr:clientData/>
  </xdr:twoCellAnchor>
  <xdr:twoCellAnchor editAs="oneCell">
    <xdr:from>
      <xdr:col>8</xdr:col>
      <xdr:colOff>531813</xdr:colOff>
      <xdr:row>4393</xdr:row>
      <xdr:rowOff>95250</xdr:rowOff>
    </xdr:from>
    <xdr:to>
      <xdr:col>9</xdr:col>
      <xdr:colOff>654518</xdr:colOff>
      <xdr:row>4403</xdr:row>
      <xdr:rowOff>171966</xdr:rowOff>
    </xdr:to>
    <xdr:pic>
      <xdr:nvPicPr>
        <xdr:cNvPr id="41" name="Imagen 40">
          <a:extLst>
            <a:ext uri="{FF2B5EF4-FFF2-40B4-BE49-F238E27FC236}">
              <a16:creationId xmlns:a16="http://schemas.microsoft.com/office/drawing/2014/main" id="{79602486-67B4-409B-AA47-C4172476ED9A}"/>
            </a:ext>
          </a:extLst>
        </xdr:cNvPr>
        <xdr:cNvPicPr>
          <a:picLocks noChangeAspect="1"/>
        </xdr:cNvPicPr>
      </xdr:nvPicPr>
      <xdr:blipFill>
        <a:blip xmlns:r="http://schemas.openxmlformats.org/officeDocument/2006/relationships" r:embed="rId94"/>
        <a:stretch>
          <a:fillRect/>
        </a:stretch>
      </xdr:blipFill>
      <xdr:spPr>
        <a:xfrm>
          <a:off x="8445501" y="661249313"/>
          <a:ext cx="852955" cy="1981716"/>
        </a:xfrm>
        <a:prstGeom prst="rect">
          <a:avLst/>
        </a:prstGeom>
      </xdr:spPr>
    </xdr:pic>
    <xdr:clientData/>
  </xdr:twoCellAnchor>
  <xdr:twoCellAnchor editAs="oneCell">
    <xdr:from>
      <xdr:col>8</xdr:col>
      <xdr:colOff>396876</xdr:colOff>
      <xdr:row>4415</xdr:row>
      <xdr:rowOff>82774</xdr:rowOff>
    </xdr:from>
    <xdr:to>
      <xdr:col>9</xdr:col>
      <xdr:colOff>611188</xdr:colOff>
      <xdr:row>4426</xdr:row>
      <xdr:rowOff>140242</xdr:rowOff>
    </xdr:to>
    <xdr:pic>
      <xdr:nvPicPr>
        <xdr:cNvPr id="43" name="Imagen 42">
          <a:extLst>
            <a:ext uri="{FF2B5EF4-FFF2-40B4-BE49-F238E27FC236}">
              <a16:creationId xmlns:a16="http://schemas.microsoft.com/office/drawing/2014/main" id="{012E6C1F-8125-4E68-93F9-F691E5DCA4EC}"/>
            </a:ext>
          </a:extLst>
        </xdr:cNvPr>
        <xdr:cNvPicPr>
          <a:picLocks noChangeAspect="1"/>
        </xdr:cNvPicPr>
      </xdr:nvPicPr>
      <xdr:blipFill>
        <a:blip xmlns:r="http://schemas.openxmlformats.org/officeDocument/2006/relationships" r:embed="rId95"/>
        <a:stretch>
          <a:fillRect/>
        </a:stretch>
      </xdr:blipFill>
      <xdr:spPr>
        <a:xfrm>
          <a:off x="8310564" y="666451774"/>
          <a:ext cx="944562" cy="2152968"/>
        </a:xfrm>
        <a:prstGeom prst="rect">
          <a:avLst/>
        </a:prstGeom>
      </xdr:spPr>
    </xdr:pic>
    <xdr:clientData/>
  </xdr:twoCellAnchor>
  <xdr:twoCellAnchor editAs="oneCell">
    <xdr:from>
      <xdr:col>11</xdr:col>
      <xdr:colOff>381000</xdr:colOff>
      <xdr:row>4481</xdr:row>
      <xdr:rowOff>145909</xdr:rowOff>
    </xdr:from>
    <xdr:to>
      <xdr:col>13</xdr:col>
      <xdr:colOff>293687</xdr:colOff>
      <xdr:row>4490</xdr:row>
      <xdr:rowOff>100633</xdr:rowOff>
    </xdr:to>
    <xdr:pic>
      <xdr:nvPicPr>
        <xdr:cNvPr id="54" name="Imagen 53">
          <a:extLst>
            <a:ext uri="{FF2B5EF4-FFF2-40B4-BE49-F238E27FC236}">
              <a16:creationId xmlns:a16="http://schemas.microsoft.com/office/drawing/2014/main" id="{88ECBF60-03AA-4E70-8E7C-D58526B758BA}"/>
            </a:ext>
          </a:extLst>
        </xdr:cNvPr>
        <xdr:cNvPicPr>
          <a:picLocks noChangeAspect="1"/>
        </xdr:cNvPicPr>
      </xdr:nvPicPr>
      <xdr:blipFill>
        <a:blip xmlns:r="http://schemas.openxmlformats.org/officeDocument/2006/relationships" r:embed="rId96"/>
        <a:stretch>
          <a:fillRect/>
        </a:stretch>
      </xdr:blipFill>
      <xdr:spPr>
        <a:xfrm>
          <a:off x="10548938" y="681477097"/>
          <a:ext cx="1373187" cy="1669225"/>
        </a:xfrm>
        <a:prstGeom prst="rect">
          <a:avLst/>
        </a:prstGeom>
      </xdr:spPr>
    </xdr:pic>
    <xdr:clientData/>
  </xdr:twoCellAnchor>
  <xdr:twoCellAnchor editAs="oneCell">
    <xdr:from>
      <xdr:col>8</xdr:col>
      <xdr:colOff>87312</xdr:colOff>
      <xdr:row>4019</xdr:row>
      <xdr:rowOff>134936</xdr:rowOff>
    </xdr:from>
    <xdr:to>
      <xdr:col>10</xdr:col>
      <xdr:colOff>709803</xdr:colOff>
      <xdr:row>4029</xdr:row>
      <xdr:rowOff>99097</xdr:rowOff>
    </xdr:to>
    <xdr:pic>
      <xdr:nvPicPr>
        <xdr:cNvPr id="901" name="Imagen 900">
          <a:extLst>
            <a:ext uri="{FF2B5EF4-FFF2-40B4-BE49-F238E27FC236}">
              <a16:creationId xmlns:a16="http://schemas.microsoft.com/office/drawing/2014/main" id="{54BB1CF4-4C36-483A-806D-E75B38CA9BCC}"/>
            </a:ext>
          </a:extLst>
        </xdr:cNvPr>
        <xdr:cNvPicPr>
          <a:picLocks noChangeAspect="1"/>
        </xdr:cNvPicPr>
      </xdr:nvPicPr>
      <xdr:blipFill>
        <a:blip xmlns:r="http://schemas.openxmlformats.org/officeDocument/2006/relationships" r:embed="rId97"/>
        <a:stretch>
          <a:fillRect/>
        </a:stretch>
      </xdr:blipFill>
      <xdr:spPr>
        <a:xfrm>
          <a:off x="8001000" y="579858186"/>
          <a:ext cx="2082991" cy="1869161"/>
        </a:xfrm>
        <a:prstGeom prst="rect">
          <a:avLst/>
        </a:prstGeom>
      </xdr:spPr>
    </xdr:pic>
    <xdr:clientData/>
  </xdr:twoCellAnchor>
  <xdr:twoCellAnchor editAs="oneCell">
    <xdr:from>
      <xdr:col>8</xdr:col>
      <xdr:colOff>142875</xdr:colOff>
      <xdr:row>3975</xdr:row>
      <xdr:rowOff>182399</xdr:rowOff>
    </xdr:from>
    <xdr:to>
      <xdr:col>10</xdr:col>
      <xdr:colOff>639952</xdr:colOff>
      <xdr:row>3986</xdr:row>
      <xdr:rowOff>182562</xdr:rowOff>
    </xdr:to>
    <xdr:pic>
      <xdr:nvPicPr>
        <xdr:cNvPr id="907" name="Imagen 906">
          <a:extLst>
            <a:ext uri="{FF2B5EF4-FFF2-40B4-BE49-F238E27FC236}">
              <a16:creationId xmlns:a16="http://schemas.microsoft.com/office/drawing/2014/main" id="{36A718E0-5A34-4592-8F5C-1323083EE922}"/>
            </a:ext>
          </a:extLst>
        </xdr:cNvPr>
        <xdr:cNvPicPr>
          <a:picLocks noChangeAspect="1"/>
        </xdr:cNvPicPr>
      </xdr:nvPicPr>
      <xdr:blipFill>
        <a:blip xmlns:r="http://schemas.openxmlformats.org/officeDocument/2006/relationships" r:embed="rId98"/>
        <a:stretch>
          <a:fillRect/>
        </a:stretch>
      </xdr:blipFill>
      <xdr:spPr>
        <a:xfrm>
          <a:off x="8056563" y="570698149"/>
          <a:ext cx="1957577" cy="2095663"/>
        </a:xfrm>
        <a:prstGeom prst="rect">
          <a:avLst/>
        </a:prstGeom>
      </xdr:spPr>
    </xdr:pic>
    <xdr:clientData/>
  </xdr:twoCellAnchor>
  <xdr:twoCellAnchor editAs="oneCell">
    <xdr:from>
      <xdr:col>8</xdr:col>
      <xdr:colOff>103186</xdr:colOff>
      <xdr:row>4576</xdr:row>
      <xdr:rowOff>93520</xdr:rowOff>
    </xdr:from>
    <xdr:to>
      <xdr:col>10</xdr:col>
      <xdr:colOff>511071</xdr:colOff>
      <xdr:row>4587</xdr:row>
      <xdr:rowOff>31749</xdr:rowOff>
    </xdr:to>
    <xdr:pic>
      <xdr:nvPicPr>
        <xdr:cNvPr id="939" name="Imagen 938">
          <a:extLst>
            <a:ext uri="{FF2B5EF4-FFF2-40B4-BE49-F238E27FC236}">
              <a16:creationId xmlns:a16="http://schemas.microsoft.com/office/drawing/2014/main" id="{36E30770-B1AC-413D-958B-13CB768169E3}"/>
            </a:ext>
          </a:extLst>
        </xdr:cNvPr>
        <xdr:cNvPicPr>
          <a:picLocks noChangeAspect="1"/>
        </xdr:cNvPicPr>
      </xdr:nvPicPr>
      <xdr:blipFill>
        <a:blip xmlns:r="http://schemas.openxmlformats.org/officeDocument/2006/relationships" r:embed="rId99"/>
        <a:stretch>
          <a:fillRect/>
        </a:stretch>
      </xdr:blipFill>
      <xdr:spPr>
        <a:xfrm>
          <a:off x="8016874" y="696275770"/>
          <a:ext cx="1868385" cy="2033729"/>
        </a:xfrm>
        <a:prstGeom prst="rect">
          <a:avLst/>
        </a:prstGeom>
      </xdr:spPr>
    </xdr:pic>
    <xdr:clientData/>
  </xdr:twoCellAnchor>
  <xdr:twoCellAnchor editAs="oneCell">
    <xdr:from>
      <xdr:col>8</xdr:col>
      <xdr:colOff>230188</xdr:colOff>
      <xdr:row>4599</xdr:row>
      <xdr:rowOff>15875</xdr:rowOff>
    </xdr:from>
    <xdr:to>
      <xdr:col>10</xdr:col>
      <xdr:colOff>638073</xdr:colOff>
      <xdr:row>4609</xdr:row>
      <xdr:rowOff>144604</xdr:rowOff>
    </xdr:to>
    <xdr:pic>
      <xdr:nvPicPr>
        <xdr:cNvPr id="399" name="Imagen 398">
          <a:extLst>
            <a:ext uri="{FF2B5EF4-FFF2-40B4-BE49-F238E27FC236}">
              <a16:creationId xmlns:a16="http://schemas.microsoft.com/office/drawing/2014/main" id="{34C2718D-7D04-4112-86FE-EDA469D072C7}"/>
            </a:ext>
          </a:extLst>
        </xdr:cNvPr>
        <xdr:cNvPicPr>
          <a:picLocks noChangeAspect="1"/>
        </xdr:cNvPicPr>
      </xdr:nvPicPr>
      <xdr:blipFill>
        <a:blip xmlns:r="http://schemas.openxmlformats.org/officeDocument/2006/relationships" r:embed="rId99"/>
        <a:stretch>
          <a:fillRect/>
        </a:stretch>
      </xdr:blipFill>
      <xdr:spPr>
        <a:xfrm>
          <a:off x="8143876" y="701103500"/>
          <a:ext cx="1868385" cy="2033729"/>
        </a:xfrm>
        <a:prstGeom prst="rect">
          <a:avLst/>
        </a:prstGeom>
      </xdr:spPr>
    </xdr:pic>
    <xdr:clientData/>
  </xdr:twoCellAnchor>
  <xdr:twoCellAnchor editAs="oneCell">
    <xdr:from>
      <xdr:col>8</xdr:col>
      <xdr:colOff>238125</xdr:colOff>
      <xdr:row>4620</xdr:row>
      <xdr:rowOff>150812</xdr:rowOff>
    </xdr:from>
    <xdr:to>
      <xdr:col>10</xdr:col>
      <xdr:colOff>646010</xdr:colOff>
      <xdr:row>4631</xdr:row>
      <xdr:rowOff>89042</xdr:rowOff>
    </xdr:to>
    <xdr:pic>
      <xdr:nvPicPr>
        <xdr:cNvPr id="400" name="Imagen 399">
          <a:extLst>
            <a:ext uri="{FF2B5EF4-FFF2-40B4-BE49-F238E27FC236}">
              <a16:creationId xmlns:a16="http://schemas.microsoft.com/office/drawing/2014/main" id="{F950982C-132A-4BBD-AE76-D2C1A441B28D}"/>
            </a:ext>
          </a:extLst>
        </xdr:cNvPr>
        <xdr:cNvPicPr>
          <a:picLocks noChangeAspect="1"/>
        </xdr:cNvPicPr>
      </xdr:nvPicPr>
      <xdr:blipFill>
        <a:blip xmlns:r="http://schemas.openxmlformats.org/officeDocument/2006/relationships" r:embed="rId99"/>
        <a:stretch>
          <a:fillRect/>
        </a:stretch>
      </xdr:blipFill>
      <xdr:spPr>
        <a:xfrm>
          <a:off x="8151813" y="705873937"/>
          <a:ext cx="1868385" cy="2033729"/>
        </a:xfrm>
        <a:prstGeom prst="rect">
          <a:avLst/>
        </a:prstGeom>
      </xdr:spPr>
    </xdr:pic>
    <xdr:clientData/>
  </xdr:twoCellAnchor>
  <xdr:twoCellAnchor editAs="oneCell">
    <xdr:from>
      <xdr:col>8</xdr:col>
      <xdr:colOff>182563</xdr:colOff>
      <xdr:row>1420</xdr:row>
      <xdr:rowOff>127000</xdr:rowOff>
    </xdr:from>
    <xdr:to>
      <xdr:col>10</xdr:col>
      <xdr:colOff>508000</xdr:colOff>
      <xdr:row>1437</xdr:row>
      <xdr:rowOff>89838</xdr:rowOff>
    </xdr:to>
    <xdr:pic>
      <xdr:nvPicPr>
        <xdr:cNvPr id="940" name="Imagen 939">
          <a:extLst>
            <a:ext uri="{FF2B5EF4-FFF2-40B4-BE49-F238E27FC236}">
              <a16:creationId xmlns:a16="http://schemas.microsoft.com/office/drawing/2014/main" id="{6242D7FE-9C28-41DF-BEB6-72C8AF18C3C4}"/>
            </a:ext>
          </a:extLst>
        </xdr:cNvPr>
        <xdr:cNvPicPr>
          <a:picLocks noChangeAspect="1"/>
        </xdr:cNvPicPr>
      </xdr:nvPicPr>
      <xdr:blipFill>
        <a:blip xmlns:r="http://schemas.openxmlformats.org/officeDocument/2006/relationships" r:embed="rId100"/>
        <a:stretch>
          <a:fillRect/>
        </a:stretch>
      </xdr:blipFill>
      <xdr:spPr>
        <a:xfrm>
          <a:off x="8096251" y="102433438"/>
          <a:ext cx="1785937" cy="2931463"/>
        </a:xfrm>
        <a:prstGeom prst="rect">
          <a:avLst/>
        </a:prstGeom>
      </xdr:spPr>
    </xdr:pic>
    <xdr:clientData/>
  </xdr:twoCellAnchor>
  <xdr:twoCellAnchor editAs="oneCell">
    <xdr:from>
      <xdr:col>11</xdr:col>
      <xdr:colOff>23812</xdr:colOff>
      <xdr:row>1608</xdr:row>
      <xdr:rowOff>63500</xdr:rowOff>
    </xdr:from>
    <xdr:to>
      <xdr:col>13</xdr:col>
      <xdr:colOff>5909</xdr:colOff>
      <xdr:row>1621</xdr:row>
      <xdr:rowOff>161275</xdr:rowOff>
    </xdr:to>
    <xdr:pic>
      <xdr:nvPicPr>
        <xdr:cNvPr id="402" name="Imagen 401">
          <a:extLst>
            <a:ext uri="{FF2B5EF4-FFF2-40B4-BE49-F238E27FC236}">
              <a16:creationId xmlns:a16="http://schemas.microsoft.com/office/drawing/2014/main" id="{5EF0A8B1-508B-4E5D-B5D0-C59117B3E234}"/>
            </a:ext>
          </a:extLst>
        </xdr:cNvPr>
        <xdr:cNvPicPr>
          <a:picLocks noChangeAspect="1"/>
        </xdr:cNvPicPr>
      </xdr:nvPicPr>
      <xdr:blipFill>
        <a:blip xmlns:r="http://schemas.openxmlformats.org/officeDocument/2006/relationships" r:embed="rId100"/>
        <a:stretch>
          <a:fillRect/>
        </a:stretch>
      </xdr:blipFill>
      <xdr:spPr>
        <a:xfrm>
          <a:off x="10191750" y="134318375"/>
          <a:ext cx="1442597" cy="2367900"/>
        </a:xfrm>
        <a:prstGeom prst="rect">
          <a:avLst/>
        </a:prstGeom>
      </xdr:spPr>
    </xdr:pic>
    <xdr:clientData/>
  </xdr:twoCellAnchor>
  <xdr:twoCellAnchor editAs="oneCell">
    <xdr:from>
      <xdr:col>12</xdr:col>
      <xdr:colOff>79374</xdr:colOff>
      <xdr:row>1619</xdr:row>
      <xdr:rowOff>95250</xdr:rowOff>
    </xdr:from>
    <xdr:to>
      <xdr:col>13</xdr:col>
      <xdr:colOff>603249</xdr:colOff>
      <xdr:row>1630</xdr:row>
      <xdr:rowOff>3067</xdr:rowOff>
    </xdr:to>
    <xdr:pic>
      <xdr:nvPicPr>
        <xdr:cNvPr id="403" name="Imagen 402">
          <a:extLst>
            <a:ext uri="{FF2B5EF4-FFF2-40B4-BE49-F238E27FC236}">
              <a16:creationId xmlns:a16="http://schemas.microsoft.com/office/drawing/2014/main" id="{CCED8006-396D-4AE9-847D-63E3E950358F}"/>
            </a:ext>
          </a:extLst>
        </xdr:cNvPr>
        <xdr:cNvPicPr>
          <a:picLocks noChangeAspect="1"/>
        </xdr:cNvPicPr>
      </xdr:nvPicPr>
      <xdr:blipFill>
        <a:blip xmlns:r="http://schemas.openxmlformats.org/officeDocument/2006/relationships" r:embed="rId39"/>
        <a:stretch>
          <a:fillRect/>
        </a:stretch>
      </xdr:blipFill>
      <xdr:spPr>
        <a:xfrm>
          <a:off x="10977562" y="136271000"/>
          <a:ext cx="1254125" cy="1828692"/>
        </a:xfrm>
        <a:prstGeom prst="rect">
          <a:avLst/>
        </a:prstGeom>
      </xdr:spPr>
    </xdr:pic>
    <xdr:clientData/>
  </xdr:twoCellAnchor>
  <xdr:twoCellAnchor editAs="oneCell">
    <xdr:from>
      <xdr:col>8</xdr:col>
      <xdr:colOff>309562</xdr:colOff>
      <xdr:row>4642</xdr:row>
      <xdr:rowOff>87313</xdr:rowOff>
    </xdr:from>
    <xdr:to>
      <xdr:col>10</xdr:col>
      <xdr:colOff>717447</xdr:colOff>
      <xdr:row>4653</xdr:row>
      <xdr:rowOff>25543</xdr:rowOff>
    </xdr:to>
    <xdr:pic>
      <xdr:nvPicPr>
        <xdr:cNvPr id="404" name="Imagen 403">
          <a:extLst>
            <a:ext uri="{FF2B5EF4-FFF2-40B4-BE49-F238E27FC236}">
              <a16:creationId xmlns:a16="http://schemas.microsoft.com/office/drawing/2014/main" id="{8A0BABE8-A522-48D3-9D95-D773E46B6CC7}"/>
            </a:ext>
          </a:extLst>
        </xdr:cNvPr>
        <xdr:cNvPicPr>
          <a:picLocks noChangeAspect="1"/>
        </xdr:cNvPicPr>
      </xdr:nvPicPr>
      <xdr:blipFill>
        <a:blip xmlns:r="http://schemas.openxmlformats.org/officeDocument/2006/relationships" r:embed="rId99"/>
        <a:stretch>
          <a:fillRect/>
        </a:stretch>
      </xdr:blipFill>
      <xdr:spPr>
        <a:xfrm>
          <a:off x="8223250" y="710525313"/>
          <a:ext cx="1868385" cy="2033729"/>
        </a:xfrm>
        <a:prstGeom prst="rect">
          <a:avLst/>
        </a:prstGeom>
      </xdr:spPr>
    </xdr:pic>
    <xdr:clientData/>
  </xdr:twoCellAnchor>
  <xdr:twoCellAnchor editAs="oneCell">
    <xdr:from>
      <xdr:col>11</xdr:col>
      <xdr:colOff>158750</xdr:colOff>
      <xdr:row>4708</xdr:row>
      <xdr:rowOff>48321</xdr:rowOff>
    </xdr:from>
    <xdr:to>
      <xdr:col>13</xdr:col>
      <xdr:colOff>460374</xdr:colOff>
      <xdr:row>4720</xdr:row>
      <xdr:rowOff>127974</xdr:rowOff>
    </xdr:to>
    <xdr:pic>
      <xdr:nvPicPr>
        <xdr:cNvPr id="941" name="Imagen 940">
          <a:extLst>
            <a:ext uri="{FF2B5EF4-FFF2-40B4-BE49-F238E27FC236}">
              <a16:creationId xmlns:a16="http://schemas.microsoft.com/office/drawing/2014/main" id="{2F64CD10-86A3-4FE8-A0B6-D35700800EC1}"/>
            </a:ext>
          </a:extLst>
        </xdr:cNvPr>
        <xdr:cNvPicPr>
          <a:picLocks noChangeAspect="1"/>
        </xdr:cNvPicPr>
      </xdr:nvPicPr>
      <xdr:blipFill>
        <a:blip xmlns:r="http://schemas.openxmlformats.org/officeDocument/2006/relationships" r:embed="rId101"/>
        <a:stretch>
          <a:fillRect/>
        </a:stretch>
      </xdr:blipFill>
      <xdr:spPr>
        <a:xfrm>
          <a:off x="10326688" y="724813509"/>
          <a:ext cx="1762124" cy="2365652"/>
        </a:xfrm>
        <a:prstGeom prst="rect">
          <a:avLst/>
        </a:prstGeom>
      </xdr:spPr>
    </xdr:pic>
    <xdr:clientData/>
  </xdr:twoCellAnchor>
  <xdr:twoCellAnchor editAs="oneCell">
    <xdr:from>
      <xdr:col>8</xdr:col>
      <xdr:colOff>142874</xdr:colOff>
      <xdr:row>4708</xdr:row>
      <xdr:rowOff>39687</xdr:rowOff>
    </xdr:from>
    <xdr:to>
      <xdr:col>10</xdr:col>
      <xdr:colOff>738187</xdr:colOff>
      <xdr:row>4720</xdr:row>
      <xdr:rowOff>159201</xdr:rowOff>
    </xdr:to>
    <xdr:pic>
      <xdr:nvPicPr>
        <xdr:cNvPr id="944" name="Imagen 943">
          <a:extLst>
            <a:ext uri="{FF2B5EF4-FFF2-40B4-BE49-F238E27FC236}">
              <a16:creationId xmlns:a16="http://schemas.microsoft.com/office/drawing/2014/main" id="{01475D24-D6B5-4CE6-9C54-BABCA8D444D8}"/>
            </a:ext>
          </a:extLst>
        </xdr:cNvPr>
        <xdr:cNvPicPr>
          <a:picLocks noChangeAspect="1"/>
        </xdr:cNvPicPr>
      </xdr:nvPicPr>
      <xdr:blipFill>
        <a:blip xmlns:r="http://schemas.openxmlformats.org/officeDocument/2006/relationships" r:embed="rId102"/>
        <a:stretch>
          <a:fillRect/>
        </a:stretch>
      </xdr:blipFill>
      <xdr:spPr>
        <a:xfrm>
          <a:off x="8056562" y="724804875"/>
          <a:ext cx="2055813" cy="2405513"/>
        </a:xfrm>
        <a:prstGeom prst="rect">
          <a:avLst/>
        </a:prstGeom>
      </xdr:spPr>
    </xdr:pic>
    <xdr:clientData/>
  </xdr:twoCellAnchor>
  <xdr:twoCellAnchor editAs="oneCell">
    <xdr:from>
      <xdr:col>8</xdr:col>
      <xdr:colOff>254000</xdr:colOff>
      <xdr:row>4731</xdr:row>
      <xdr:rowOff>40571</xdr:rowOff>
    </xdr:from>
    <xdr:to>
      <xdr:col>10</xdr:col>
      <xdr:colOff>523875</xdr:colOff>
      <xdr:row>4741</xdr:row>
      <xdr:rowOff>78370</xdr:rowOff>
    </xdr:to>
    <xdr:pic>
      <xdr:nvPicPr>
        <xdr:cNvPr id="946" name="Imagen 945">
          <a:extLst>
            <a:ext uri="{FF2B5EF4-FFF2-40B4-BE49-F238E27FC236}">
              <a16:creationId xmlns:a16="http://schemas.microsoft.com/office/drawing/2014/main" id="{E6EC7BDE-8C45-4138-A902-376B9D67CEF1}"/>
            </a:ext>
          </a:extLst>
        </xdr:cNvPr>
        <xdr:cNvPicPr>
          <a:picLocks noChangeAspect="1"/>
        </xdr:cNvPicPr>
      </xdr:nvPicPr>
      <xdr:blipFill>
        <a:blip xmlns:r="http://schemas.openxmlformats.org/officeDocument/2006/relationships" r:embed="rId103"/>
        <a:stretch>
          <a:fillRect/>
        </a:stretch>
      </xdr:blipFill>
      <xdr:spPr>
        <a:xfrm>
          <a:off x="8167688" y="729790509"/>
          <a:ext cx="1730375" cy="1942800"/>
        </a:xfrm>
        <a:prstGeom prst="rect">
          <a:avLst/>
        </a:prstGeom>
      </xdr:spPr>
    </xdr:pic>
    <xdr:clientData/>
  </xdr:twoCellAnchor>
  <xdr:twoCellAnchor editAs="oneCell">
    <xdr:from>
      <xdr:col>8</xdr:col>
      <xdr:colOff>280930</xdr:colOff>
      <xdr:row>4752</xdr:row>
      <xdr:rowOff>179051</xdr:rowOff>
    </xdr:from>
    <xdr:to>
      <xdr:col>10</xdr:col>
      <xdr:colOff>642938</xdr:colOff>
      <xdr:row>4764</xdr:row>
      <xdr:rowOff>49838</xdr:rowOff>
    </xdr:to>
    <xdr:pic>
      <xdr:nvPicPr>
        <xdr:cNvPr id="950" name="Imagen 949">
          <a:extLst>
            <a:ext uri="{FF2B5EF4-FFF2-40B4-BE49-F238E27FC236}">
              <a16:creationId xmlns:a16="http://schemas.microsoft.com/office/drawing/2014/main" id="{962E5F74-3563-48C6-93B3-05FFA005A074}"/>
            </a:ext>
          </a:extLst>
        </xdr:cNvPr>
        <xdr:cNvPicPr>
          <a:picLocks noChangeAspect="1"/>
        </xdr:cNvPicPr>
      </xdr:nvPicPr>
      <xdr:blipFill>
        <a:blip xmlns:r="http://schemas.openxmlformats.org/officeDocument/2006/relationships" r:embed="rId104"/>
        <a:stretch>
          <a:fillRect/>
        </a:stretch>
      </xdr:blipFill>
      <xdr:spPr>
        <a:xfrm>
          <a:off x="8194618" y="734532739"/>
          <a:ext cx="1822508" cy="2156787"/>
        </a:xfrm>
        <a:prstGeom prst="rect">
          <a:avLst/>
        </a:prstGeom>
      </xdr:spPr>
    </xdr:pic>
    <xdr:clientData/>
  </xdr:twoCellAnchor>
  <xdr:twoCellAnchor editAs="oneCell">
    <xdr:from>
      <xdr:col>8</xdr:col>
      <xdr:colOff>254000</xdr:colOff>
      <xdr:row>4774</xdr:row>
      <xdr:rowOff>142875</xdr:rowOff>
    </xdr:from>
    <xdr:to>
      <xdr:col>10</xdr:col>
      <xdr:colOff>616008</xdr:colOff>
      <xdr:row>4786</xdr:row>
      <xdr:rowOff>13661</xdr:rowOff>
    </xdr:to>
    <xdr:pic>
      <xdr:nvPicPr>
        <xdr:cNvPr id="424" name="Imagen 423">
          <a:extLst>
            <a:ext uri="{FF2B5EF4-FFF2-40B4-BE49-F238E27FC236}">
              <a16:creationId xmlns:a16="http://schemas.microsoft.com/office/drawing/2014/main" id="{3694B70C-D840-4E64-91C5-87A300D7709F}"/>
            </a:ext>
          </a:extLst>
        </xdr:cNvPr>
        <xdr:cNvPicPr>
          <a:picLocks noChangeAspect="1"/>
        </xdr:cNvPicPr>
      </xdr:nvPicPr>
      <xdr:blipFill>
        <a:blip xmlns:r="http://schemas.openxmlformats.org/officeDocument/2006/relationships" r:embed="rId104"/>
        <a:stretch>
          <a:fillRect/>
        </a:stretch>
      </xdr:blipFill>
      <xdr:spPr>
        <a:xfrm>
          <a:off x="8167688" y="739600375"/>
          <a:ext cx="1822508" cy="2156787"/>
        </a:xfrm>
        <a:prstGeom prst="rect">
          <a:avLst/>
        </a:prstGeom>
      </xdr:spPr>
    </xdr:pic>
    <xdr:clientData/>
  </xdr:twoCellAnchor>
  <xdr:oneCellAnchor>
    <xdr:from>
      <xdr:col>1</xdr:col>
      <xdr:colOff>378758</xdr:colOff>
      <xdr:row>3155</xdr:row>
      <xdr:rowOff>40342</xdr:rowOff>
    </xdr:from>
    <xdr:ext cx="1333500" cy="371475"/>
    <xdr:pic>
      <xdr:nvPicPr>
        <xdr:cNvPr id="487" name="image57.jpg" descr="Logo CSJ RGB_01">
          <a:extLst>
            <a:ext uri="{FF2B5EF4-FFF2-40B4-BE49-F238E27FC236}">
              <a16:creationId xmlns:a16="http://schemas.microsoft.com/office/drawing/2014/main" id="{EDF21170-A9EE-4633-9605-6250C2BE9A8C}"/>
            </a:ext>
          </a:extLst>
        </xdr:cNvPr>
        <xdr:cNvPicPr preferRelativeResize="0"/>
      </xdr:nvPicPr>
      <xdr:blipFill>
        <a:blip xmlns:r="http://schemas.openxmlformats.org/officeDocument/2006/relationships" r:embed="rId48" cstate="print"/>
        <a:stretch>
          <a:fillRect/>
        </a:stretch>
      </xdr:blipFill>
      <xdr:spPr>
        <a:xfrm>
          <a:off x="712133" y="407384905"/>
          <a:ext cx="1333500" cy="371475"/>
        </a:xfrm>
        <a:prstGeom prst="rect">
          <a:avLst/>
        </a:prstGeom>
        <a:noFill/>
      </xdr:spPr>
    </xdr:pic>
    <xdr:clientData fLocksWithSheet="0"/>
  </xdr:oneCellAnchor>
  <xdr:oneCellAnchor>
    <xdr:from>
      <xdr:col>1</xdr:col>
      <xdr:colOff>378758</xdr:colOff>
      <xdr:row>3133</xdr:row>
      <xdr:rowOff>40342</xdr:rowOff>
    </xdr:from>
    <xdr:ext cx="1333500" cy="371475"/>
    <xdr:pic>
      <xdr:nvPicPr>
        <xdr:cNvPr id="490" name="image57.jpg" descr="Logo CSJ RGB_01">
          <a:extLst>
            <a:ext uri="{FF2B5EF4-FFF2-40B4-BE49-F238E27FC236}">
              <a16:creationId xmlns:a16="http://schemas.microsoft.com/office/drawing/2014/main" id="{EF5C9945-BECC-4D65-A54A-414A403FDC60}"/>
            </a:ext>
          </a:extLst>
        </xdr:cNvPr>
        <xdr:cNvPicPr preferRelativeResize="0"/>
      </xdr:nvPicPr>
      <xdr:blipFill>
        <a:blip xmlns:r="http://schemas.openxmlformats.org/officeDocument/2006/relationships" r:embed="rId48" cstate="print"/>
        <a:stretch>
          <a:fillRect/>
        </a:stretch>
      </xdr:blipFill>
      <xdr:spPr>
        <a:xfrm>
          <a:off x="712133" y="402662092"/>
          <a:ext cx="1333500" cy="371475"/>
        </a:xfrm>
        <a:prstGeom prst="rect">
          <a:avLst/>
        </a:prstGeom>
        <a:noFill/>
      </xdr:spPr>
    </xdr:pic>
    <xdr:clientData fLocksWithSheet="0"/>
  </xdr:oneCellAnchor>
  <xdr:twoCellAnchor editAs="oneCell">
    <xdr:from>
      <xdr:col>11</xdr:col>
      <xdr:colOff>127000</xdr:colOff>
      <xdr:row>3137</xdr:row>
      <xdr:rowOff>111126</xdr:rowOff>
    </xdr:from>
    <xdr:to>
      <xdr:col>13</xdr:col>
      <xdr:colOff>591486</xdr:colOff>
      <xdr:row>3146</xdr:row>
      <xdr:rowOff>65407</xdr:rowOff>
    </xdr:to>
    <xdr:pic>
      <xdr:nvPicPr>
        <xdr:cNvPr id="955" name="Imagen 954">
          <a:extLst>
            <a:ext uri="{FF2B5EF4-FFF2-40B4-BE49-F238E27FC236}">
              <a16:creationId xmlns:a16="http://schemas.microsoft.com/office/drawing/2014/main" id="{E4DA338B-3D66-4CD6-8B5A-B7293ED948A0}"/>
            </a:ext>
          </a:extLst>
        </xdr:cNvPr>
        <xdr:cNvPicPr>
          <a:picLocks noChangeAspect="1"/>
        </xdr:cNvPicPr>
      </xdr:nvPicPr>
      <xdr:blipFill>
        <a:blip xmlns:r="http://schemas.openxmlformats.org/officeDocument/2006/relationships" r:embed="rId105"/>
        <a:stretch>
          <a:fillRect/>
        </a:stretch>
      </xdr:blipFill>
      <xdr:spPr>
        <a:xfrm>
          <a:off x="10294938" y="399303876"/>
          <a:ext cx="1924986" cy="1668782"/>
        </a:xfrm>
        <a:prstGeom prst="rect">
          <a:avLst/>
        </a:prstGeom>
      </xdr:spPr>
    </xdr:pic>
    <xdr:clientData/>
  </xdr:twoCellAnchor>
  <xdr:twoCellAnchor editAs="oneCell">
    <xdr:from>
      <xdr:col>11</xdr:col>
      <xdr:colOff>119062</xdr:colOff>
      <xdr:row>4888</xdr:row>
      <xdr:rowOff>75429</xdr:rowOff>
    </xdr:from>
    <xdr:to>
      <xdr:col>13</xdr:col>
      <xdr:colOff>579437</xdr:colOff>
      <xdr:row>4897</xdr:row>
      <xdr:rowOff>30612</xdr:rowOff>
    </xdr:to>
    <xdr:pic>
      <xdr:nvPicPr>
        <xdr:cNvPr id="956" name="Imagen 955">
          <a:extLst>
            <a:ext uri="{FF2B5EF4-FFF2-40B4-BE49-F238E27FC236}">
              <a16:creationId xmlns:a16="http://schemas.microsoft.com/office/drawing/2014/main" id="{DE884EB5-A528-4BB7-93B5-982822060AA4}"/>
            </a:ext>
          </a:extLst>
        </xdr:cNvPr>
        <xdr:cNvPicPr>
          <a:picLocks noChangeAspect="1"/>
        </xdr:cNvPicPr>
      </xdr:nvPicPr>
      <xdr:blipFill>
        <a:blip xmlns:r="http://schemas.openxmlformats.org/officeDocument/2006/relationships" r:embed="rId106"/>
        <a:stretch>
          <a:fillRect/>
        </a:stretch>
      </xdr:blipFill>
      <xdr:spPr>
        <a:xfrm>
          <a:off x="10287000" y="769449367"/>
          <a:ext cx="1920875" cy="1669684"/>
        </a:xfrm>
        <a:prstGeom prst="rect">
          <a:avLst/>
        </a:prstGeom>
      </xdr:spPr>
    </xdr:pic>
    <xdr:clientData/>
  </xdr:twoCellAnchor>
  <xdr:twoCellAnchor editAs="oneCell">
    <xdr:from>
      <xdr:col>11</xdr:col>
      <xdr:colOff>150812</xdr:colOff>
      <xdr:row>4910</xdr:row>
      <xdr:rowOff>31750</xdr:rowOff>
    </xdr:from>
    <xdr:to>
      <xdr:col>13</xdr:col>
      <xdr:colOff>611187</xdr:colOff>
      <xdr:row>4918</xdr:row>
      <xdr:rowOff>177434</xdr:rowOff>
    </xdr:to>
    <xdr:pic>
      <xdr:nvPicPr>
        <xdr:cNvPr id="367" name="Imagen 366">
          <a:extLst>
            <a:ext uri="{FF2B5EF4-FFF2-40B4-BE49-F238E27FC236}">
              <a16:creationId xmlns:a16="http://schemas.microsoft.com/office/drawing/2014/main" id="{EB7CEA8D-D156-44F7-AF12-DA5FC8D0F875}"/>
            </a:ext>
          </a:extLst>
        </xdr:cNvPr>
        <xdr:cNvPicPr>
          <a:picLocks noChangeAspect="1"/>
        </xdr:cNvPicPr>
      </xdr:nvPicPr>
      <xdr:blipFill>
        <a:blip xmlns:r="http://schemas.openxmlformats.org/officeDocument/2006/relationships" r:embed="rId106"/>
        <a:stretch>
          <a:fillRect/>
        </a:stretch>
      </xdr:blipFill>
      <xdr:spPr>
        <a:xfrm>
          <a:off x="10318750" y="774668250"/>
          <a:ext cx="1920875" cy="1669684"/>
        </a:xfrm>
        <a:prstGeom prst="rect">
          <a:avLst/>
        </a:prstGeom>
      </xdr:spPr>
    </xdr:pic>
    <xdr:clientData/>
  </xdr:twoCellAnchor>
  <xdr:twoCellAnchor editAs="oneCell">
    <xdr:from>
      <xdr:col>11</xdr:col>
      <xdr:colOff>182562</xdr:colOff>
      <xdr:row>4932</xdr:row>
      <xdr:rowOff>79375</xdr:rowOff>
    </xdr:from>
    <xdr:to>
      <xdr:col>13</xdr:col>
      <xdr:colOff>642937</xdr:colOff>
      <xdr:row>4941</xdr:row>
      <xdr:rowOff>34559</xdr:rowOff>
    </xdr:to>
    <xdr:pic>
      <xdr:nvPicPr>
        <xdr:cNvPr id="368" name="Imagen 367">
          <a:extLst>
            <a:ext uri="{FF2B5EF4-FFF2-40B4-BE49-F238E27FC236}">
              <a16:creationId xmlns:a16="http://schemas.microsoft.com/office/drawing/2014/main" id="{52637747-0150-4E2C-B3C0-E880AF7C59FC}"/>
            </a:ext>
          </a:extLst>
        </xdr:cNvPr>
        <xdr:cNvPicPr>
          <a:picLocks noChangeAspect="1"/>
        </xdr:cNvPicPr>
      </xdr:nvPicPr>
      <xdr:blipFill>
        <a:blip xmlns:r="http://schemas.openxmlformats.org/officeDocument/2006/relationships" r:embed="rId106"/>
        <a:stretch>
          <a:fillRect/>
        </a:stretch>
      </xdr:blipFill>
      <xdr:spPr>
        <a:xfrm>
          <a:off x="10350500" y="778906875"/>
          <a:ext cx="1920875" cy="1669684"/>
        </a:xfrm>
        <a:prstGeom prst="rect">
          <a:avLst/>
        </a:prstGeom>
      </xdr:spPr>
    </xdr:pic>
    <xdr:clientData/>
  </xdr:twoCellAnchor>
  <xdr:twoCellAnchor editAs="oneCell">
    <xdr:from>
      <xdr:col>11</xdr:col>
      <xdr:colOff>246063</xdr:colOff>
      <xdr:row>4975</xdr:row>
      <xdr:rowOff>102989</xdr:rowOff>
    </xdr:from>
    <xdr:to>
      <xdr:col>13</xdr:col>
      <xdr:colOff>404812</xdr:colOff>
      <xdr:row>4987</xdr:row>
      <xdr:rowOff>850</xdr:rowOff>
    </xdr:to>
    <xdr:pic>
      <xdr:nvPicPr>
        <xdr:cNvPr id="15" name="Imagen 14">
          <a:extLst>
            <a:ext uri="{FF2B5EF4-FFF2-40B4-BE49-F238E27FC236}">
              <a16:creationId xmlns:a16="http://schemas.microsoft.com/office/drawing/2014/main" id="{FA60BFBE-D86F-4ED8-904B-0FCE1AC2062C}"/>
            </a:ext>
          </a:extLst>
        </xdr:cNvPr>
        <xdr:cNvPicPr>
          <a:picLocks noChangeAspect="1"/>
        </xdr:cNvPicPr>
      </xdr:nvPicPr>
      <xdr:blipFill>
        <a:blip xmlns:r="http://schemas.openxmlformats.org/officeDocument/2006/relationships" r:embed="rId107"/>
        <a:stretch>
          <a:fillRect/>
        </a:stretch>
      </xdr:blipFill>
      <xdr:spPr>
        <a:xfrm>
          <a:off x="10414001" y="789733427"/>
          <a:ext cx="1619249" cy="2183862"/>
        </a:xfrm>
        <a:prstGeom prst="rect">
          <a:avLst/>
        </a:prstGeom>
      </xdr:spPr>
    </xdr:pic>
    <xdr:clientData/>
  </xdr:twoCellAnchor>
  <xdr:twoCellAnchor editAs="oneCell">
    <xdr:from>
      <xdr:col>11</xdr:col>
      <xdr:colOff>166687</xdr:colOff>
      <xdr:row>4997</xdr:row>
      <xdr:rowOff>79375</xdr:rowOff>
    </xdr:from>
    <xdr:to>
      <xdr:col>13</xdr:col>
      <xdr:colOff>380998</xdr:colOff>
      <xdr:row>5009</xdr:row>
      <xdr:rowOff>52173</xdr:rowOff>
    </xdr:to>
    <xdr:pic>
      <xdr:nvPicPr>
        <xdr:cNvPr id="370" name="Imagen 369">
          <a:extLst>
            <a:ext uri="{FF2B5EF4-FFF2-40B4-BE49-F238E27FC236}">
              <a16:creationId xmlns:a16="http://schemas.microsoft.com/office/drawing/2014/main" id="{924456E8-7BEC-415F-8DCB-87A1779622AB}"/>
            </a:ext>
          </a:extLst>
        </xdr:cNvPr>
        <xdr:cNvPicPr>
          <a:picLocks noChangeAspect="1"/>
        </xdr:cNvPicPr>
      </xdr:nvPicPr>
      <xdr:blipFill>
        <a:blip xmlns:r="http://schemas.openxmlformats.org/officeDocument/2006/relationships" r:embed="rId107"/>
        <a:stretch>
          <a:fillRect/>
        </a:stretch>
      </xdr:blipFill>
      <xdr:spPr>
        <a:xfrm>
          <a:off x="10334625" y="794900938"/>
          <a:ext cx="1674811" cy="2258798"/>
        </a:xfrm>
        <a:prstGeom prst="rect">
          <a:avLst/>
        </a:prstGeom>
      </xdr:spPr>
    </xdr:pic>
    <xdr:clientData/>
  </xdr:twoCellAnchor>
  <xdr:twoCellAnchor editAs="oneCell">
    <xdr:from>
      <xdr:col>11</xdr:col>
      <xdr:colOff>246063</xdr:colOff>
      <xdr:row>5019</xdr:row>
      <xdr:rowOff>111125</xdr:rowOff>
    </xdr:from>
    <xdr:to>
      <xdr:col>13</xdr:col>
      <xdr:colOff>460374</xdr:colOff>
      <xdr:row>5031</xdr:row>
      <xdr:rowOff>83923</xdr:rowOff>
    </xdr:to>
    <xdr:pic>
      <xdr:nvPicPr>
        <xdr:cNvPr id="371" name="Imagen 370">
          <a:extLst>
            <a:ext uri="{FF2B5EF4-FFF2-40B4-BE49-F238E27FC236}">
              <a16:creationId xmlns:a16="http://schemas.microsoft.com/office/drawing/2014/main" id="{5E30DB6F-4304-4577-A547-D877EFBEDF0B}"/>
            </a:ext>
          </a:extLst>
        </xdr:cNvPr>
        <xdr:cNvPicPr>
          <a:picLocks noChangeAspect="1"/>
        </xdr:cNvPicPr>
      </xdr:nvPicPr>
      <xdr:blipFill>
        <a:blip xmlns:r="http://schemas.openxmlformats.org/officeDocument/2006/relationships" r:embed="rId107"/>
        <a:stretch>
          <a:fillRect/>
        </a:stretch>
      </xdr:blipFill>
      <xdr:spPr>
        <a:xfrm>
          <a:off x="10414001" y="799766625"/>
          <a:ext cx="1674811" cy="2258798"/>
        </a:xfrm>
        <a:prstGeom prst="rect">
          <a:avLst/>
        </a:prstGeom>
      </xdr:spPr>
    </xdr:pic>
    <xdr:clientData/>
  </xdr:twoCellAnchor>
  <xdr:twoCellAnchor editAs="oneCell">
    <xdr:from>
      <xdr:col>11</xdr:col>
      <xdr:colOff>158750</xdr:colOff>
      <xdr:row>5041</xdr:row>
      <xdr:rowOff>55562</xdr:rowOff>
    </xdr:from>
    <xdr:to>
      <xdr:col>13</xdr:col>
      <xdr:colOff>373061</xdr:colOff>
      <xdr:row>5053</xdr:row>
      <xdr:rowOff>28360</xdr:rowOff>
    </xdr:to>
    <xdr:pic>
      <xdr:nvPicPr>
        <xdr:cNvPr id="372" name="Imagen 371">
          <a:extLst>
            <a:ext uri="{FF2B5EF4-FFF2-40B4-BE49-F238E27FC236}">
              <a16:creationId xmlns:a16="http://schemas.microsoft.com/office/drawing/2014/main" id="{C49489F7-0845-446A-B55A-86753862BA7D}"/>
            </a:ext>
          </a:extLst>
        </xdr:cNvPr>
        <xdr:cNvPicPr>
          <a:picLocks noChangeAspect="1"/>
        </xdr:cNvPicPr>
      </xdr:nvPicPr>
      <xdr:blipFill>
        <a:blip xmlns:r="http://schemas.openxmlformats.org/officeDocument/2006/relationships" r:embed="rId107"/>
        <a:stretch>
          <a:fillRect/>
        </a:stretch>
      </xdr:blipFill>
      <xdr:spPr>
        <a:xfrm>
          <a:off x="10326688" y="805211750"/>
          <a:ext cx="1674811" cy="2258798"/>
        </a:xfrm>
        <a:prstGeom prst="rect">
          <a:avLst/>
        </a:prstGeom>
      </xdr:spPr>
    </xdr:pic>
    <xdr:clientData/>
  </xdr:twoCellAnchor>
  <xdr:oneCellAnchor>
    <xdr:from>
      <xdr:col>1</xdr:col>
      <xdr:colOff>356347</xdr:colOff>
      <xdr:row>5301</xdr:row>
      <xdr:rowOff>55284</xdr:rowOff>
    </xdr:from>
    <xdr:ext cx="1333500" cy="371475"/>
    <xdr:pic>
      <xdr:nvPicPr>
        <xdr:cNvPr id="373" name="image57.jpg" descr="Logo CSJ RGB_01">
          <a:extLst>
            <a:ext uri="{FF2B5EF4-FFF2-40B4-BE49-F238E27FC236}">
              <a16:creationId xmlns:a16="http://schemas.microsoft.com/office/drawing/2014/main" id="{69E7054B-2B70-4220-BDD3-8B89AB6F0516}"/>
            </a:ext>
          </a:extLst>
        </xdr:cNvPr>
        <xdr:cNvPicPr preferRelativeResize="0"/>
      </xdr:nvPicPr>
      <xdr:blipFill>
        <a:blip xmlns:r="http://schemas.openxmlformats.org/officeDocument/2006/relationships" r:embed="rId48" cstate="print"/>
        <a:stretch>
          <a:fillRect/>
        </a:stretch>
      </xdr:blipFill>
      <xdr:spPr>
        <a:xfrm>
          <a:off x="689722" y="861353409"/>
          <a:ext cx="1333500" cy="371475"/>
        </a:xfrm>
        <a:prstGeom prst="rect">
          <a:avLst/>
        </a:prstGeom>
        <a:noFill/>
      </xdr:spPr>
    </xdr:pic>
    <xdr:clientData fLocksWithSheet="0"/>
  </xdr:oneCellAnchor>
  <xdr:oneCellAnchor>
    <xdr:from>
      <xdr:col>1</xdr:col>
      <xdr:colOff>356347</xdr:colOff>
      <xdr:row>5301</xdr:row>
      <xdr:rowOff>55284</xdr:rowOff>
    </xdr:from>
    <xdr:ext cx="1333500" cy="371475"/>
    <xdr:pic>
      <xdr:nvPicPr>
        <xdr:cNvPr id="374" name="image57.jpg" descr="Logo CSJ RGB_01">
          <a:extLst>
            <a:ext uri="{FF2B5EF4-FFF2-40B4-BE49-F238E27FC236}">
              <a16:creationId xmlns:a16="http://schemas.microsoft.com/office/drawing/2014/main" id="{66009F27-4CB1-47E6-BCF3-4D304F356CCD}"/>
            </a:ext>
          </a:extLst>
        </xdr:cNvPr>
        <xdr:cNvPicPr preferRelativeResize="0"/>
      </xdr:nvPicPr>
      <xdr:blipFill>
        <a:blip xmlns:r="http://schemas.openxmlformats.org/officeDocument/2006/relationships" r:embed="rId48" cstate="print"/>
        <a:stretch>
          <a:fillRect/>
        </a:stretch>
      </xdr:blipFill>
      <xdr:spPr>
        <a:xfrm>
          <a:off x="689722" y="861353409"/>
          <a:ext cx="1333500" cy="371475"/>
        </a:xfrm>
        <a:prstGeom prst="rect">
          <a:avLst/>
        </a:prstGeom>
        <a:noFill/>
      </xdr:spPr>
    </xdr:pic>
    <xdr:clientData fLocksWithSheet="0"/>
  </xdr:oneCellAnchor>
  <xdr:oneCellAnchor>
    <xdr:from>
      <xdr:col>1</xdr:col>
      <xdr:colOff>356347</xdr:colOff>
      <xdr:row>5323</xdr:row>
      <xdr:rowOff>55284</xdr:rowOff>
    </xdr:from>
    <xdr:ext cx="1333500" cy="371475"/>
    <xdr:pic>
      <xdr:nvPicPr>
        <xdr:cNvPr id="375" name="image57.jpg" descr="Logo CSJ RGB_01">
          <a:extLst>
            <a:ext uri="{FF2B5EF4-FFF2-40B4-BE49-F238E27FC236}">
              <a16:creationId xmlns:a16="http://schemas.microsoft.com/office/drawing/2014/main" id="{DD1320A9-9889-4A47-8481-2D991F438D0B}"/>
            </a:ext>
          </a:extLst>
        </xdr:cNvPr>
        <xdr:cNvPicPr preferRelativeResize="0"/>
      </xdr:nvPicPr>
      <xdr:blipFill>
        <a:blip xmlns:r="http://schemas.openxmlformats.org/officeDocument/2006/relationships" r:embed="rId48" cstate="print"/>
        <a:stretch>
          <a:fillRect/>
        </a:stretch>
      </xdr:blipFill>
      <xdr:spPr>
        <a:xfrm>
          <a:off x="689722" y="861353409"/>
          <a:ext cx="1333500" cy="371475"/>
        </a:xfrm>
        <a:prstGeom prst="rect">
          <a:avLst/>
        </a:prstGeom>
        <a:noFill/>
      </xdr:spPr>
    </xdr:pic>
    <xdr:clientData fLocksWithSheet="0"/>
  </xdr:oneCellAnchor>
  <xdr:oneCellAnchor>
    <xdr:from>
      <xdr:col>1</xdr:col>
      <xdr:colOff>356347</xdr:colOff>
      <xdr:row>5323</xdr:row>
      <xdr:rowOff>55284</xdr:rowOff>
    </xdr:from>
    <xdr:ext cx="1333500" cy="371475"/>
    <xdr:pic>
      <xdr:nvPicPr>
        <xdr:cNvPr id="376" name="image57.jpg" descr="Logo CSJ RGB_01">
          <a:extLst>
            <a:ext uri="{FF2B5EF4-FFF2-40B4-BE49-F238E27FC236}">
              <a16:creationId xmlns:a16="http://schemas.microsoft.com/office/drawing/2014/main" id="{76D476F0-B1FD-4C81-8BC6-D99399CB0F81}"/>
            </a:ext>
          </a:extLst>
        </xdr:cNvPr>
        <xdr:cNvPicPr preferRelativeResize="0"/>
      </xdr:nvPicPr>
      <xdr:blipFill>
        <a:blip xmlns:r="http://schemas.openxmlformats.org/officeDocument/2006/relationships" r:embed="rId48" cstate="print"/>
        <a:stretch>
          <a:fillRect/>
        </a:stretch>
      </xdr:blipFill>
      <xdr:spPr>
        <a:xfrm>
          <a:off x="689722" y="861353409"/>
          <a:ext cx="1333500" cy="371475"/>
        </a:xfrm>
        <a:prstGeom prst="rect">
          <a:avLst/>
        </a:prstGeom>
        <a:noFill/>
      </xdr:spPr>
    </xdr:pic>
    <xdr:clientData fLocksWithSheet="0"/>
  </xdr:oneCellAnchor>
  <xdr:oneCellAnchor>
    <xdr:from>
      <xdr:col>1</xdr:col>
      <xdr:colOff>356347</xdr:colOff>
      <xdr:row>5345</xdr:row>
      <xdr:rowOff>55284</xdr:rowOff>
    </xdr:from>
    <xdr:ext cx="1333500" cy="371475"/>
    <xdr:pic>
      <xdr:nvPicPr>
        <xdr:cNvPr id="377" name="image57.jpg" descr="Logo CSJ RGB_01">
          <a:extLst>
            <a:ext uri="{FF2B5EF4-FFF2-40B4-BE49-F238E27FC236}">
              <a16:creationId xmlns:a16="http://schemas.microsoft.com/office/drawing/2014/main" id="{C6525EA3-1290-40E0-8357-07B2AB0EA529}"/>
            </a:ext>
          </a:extLst>
        </xdr:cNvPr>
        <xdr:cNvPicPr preferRelativeResize="0"/>
      </xdr:nvPicPr>
      <xdr:blipFill>
        <a:blip xmlns:r="http://schemas.openxmlformats.org/officeDocument/2006/relationships" r:embed="rId48" cstate="print"/>
        <a:stretch>
          <a:fillRect/>
        </a:stretch>
      </xdr:blipFill>
      <xdr:spPr>
        <a:xfrm>
          <a:off x="689722" y="861353409"/>
          <a:ext cx="1333500" cy="371475"/>
        </a:xfrm>
        <a:prstGeom prst="rect">
          <a:avLst/>
        </a:prstGeom>
        <a:noFill/>
      </xdr:spPr>
    </xdr:pic>
    <xdr:clientData fLocksWithSheet="0"/>
  </xdr:oneCellAnchor>
  <xdr:oneCellAnchor>
    <xdr:from>
      <xdr:col>1</xdr:col>
      <xdr:colOff>356347</xdr:colOff>
      <xdr:row>5345</xdr:row>
      <xdr:rowOff>55284</xdr:rowOff>
    </xdr:from>
    <xdr:ext cx="1333500" cy="371475"/>
    <xdr:pic>
      <xdr:nvPicPr>
        <xdr:cNvPr id="378" name="image57.jpg" descr="Logo CSJ RGB_01">
          <a:extLst>
            <a:ext uri="{FF2B5EF4-FFF2-40B4-BE49-F238E27FC236}">
              <a16:creationId xmlns:a16="http://schemas.microsoft.com/office/drawing/2014/main" id="{B396423C-B968-4B1D-A25B-74D20CED24F8}"/>
            </a:ext>
          </a:extLst>
        </xdr:cNvPr>
        <xdr:cNvPicPr preferRelativeResize="0"/>
      </xdr:nvPicPr>
      <xdr:blipFill>
        <a:blip xmlns:r="http://schemas.openxmlformats.org/officeDocument/2006/relationships" r:embed="rId48" cstate="print"/>
        <a:stretch>
          <a:fillRect/>
        </a:stretch>
      </xdr:blipFill>
      <xdr:spPr>
        <a:xfrm>
          <a:off x="689722" y="861353409"/>
          <a:ext cx="1333500" cy="371475"/>
        </a:xfrm>
        <a:prstGeom prst="rect">
          <a:avLst/>
        </a:prstGeom>
        <a:noFill/>
      </xdr:spPr>
    </xdr:pic>
    <xdr:clientData fLocksWithSheet="0"/>
  </xdr:oneCellAnchor>
  <xdr:oneCellAnchor>
    <xdr:from>
      <xdr:col>1</xdr:col>
      <xdr:colOff>356347</xdr:colOff>
      <xdr:row>5367</xdr:row>
      <xdr:rowOff>55284</xdr:rowOff>
    </xdr:from>
    <xdr:ext cx="1333500" cy="371475"/>
    <xdr:pic>
      <xdr:nvPicPr>
        <xdr:cNvPr id="379" name="image57.jpg" descr="Logo CSJ RGB_01">
          <a:extLst>
            <a:ext uri="{FF2B5EF4-FFF2-40B4-BE49-F238E27FC236}">
              <a16:creationId xmlns:a16="http://schemas.microsoft.com/office/drawing/2014/main" id="{940B335A-8998-4ACF-88C8-357E5B99F2AF}"/>
            </a:ext>
          </a:extLst>
        </xdr:cNvPr>
        <xdr:cNvPicPr preferRelativeResize="0"/>
      </xdr:nvPicPr>
      <xdr:blipFill>
        <a:blip xmlns:r="http://schemas.openxmlformats.org/officeDocument/2006/relationships" r:embed="rId48" cstate="print"/>
        <a:stretch>
          <a:fillRect/>
        </a:stretch>
      </xdr:blipFill>
      <xdr:spPr>
        <a:xfrm>
          <a:off x="689722" y="861353409"/>
          <a:ext cx="1333500" cy="371475"/>
        </a:xfrm>
        <a:prstGeom prst="rect">
          <a:avLst/>
        </a:prstGeom>
        <a:noFill/>
      </xdr:spPr>
    </xdr:pic>
    <xdr:clientData fLocksWithSheet="0"/>
  </xdr:oneCellAnchor>
  <xdr:oneCellAnchor>
    <xdr:from>
      <xdr:col>1</xdr:col>
      <xdr:colOff>356347</xdr:colOff>
      <xdr:row>5367</xdr:row>
      <xdr:rowOff>55284</xdr:rowOff>
    </xdr:from>
    <xdr:ext cx="1333500" cy="371475"/>
    <xdr:pic>
      <xdr:nvPicPr>
        <xdr:cNvPr id="380" name="image57.jpg" descr="Logo CSJ RGB_01">
          <a:extLst>
            <a:ext uri="{FF2B5EF4-FFF2-40B4-BE49-F238E27FC236}">
              <a16:creationId xmlns:a16="http://schemas.microsoft.com/office/drawing/2014/main" id="{322F7A00-F920-4710-892E-ED35D00A708E}"/>
            </a:ext>
          </a:extLst>
        </xdr:cNvPr>
        <xdr:cNvPicPr preferRelativeResize="0"/>
      </xdr:nvPicPr>
      <xdr:blipFill>
        <a:blip xmlns:r="http://schemas.openxmlformats.org/officeDocument/2006/relationships" r:embed="rId48" cstate="print"/>
        <a:stretch>
          <a:fillRect/>
        </a:stretch>
      </xdr:blipFill>
      <xdr:spPr>
        <a:xfrm>
          <a:off x="689722" y="861353409"/>
          <a:ext cx="1333500" cy="371475"/>
        </a:xfrm>
        <a:prstGeom prst="rect">
          <a:avLst/>
        </a:prstGeom>
        <a:noFill/>
      </xdr:spPr>
    </xdr:pic>
    <xdr:clientData fLocksWithSheet="0"/>
  </xdr:oneCellAnchor>
  <xdr:oneCellAnchor>
    <xdr:from>
      <xdr:col>1</xdr:col>
      <xdr:colOff>356347</xdr:colOff>
      <xdr:row>5389</xdr:row>
      <xdr:rowOff>55284</xdr:rowOff>
    </xdr:from>
    <xdr:ext cx="1333500" cy="371475"/>
    <xdr:pic>
      <xdr:nvPicPr>
        <xdr:cNvPr id="381" name="image57.jpg" descr="Logo CSJ RGB_01">
          <a:extLst>
            <a:ext uri="{FF2B5EF4-FFF2-40B4-BE49-F238E27FC236}">
              <a16:creationId xmlns:a16="http://schemas.microsoft.com/office/drawing/2014/main" id="{3333735C-C54E-4BC0-B47D-5258DFE33B82}"/>
            </a:ext>
          </a:extLst>
        </xdr:cNvPr>
        <xdr:cNvPicPr preferRelativeResize="0"/>
      </xdr:nvPicPr>
      <xdr:blipFill>
        <a:blip xmlns:r="http://schemas.openxmlformats.org/officeDocument/2006/relationships" r:embed="rId48" cstate="print"/>
        <a:stretch>
          <a:fillRect/>
        </a:stretch>
      </xdr:blipFill>
      <xdr:spPr>
        <a:xfrm>
          <a:off x="689722" y="861353409"/>
          <a:ext cx="1333500" cy="371475"/>
        </a:xfrm>
        <a:prstGeom prst="rect">
          <a:avLst/>
        </a:prstGeom>
        <a:noFill/>
      </xdr:spPr>
    </xdr:pic>
    <xdr:clientData fLocksWithSheet="0"/>
  </xdr:oneCellAnchor>
  <xdr:oneCellAnchor>
    <xdr:from>
      <xdr:col>1</xdr:col>
      <xdr:colOff>356347</xdr:colOff>
      <xdr:row>5389</xdr:row>
      <xdr:rowOff>55284</xdr:rowOff>
    </xdr:from>
    <xdr:ext cx="1333500" cy="371475"/>
    <xdr:pic>
      <xdr:nvPicPr>
        <xdr:cNvPr id="382" name="image57.jpg" descr="Logo CSJ RGB_01">
          <a:extLst>
            <a:ext uri="{FF2B5EF4-FFF2-40B4-BE49-F238E27FC236}">
              <a16:creationId xmlns:a16="http://schemas.microsoft.com/office/drawing/2014/main" id="{7EFC12D5-0447-43EF-A46E-02CA0AECACBC}"/>
            </a:ext>
          </a:extLst>
        </xdr:cNvPr>
        <xdr:cNvPicPr preferRelativeResize="0"/>
      </xdr:nvPicPr>
      <xdr:blipFill>
        <a:blip xmlns:r="http://schemas.openxmlformats.org/officeDocument/2006/relationships" r:embed="rId48" cstate="print"/>
        <a:stretch>
          <a:fillRect/>
        </a:stretch>
      </xdr:blipFill>
      <xdr:spPr>
        <a:xfrm>
          <a:off x="689722" y="861353409"/>
          <a:ext cx="1333500" cy="371475"/>
        </a:xfrm>
        <a:prstGeom prst="rect">
          <a:avLst/>
        </a:prstGeom>
        <a:noFill/>
      </xdr:spPr>
    </xdr:pic>
    <xdr:clientData fLocksWithSheet="0"/>
  </xdr:oneCellAnchor>
  <xdr:oneCellAnchor>
    <xdr:from>
      <xdr:col>1</xdr:col>
      <xdr:colOff>356347</xdr:colOff>
      <xdr:row>5411</xdr:row>
      <xdr:rowOff>55284</xdr:rowOff>
    </xdr:from>
    <xdr:ext cx="1333500" cy="371475"/>
    <xdr:pic>
      <xdr:nvPicPr>
        <xdr:cNvPr id="383" name="image57.jpg" descr="Logo CSJ RGB_01">
          <a:extLst>
            <a:ext uri="{FF2B5EF4-FFF2-40B4-BE49-F238E27FC236}">
              <a16:creationId xmlns:a16="http://schemas.microsoft.com/office/drawing/2014/main" id="{024E9EDB-3A5F-4F52-86F6-373CDB6D464B}"/>
            </a:ext>
          </a:extLst>
        </xdr:cNvPr>
        <xdr:cNvPicPr preferRelativeResize="0"/>
      </xdr:nvPicPr>
      <xdr:blipFill>
        <a:blip xmlns:r="http://schemas.openxmlformats.org/officeDocument/2006/relationships" r:embed="rId48" cstate="print"/>
        <a:stretch>
          <a:fillRect/>
        </a:stretch>
      </xdr:blipFill>
      <xdr:spPr>
        <a:xfrm>
          <a:off x="689722" y="861353409"/>
          <a:ext cx="1333500" cy="371475"/>
        </a:xfrm>
        <a:prstGeom prst="rect">
          <a:avLst/>
        </a:prstGeom>
        <a:noFill/>
      </xdr:spPr>
    </xdr:pic>
    <xdr:clientData fLocksWithSheet="0"/>
  </xdr:oneCellAnchor>
  <xdr:oneCellAnchor>
    <xdr:from>
      <xdr:col>1</xdr:col>
      <xdr:colOff>356347</xdr:colOff>
      <xdr:row>5411</xdr:row>
      <xdr:rowOff>55284</xdr:rowOff>
    </xdr:from>
    <xdr:ext cx="1333500" cy="371475"/>
    <xdr:pic>
      <xdr:nvPicPr>
        <xdr:cNvPr id="384" name="image57.jpg" descr="Logo CSJ RGB_01">
          <a:extLst>
            <a:ext uri="{FF2B5EF4-FFF2-40B4-BE49-F238E27FC236}">
              <a16:creationId xmlns:a16="http://schemas.microsoft.com/office/drawing/2014/main" id="{29D6969B-1204-4B4E-9CE3-4F5624F601E5}"/>
            </a:ext>
          </a:extLst>
        </xdr:cNvPr>
        <xdr:cNvPicPr preferRelativeResize="0"/>
      </xdr:nvPicPr>
      <xdr:blipFill>
        <a:blip xmlns:r="http://schemas.openxmlformats.org/officeDocument/2006/relationships" r:embed="rId48" cstate="print"/>
        <a:stretch>
          <a:fillRect/>
        </a:stretch>
      </xdr:blipFill>
      <xdr:spPr>
        <a:xfrm>
          <a:off x="689722" y="861353409"/>
          <a:ext cx="1333500" cy="371475"/>
        </a:xfrm>
        <a:prstGeom prst="rect">
          <a:avLst/>
        </a:prstGeom>
        <a:noFill/>
      </xdr:spPr>
    </xdr:pic>
    <xdr:clientData fLocksWithSheet="0"/>
  </xdr:oneCellAnchor>
  <xdr:oneCellAnchor>
    <xdr:from>
      <xdr:col>1</xdr:col>
      <xdr:colOff>356347</xdr:colOff>
      <xdr:row>5433</xdr:row>
      <xdr:rowOff>55284</xdr:rowOff>
    </xdr:from>
    <xdr:ext cx="1333500" cy="371475"/>
    <xdr:pic>
      <xdr:nvPicPr>
        <xdr:cNvPr id="385" name="image57.jpg" descr="Logo CSJ RGB_01">
          <a:extLst>
            <a:ext uri="{FF2B5EF4-FFF2-40B4-BE49-F238E27FC236}">
              <a16:creationId xmlns:a16="http://schemas.microsoft.com/office/drawing/2014/main" id="{AF593D35-AF3E-4885-B749-2C804B9D84C9}"/>
            </a:ext>
          </a:extLst>
        </xdr:cNvPr>
        <xdr:cNvPicPr preferRelativeResize="0"/>
      </xdr:nvPicPr>
      <xdr:blipFill>
        <a:blip xmlns:r="http://schemas.openxmlformats.org/officeDocument/2006/relationships" r:embed="rId48" cstate="print"/>
        <a:stretch>
          <a:fillRect/>
        </a:stretch>
      </xdr:blipFill>
      <xdr:spPr>
        <a:xfrm>
          <a:off x="689722" y="861353409"/>
          <a:ext cx="1333500" cy="371475"/>
        </a:xfrm>
        <a:prstGeom prst="rect">
          <a:avLst/>
        </a:prstGeom>
        <a:noFill/>
      </xdr:spPr>
    </xdr:pic>
    <xdr:clientData fLocksWithSheet="0"/>
  </xdr:oneCellAnchor>
  <xdr:oneCellAnchor>
    <xdr:from>
      <xdr:col>1</xdr:col>
      <xdr:colOff>356347</xdr:colOff>
      <xdr:row>5433</xdr:row>
      <xdr:rowOff>55284</xdr:rowOff>
    </xdr:from>
    <xdr:ext cx="1333500" cy="371475"/>
    <xdr:pic>
      <xdr:nvPicPr>
        <xdr:cNvPr id="386" name="image57.jpg" descr="Logo CSJ RGB_01">
          <a:extLst>
            <a:ext uri="{FF2B5EF4-FFF2-40B4-BE49-F238E27FC236}">
              <a16:creationId xmlns:a16="http://schemas.microsoft.com/office/drawing/2014/main" id="{91D07793-5F5D-45D5-95DF-640BFB7EE231}"/>
            </a:ext>
          </a:extLst>
        </xdr:cNvPr>
        <xdr:cNvPicPr preferRelativeResize="0"/>
      </xdr:nvPicPr>
      <xdr:blipFill>
        <a:blip xmlns:r="http://schemas.openxmlformats.org/officeDocument/2006/relationships" r:embed="rId48" cstate="print"/>
        <a:stretch>
          <a:fillRect/>
        </a:stretch>
      </xdr:blipFill>
      <xdr:spPr>
        <a:xfrm>
          <a:off x="689722" y="861353409"/>
          <a:ext cx="1333500" cy="371475"/>
        </a:xfrm>
        <a:prstGeom prst="rect">
          <a:avLst/>
        </a:prstGeom>
        <a:noFill/>
      </xdr:spPr>
    </xdr:pic>
    <xdr:clientData fLocksWithSheet="0"/>
  </xdr:oneCellAnchor>
  <xdr:oneCellAnchor>
    <xdr:from>
      <xdr:col>1</xdr:col>
      <xdr:colOff>356347</xdr:colOff>
      <xdr:row>5455</xdr:row>
      <xdr:rowOff>55284</xdr:rowOff>
    </xdr:from>
    <xdr:ext cx="1333500" cy="371475"/>
    <xdr:pic>
      <xdr:nvPicPr>
        <xdr:cNvPr id="387" name="image57.jpg" descr="Logo CSJ RGB_01">
          <a:extLst>
            <a:ext uri="{FF2B5EF4-FFF2-40B4-BE49-F238E27FC236}">
              <a16:creationId xmlns:a16="http://schemas.microsoft.com/office/drawing/2014/main" id="{166911FA-CECD-4821-8890-9D8E3B2A5D37}"/>
            </a:ext>
          </a:extLst>
        </xdr:cNvPr>
        <xdr:cNvPicPr preferRelativeResize="0"/>
      </xdr:nvPicPr>
      <xdr:blipFill>
        <a:blip xmlns:r="http://schemas.openxmlformats.org/officeDocument/2006/relationships" r:embed="rId48" cstate="print"/>
        <a:stretch>
          <a:fillRect/>
        </a:stretch>
      </xdr:blipFill>
      <xdr:spPr>
        <a:xfrm>
          <a:off x="689722" y="861353409"/>
          <a:ext cx="1333500" cy="371475"/>
        </a:xfrm>
        <a:prstGeom prst="rect">
          <a:avLst/>
        </a:prstGeom>
        <a:noFill/>
      </xdr:spPr>
    </xdr:pic>
    <xdr:clientData fLocksWithSheet="0"/>
  </xdr:oneCellAnchor>
  <xdr:oneCellAnchor>
    <xdr:from>
      <xdr:col>1</xdr:col>
      <xdr:colOff>356347</xdr:colOff>
      <xdr:row>5455</xdr:row>
      <xdr:rowOff>55284</xdr:rowOff>
    </xdr:from>
    <xdr:ext cx="1333500" cy="371475"/>
    <xdr:pic>
      <xdr:nvPicPr>
        <xdr:cNvPr id="388" name="image57.jpg" descr="Logo CSJ RGB_01">
          <a:extLst>
            <a:ext uri="{FF2B5EF4-FFF2-40B4-BE49-F238E27FC236}">
              <a16:creationId xmlns:a16="http://schemas.microsoft.com/office/drawing/2014/main" id="{845ED46C-767D-41E3-9DC1-71D1B0DDF1EF}"/>
            </a:ext>
          </a:extLst>
        </xdr:cNvPr>
        <xdr:cNvPicPr preferRelativeResize="0"/>
      </xdr:nvPicPr>
      <xdr:blipFill>
        <a:blip xmlns:r="http://schemas.openxmlformats.org/officeDocument/2006/relationships" r:embed="rId48" cstate="print"/>
        <a:stretch>
          <a:fillRect/>
        </a:stretch>
      </xdr:blipFill>
      <xdr:spPr>
        <a:xfrm>
          <a:off x="689722" y="861353409"/>
          <a:ext cx="1333500" cy="371475"/>
        </a:xfrm>
        <a:prstGeom prst="rect">
          <a:avLst/>
        </a:prstGeom>
        <a:noFill/>
      </xdr:spPr>
    </xdr:pic>
    <xdr:clientData fLocksWithSheet="0"/>
  </xdr:oneCellAnchor>
  <xdr:oneCellAnchor>
    <xdr:from>
      <xdr:col>1</xdr:col>
      <xdr:colOff>356347</xdr:colOff>
      <xdr:row>5499</xdr:row>
      <xdr:rowOff>55284</xdr:rowOff>
    </xdr:from>
    <xdr:ext cx="1333500" cy="371475"/>
    <xdr:pic>
      <xdr:nvPicPr>
        <xdr:cNvPr id="389" name="image57.jpg" descr="Logo CSJ RGB_01">
          <a:extLst>
            <a:ext uri="{FF2B5EF4-FFF2-40B4-BE49-F238E27FC236}">
              <a16:creationId xmlns:a16="http://schemas.microsoft.com/office/drawing/2014/main" id="{8963B615-21D0-49FE-813E-DA82AE8BAAC5}"/>
            </a:ext>
          </a:extLst>
        </xdr:cNvPr>
        <xdr:cNvPicPr preferRelativeResize="0"/>
      </xdr:nvPicPr>
      <xdr:blipFill>
        <a:blip xmlns:r="http://schemas.openxmlformats.org/officeDocument/2006/relationships" r:embed="rId48" cstate="print"/>
        <a:stretch>
          <a:fillRect/>
        </a:stretch>
      </xdr:blipFill>
      <xdr:spPr>
        <a:xfrm>
          <a:off x="689722" y="861353409"/>
          <a:ext cx="1333500" cy="371475"/>
        </a:xfrm>
        <a:prstGeom prst="rect">
          <a:avLst/>
        </a:prstGeom>
        <a:noFill/>
      </xdr:spPr>
    </xdr:pic>
    <xdr:clientData fLocksWithSheet="0"/>
  </xdr:oneCellAnchor>
  <xdr:oneCellAnchor>
    <xdr:from>
      <xdr:col>1</xdr:col>
      <xdr:colOff>356347</xdr:colOff>
      <xdr:row>5499</xdr:row>
      <xdr:rowOff>55284</xdr:rowOff>
    </xdr:from>
    <xdr:ext cx="1333500" cy="371475"/>
    <xdr:pic>
      <xdr:nvPicPr>
        <xdr:cNvPr id="390" name="image57.jpg" descr="Logo CSJ RGB_01">
          <a:extLst>
            <a:ext uri="{FF2B5EF4-FFF2-40B4-BE49-F238E27FC236}">
              <a16:creationId xmlns:a16="http://schemas.microsoft.com/office/drawing/2014/main" id="{FB9538B1-F85A-4A2A-BD1D-5BA372C05F57}"/>
            </a:ext>
          </a:extLst>
        </xdr:cNvPr>
        <xdr:cNvPicPr preferRelativeResize="0"/>
      </xdr:nvPicPr>
      <xdr:blipFill>
        <a:blip xmlns:r="http://schemas.openxmlformats.org/officeDocument/2006/relationships" r:embed="rId48" cstate="print"/>
        <a:stretch>
          <a:fillRect/>
        </a:stretch>
      </xdr:blipFill>
      <xdr:spPr>
        <a:xfrm>
          <a:off x="689722" y="861353409"/>
          <a:ext cx="1333500" cy="371475"/>
        </a:xfrm>
        <a:prstGeom prst="rect">
          <a:avLst/>
        </a:prstGeom>
        <a:noFill/>
      </xdr:spPr>
    </xdr:pic>
    <xdr:clientData fLocksWithSheet="0"/>
  </xdr:oneCellAnchor>
  <xdr:oneCellAnchor>
    <xdr:from>
      <xdr:col>1</xdr:col>
      <xdr:colOff>356347</xdr:colOff>
      <xdr:row>5521</xdr:row>
      <xdr:rowOff>55284</xdr:rowOff>
    </xdr:from>
    <xdr:ext cx="1333500" cy="371475"/>
    <xdr:pic>
      <xdr:nvPicPr>
        <xdr:cNvPr id="391" name="image57.jpg" descr="Logo CSJ RGB_01">
          <a:extLst>
            <a:ext uri="{FF2B5EF4-FFF2-40B4-BE49-F238E27FC236}">
              <a16:creationId xmlns:a16="http://schemas.microsoft.com/office/drawing/2014/main" id="{F37ABD63-207D-4FB1-82AD-D0E370D26E2B}"/>
            </a:ext>
          </a:extLst>
        </xdr:cNvPr>
        <xdr:cNvPicPr preferRelativeResize="0"/>
      </xdr:nvPicPr>
      <xdr:blipFill>
        <a:blip xmlns:r="http://schemas.openxmlformats.org/officeDocument/2006/relationships" r:embed="rId48" cstate="print"/>
        <a:stretch>
          <a:fillRect/>
        </a:stretch>
      </xdr:blipFill>
      <xdr:spPr>
        <a:xfrm>
          <a:off x="689722" y="861353409"/>
          <a:ext cx="1333500" cy="371475"/>
        </a:xfrm>
        <a:prstGeom prst="rect">
          <a:avLst/>
        </a:prstGeom>
        <a:noFill/>
      </xdr:spPr>
    </xdr:pic>
    <xdr:clientData fLocksWithSheet="0"/>
  </xdr:oneCellAnchor>
  <xdr:oneCellAnchor>
    <xdr:from>
      <xdr:col>1</xdr:col>
      <xdr:colOff>356347</xdr:colOff>
      <xdr:row>5521</xdr:row>
      <xdr:rowOff>55284</xdr:rowOff>
    </xdr:from>
    <xdr:ext cx="1333500" cy="371475"/>
    <xdr:pic>
      <xdr:nvPicPr>
        <xdr:cNvPr id="392" name="image57.jpg" descr="Logo CSJ RGB_01">
          <a:extLst>
            <a:ext uri="{FF2B5EF4-FFF2-40B4-BE49-F238E27FC236}">
              <a16:creationId xmlns:a16="http://schemas.microsoft.com/office/drawing/2014/main" id="{81EF9719-89B7-46E7-B1F5-0B47DD1A76C0}"/>
            </a:ext>
          </a:extLst>
        </xdr:cNvPr>
        <xdr:cNvPicPr preferRelativeResize="0"/>
      </xdr:nvPicPr>
      <xdr:blipFill>
        <a:blip xmlns:r="http://schemas.openxmlformats.org/officeDocument/2006/relationships" r:embed="rId48" cstate="print"/>
        <a:stretch>
          <a:fillRect/>
        </a:stretch>
      </xdr:blipFill>
      <xdr:spPr>
        <a:xfrm>
          <a:off x="689722" y="861353409"/>
          <a:ext cx="1333500" cy="371475"/>
        </a:xfrm>
        <a:prstGeom prst="rect">
          <a:avLst/>
        </a:prstGeom>
        <a:noFill/>
      </xdr:spPr>
    </xdr:pic>
    <xdr:clientData fLocksWithSheet="0"/>
  </xdr:oneCellAnchor>
  <xdr:oneCellAnchor>
    <xdr:from>
      <xdr:col>1</xdr:col>
      <xdr:colOff>356347</xdr:colOff>
      <xdr:row>5543</xdr:row>
      <xdr:rowOff>55284</xdr:rowOff>
    </xdr:from>
    <xdr:ext cx="1333500" cy="371475"/>
    <xdr:pic>
      <xdr:nvPicPr>
        <xdr:cNvPr id="393" name="image57.jpg" descr="Logo CSJ RGB_01">
          <a:extLst>
            <a:ext uri="{FF2B5EF4-FFF2-40B4-BE49-F238E27FC236}">
              <a16:creationId xmlns:a16="http://schemas.microsoft.com/office/drawing/2014/main" id="{04435539-DE76-4C31-8638-EFAEB885061E}"/>
            </a:ext>
          </a:extLst>
        </xdr:cNvPr>
        <xdr:cNvPicPr preferRelativeResize="0"/>
      </xdr:nvPicPr>
      <xdr:blipFill>
        <a:blip xmlns:r="http://schemas.openxmlformats.org/officeDocument/2006/relationships" r:embed="rId48" cstate="print"/>
        <a:stretch>
          <a:fillRect/>
        </a:stretch>
      </xdr:blipFill>
      <xdr:spPr>
        <a:xfrm>
          <a:off x="689722" y="861353409"/>
          <a:ext cx="1333500" cy="371475"/>
        </a:xfrm>
        <a:prstGeom prst="rect">
          <a:avLst/>
        </a:prstGeom>
        <a:noFill/>
      </xdr:spPr>
    </xdr:pic>
    <xdr:clientData fLocksWithSheet="0"/>
  </xdr:oneCellAnchor>
  <xdr:oneCellAnchor>
    <xdr:from>
      <xdr:col>1</xdr:col>
      <xdr:colOff>356347</xdr:colOff>
      <xdr:row>5543</xdr:row>
      <xdr:rowOff>55284</xdr:rowOff>
    </xdr:from>
    <xdr:ext cx="1333500" cy="371475"/>
    <xdr:pic>
      <xdr:nvPicPr>
        <xdr:cNvPr id="394" name="image57.jpg" descr="Logo CSJ RGB_01">
          <a:extLst>
            <a:ext uri="{FF2B5EF4-FFF2-40B4-BE49-F238E27FC236}">
              <a16:creationId xmlns:a16="http://schemas.microsoft.com/office/drawing/2014/main" id="{590AEAF9-702C-402F-93F5-2AC9B5088B14}"/>
            </a:ext>
          </a:extLst>
        </xdr:cNvPr>
        <xdr:cNvPicPr preferRelativeResize="0"/>
      </xdr:nvPicPr>
      <xdr:blipFill>
        <a:blip xmlns:r="http://schemas.openxmlformats.org/officeDocument/2006/relationships" r:embed="rId48" cstate="print"/>
        <a:stretch>
          <a:fillRect/>
        </a:stretch>
      </xdr:blipFill>
      <xdr:spPr>
        <a:xfrm>
          <a:off x="689722" y="861353409"/>
          <a:ext cx="1333500" cy="371475"/>
        </a:xfrm>
        <a:prstGeom prst="rect">
          <a:avLst/>
        </a:prstGeom>
        <a:noFill/>
      </xdr:spPr>
    </xdr:pic>
    <xdr:clientData fLocksWithSheet="0"/>
  </xdr:oneCellAnchor>
  <xdr:oneCellAnchor>
    <xdr:from>
      <xdr:col>1</xdr:col>
      <xdr:colOff>356347</xdr:colOff>
      <xdr:row>5565</xdr:row>
      <xdr:rowOff>55284</xdr:rowOff>
    </xdr:from>
    <xdr:ext cx="1333500" cy="371475"/>
    <xdr:pic>
      <xdr:nvPicPr>
        <xdr:cNvPr id="395" name="image57.jpg" descr="Logo CSJ RGB_01">
          <a:extLst>
            <a:ext uri="{FF2B5EF4-FFF2-40B4-BE49-F238E27FC236}">
              <a16:creationId xmlns:a16="http://schemas.microsoft.com/office/drawing/2014/main" id="{F9A2E8EE-5C28-46A3-A867-BBD1A73EF4F9}"/>
            </a:ext>
          </a:extLst>
        </xdr:cNvPr>
        <xdr:cNvPicPr preferRelativeResize="0"/>
      </xdr:nvPicPr>
      <xdr:blipFill>
        <a:blip xmlns:r="http://schemas.openxmlformats.org/officeDocument/2006/relationships" r:embed="rId48" cstate="print"/>
        <a:stretch>
          <a:fillRect/>
        </a:stretch>
      </xdr:blipFill>
      <xdr:spPr>
        <a:xfrm>
          <a:off x="689722" y="861353409"/>
          <a:ext cx="1333500" cy="371475"/>
        </a:xfrm>
        <a:prstGeom prst="rect">
          <a:avLst/>
        </a:prstGeom>
        <a:noFill/>
      </xdr:spPr>
    </xdr:pic>
    <xdr:clientData fLocksWithSheet="0"/>
  </xdr:oneCellAnchor>
  <xdr:oneCellAnchor>
    <xdr:from>
      <xdr:col>1</xdr:col>
      <xdr:colOff>356347</xdr:colOff>
      <xdr:row>5565</xdr:row>
      <xdr:rowOff>55284</xdr:rowOff>
    </xdr:from>
    <xdr:ext cx="1333500" cy="371475"/>
    <xdr:pic>
      <xdr:nvPicPr>
        <xdr:cNvPr id="396" name="image57.jpg" descr="Logo CSJ RGB_01">
          <a:extLst>
            <a:ext uri="{FF2B5EF4-FFF2-40B4-BE49-F238E27FC236}">
              <a16:creationId xmlns:a16="http://schemas.microsoft.com/office/drawing/2014/main" id="{4D489C92-2174-47D6-9494-9EB0FFEB6B11}"/>
            </a:ext>
          </a:extLst>
        </xdr:cNvPr>
        <xdr:cNvPicPr preferRelativeResize="0"/>
      </xdr:nvPicPr>
      <xdr:blipFill>
        <a:blip xmlns:r="http://schemas.openxmlformats.org/officeDocument/2006/relationships" r:embed="rId48" cstate="print"/>
        <a:stretch>
          <a:fillRect/>
        </a:stretch>
      </xdr:blipFill>
      <xdr:spPr>
        <a:xfrm>
          <a:off x="689722" y="861353409"/>
          <a:ext cx="1333500" cy="371475"/>
        </a:xfrm>
        <a:prstGeom prst="rect">
          <a:avLst/>
        </a:prstGeom>
        <a:noFill/>
      </xdr:spPr>
    </xdr:pic>
    <xdr:clientData fLocksWithSheet="0"/>
  </xdr:oneCellAnchor>
  <xdr:oneCellAnchor>
    <xdr:from>
      <xdr:col>1</xdr:col>
      <xdr:colOff>356347</xdr:colOff>
      <xdr:row>5587</xdr:row>
      <xdr:rowOff>55284</xdr:rowOff>
    </xdr:from>
    <xdr:ext cx="1333500" cy="371475"/>
    <xdr:pic>
      <xdr:nvPicPr>
        <xdr:cNvPr id="397" name="image57.jpg" descr="Logo CSJ RGB_01">
          <a:extLst>
            <a:ext uri="{FF2B5EF4-FFF2-40B4-BE49-F238E27FC236}">
              <a16:creationId xmlns:a16="http://schemas.microsoft.com/office/drawing/2014/main" id="{703339E3-933C-41E8-BCA4-BDF32F0FFFC3}"/>
            </a:ext>
          </a:extLst>
        </xdr:cNvPr>
        <xdr:cNvPicPr preferRelativeResize="0"/>
      </xdr:nvPicPr>
      <xdr:blipFill>
        <a:blip xmlns:r="http://schemas.openxmlformats.org/officeDocument/2006/relationships" r:embed="rId48" cstate="print"/>
        <a:stretch>
          <a:fillRect/>
        </a:stretch>
      </xdr:blipFill>
      <xdr:spPr>
        <a:xfrm>
          <a:off x="689722" y="861353409"/>
          <a:ext cx="1333500" cy="371475"/>
        </a:xfrm>
        <a:prstGeom prst="rect">
          <a:avLst/>
        </a:prstGeom>
        <a:noFill/>
      </xdr:spPr>
    </xdr:pic>
    <xdr:clientData fLocksWithSheet="0"/>
  </xdr:oneCellAnchor>
  <xdr:oneCellAnchor>
    <xdr:from>
      <xdr:col>1</xdr:col>
      <xdr:colOff>356347</xdr:colOff>
      <xdr:row>5587</xdr:row>
      <xdr:rowOff>55284</xdr:rowOff>
    </xdr:from>
    <xdr:ext cx="1333500" cy="371475"/>
    <xdr:pic>
      <xdr:nvPicPr>
        <xdr:cNvPr id="398" name="image57.jpg" descr="Logo CSJ RGB_01">
          <a:extLst>
            <a:ext uri="{FF2B5EF4-FFF2-40B4-BE49-F238E27FC236}">
              <a16:creationId xmlns:a16="http://schemas.microsoft.com/office/drawing/2014/main" id="{EE996831-D666-4C3D-AFE6-92F49486D3A8}"/>
            </a:ext>
          </a:extLst>
        </xdr:cNvPr>
        <xdr:cNvPicPr preferRelativeResize="0"/>
      </xdr:nvPicPr>
      <xdr:blipFill>
        <a:blip xmlns:r="http://schemas.openxmlformats.org/officeDocument/2006/relationships" r:embed="rId48" cstate="print"/>
        <a:stretch>
          <a:fillRect/>
        </a:stretch>
      </xdr:blipFill>
      <xdr:spPr>
        <a:xfrm>
          <a:off x="689722" y="861353409"/>
          <a:ext cx="1333500" cy="371475"/>
        </a:xfrm>
        <a:prstGeom prst="rect">
          <a:avLst/>
        </a:prstGeom>
        <a:noFill/>
      </xdr:spPr>
    </xdr:pic>
    <xdr:clientData fLocksWithSheet="0"/>
  </xdr:oneCellAnchor>
  <xdr:oneCellAnchor>
    <xdr:from>
      <xdr:col>1</xdr:col>
      <xdr:colOff>356347</xdr:colOff>
      <xdr:row>5609</xdr:row>
      <xdr:rowOff>55284</xdr:rowOff>
    </xdr:from>
    <xdr:ext cx="1333500" cy="371475"/>
    <xdr:pic>
      <xdr:nvPicPr>
        <xdr:cNvPr id="401" name="image57.jpg" descr="Logo CSJ RGB_01">
          <a:extLst>
            <a:ext uri="{FF2B5EF4-FFF2-40B4-BE49-F238E27FC236}">
              <a16:creationId xmlns:a16="http://schemas.microsoft.com/office/drawing/2014/main" id="{71601094-B811-4F28-A4A0-AA2D7284AA97}"/>
            </a:ext>
          </a:extLst>
        </xdr:cNvPr>
        <xdr:cNvPicPr preferRelativeResize="0"/>
      </xdr:nvPicPr>
      <xdr:blipFill>
        <a:blip xmlns:r="http://schemas.openxmlformats.org/officeDocument/2006/relationships" r:embed="rId48" cstate="print"/>
        <a:stretch>
          <a:fillRect/>
        </a:stretch>
      </xdr:blipFill>
      <xdr:spPr>
        <a:xfrm>
          <a:off x="689722" y="861353409"/>
          <a:ext cx="1333500" cy="371475"/>
        </a:xfrm>
        <a:prstGeom prst="rect">
          <a:avLst/>
        </a:prstGeom>
        <a:noFill/>
      </xdr:spPr>
    </xdr:pic>
    <xdr:clientData fLocksWithSheet="0"/>
  </xdr:oneCellAnchor>
  <xdr:oneCellAnchor>
    <xdr:from>
      <xdr:col>1</xdr:col>
      <xdr:colOff>356347</xdr:colOff>
      <xdr:row>5609</xdr:row>
      <xdr:rowOff>55284</xdr:rowOff>
    </xdr:from>
    <xdr:ext cx="1333500" cy="371475"/>
    <xdr:pic>
      <xdr:nvPicPr>
        <xdr:cNvPr id="405" name="image57.jpg" descr="Logo CSJ RGB_01">
          <a:extLst>
            <a:ext uri="{FF2B5EF4-FFF2-40B4-BE49-F238E27FC236}">
              <a16:creationId xmlns:a16="http://schemas.microsoft.com/office/drawing/2014/main" id="{D54F70CF-1968-4982-A43E-88011DF6AD26}"/>
            </a:ext>
          </a:extLst>
        </xdr:cNvPr>
        <xdr:cNvPicPr preferRelativeResize="0"/>
      </xdr:nvPicPr>
      <xdr:blipFill>
        <a:blip xmlns:r="http://schemas.openxmlformats.org/officeDocument/2006/relationships" r:embed="rId48" cstate="print"/>
        <a:stretch>
          <a:fillRect/>
        </a:stretch>
      </xdr:blipFill>
      <xdr:spPr>
        <a:xfrm>
          <a:off x="689722" y="861353409"/>
          <a:ext cx="1333500" cy="371475"/>
        </a:xfrm>
        <a:prstGeom prst="rect">
          <a:avLst/>
        </a:prstGeom>
        <a:noFill/>
      </xdr:spPr>
    </xdr:pic>
    <xdr:clientData fLocksWithSheet="0"/>
  </xdr:oneCellAnchor>
  <xdr:oneCellAnchor>
    <xdr:from>
      <xdr:col>1</xdr:col>
      <xdr:colOff>356347</xdr:colOff>
      <xdr:row>5631</xdr:row>
      <xdr:rowOff>55284</xdr:rowOff>
    </xdr:from>
    <xdr:ext cx="1333500" cy="371475"/>
    <xdr:pic>
      <xdr:nvPicPr>
        <xdr:cNvPr id="406" name="image57.jpg" descr="Logo CSJ RGB_01">
          <a:extLst>
            <a:ext uri="{FF2B5EF4-FFF2-40B4-BE49-F238E27FC236}">
              <a16:creationId xmlns:a16="http://schemas.microsoft.com/office/drawing/2014/main" id="{DBC6DDC5-2882-4BF6-8E93-6EFD1686ECC2}"/>
            </a:ext>
          </a:extLst>
        </xdr:cNvPr>
        <xdr:cNvPicPr preferRelativeResize="0"/>
      </xdr:nvPicPr>
      <xdr:blipFill>
        <a:blip xmlns:r="http://schemas.openxmlformats.org/officeDocument/2006/relationships" r:embed="rId48" cstate="print"/>
        <a:stretch>
          <a:fillRect/>
        </a:stretch>
      </xdr:blipFill>
      <xdr:spPr>
        <a:xfrm>
          <a:off x="689722" y="861353409"/>
          <a:ext cx="1333500" cy="371475"/>
        </a:xfrm>
        <a:prstGeom prst="rect">
          <a:avLst/>
        </a:prstGeom>
        <a:noFill/>
      </xdr:spPr>
    </xdr:pic>
    <xdr:clientData fLocksWithSheet="0"/>
  </xdr:oneCellAnchor>
  <xdr:oneCellAnchor>
    <xdr:from>
      <xdr:col>1</xdr:col>
      <xdr:colOff>356347</xdr:colOff>
      <xdr:row>5631</xdr:row>
      <xdr:rowOff>55284</xdr:rowOff>
    </xdr:from>
    <xdr:ext cx="1333500" cy="371475"/>
    <xdr:pic>
      <xdr:nvPicPr>
        <xdr:cNvPr id="407" name="image57.jpg" descr="Logo CSJ RGB_01">
          <a:extLst>
            <a:ext uri="{FF2B5EF4-FFF2-40B4-BE49-F238E27FC236}">
              <a16:creationId xmlns:a16="http://schemas.microsoft.com/office/drawing/2014/main" id="{D0E5A5D9-10B5-4B07-AE36-79055D2B8685}"/>
            </a:ext>
          </a:extLst>
        </xdr:cNvPr>
        <xdr:cNvPicPr preferRelativeResize="0"/>
      </xdr:nvPicPr>
      <xdr:blipFill>
        <a:blip xmlns:r="http://schemas.openxmlformats.org/officeDocument/2006/relationships" r:embed="rId48" cstate="print"/>
        <a:stretch>
          <a:fillRect/>
        </a:stretch>
      </xdr:blipFill>
      <xdr:spPr>
        <a:xfrm>
          <a:off x="689722" y="861353409"/>
          <a:ext cx="1333500" cy="371475"/>
        </a:xfrm>
        <a:prstGeom prst="rect">
          <a:avLst/>
        </a:prstGeom>
        <a:noFill/>
      </xdr:spPr>
    </xdr:pic>
    <xdr:clientData fLocksWithSheet="0"/>
  </xdr:oneCellAnchor>
  <xdr:oneCellAnchor>
    <xdr:from>
      <xdr:col>1</xdr:col>
      <xdr:colOff>356347</xdr:colOff>
      <xdr:row>5653</xdr:row>
      <xdr:rowOff>55284</xdr:rowOff>
    </xdr:from>
    <xdr:ext cx="1333500" cy="371475"/>
    <xdr:pic>
      <xdr:nvPicPr>
        <xdr:cNvPr id="408" name="image57.jpg" descr="Logo CSJ RGB_01">
          <a:extLst>
            <a:ext uri="{FF2B5EF4-FFF2-40B4-BE49-F238E27FC236}">
              <a16:creationId xmlns:a16="http://schemas.microsoft.com/office/drawing/2014/main" id="{A1601A9C-BB4A-48F7-ACDE-A0A29F96AEE8}"/>
            </a:ext>
          </a:extLst>
        </xdr:cNvPr>
        <xdr:cNvPicPr preferRelativeResize="0"/>
      </xdr:nvPicPr>
      <xdr:blipFill>
        <a:blip xmlns:r="http://schemas.openxmlformats.org/officeDocument/2006/relationships" r:embed="rId48" cstate="print"/>
        <a:stretch>
          <a:fillRect/>
        </a:stretch>
      </xdr:blipFill>
      <xdr:spPr>
        <a:xfrm>
          <a:off x="689722" y="861353409"/>
          <a:ext cx="1333500" cy="371475"/>
        </a:xfrm>
        <a:prstGeom prst="rect">
          <a:avLst/>
        </a:prstGeom>
        <a:noFill/>
      </xdr:spPr>
    </xdr:pic>
    <xdr:clientData fLocksWithSheet="0"/>
  </xdr:oneCellAnchor>
  <xdr:oneCellAnchor>
    <xdr:from>
      <xdr:col>1</xdr:col>
      <xdr:colOff>356347</xdr:colOff>
      <xdr:row>5653</xdr:row>
      <xdr:rowOff>55284</xdr:rowOff>
    </xdr:from>
    <xdr:ext cx="1333500" cy="371475"/>
    <xdr:pic>
      <xdr:nvPicPr>
        <xdr:cNvPr id="409" name="image57.jpg" descr="Logo CSJ RGB_01">
          <a:extLst>
            <a:ext uri="{FF2B5EF4-FFF2-40B4-BE49-F238E27FC236}">
              <a16:creationId xmlns:a16="http://schemas.microsoft.com/office/drawing/2014/main" id="{BF958EEB-2B4E-4C38-B460-7F84926A79A7}"/>
            </a:ext>
          </a:extLst>
        </xdr:cNvPr>
        <xdr:cNvPicPr preferRelativeResize="0"/>
      </xdr:nvPicPr>
      <xdr:blipFill>
        <a:blip xmlns:r="http://schemas.openxmlformats.org/officeDocument/2006/relationships" r:embed="rId48" cstate="print"/>
        <a:stretch>
          <a:fillRect/>
        </a:stretch>
      </xdr:blipFill>
      <xdr:spPr>
        <a:xfrm>
          <a:off x="689722" y="861353409"/>
          <a:ext cx="1333500" cy="371475"/>
        </a:xfrm>
        <a:prstGeom prst="rect">
          <a:avLst/>
        </a:prstGeom>
        <a:noFill/>
      </xdr:spPr>
    </xdr:pic>
    <xdr:clientData fLocksWithSheet="0"/>
  </xdr:oneCellAnchor>
  <xdr:oneCellAnchor>
    <xdr:from>
      <xdr:col>1</xdr:col>
      <xdr:colOff>356347</xdr:colOff>
      <xdr:row>5675</xdr:row>
      <xdr:rowOff>55284</xdr:rowOff>
    </xdr:from>
    <xdr:ext cx="1333500" cy="371475"/>
    <xdr:pic>
      <xdr:nvPicPr>
        <xdr:cNvPr id="410" name="image57.jpg" descr="Logo CSJ RGB_01">
          <a:extLst>
            <a:ext uri="{FF2B5EF4-FFF2-40B4-BE49-F238E27FC236}">
              <a16:creationId xmlns:a16="http://schemas.microsoft.com/office/drawing/2014/main" id="{50D7202F-D120-4182-8518-FC2BA2B639B7}"/>
            </a:ext>
          </a:extLst>
        </xdr:cNvPr>
        <xdr:cNvPicPr preferRelativeResize="0"/>
      </xdr:nvPicPr>
      <xdr:blipFill>
        <a:blip xmlns:r="http://schemas.openxmlformats.org/officeDocument/2006/relationships" r:embed="rId48" cstate="print"/>
        <a:stretch>
          <a:fillRect/>
        </a:stretch>
      </xdr:blipFill>
      <xdr:spPr>
        <a:xfrm>
          <a:off x="689722" y="929441284"/>
          <a:ext cx="1333500" cy="371475"/>
        </a:xfrm>
        <a:prstGeom prst="rect">
          <a:avLst/>
        </a:prstGeom>
        <a:noFill/>
      </xdr:spPr>
    </xdr:pic>
    <xdr:clientData fLocksWithSheet="0"/>
  </xdr:oneCellAnchor>
  <xdr:oneCellAnchor>
    <xdr:from>
      <xdr:col>1</xdr:col>
      <xdr:colOff>356347</xdr:colOff>
      <xdr:row>5675</xdr:row>
      <xdr:rowOff>55284</xdr:rowOff>
    </xdr:from>
    <xdr:ext cx="1333500" cy="371475"/>
    <xdr:pic>
      <xdr:nvPicPr>
        <xdr:cNvPr id="411" name="image57.jpg" descr="Logo CSJ RGB_01">
          <a:extLst>
            <a:ext uri="{FF2B5EF4-FFF2-40B4-BE49-F238E27FC236}">
              <a16:creationId xmlns:a16="http://schemas.microsoft.com/office/drawing/2014/main" id="{38A7AEF8-31E9-4EBD-83F9-30D68745C81D}"/>
            </a:ext>
          </a:extLst>
        </xdr:cNvPr>
        <xdr:cNvPicPr preferRelativeResize="0"/>
      </xdr:nvPicPr>
      <xdr:blipFill>
        <a:blip xmlns:r="http://schemas.openxmlformats.org/officeDocument/2006/relationships" r:embed="rId48" cstate="print"/>
        <a:stretch>
          <a:fillRect/>
        </a:stretch>
      </xdr:blipFill>
      <xdr:spPr>
        <a:xfrm>
          <a:off x="689722" y="929441284"/>
          <a:ext cx="1333500" cy="371475"/>
        </a:xfrm>
        <a:prstGeom prst="rect">
          <a:avLst/>
        </a:prstGeom>
        <a:noFill/>
      </xdr:spPr>
    </xdr:pic>
    <xdr:clientData fLocksWithSheet="0"/>
  </xdr:oneCellAnchor>
  <xdr:twoCellAnchor editAs="oneCell">
    <xdr:from>
      <xdr:col>8</xdr:col>
      <xdr:colOff>182563</xdr:colOff>
      <xdr:row>5064</xdr:row>
      <xdr:rowOff>23813</xdr:rowOff>
    </xdr:from>
    <xdr:to>
      <xdr:col>10</xdr:col>
      <xdr:colOff>752870</xdr:colOff>
      <xdr:row>5073</xdr:row>
      <xdr:rowOff>48164</xdr:rowOff>
    </xdr:to>
    <xdr:pic>
      <xdr:nvPicPr>
        <xdr:cNvPr id="40" name="Imagen 39">
          <a:extLst>
            <a:ext uri="{FF2B5EF4-FFF2-40B4-BE49-F238E27FC236}">
              <a16:creationId xmlns:a16="http://schemas.microsoft.com/office/drawing/2014/main" id="{A2CA2A55-1386-4A77-9361-F8E31A06CA59}"/>
            </a:ext>
          </a:extLst>
        </xdr:cNvPr>
        <xdr:cNvPicPr>
          <a:picLocks noChangeAspect="1"/>
        </xdr:cNvPicPr>
      </xdr:nvPicPr>
      <xdr:blipFill>
        <a:blip xmlns:r="http://schemas.openxmlformats.org/officeDocument/2006/relationships" r:embed="rId108"/>
        <a:stretch>
          <a:fillRect/>
        </a:stretch>
      </xdr:blipFill>
      <xdr:spPr>
        <a:xfrm>
          <a:off x="8096251" y="811395063"/>
          <a:ext cx="2030807" cy="1738851"/>
        </a:xfrm>
        <a:prstGeom prst="rect">
          <a:avLst/>
        </a:prstGeom>
      </xdr:spPr>
    </xdr:pic>
    <xdr:clientData/>
  </xdr:twoCellAnchor>
  <xdr:twoCellAnchor editAs="oneCell">
    <xdr:from>
      <xdr:col>8</xdr:col>
      <xdr:colOff>89173</xdr:colOff>
      <xdr:row>5042</xdr:row>
      <xdr:rowOff>32367</xdr:rowOff>
    </xdr:from>
    <xdr:to>
      <xdr:col>10</xdr:col>
      <xdr:colOff>722313</xdr:colOff>
      <xdr:row>5050</xdr:row>
      <xdr:rowOff>182562</xdr:rowOff>
    </xdr:to>
    <xdr:pic>
      <xdr:nvPicPr>
        <xdr:cNvPr id="896" name="Imagen 895">
          <a:extLst>
            <a:ext uri="{FF2B5EF4-FFF2-40B4-BE49-F238E27FC236}">
              <a16:creationId xmlns:a16="http://schemas.microsoft.com/office/drawing/2014/main" id="{B1CFC1AA-FD9C-4895-AAC7-D9FB1F96C04F}"/>
            </a:ext>
          </a:extLst>
        </xdr:cNvPr>
        <xdr:cNvPicPr>
          <a:picLocks noChangeAspect="1"/>
        </xdr:cNvPicPr>
      </xdr:nvPicPr>
      <xdr:blipFill>
        <a:blip xmlns:r="http://schemas.openxmlformats.org/officeDocument/2006/relationships" r:embed="rId109"/>
        <a:stretch>
          <a:fillRect/>
        </a:stretch>
      </xdr:blipFill>
      <xdr:spPr>
        <a:xfrm>
          <a:off x="8002861" y="805379055"/>
          <a:ext cx="2093640" cy="1674195"/>
        </a:xfrm>
        <a:prstGeom prst="rect">
          <a:avLst/>
        </a:prstGeom>
      </xdr:spPr>
    </xdr:pic>
    <xdr:clientData/>
  </xdr:twoCellAnchor>
  <xdr:twoCellAnchor editAs="oneCell">
    <xdr:from>
      <xdr:col>8</xdr:col>
      <xdr:colOff>111124</xdr:colOff>
      <xdr:row>5020</xdr:row>
      <xdr:rowOff>111124</xdr:rowOff>
    </xdr:from>
    <xdr:to>
      <xdr:col>10</xdr:col>
      <xdr:colOff>744264</xdr:colOff>
      <xdr:row>5029</xdr:row>
      <xdr:rowOff>70818</xdr:rowOff>
    </xdr:to>
    <xdr:pic>
      <xdr:nvPicPr>
        <xdr:cNvPr id="413" name="Imagen 412">
          <a:extLst>
            <a:ext uri="{FF2B5EF4-FFF2-40B4-BE49-F238E27FC236}">
              <a16:creationId xmlns:a16="http://schemas.microsoft.com/office/drawing/2014/main" id="{6E19D4C9-53D5-4FDF-94EE-ABD8D12B87C5}"/>
            </a:ext>
          </a:extLst>
        </xdr:cNvPr>
        <xdr:cNvPicPr>
          <a:picLocks noChangeAspect="1"/>
        </xdr:cNvPicPr>
      </xdr:nvPicPr>
      <xdr:blipFill>
        <a:blip xmlns:r="http://schemas.openxmlformats.org/officeDocument/2006/relationships" r:embed="rId109"/>
        <a:stretch>
          <a:fillRect/>
        </a:stretch>
      </xdr:blipFill>
      <xdr:spPr>
        <a:xfrm>
          <a:off x="8024812" y="800346062"/>
          <a:ext cx="2093640" cy="1674195"/>
        </a:xfrm>
        <a:prstGeom prst="rect">
          <a:avLst/>
        </a:prstGeom>
      </xdr:spPr>
    </xdr:pic>
    <xdr:clientData/>
  </xdr:twoCellAnchor>
  <xdr:twoCellAnchor editAs="oneCell">
    <xdr:from>
      <xdr:col>8</xdr:col>
      <xdr:colOff>39687</xdr:colOff>
      <xdr:row>4997</xdr:row>
      <xdr:rowOff>119062</xdr:rowOff>
    </xdr:from>
    <xdr:to>
      <xdr:col>10</xdr:col>
      <xdr:colOff>672827</xdr:colOff>
      <xdr:row>5006</xdr:row>
      <xdr:rowOff>78757</xdr:rowOff>
    </xdr:to>
    <xdr:pic>
      <xdr:nvPicPr>
        <xdr:cNvPr id="414" name="Imagen 413">
          <a:extLst>
            <a:ext uri="{FF2B5EF4-FFF2-40B4-BE49-F238E27FC236}">
              <a16:creationId xmlns:a16="http://schemas.microsoft.com/office/drawing/2014/main" id="{C39B908A-D2C8-4A3F-B5BA-06C6080BB338}"/>
            </a:ext>
          </a:extLst>
        </xdr:cNvPr>
        <xdr:cNvPicPr>
          <a:picLocks noChangeAspect="1"/>
        </xdr:cNvPicPr>
      </xdr:nvPicPr>
      <xdr:blipFill>
        <a:blip xmlns:r="http://schemas.openxmlformats.org/officeDocument/2006/relationships" r:embed="rId109"/>
        <a:stretch>
          <a:fillRect/>
        </a:stretch>
      </xdr:blipFill>
      <xdr:spPr>
        <a:xfrm>
          <a:off x="7953375" y="794940625"/>
          <a:ext cx="2093640" cy="1674195"/>
        </a:xfrm>
        <a:prstGeom prst="rect">
          <a:avLst/>
        </a:prstGeom>
      </xdr:spPr>
    </xdr:pic>
    <xdr:clientData/>
  </xdr:twoCellAnchor>
  <xdr:twoCellAnchor editAs="oneCell">
    <xdr:from>
      <xdr:col>8</xdr:col>
      <xdr:colOff>158750</xdr:colOff>
      <xdr:row>4976</xdr:row>
      <xdr:rowOff>23812</xdr:rowOff>
    </xdr:from>
    <xdr:to>
      <xdr:col>11</xdr:col>
      <xdr:colOff>1315</xdr:colOff>
      <xdr:row>4984</xdr:row>
      <xdr:rowOff>174007</xdr:rowOff>
    </xdr:to>
    <xdr:pic>
      <xdr:nvPicPr>
        <xdr:cNvPr id="415" name="Imagen 414">
          <a:extLst>
            <a:ext uri="{FF2B5EF4-FFF2-40B4-BE49-F238E27FC236}">
              <a16:creationId xmlns:a16="http://schemas.microsoft.com/office/drawing/2014/main" id="{D8D5D30A-E1DA-430E-9A6A-33DA75AE5CA6}"/>
            </a:ext>
          </a:extLst>
        </xdr:cNvPr>
        <xdr:cNvPicPr>
          <a:picLocks noChangeAspect="1"/>
        </xdr:cNvPicPr>
      </xdr:nvPicPr>
      <xdr:blipFill>
        <a:blip xmlns:r="http://schemas.openxmlformats.org/officeDocument/2006/relationships" r:embed="rId109"/>
        <a:stretch>
          <a:fillRect/>
        </a:stretch>
      </xdr:blipFill>
      <xdr:spPr>
        <a:xfrm>
          <a:off x="8072438" y="790328937"/>
          <a:ext cx="2093640" cy="1674195"/>
        </a:xfrm>
        <a:prstGeom prst="rect">
          <a:avLst/>
        </a:prstGeom>
      </xdr:spPr>
    </xdr:pic>
    <xdr:clientData/>
  </xdr:twoCellAnchor>
  <xdr:twoCellAnchor editAs="oneCell">
    <xdr:from>
      <xdr:col>8</xdr:col>
      <xdr:colOff>103188</xdr:colOff>
      <xdr:row>4931</xdr:row>
      <xdr:rowOff>134937</xdr:rowOff>
    </xdr:from>
    <xdr:to>
      <xdr:col>10</xdr:col>
      <xdr:colOff>736328</xdr:colOff>
      <xdr:row>4940</xdr:row>
      <xdr:rowOff>94632</xdr:rowOff>
    </xdr:to>
    <xdr:pic>
      <xdr:nvPicPr>
        <xdr:cNvPr id="416" name="Imagen 415">
          <a:extLst>
            <a:ext uri="{FF2B5EF4-FFF2-40B4-BE49-F238E27FC236}">
              <a16:creationId xmlns:a16="http://schemas.microsoft.com/office/drawing/2014/main" id="{A1B8297F-2595-46FD-B0ED-2A8F6488F03B}"/>
            </a:ext>
          </a:extLst>
        </xdr:cNvPr>
        <xdr:cNvPicPr>
          <a:picLocks noChangeAspect="1"/>
        </xdr:cNvPicPr>
      </xdr:nvPicPr>
      <xdr:blipFill>
        <a:blip xmlns:r="http://schemas.openxmlformats.org/officeDocument/2006/relationships" r:embed="rId109"/>
        <a:stretch>
          <a:fillRect/>
        </a:stretch>
      </xdr:blipFill>
      <xdr:spPr>
        <a:xfrm>
          <a:off x="8016876" y="779938750"/>
          <a:ext cx="2093640" cy="1674195"/>
        </a:xfrm>
        <a:prstGeom prst="rect">
          <a:avLst/>
        </a:prstGeom>
      </xdr:spPr>
    </xdr:pic>
    <xdr:clientData/>
  </xdr:twoCellAnchor>
  <xdr:twoCellAnchor editAs="oneCell">
    <xdr:from>
      <xdr:col>8</xdr:col>
      <xdr:colOff>79375</xdr:colOff>
      <xdr:row>4909</xdr:row>
      <xdr:rowOff>55562</xdr:rowOff>
    </xdr:from>
    <xdr:to>
      <xdr:col>10</xdr:col>
      <xdr:colOff>712515</xdr:colOff>
      <xdr:row>4918</xdr:row>
      <xdr:rowOff>15257</xdr:rowOff>
    </xdr:to>
    <xdr:pic>
      <xdr:nvPicPr>
        <xdr:cNvPr id="417" name="Imagen 416">
          <a:extLst>
            <a:ext uri="{FF2B5EF4-FFF2-40B4-BE49-F238E27FC236}">
              <a16:creationId xmlns:a16="http://schemas.microsoft.com/office/drawing/2014/main" id="{E94F2561-8E64-44DB-94D7-F87C0D648DD1}"/>
            </a:ext>
          </a:extLst>
        </xdr:cNvPr>
        <xdr:cNvPicPr>
          <a:picLocks noChangeAspect="1"/>
        </xdr:cNvPicPr>
      </xdr:nvPicPr>
      <xdr:blipFill>
        <a:blip xmlns:r="http://schemas.openxmlformats.org/officeDocument/2006/relationships" r:embed="rId109"/>
        <a:stretch>
          <a:fillRect/>
        </a:stretch>
      </xdr:blipFill>
      <xdr:spPr>
        <a:xfrm>
          <a:off x="7993063" y="774501562"/>
          <a:ext cx="2093640" cy="1674195"/>
        </a:xfrm>
        <a:prstGeom prst="rect">
          <a:avLst/>
        </a:prstGeom>
      </xdr:spPr>
    </xdr:pic>
    <xdr:clientData/>
  </xdr:twoCellAnchor>
  <xdr:twoCellAnchor editAs="oneCell">
    <xdr:from>
      <xdr:col>8</xdr:col>
      <xdr:colOff>63500</xdr:colOff>
      <xdr:row>4887</xdr:row>
      <xdr:rowOff>87313</xdr:rowOff>
    </xdr:from>
    <xdr:to>
      <xdr:col>10</xdr:col>
      <xdr:colOff>696640</xdr:colOff>
      <xdr:row>4896</xdr:row>
      <xdr:rowOff>47008</xdr:rowOff>
    </xdr:to>
    <xdr:pic>
      <xdr:nvPicPr>
        <xdr:cNvPr id="418" name="Imagen 417">
          <a:extLst>
            <a:ext uri="{FF2B5EF4-FFF2-40B4-BE49-F238E27FC236}">
              <a16:creationId xmlns:a16="http://schemas.microsoft.com/office/drawing/2014/main" id="{90CB12BF-861B-43E8-99CF-4832A1053E8E}"/>
            </a:ext>
          </a:extLst>
        </xdr:cNvPr>
        <xdr:cNvPicPr>
          <a:picLocks noChangeAspect="1"/>
        </xdr:cNvPicPr>
      </xdr:nvPicPr>
      <xdr:blipFill>
        <a:blip xmlns:r="http://schemas.openxmlformats.org/officeDocument/2006/relationships" r:embed="rId109"/>
        <a:stretch>
          <a:fillRect/>
        </a:stretch>
      </xdr:blipFill>
      <xdr:spPr>
        <a:xfrm>
          <a:off x="7977188" y="769127876"/>
          <a:ext cx="2093640" cy="1674195"/>
        </a:xfrm>
        <a:prstGeom prst="rect">
          <a:avLst/>
        </a:prstGeom>
      </xdr:spPr>
    </xdr:pic>
    <xdr:clientData/>
  </xdr:twoCellAnchor>
  <xdr:twoCellAnchor editAs="oneCell">
    <xdr:from>
      <xdr:col>11</xdr:col>
      <xdr:colOff>309562</xdr:colOff>
      <xdr:row>5085</xdr:row>
      <xdr:rowOff>55563</xdr:rowOff>
    </xdr:from>
    <xdr:to>
      <xdr:col>13</xdr:col>
      <xdr:colOff>627061</xdr:colOff>
      <xdr:row>5097</xdr:row>
      <xdr:rowOff>34740</xdr:rowOff>
    </xdr:to>
    <xdr:pic>
      <xdr:nvPicPr>
        <xdr:cNvPr id="899" name="Imagen 898">
          <a:extLst>
            <a:ext uri="{FF2B5EF4-FFF2-40B4-BE49-F238E27FC236}">
              <a16:creationId xmlns:a16="http://schemas.microsoft.com/office/drawing/2014/main" id="{2C2FE413-5767-45D0-ABCE-8E37409C426D}"/>
            </a:ext>
          </a:extLst>
        </xdr:cNvPr>
        <xdr:cNvPicPr>
          <a:picLocks noChangeAspect="1"/>
        </xdr:cNvPicPr>
      </xdr:nvPicPr>
      <xdr:blipFill rotWithShape="1">
        <a:blip xmlns:r="http://schemas.openxmlformats.org/officeDocument/2006/relationships" r:embed="rId110"/>
        <a:srcRect l="518" t="26456" r="1"/>
        <a:stretch/>
      </xdr:blipFill>
      <xdr:spPr>
        <a:xfrm>
          <a:off x="10477500" y="816752876"/>
          <a:ext cx="1777999" cy="2265177"/>
        </a:xfrm>
        <a:prstGeom prst="rect">
          <a:avLst/>
        </a:prstGeom>
      </xdr:spPr>
    </xdr:pic>
    <xdr:clientData/>
  </xdr:twoCellAnchor>
  <xdr:twoCellAnchor editAs="oneCell">
    <xdr:from>
      <xdr:col>8</xdr:col>
      <xdr:colOff>308246</xdr:colOff>
      <xdr:row>5327</xdr:row>
      <xdr:rowOff>79374</xdr:rowOff>
    </xdr:from>
    <xdr:to>
      <xdr:col>10</xdr:col>
      <xdr:colOff>618344</xdr:colOff>
      <xdr:row>5339</xdr:row>
      <xdr:rowOff>31750</xdr:rowOff>
    </xdr:to>
    <xdr:pic>
      <xdr:nvPicPr>
        <xdr:cNvPr id="902" name="Imagen 901">
          <a:extLst>
            <a:ext uri="{FF2B5EF4-FFF2-40B4-BE49-F238E27FC236}">
              <a16:creationId xmlns:a16="http://schemas.microsoft.com/office/drawing/2014/main" id="{10AB24D7-A052-488A-A1E7-2E88B749DD89}"/>
            </a:ext>
          </a:extLst>
        </xdr:cNvPr>
        <xdr:cNvPicPr>
          <a:picLocks noChangeAspect="1"/>
        </xdr:cNvPicPr>
      </xdr:nvPicPr>
      <xdr:blipFill>
        <a:blip xmlns:r="http://schemas.openxmlformats.org/officeDocument/2006/relationships" r:embed="rId111"/>
        <a:stretch>
          <a:fillRect/>
        </a:stretch>
      </xdr:blipFill>
      <xdr:spPr>
        <a:xfrm>
          <a:off x="8221934" y="872791624"/>
          <a:ext cx="1770598" cy="2238376"/>
        </a:xfrm>
        <a:prstGeom prst="rect">
          <a:avLst/>
        </a:prstGeom>
      </xdr:spPr>
    </xdr:pic>
    <xdr:clientData/>
  </xdr:twoCellAnchor>
  <xdr:twoCellAnchor editAs="oneCell">
    <xdr:from>
      <xdr:col>8</xdr:col>
      <xdr:colOff>150812</xdr:colOff>
      <xdr:row>5503</xdr:row>
      <xdr:rowOff>68221</xdr:rowOff>
    </xdr:from>
    <xdr:to>
      <xdr:col>10</xdr:col>
      <xdr:colOff>627062</xdr:colOff>
      <xdr:row>5515</xdr:row>
      <xdr:rowOff>111803</xdr:rowOff>
    </xdr:to>
    <xdr:pic>
      <xdr:nvPicPr>
        <xdr:cNvPr id="906" name="Imagen 905">
          <a:extLst>
            <a:ext uri="{FF2B5EF4-FFF2-40B4-BE49-F238E27FC236}">
              <a16:creationId xmlns:a16="http://schemas.microsoft.com/office/drawing/2014/main" id="{E7B904EA-7947-45FF-882E-B2CA67963F52}"/>
            </a:ext>
          </a:extLst>
        </xdr:cNvPr>
        <xdr:cNvPicPr>
          <a:picLocks noChangeAspect="1"/>
        </xdr:cNvPicPr>
      </xdr:nvPicPr>
      <xdr:blipFill>
        <a:blip xmlns:r="http://schemas.openxmlformats.org/officeDocument/2006/relationships" r:embed="rId112"/>
        <a:stretch>
          <a:fillRect/>
        </a:stretch>
      </xdr:blipFill>
      <xdr:spPr>
        <a:xfrm>
          <a:off x="8064500" y="908729409"/>
          <a:ext cx="1936750" cy="2329581"/>
        </a:xfrm>
        <a:prstGeom prst="rect">
          <a:avLst/>
        </a:prstGeom>
      </xdr:spPr>
    </xdr:pic>
    <xdr:clientData/>
  </xdr:twoCellAnchor>
  <xdr:twoCellAnchor editAs="oneCell">
    <xdr:from>
      <xdr:col>8</xdr:col>
      <xdr:colOff>127000</xdr:colOff>
      <xdr:row>5525</xdr:row>
      <xdr:rowOff>55562</xdr:rowOff>
    </xdr:from>
    <xdr:to>
      <xdr:col>10</xdr:col>
      <xdr:colOff>603250</xdr:colOff>
      <xdr:row>5537</xdr:row>
      <xdr:rowOff>99144</xdr:rowOff>
    </xdr:to>
    <xdr:pic>
      <xdr:nvPicPr>
        <xdr:cNvPr id="426" name="Imagen 425">
          <a:extLst>
            <a:ext uri="{FF2B5EF4-FFF2-40B4-BE49-F238E27FC236}">
              <a16:creationId xmlns:a16="http://schemas.microsoft.com/office/drawing/2014/main" id="{6C3A5DC1-081F-426A-8DCA-4B268200B908}"/>
            </a:ext>
          </a:extLst>
        </xdr:cNvPr>
        <xdr:cNvPicPr>
          <a:picLocks noChangeAspect="1"/>
        </xdr:cNvPicPr>
      </xdr:nvPicPr>
      <xdr:blipFill>
        <a:blip xmlns:r="http://schemas.openxmlformats.org/officeDocument/2006/relationships" r:embed="rId112"/>
        <a:stretch>
          <a:fillRect/>
        </a:stretch>
      </xdr:blipFill>
      <xdr:spPr>
        <a:xfrm>
          <a:off x="8040688" y="913614187"/>
          <a:ext cx="1936750" cy="2329581"/>
        </a:xfrm>
        <a:prstGeom prst="rect">
          <a:avLst/>
        </a:prstGeom>
      </xdr:spPr>
    </xdr:pic>
    <xdr:clientData/>
  </xdr:twoCellAnchor>
  <xdr:twoCellAnchor editAs="oneCell">
    <xdr:from>
      <xdr:col>8</xdr:col>
      <xdr:colOff>142875</xdr:colOff>
      <xdr:row>5547</xdr:row>
      <xdr:rowOff>119063</xdr:rowOff>
    </xdr:from>
    <xdr:to>
      <xdr:col>10</xdr:col>
      <xdr:colOff>619125</xdr:colOff>
      <xdr:row>5559</xdr:row>
      <xdr:rowOff>162643</xdr:rowOff>
    </xdr:to>
    <xdr:pic>
      <xdr:nvPicPr>
        <xdr:cNvPr id="427" name="Imagen 426">
          <a:extLst>
            <a:ext uri="{FF2B5EF4-FFF2-40B4-BE49-F238E27FC236}">
              <a16:creationId xmlns:a16="http://schemas.microsoft.com/office/drawing/2014/main" id="{3AABEA37-2236-4FEE-A0E2-CDE32E54CF41}"/>
            </a:ext>
          </a:extLst>
        </xdr:cNvPr>
        <xdr:cNvPicPr>
          <a:picLocks noChangeAspect="1"/>
        </xdr:cNvPicPr>
      </xdr:nvPicPr>
      <xdr:blipFill>
        <a:blip xmlns:r="http://schemas.openxmlformats.org/officeDocument/2006/relationships" r:embed="rId112"/>
        <a:stretch>
          <a:fillRect/>
        </a:stretch>
      </xdr:blipFill>
      <xdr:spPr>
        <a:xfrm>
          <a:off x="8056563" y="918424313"/>
          <a:ext cx="1936750" cy="2329581"/>
        </a:xfrm>
        <a:prstGeom prst="rect">
          <a:avLst/>
        </a:prstGeom>
      </xdr:spPr>
    </xdr:pic>
    <xdr:clientData/>
  </xdr:twoCellAnchor>
  <xdr:twoCellAnchor editAs="oneCell">
    <xdr:from>
      <xdr:col>8</xdr:col>
      <xdr:colOff>190500</xdr:colOff>
      <xdr:row>5569</xdr:row>
      <xdr:rowOff>111125</xdr:rowOff>
    </xdr:from>
    <xdr:to>
      <xdr:col>10</xdr:col>
      <xdr:colOff>666750</xdr:colOff>
      <xdr:row>5581</xdr:row>
      <xdr:rowOff>154705</xdr:rowOff>
    </xdr:to>
    <xdr:pic>
      <xdr:nvPicPr>
        <xdr:cNvPr id="428" name="Imagen 427">
          <a:extLst>
            <a:ext uri="{FF2B5EF4-FFF2-40B4-BE49-F238E27FC236}">
              <a16:creationId xmlns:a16="http://schemas.microsoft.com/office/drawing/2014/main" id="{4D6D7D91-98CB-4E40-A7BF-4CBDCCA6355E}"/>
            </a:ext>
          </a:extLst>
        </xdr:cNvPr>
        <xdr:cNvPicPr>
          <a:picLocks noChangeAspect="1"/>
        </xdr:cNvPicPr>
      </xdr:nvPicPr>
      <xdr:blipFill>
        <a:blip xmlns:r="http://schemas.openxmlformats.org/officeDocument/2006/relationships" r:embed="rId112"/>
        <a:stretch>
          <a:fillRect/>
        </a:stretch>
      </xdr:blipFill>
      <xdr:spPr>
        <a:xfrm>
          <a:off x="8104188" y="923139188"/>
          <a:ext cx="1936750" cy="2329581"/>
        </a:xfrm>
        <a:prstGeom prst="rect">
          <a:avLst/>
        </a:prstGeom>
      </xdr:spPr>
    </xdr:pic>
    <xdr:clientData/>
  </xdr:twoCellAnchor>
  <xdr:oneCellAnchor>
    <xdr:from>
      <xdr:col>1</xdr:col>
      <xdr:colOff>356347</xdr:colOff>
      <xdr:row>5697</xdr:row>
      <xdr:rowOff>55284</xdr:rowOff>
    </xdr:from>
    <xdr:ext cx="1333500" cy="371475"/>
    <xdr:pic>
      <xdr:nvPicPr>
        <xdr:cNvPr id="429" name="image57.jpg" descr="Logo CSJ RGB_01">
          <a:extLst>
            <a:ext uri="{FF2B5EF4-FFF2-40B4-BE49-F238E27FC236}">
              <a16:creationId xmlns:a16="http://schemas.microsoft.com/office/drawing/2014/main" id="{3E42E0E0-EA41-4CCA-93CC-97FE91DB9058}"/>
            </a:ext>
          </a:extLst>
        </xdr:cNvPr>
        <xdr:cNvPicPr preferRelativeResize="0"/>
      </xdr:nvPicPr>
      <xdr:blipFill>
        <a:blip xmlns:r="http://schemas.openxmlformats.org/officeDocument/2006/relationships" r:embed="rId48" cstate="print"/>
        <a:stretch>
          <a:fillRect/>
        </a:stretch>
      </xdr:blipFill>
      <xdr:spPr>
        <a:xfrm>
          <a:off x="689722" y="945149597"/>
          <a:ext cx="1333500" cy="371475"/>
        </a:xfrm>
        <a:prstGeom prst="rect">
          <a:avLst/>
        </a:prstGeom>
        <a:noFill/>
      </xdr:spPr>
    </xdr:pic>
    <xdr:clientData fLocksWithSheet="0"/>
  </xdr:oneCellAnchor>
  <xdr:oneCellAnchor>
    <xdr:from>
      <xdr:col>1</xdr:col>
      <xdr:colOff>356347</xdr:colOff>
      <xdr:row>5697</xdr:row>
      <xdr:rowOff>55284</xdr:rowOff>
    </xdr:from>
    <xdr:ext cx="1333500" cy="371475"/>
    <xdr:pic>
      <xdr:nvPicPr>
        <xdr:cNvPr id="430" name="image57.jpg" descr="Logo CSJ RGB_01">
          <a:extLst>
            <a:ext uri="{FF2B5EF4-FFF2-40B4-BE49-F238E27FC236}">
              <a16:creationId xmlns:a16="http://schemas.microsoft.com/office/drawing/2014/main" id="{94B0FD4D-E3D0-41C3-924B-A4C7F01463F2}"/>
            </a:ext>
          </a:extLst>
        </xdr:cNvPr>
        <xdr:cNvPicPr preferRelativeResize="0"/>
      </xdr:nvPicPr>
      <xdr:blipFill>
        <a:blip xmlns:r="http://schemas.openxmlformats.org/officeDocument/2006/relationships" r:embed="rId48" cstate="print"/>
        <a:stretch>
          <a:fillRect/>
        </a:stretch>
      </xdr:blipFill>
      <xdr:spPr>
        <a:xfrm>
          <a:off x="689722" y="945149597"/>
          <a:ext cx="1333500" cy="371475"/>
        </a:xfrm>
        <a:prstGeom prst="rect">
          <a:avLst/>
        </a:prstGeom>
        <a:noFill/>
      </xdr:spPr>
    </xdr:pic>
    <xdr:clientData fLocksWithSheet="0"/>
  </xdr:oneCellAnchor>
  <xdr:oneCellAnchor>
    <xdr:from>
      <xdr:col>1</xdr:col>
      <xdr:colOff>356347</xdr:colOff>
      <xdr:row>5719</xdr:row>
      <xdr:rowOff>55284</xdr:rowOff>
    </xdr:from>
    <xdr:ext cx="1333500" cy="371475"/>
    <xdr:pic>
      <xdr:nvPicPr>
        <xdr:cNvPr id="431" name="image57.jpg" descr="Logo CSJ RGB_01">
          <a:extLst>
            <a:ext uri="{FF2B5EF4-FFF2-40B4-BE49-F238E27FC236}">
              <a16:creationId xmlns:a16="http://schemas.microsoft.com/office/drawing/2014/main" id="{30B59401-E9B6-40E9-AB2F-8B6CBC36EEA4}"/>
            </a:ext>
          </a:extLst>
        </xdr:cNvPr>
        <xdr:cNvPicPr preferRelativeResize="0"/>
      </xdr:nvPicPr>
      <xdr:blipFill>
        <a:blip xmlns:r="http://schemas.openxmlformats.org/officeDocument/2006/relationships" r:embed="rId48" cstate="print"/>
        <a:stretch>
          <a:fillRect/>
        </a:stretch>
      </xdr:blipFill>
      <xdr:spPr>
        <a:xfrm>
          <a:off x="689722" y="945149597"/>
          <a:ext cx="1333500" cy="371475"/>
        </a:xfrm>
        <a:prstGeom prst="rect">
          <a:avLst/>
        </a:prstGeom>
        <a:noFill/>
      </xdr:spPr>
    </xdr:pic>
    <xdr:clientData fLocksWithSheet="0"/>
  </xdr:oneCellAnchor>
  <xdr:oneCellAnchor>
    <xdr:from>
      <xdr:col>1</xdr:col>
      <xdr:colOff>356347</xdr:colOff>
      <xdr:row>5719</xdr:row>
      <xdr:rowOff>55284</xdr:rowOff>
    </xdr:from>
    <xdr:ext cx="1333500" cy="371475"/>
    <xdr:pic>
      <xdr:nvPicPr>
        <xdr:cNvPr id="432" name="image57.jpg" descr="Logo CSJ RGB_01">
          <a:extLst>
            <a:ext uri="{FF2B5EF4-FFF2-40B4-BE49-F238E27FC236}">
              <a16:creationId xmlns:a16="http://schemas.microsoft.com/office/drawing/2014/main" id="{881412A8-E5FF-42CC-AD5E-753F5A85B67A}"/>
            </a:ext>
          </a:extLst>
        </xdr:cNvPr>
        <xdr:cNvPicPr preferRelativeResize="0"/>
      </xdr:nvPicPr>
      <xdr:blipFill>
        <a:blip xmlns:r="http://schemas.openxmlformats.org/officeDocument/2006/relationships" r:embed="rId48" cstate="print"/>
        <a:stretch>
          <a:fillRect/>
        </a:stretch>
      </xdr:blipFill>
      <xdr:spPr>
        <a:xfrm>
          <a:off x="689722" y="945149597"/>
          <a:ext cx="1333500" cy="371475"/>
        </a:xfrm>
        <a:prstGeom prst="rect">
          <a:avLst/>
        </a:prstGeom>
        <a:noFill/>
      </xdr:spPr>
    </xdr:pic>
    <xdr:clientData fLocksWithSheet="0"/>
  </xdr:oneCellAnchor>
  <xdr:oneCellAnchor>
    <xdr:from>
      <xdr:col>1</xdr:col>
      <xdr:colOff>356347</xdr:colOff>
      <xdr:row>5741</xdr:row>
      <xdr:rowOff>55284</xdr:rowOff>
    </xdr:from>
    <xdr:ext cx="1333500" cy="371475"/>
    <xdr:pic>
      <xdr:nvPicPr>
        <xdr:cNvPr id="451" name="image57.jpg" descr="Logo CSJ RGB_01">
          <a:extLst>
            <a:ext uri="{FF2B5EF4-FFF2-40B4-BE49-F238E27FC236}">
              <a16:creationId xmlns:a16="http://schemas.microsoft.com/office/drawing/2014/main" id="{4BB90E10-A262-44C0-B4C7-EB92ADC04B65}"/>
            </a:ext>
          </a:extLst>
        </xdr:cNvPr>
        <xdr:cNvPicPr preferRelativeResize="0"/>
      </xdr:nvPicPr>
      <xdr:blipFill>
        <a:blip xmlns:r="http://schemas.openxmlformats.org/officeDocument/2006/relationships" r:embed="rId48" cstate="print"/>
        <a:stretch>
          <a:fillRect/>
        </a:stretch>
      </xdr:blipFill>
      <xdr:spPr>
        <a:xfrm>
          <a:off x="689722" y="945149597"/>
          <a:ext cx="1333500" cy="371475"/>
        </a:xfrm>
        <a:prstGeom prst="rect">
          <a:avLst/>
        </a:prstGeom>
        <a:noFill/>
      </xdr:spPr>
    </xdr:pic>
    <xdr:clientData fLocksWithSheet="0"/>
  </xdr:oneCellAnchor>
  <xdr:oneCellAnchor>
    <xdr:from>
      <xdr:col>1</xdr:col>
      <xdr:colOff>356347</xdr:colOff>
      <xdr:row>5741</xdr:row>
      <xdr:rowOff>55284</xdr:rowOff>
    </xdr:from>
    <xdr:ext cx="1333500" cy="371475"/>
    <xdr:pic>
      <xdr:nvPicPr>
        <xdr:cNvPr id="488" name="image57.jpg" descr="Logo CSJ RGB_01">
          <a:extLst>
            <a:ext uri="{FF2B5EF4-FFF2-40B4-BE49-F238E27FC236}">
              <a16:creationId xmlns:a16="http://schemas.microsoft.com/office/drawing/2014/main" id="{04B2683A-733E-415F-A391-529C2389BB9D}"/>
            </a:ext>
          </a:extLst>
        </xdr:cNvPr>
        <xdr:cNvPicPr preferRelativeResize="0"/>
      </xdr:nvPicPr>
      <xdr:blipFill>
        <a:blip xmlns:r="http://schemas.openxmlformats.org/officeDocument/2006/relationships" r:embed="rId48" cstate="print"/>
        <a:stretch>
          <a:fillRect/>
        </a:stretch>
      </xdr:blipFill>
      <xdr:spPr>
        <a:xfrm>
          <a:off x="689722" y="945149597"/>
          <a:ext cx="1333500" cy="371475"/>
        </a:xfrm>
        <a:prstGeom prst="rect">
          <a:avLst/>
        </a:prstGeom>
        <a:noFill/>
      </xdr:spPr>
    </xdr:pic>
    <xdr:clientData fLocksWithSheet="0"/>
  </xdr:oneCellAnchor>
  <xdr:oneCellAnchor>
    <xdr:from>
      <xdr:col>1</xdr:col>
      <xdr:colOff>356347</xdr:colOff>
      <xdr:row>5763</xdr:row>
      <xdr:rowOff>55284</xdr:rowOff>
    </xdr:from>
    <xdr:ext cx="1333500" cy="371475"/>
    <xdr:pic>
      <xdr:nvPicPr>
        <xdr:cNvPr id="489" name="image57.jpg" descr="Logo CSJ RGB_01">
          <a:extLst>
            <a:ext uri="{FF2B5EF4-FFF2-40B4-BE49-F238E27FC236}">
              <a16:creationId xmlns:a16="http://schemas.microsoft.com/office/drawing/2014/main" id="{86941665-7D93-446B-A2A2-820176048AF7}"/>
            </a:ext>
          </a:extLst>
        </xdr:cNvPr>
        <xdr:cNvPicPr preferRelativeResize="0"/>
      </xdr:nvPicPr>
      <xdr:blipFill>
        <a:blip xmlns:r="http://schemas.openxmlformats.org/officeDocument/2006/relationships" r:embed="rId48" cstate="print"/>
        <a:stretch>
          <a:fillRect/>
        </a:stretch>
      </xdr:blipFill>
      <xdr:spPr>
        <a:xfrm>
          <a:off x="689722" y="945149597"/>
          <a:ext cx="1333500" cy="371475"/>
        </a:xfrm>
        <a:prstGeom prst="rect">
          <a:avLst/>
        </a:prstGeom>
        <a:noFill/>
      </xdr:spPr>
    </xdr:pic>
    <xdr:clientData fLocksWithSheet="0"/>
  </xdr:oneCellAnchor>
  <xdr:oneCellAnchor>
    <xdr:from>
      <xdr:col>1</xdr:col>
      <xdr:colOff>356347</xdr:colOff>
      <xdr:row>5763</xdr:row>
      <xdr:rowOff>55284</xdr:rowOff>
    </xdr:from>
    <xdr:ext cx="1333500" cy="371475"/>
    <xdr:pic>
      <xdr:nvPicPr>
        <xdr:cNvPr id="491" name="image57.jpg" descr="Logo CSJ RGB_01">
          <a:extLst>
            <a:ext uri="{FF2B5EF4-FFF2-40B4-BE49-F238E27FC236}">
              <a16:creationId xmlns:a16="http://schemas.microsoft.com/office/drawing/2014/main" id="{41E1D223-EE0D-4EF1-ABA9-D778B3EBBB53}"/>
            </a:ext>
          </a:extLst>
        </xdr:cNvPr>
        <xdr:cNvPicPr preferRelativeResize="0"/>
      </xdr:nvPicPr>
      <xdr:blipFill>
        <a:blip xmlns:r="http://schemas.openxmlformats.org/officeDocument/2006/relationships" r:embed="rId48" cstate="print"/>
        <a:stretch>
          <a:fillRect/>
        </a:stretch>
      </xdr:blipFill>
      <xdr:spPr>
        <a:xfrm>
          <a:off x="689722" y="945149597"/>
          <a:ext cx="1333500" cy="371475"/>
        </a:xfrm>
        <a:prstGeom prst="rect">
          <a:avLst/>
        </a:prstGeom>
        <a:noFill/>
      </xdr:spPr>
    </xdr:pic>
    <xdr:clientData fLocksWithSheet="0"/>
  </xdr:oneCellAnchor>
  <xdr:oneCellAnchor>
    <xdr:from>
      <xdr:col>1</xdr:col>
      <xdr:colOff>356347</xdr:colOff>
      <xdr:row>5785</xdr:row>
      <xdr:rowOff>55284</xdr:rowOff>
    </xdr:from>
    <xdr:ext cx="1333500" cy="371475"/>
    <xdr:pic>
      <xdr:nvPicPr>
        <xdr:cNvPr id="492" name="image57.jpg" descr="Logo CSJ RGB_01">
          <a:extLst>
            <a:ext uri="{FF2B5EF4-FFF2-40B4-BE49-F238E27FC236}">
              <a16:creationId xmlns:a16="http://schemas.microsoft.com/office/drawing/2014/main" id="{34A7456B-ABC1-4ECD-973F-4AFE0C0D7911}"/>
            </a:ext>
          </a:extLst>
        </xdr:cNvPr>
        <xdr:cNvPicPr preferRelativeResize="0"/>
      </xdr:nvPicPr>
      <xdr:blipFill>
        <a:blip xmlns:r="http://schemas.openxmlformats.org/officeDocument/2006/relationships" r:embed="rId48" cstate="print"/>
        <a:stretch>
          <a:fillRect/>
        </a:stretch>
      </xdr:blipFill>
      <xdr:spPr>
        <a:xfrm>
          <a:off x="689722" y="964564722"/>
          <a:ext cx="1333500" cy="371475"/>
        </a:xfrm>
        <a:prstGeom prst="rect">
          <a:avLst/>
        </a:prstGeom>
        <a:noFill/>
      </xdr:spPr>
    </xdr:pic>
    <xdr:clientData fLocksWithSheet="0"/>
  </xdr:oneCellAnchor>
  <xdr:oneCellAnchor>
    <xdr:from>
      <xdr:col>1</xdr:col>
      <xdr:colOff>356347</xdr:colOff>
      <xdr:row>5785</xdr:row>
      <xdr:rowOff>55284</xdr:rowOff>
    </xdr:from>
    <xdr:ext cx="1333500" cy="371475"/>
    <xdr:pic>
      <xdr:nvPicPr>
        <xdr:cNvPr id="493" name="image57.jpg" descr="Logo CSJ RGB_01">
          <a:extLst>
            <a:ext uri="{FF2B5EF4-FFF2-40B4-BE49-F238E27FC236}">
              <a16:creationId xmlns:a16="http://schemas.microsoft.com/office/drawing/2014/main" id="{FD2C34D0-C9EB-48C3-B9D1-25FD076E4D10}"/>
            </a:ext>
          </a:extLst>
        </xdr:cNvPr>
        <xdr:cNvPicPr preferRelativeResize="0"/>
      </xdr:nvPicPr>
      <xdr:blipFill>
        <a:blip xmlns:r="http://schemas.openxmlformats.org/officeDocument/2006/relationships" r:embed="rId48" cstate="print"/>
        <a:stretch>
          <a:fillRect/>
        </a:stretch>
      </xdr:blipFill>
      <xdr:spPr>
        <a:xfrm>
          <a:off x="689722" y="964564722"/>
          <a:ext cx="1333500" cy="371475"/>
        </a:xfrm>
        <a:prstGeom prst="rect">
          <a:avLst/>
        </a:prstGeom>
        <a:noFill/>
      </xdr:spPr>
    </xdr:pic>
    <xdr:clientData fLocksWithSheet="0"/>
  </xdr:oneCellAnchor>
  <xdr:oneCellAnchor>
    <xdr:from>
      <xdr:col>1</xdr:col>
      <xdr:colOff>356347</xdr:colOff>
      <xdr:row>5807</xdr:row>
      <xdr:rowOff>55284</xdr:rowOff>
    </xdr:from>
    <xdr:ext cx="1333500" cy="371475"/>
    <xdr:pic>
      <xdr:nvPicPr>
        <xdr:cNvPr id="494" name="image57.jpg" descr="Logo CSJ RGB_01">
          <a:extLst>
            <a:ext uri="{FF2B5EF4-FFF2-40B4-BE49-F238E27FC236}">
              <a16:creationId xmlns:a16="http://schemas.microsoft.com/office/drawing/2014/main" id="{1C30EB3F-AF0C-48C2-9F16-9FC62028BC24}"/>
            </a:ext>
          </a:extLst>
        </xdr:cNvPr>
        <xdr:cNvPicPr preferRelativeResize="0"/>
      </xdr:nvPicPr>
      <xdr:blipFill>
        <a:blip xmlns:r="http://schemas.openxmlformats.org/officeDocument/2006/relationships" r:embed="rId48" cstate="print"/>
        <a:stretch>
          <a:fillRect/>
        </a:stretch>
      </xdr:blipFill>
      <xdr:spPr>
        <a:xfrm>
          <a:off x="689722" y="964564722"/>
          <a:ext cx="1333500" cy="371475"/>
        </a:xfrm>
        <a:prstGeom prst="rect">
          <a:avLst/>
        </a:prstGeom>
        <a:noFill/>
      </xdr:spPr>
    </xdr:pic>
    <xdr:clientData fLocksWithSheet="0"/>
  </xdr:oneCellAnchor>
  <xdr:oneCellAnchor>
    <xdr:from>
      <xdr:col>1</xdr:col>
      <xdr:colOff>356347</xdr:colOff>
      <xdr:row>5807</xdr:row>
      <xdr:rowOff>55284</xdr:rowOff>
    </xdr:from>
    <xdr:ext cx="1333500" cy="371475"/>
    <xdr:pic>
      <xdr:nvPicPr>
        <xdr:cNvPr id="495" name="image57.jpg" descr="Logo CSJ RGB_01">
          <a:extLst>
            <a:ext uri="{FF2B5EF4-FFF2-40B4-BE49-F238E27FC236}">
              <a16:creationId xmlns:a16="http://schemas.microsoft.com/office/drawing/2014/main" id="{06D4AAD7-3545-429E-B9AF-B121613ED74A}"/>
            </a:ext>
          </a:extLst>
        </xdr:cNvPr>
        <xdr:cNvPicPr preferRelativeResize="0"/>
      </xdr:nvPicPr>
      <xdr:blipFill>
        <a:blip xmlns:r="http://schemas.openxmlformats.org/officeDocument/2006/relationships" r:embed="rId48" cstate="print"/>
        <a:stretch>
          <a:fillRect/>
        </a:stretch>
      </xdr:blipFill>
      <xdr:spPr>
        <a:xfrm>
          <a:off x="689722" y="964564722"/>
          <a:ext cx="1333500" cy="371475"/>
        </a:xfrm>
        <a:prstGeom prst="rect">
          <a:avLst/>
        </a:prstGeom>
        <a:noFill/>
      </xdr:spPr>
    </xdr:pic>
    <xdr:clientData fLocksWithSheet="0"/>
  </xdr:oneCellAnchor>
  <xdr:oneCellAnchor>
    <xdr:from>
      <xdr:col>1</xdr:col>
      <xdr:colOff>356347</xdr:colOff>
      <xdr:row>5829</xdr:row>
      <xdr:rowOff>55284</xdr:rowOff>
    </xdr:from>
    <xdr:ext cx="1333500" cy="371475"/>
    <xdr:pic>
      <xdr:nvPicPr>
        <xdr:cNvPr id="496" name="image57.jpg" descr="Logo CSJ RGB_01">
          <a:extLst>
            <a:ext uri="{FF2B5EF4-FFF2-40B4-BE49-F238E27FC236}">
              <a16:creationId xmlns:a16="http://schemas.microsoft.com/office/drawing/2014/main" id="{5FF30281-9AD9-483D-A90D-5EC63F10F575}"/>
            </a:ext>
          </a:extLst>
        </xdr:cNvPr>
        <xdr:cNvPicPr preferRelativeResize="0"/>
      </xdr:nvPicPr>
      <xdr:blipFill>
        <a:blip xmlns:r="http://schemas.openxmlformats.org/officeDocument/2006/relationships" r:embed="rId48" cstate="print"/>
        <a:stretch>
          <a:fillRect/>
        </a:stretch>
      </xdr:blipFill>
      <xdr:spPr>
        <a:xfrm>
          <a:off x="689722" y="964564722"/>
          <a:ext cx="1333500" cy="371475"/>
        </a:xfrm>
        <a:prstGeom prst="rect">
          <a:avLst/>
        </a:prstGeom>
        <a:noFill/>
      </xdr:spPr>
    </xdr:pic>
    <xdr:clientData fLocksWithSheet="0"/>
  </xdr:oneCellAnchor>
  <xdr:oneCellAnchor>
    <xdr:from>
      <xdr:col>1</xdr:col>
      <xdr:colOff>356347</xdr:colOff>
      <xdr:row>5829</xdr:row>
      <xdr:rowOff>55284</xdr:rowOff>
    </xdr:from>
    <xdr:ext cx="1333500" cy="371475"/>
    <xdr:pic>
      <xdr:nvPicPr>
        <xdr:cNvPr id="497" name="image57.jpg" descr="Logo CSJ RGB_01">
          <a:extLst>
            <a:ext uri="{FF2B5EF4-FFF2-40B4-BE49-F238E27FC236}">
              <a16:creationId xmlns:a16="http://schemas.microsoft.com/office/drawing/2014/main" id="{162579DD-A7D9-4F85-88CA-82E70CC6B827}"/>
            </a:ext>
          </a:extLst>
        </xdr:cNvPr>
        <xdr:cNvPicPr preferRelativeResize="0"/>
      </xdr:nvPicPr>
      <xdr:blipFill>
        <a:blip xmlns:r="http://schemas.openxmlformats.org/officeDocument/2006/relationships" r:embed="rId48" cstate="print"/>
        <a:stretch>
          <a:fillRect/>
        </a:stretch>
      </xdr:blipFill>
      <xdr:spPr>
        <a:xfrm>
          <a:off x="689722" y="964564722"/>
          <a:ext cx="1333500" cy="371475"/>
        </a:xfrm>
        <a:prstGeom prst="rect">
          <a:avLst/>
        </a:prstGeom>
        <a:noFill/>
      </xdr:spPr>
    </xdr:pic>
    <xdr:clientData fLocksWithSheet="0"/>
  </xdr:oneCellAnchor>
  <xdr:oneCellAnchor>
    <xdr:from>
      <xdr:col>1</xdr:col>
      <xdr:colOff>356347</xdr:colOff>
      <xdr:row>5851</xdr:row>
      <xdr:rowOff>55284</xdr:rowOff>
    </xdr:from>
    <xdr:ext cx="1333500" cy="371475"/>
    <xdr:pic>
      <xdr:nvPicPr>
        <xdr:cNvPr id="498" name="image57.jpg" descr="Logo CSJ RGB_01">
          <a:extLst>
            <a:ext uri="{FF2B5EF4-FFF2-40B4-BE49-F238E27FC236}">
              <a16:creationId xmlns:a16="http://schemas.microsoft.com/office/drawing/2014/main" id="{3DB6C051-2ABF-42E7-83E6-40B4D583E46B}"/>
            </a:ext>
          </a:extLst>
        </xdr:cNvPr>
        <xdr:cNvPicPr preferRelativeResize="0"/>
      </xdr:nvPicPr>
      <xdr:blipFill>
        <a:blip xmlns:r="http://schemas.openxmlformats.org/officeDocument/2006/relationships" r:embed="rId48" cstate="print"/>
        <a:stretch>
          <a:fillRect/>
        </a:stretch>
      </xdr:blipFill>
      <xdr:spPr>
        <a:xfrm>
          <a:off x="689722" y="964564722"/>
          <a:ext cx="1333500" cy="371475"/>
        </a:xfrm>
        <a:prstGeom prst="rect">
          <a:avLst/>
        </a:prstGeom>
        <a:noFill/>
      </xdr:spPr>
    </xdr:pic>
    <xdr:clientData fLocksWithSheet="0"/>
  </xdr:oneCellAnchor>
  <xdr:oneCellAnchor>
    <xdr:from>
      <xdr:col>1</xdr:col>
      <xdr:colOff>356347</xdr:colOff>
      <xdr:row>5851</xdr:row>
      <xdr:rowOff>55284</xdr:rowOff>
    </xdr:from>
    <xdr:ext cx="1333500" cy="371475"/>
    <xdr:pic>
      <xdr:nvPicPr>
        <xdr:cNvPr id="499" name="image57.jpg" descr="Logo CSJ RGB_01">
          <a:extLst>
            <a:ext uri="{FF2B5EF4-FFF2-40B4-BE49-F238E27FC236}">
              <a16:creationId xmlns:a16="http://schemas.microsoft.com/office/drawing/2014/main" id="{B32A2E94-4727-4141-87B1-97AF9D6D1ADA}"/>
            </a:ext>
          </a:extLst>
        </xdr:cNvPr>
        <xdr:cNvPicPr preferRelativeResize="0"/>
      </xdr:nvPicPr>
      <xdr:blipFill>
        <a:blip xmlns:r="http://schemas.openxmlformats.org/officeDocument/2006/relationships" r:embed="rId48" cstate="print"/>
        <a:stretch>
          <a:fillRect/>
        </a:stretch>
      </xdr:blipFill>
      <xdr:spPr>
        <a:xfrm>
          <a:off x="689722" y="964564722"/>
          <a:ext cx="1333500" cy="371475"/>
        </a:xfrm>
        <a:prstGeom prst="rect">
          <a:avLst/>
        </a:prstGeom>
        <a:noFill/>
      </xdr:spPr>
    </xdr:pic>
    <xdr:clientData fLocksWithSheet="0"/>
  </xdr:oneCellAnchor>
  <xdr:oneCellAnchor>
    <xdr:from>
      <xdr:col>1</xdr:col>
      <xdr:colOff>356347</xdr:colOff>
      <xdr:row>5873</xdr:row>
      <xdr:rowOff>55284</xdr:rowOff>
    </xdr:from>
    <xdr:ext cx="1333500" cy="371475"/>
    <xdr:pic>
      <xdr:nvPicPr>
        <xdr:cNvPr id="500" name="image57.jpg" descr="Logo CSJ RGB_01">
          <a:extLst>
            <a:ext uri="{FF2B5EF4-FFF2-40B4-BE49-F238E27FC236}">
              <a16:creationId xmlns:a16="http://schemas.microsoft.com/office/drawing/2014/main" id="{2447B902-370A-4EFB-9EDE-2229A27061F4}"/>
            </a:ext>
          </a:extLst>
        </xdr:cNvPr>
        <xdr:cNvPicPr preferRelativeResize="0"/>
      </xdr:nvPicPr>
      <xdr:blipFill>
        <a:blip xmlns:r="http://schemas.openxmlformats.org/officeDocument/2006/relationships" r:embed="rId48" cstate="print"/>
        <a:stretch>
          <a:fillRect/>
        </a:stretch>
      </xdr:blipFill>
      <xdr:spPr>
        <a:xfrm>
          <a:off x="689722" y="964564722"/>
          <a:ext cx="1333500" cy="371475"/>
        </a:xfrm>
        <a:prstGeom prst="rect">
          <a:avLst/>
        </a:prstGeom>
        <a:noFill/>
      </xdr:spPr>
    </xdr:pic>
    <xdr:clientData fLocksWithSheet="0"/>
  </xdr:oneCellAnchor>
  <xdr:oneCellAnchor>
    <xdr:from>
      <xdr:col>1</xdr:col>
      <xdr:colOff>356347</xdr:colOff>
      <xdr:row>5873</xdr:row>
      <xdr:rowOff>55284</xdr:rowOff>
    </xdr:from>
    <xdr:ext cx="1333500" cy="371475"/>
    <xdr:pic>
      <xdr:nvPicPr>
        <xdr:cNvPr id="501" name="image57.jpg" descr="Logo CSJ RGB_01">
          <a:extLst>
            <a:ext uri="{FF2B5EF4-FFF2-40B4-BE49-F238E27FC236}">
              <a16:creationId xmlns:a16="http://schemas.microsoft.com/office/drawing/2014/main" id="{B02EFF0B-CDB0-427E-9F69-CA9B151AE753}"/>
            </a:ext>
          </a:extLst>
        </xdr:cNvPr>
        <xdr:cNvPicPr preferRelativeResize="0"/>
      </xdr:nvPicPr>
      <xdr:blipFill>
        <a:blip xmlns:r="http://schemas.openxmlformats.org/officeDocument/2006/relationships" r:embed="rId48" cstate="print"/>
        <a:stretch>
          <a:fillRect/>
        </a:stretch>
      </xdr:blipFill>
      <xdr:spPr>
        <a:xfrm>
          <a:off x="689722" y="964564722"/>
          <a:ext cx="1333500" cy="371475"/>
        </a:xfrm>
        <a:prstGeom prst="rect">
          <a:avLst/>
        </a:prstGeom>
        <a:noFill/>
      </xdr:spPr>
    </xdr:pic>
    <xdr:clientData fLocksWithSheet="0"/>
  </xdr:oneCellAnchor>
  <xdr:oneCellAnchor>
    <xdr:from>
      <xdr:col>1</xdr:col>
      <xdr:colOff>326582</xdr:colOff>
      <xdr:row>5896</xdr:row>
      <xdr:rowOff>128985</xdr:rowOff>
    </xdr:from>
    <xdr:ext cx="1333500" cy="371475"/>
    <xdr:pic>
      <xdr:nvPicPr>
        <xdr:cNvPr id="502" name="image57.jpg" descr="Logo CSJ RGB_01">
          <a:extLst>
            <a:ext uri="{FF2B5EF4-FFF2-40B4-BE49-F238E27FC236}">
              <a16:creationId xmlns:a16="http://schemas.microsoft.com/office/drawing/2014/main" id="{596A65A7-BB27-4CD8-BF3D-6DB7E529D373}"/>
            </a:ext>
          </a:extLst>
        </xdr:cNvPr>
        <xdr:cNvPicPr preferRelativeResize="0"/>
      </xdr:nvPicPr>
      <xdr:blipFill>
        <a:blip xmlns:r="http://schemas.openxmlformats.org/officeDocument/2006/relationships" r:embed="rId48" cstate="print"/>
        <a:stretch>
          <a:fillRect/>
        </a:stretch>
      </xdr:blipFill>
      <xdr:spPr>
        <a:xfrm>
          <a:off x="654004" y="993963516"/>
          <a:ext cx="1333500" cy="371475"/>
        </a:xfrm>
        <a:prstGeom prst="rect">
          <a:avLst/>
        </a:prstGeom>
        <a:noFill/>
      </xdr:spPr>
    </xdr:pic>
    <xdr:clientData fLocksWithSheet="0"/>
  </xdr:oneCellAnchor>
  <xdr:twoCellAnchor editAs="oneCell">
    <xdr:from>
      <xdr:col>8</xdr:col>
      <xdr:colOff>103186</xdr:colOff>
      <xdr:row>5745</xdr:row>
      <xdr:rowOff>85458</xdr:rowOff>
    </xdr:from>
    <xdr:to>
      <xdr:col>10</xdr:col>
      <xdr:colOff>23813</xdr:colOff>
      <xdr:row>5754</xdr:row>
      <xdr:rowOff>100595</xdr:rowOff>
    </xdr:to>
    <xdr:pic>
      <xdr:nvPicPr>
        <xdr:cNvPr id="945" name="Imagen 944">
          <a:extLst>
            <a:ext uri="{FF2B5EF4-FFF2-40B4-BE49-F238E27FC236}">
              <a16:creationId xmlns:a16="http://schemas.microsoft.com/office/drawing/2014/main" id="{E8C64DE8-1DE7-4878-8253-98C91691B8FF}"/>
            </a:ext>
          </a:extLst>
        </xdr:cNvPr>
        <xdr:cNvPicPr>
          <a:picLocks noChangeAspect="1"/>
        </xdr:cNvPicPr>
      </xdr:nvPicPr>
      <xdr:blipFill>
        <a:blip xmlns:r="http://schemas.openxmlformats.org/officeDocument/2006/relationships" r:embed="rId113"/>
        <a:stretch>
          <a:fillRect/>
        </a:stretch>
      </xdr:blipFill>
      <xdr:spPr>
        <a:xfrm>
          <a:off x="8024811" y="897530958"/>
          <a:ext cx="1381127" cy="1729637"/>
        </a:xfrm>
        <a:prstGeom prst="rect">
          <a:avLst/>
        </a:prstGeom>
      </xdr:spPr>
    </xdr:pic>
    <xdr:clientData/>
  </xdr:twoCellAnchor>
  <xdr:twoCellAnchor editAs="oneCell">
    <xdr:from>
      <xdr:col>8</xdr:col>
      <xdr:colOff>142875</xdr:colOff>
      <xdr:row>5811</xdr:row>
      <xdr:rowOff>119063</xdr:rowOff>
    </xdr:from>
    <xdr:to>
      <xdr:col>10</xdr:col>
      <xdr:colOff>647751</xdr:colOff>
      <xdr:row>5824</xdr:row>
      <xdr:rowOff>14944</xdr:rowOff>
    </xdr:to>
    <xdr:pic>
      <xdr:nvPicPr>
        <xdr:cNvPr id="953" name="Imagen 952">
          <a:extLst>
            <a:ext uri="{FF2B5EF4-FFF2-40B4-BE49-F238E27FC236}">
              <a16:creationId xmlns:a16="http://schemas.microsoft.com/office/drawing/2014/main" id="{F805F90E-58E0-46A8-A3CA-851164F0B027}"/>
            </a:ext>
          </a:extLst>
        </xdr:cNvPr>
        <xdr:cNvPicPr>
          <a:picLocks noChangeAspect="1"/>
        </xdr:cNvPicPr>
      </xdr:nvPicPr>
      <xdr:blipFill>
        <a:blip xmlns:r="http://schemas.openxmlformats.org/officeDocument/2006/relationships" r:embed="rId114"/>
        <a:stretch>
          <a:fillRect/>
        </a:stretch>
      </xdr:blipFill>
      <xdr:spPr>
        <a:xfrm>
          <a:off x="8056563" y="975860063"/>
          <a:ext cx="1965376" cy="2451757"/>
        </a:xfrm>
        <a:prstGeom prst="rect">
          <a:avLst/>
        </a:prstGeom>
      </xdr:spPr>
    </xdr:pic>
    <xdr:clientData/>
  </xdr:twoCellAnchor>
  <xdr:twoCellAnchor editAs="oneCell">
    <xdr:from>
      <xdr:col>11</xdr:col>
      <xdr:colOff>55563</xdr:colOff>
      <xdr:row>5811</xdr:row>
      <xdr:rowOff>95249</xdr:rowOff>
    </xdr:from>
    <xdr:to>
      <xdr:col>13</xdr:col>
      <xdr:colOff>565566</xdr:colOff>
      <xdr:row>5823</xdr:row>
      <xdr:rowOff>92841</xdr:rowOff>
    </xdr:to>
    <xdr:pic>
      <xdr:nvPicPr>
        <xdr:cNvPr id="959" name="Imagen 958">
          <a:extLst>
            <a:ext uri="{FF2B5EF4-FFF2-40B4-BE49-F238E27FC236}">
              <a16:creationId xmlns:a16="http://schemas.microsoft.com/office/drawing/2014/main" id="{8F76A35D-9B38-4402-BCFB-8B17EA104CDE}"/>
            </a:ext>
          </a:extLst>
        </xdr:cNvPr>
        <xdr:cNvPicPr>
          <a:picLocks noChangeAspect="1"/>
        </xdr:cNvPicPr>
      </xdr:nvPicPr>
      <xdr:blipFill>
        <a:blip xmlns:r="http://schemas.openxmlformats.org/officeDocument/2006/relationships" r:embed="rId115"/>
        <a:stretch>
          <a:fillRect/>
        </a:stretch>
      </xdr:blipFill>
      <xdr:spPr>
        <a:xfrm>
          <a:off x="10223501" y="975836249"/>
          <a:ext cx="1970503" cy="2362967"/>
        </a:xfrm>
        <a:prstGeom prst="rect">
          <a:avLst/>
        </a:prstGeom>
      </xdr:spPr>
    </xdr:pic>
    <xdr:clientData/>
  </xdr:twoCellAnchor>
  <xdr:twoCellAnchor editAs="oneCell">
    <xdr:from>
      <xdr:col>11</xdr:col>
      <xdr:colOff>63499</xdr:colOff>
      <xdr:row>5745</xdr:row>
      <xdr:rowOff>120355</xdr:rowOff>
    </xdr:from>
    <xdr:to>
      <xdr:col>13</xdr:col>
      <xdr:colOff>627062</xdr:colOff>
      <xdr:row>5757</xdr:row>
      <xdr:rowOff>110116</xdr:rowOff>
    </xdr:to>
    <xdr:pic>
      <xdr:nvPicPr>
        <xdr:cNvPr id="517" name="Imagen 516">
          <a:extLst>
            <a:ext uri="{FF2B5EF4-FFF2-40B4-BE49-F238E27FC236}">
              <a16:creationId xmlns:a16="http://schemas.microsoft.com/office/drawing/2014/main" id="{186C74A5-FC13-4F80-A59F-0A58115F35C1}"/>
            </a:ext>
          </a:extLst>
        </xdr:cNvPr>
        <xdr:cNvPicPr>
          <a:picLocks noChangeAspect="1"/>
        </xdr:cNvPicPr>
      </xdr:nvPicPr>
      <xdr:blipFill>
        <a:blip xmlns:r="http://schemas.openxmlformats.org/officeDocument/2006/relationships" r:embed="rId116"/>
        <a:stretch>
          <a:fillRect/>
        </a:stretch>
      </xdr:blipFill>
      <xdr:spPr>
        <a:xfrm>
          <a:off x="10231437" y="961200793"/>
          <a:ext cx="2024063" cy="2275760"/>
        </a:xfrm>
        <a:prstGeom prst="rect">
          <a:avLst/>
        </a:prstGeom>
      </xdr:spPr>
    </xdr:pic>
    <xdr:clientData/>
  </xdr:twoCellAnchor>
  <xdr:twoCellAnchor editAs="oneCell">
    <xdr:from>
      <xdr:col>8</xdr:col>
      <xdr:colOff>111125</xdr:colOff>
      <xdr:row>5833</xdr:row>
      <xdr:rowOff>47625</xdr:rowOff>
    </xdr:from>
    <xdr:to>
      <xdr:col>10</xdr:col>
      <xdr:colOff>616001</xdr:colOff>
      <xdr:row>5846</xdr:row>
      <xdr:rowOff>22883</xdr:rowOff>
    </xdr:to>
    <xdr:pic>
      <xdr:nvPicPr>
        <xdr:cNvPr id="518" name="Imagen 517">
          <a:extLst>
            <a:ext uri="{FF2B5EF4-FFF2-40B4-BE49-F238E27FC236}">
              <a16:creationId xmlns:a16="http://schemas.microsoft.com/office/drawing/2014/main" id="{9059D152-AE59-43B5-B882-E4E99077FC14}"/>
            </a:ext>
          </a:extLst>
        </xdr:cNvPr>
        <xdr:cNvPicPr>
          <a:picLocks noChangeAspect="1"/>
        </xdr:cNvPicPr>
      </xdr:nvPicPr>
      <xdr:blipFill>
        <a:blip xmlns:r="http://schemas.openxmlformats.org/officeDocument/2006/relationships" r:embed="rId114"/>
        <a:stretch>
          <a:fillRect/>
        </a:stretch>
      </xdr:blipFill>
      <xdr:spPr>
        <a:xfrm>
          <a:off x="8024813" y="980432063"/>
          <a:ext cx="1965376" cy="2451757"/>
        </a:xfrm>
        <a:prstGeom prst="rect">
          <a:avLst/>
        </a:prstGeom>
      </xdr:spPr>
    </xdr:pic>
    <xdr:clientData/>
  </xdr:twoCellAnchor>
  <xdr:twoCellAnchor editAs="oneCell">
    <xdr:from>
      <xdr:col>11</xdr:col>
      <xdr:colOff>166687</xdr:colOff>
      <xdr:row>5833</xdr:row>
      <xdr:rowOff>39688</xdr:rowOff>
    </xdr:from>
    <xdr:to>
      <xdr:col>13</xdr:col>
      <xdr:colOff>676690</xdr:colOff>
      <xdr:row>5845</xdr:row>
      <xdr:rowOff>116656</xdr:rowOff>
    </xdr:to>
    <xdr:pic>
      <xdr:nvPicPr>
        <xdr:cNvPr id="519" name="Imagen 518">
          <a:extLst>
            <a:ext uri="{FF2B5EF4-FFF2-40B4-BE49-F238E27FC236}">
              <a16:creationId xmlns:a16="http://schemas.microsoft.com/office/drawing/2014/main" id="{9C5BA688-AAA6-44AE-BEEC-CC44C7516915}"/>
            </a:ext>
          </a:extLst>
        </xdr:cNvPr>
        <xdr:cNvPicPr>
          <a:picLocks noChangeAspect="1"/>
        </xdr:cNvPicPr>
      </xdr:nvPicPr>
      <xdr:blipFill>
        <a:blip xmlns:r="http://schemas.openxmlformats.org/officeDocument/2006/relationships" r:embed="rId115"/>
        <a:stretch>
          <a:fillRect/>
        </a:stretch>
      </xdr:blipFill>
      <xdr:spPr>
        <a:xfrm>
          <a:off x="10334625" y="980424126"/>
          <a:ext cx="1970503" cy="2362967"/>
        </a:xfrm>
        <a:prstGeom prst="rect">
          <a:avLst/>
        </a:prstGeom>
      </xdr:spPr>
    </xdr:pic>
    <xdr:clientData/>
  </xdr:twoCellAnchor>
  <xdr:twoCellAnchor editAs="oneCell">
    <xdr:from>
      <xdr:col>11</xdr:col>
      <xdr:colOff>79375</xdr:colOff>
      <xdr:row>5855</xdr:row>
      <xdr:rowOff>55563</xdr:rowOff>
    </xdr:from>
    <xdr:to>
      <xdr:col>13</xdr:col>
      <xdr:colOff>642938</xdr:colOff>
      <xdr:row>5867</xdr:row>
      <xdr:rowOff>45323</xdr:rowOff>
    </xdr:to>
    <xdr:pic>
      <xdr:nvPicPr>
        <xdr:cNvPr id="522" name="Imagen 521">
          <a:extLst>
            <a:ext uri="{FF2B5EF4-FFF2-40B4-BE49-F238E27FC236}">
              <a16:creationId xmlns:a16="http://schemas.microsoft.com/office/drawing/2014/main" id="{B091EAC9-24C8-41E6-9CC5-D78E2DED725D}"/>
            </a:ext>
          </a:extLst>
        </xdr:cNvPr>
        <xdr:cNvPicPr>
          <a:picLocks noChangeAspect="1"/>
        </xdr:cNvPicPr>
      </xdr:nvPicPr>
      <xdr:blipFill>
        <a:blip xmlns:r="http://schemas.openxmlformats.org/officeDocument/2006/relationships" r:embed="rId116"/>
        <a:stretch>
          <a:fillRect/>
        </a:stretch>
      </xdr:blipFill>
      <xdr:spPr>
        <a:xfrm>
          <a:off x="10247313" y="985027876"/>
          <a:ext cx="2024063" cy="2275760"/>
        </a:xfrm>
        <a:prstGeom prst="rect">
          <a:avLst/>
        </a:prstGeom>
      </xdr:spPr>
    </xdr:pic>
    <xdr:clientData/>
  </xdr:twoCellAnchor>
  <xdr:twoCellAnchor editAs="oneCell">
    <xdr:from>
      <xdr:col>8</xdr:col>
      <xdr:colOff>198438</xdr:colOff>
      <xdr:row>5855</xdr:row>
      <xdr:rowOff>144746</xdr:rowOff>
    </xdr:from>
    <xdr:to>
      <xdr:col>10</xdr:col>
      <xdr:colOff>595313</xdr:colOff>
      <xdr:row>5867</xdr:row>
      <xdr:rowOff>163881</xdr:rowOff>
    </xdr:to>
    <xdr:pic>
      <xdr:nvPicPr>
        <xdr:cNvPr id="524" name="Imagen 523">
          <a:extLst>
            <a:ext uri="{FF2B5EF4-FFF2-40B4-BE49-F238E27FC236}">
              <a16:creationId xmlns:a16="http://schemas.microsoft.com/office/drawing/2014/main" id="{0BD8CAE9-1563-4C36-B602-4896B42F5CAA}"/>
            </a:ext>
          </a:extLst>
        </xdr:cNvPr>
        <xdr:cNvPicPr>
          <a:picLocks noChangeAspect="1"/>
        </xdr:cNvPicPr>
      </xdr:nvPicPr>
      <xdr:blipFill>
        <a:blip xmlns:r="http://schemas.openxmlformats.org/officeDocument/2006/relationships" r:embed="rId117"/>
        <a:stretch>
          <a:fillRect/>
        </a:stretch>
      </xdr:blipFill>
      <xdr:spPr>
        <a:xfrm>
          <a:off x="8112126" y="985117059"/>
          <a:ext cx="1857375" cy="2305135"/>
        </a:xfrm>
        <a:prstGeom prst="rect">
          <a:avLst/>
        </a:prstGeom>
      </xdr:spPr>
    </xdr:pic>
    <xdr:clientData/>
  </xdr:twoCellAnchor>
  <xdr:twoCellAnchor editAs="oneCell">
    <xdr:from>
      <xdr:col>8</xdr:col>
      <xdr:colOff>182563</xdr:colOff>
      <xdr:row>5877</xdr:row>
      <xdr:rowOff>23812</xdr:rowOff>
    </xdr:from>
    <xdr:to>
      <xdr:col>10</xdr:col>
      <xdr:colOff>687439</xdr:colOff>
      <xdr:row>5890</xdr:row>
      <xdr:rowOff>1053</xdr:rowOff>
    </xdr:to>
    <xdr:pic>
      <xdr:nvPicPr>
        <xdr:cNvPr id="525" name="Imagen 524">
          <a:extLst>
            <a:ext uri="{FF2B5EF4-FFF2-40B4-BE49-F238E27FC236}">
              <a16:creationId xmlns:a16="http://schemas.microsoft.com/office/drawing/2014/main" id="{26E865FD-9723-4E92-83C3-BE0B9096C149}"/>
            </a:ext>
          </a:extLst>
        </xdr:cNvPr>
        <xdr:cNvPicPr>
          <a:picLocks noChangeAspect="1"/>
        </xdr:cNvPicPr>
      </xdr:nvPicPr>
      <xdr:blipFill>
        <a:blip xmlns:r="http://schemas.openxmlformats.org/officeDocument/2006/relationships" r:embed="rId114"/>
        <a:stretch>
          <a:fillRect/>
        </a:stretch>
      </xdr:blipFill>
      <xdr:spPr>
        <a:xfrm>
          <a:off x="8096251" y="989591937"/>
          <a:ext cx="1965376" cy="2451757"/>
        </a:xfrm>
        <a:prstGeom prst="rect">
          <a:avLst/>
        </a:prstGeom>
      </xdr:spPr>
    </xdr:pic>
    <xdr:clientData/>
  </xdr:twoCellAnchor>
  <xdr:twoCellAnchor editAs="oneCell">
    <xdr:from>
      <xdr:col>11</xdr:col>
      <xdr:colOff>79375</xdr:colOff>
      <xdr:row>5877</xdr:row>
      <xdr:rowOff>87313</xdr:rowOff>
    </xdr:from>
    <xdr:to>
      <xdr:col>13</xdr:col>
      <xdr:colOff>589378</xdr:colOff>
      <xdr:row>5889</xdr:row>
      <xdr:rowOff>164280</xdr:rowOff>
    </xdr:to>
    <xdr:pic>
      <xdr:nvPicPr>
        <xdr:cNvPr id="526" name="Imagen 525">
          <a:extLst>
            <a:ext uri="{FF2B5EF4-FFF2-40B4-BE49-F238E27FC236}">
              <a16:creationId xmlns:a16="http://schemas.microsoft.com/office/drawing/2014/main" id="{903F34C8-03A0-45D0-AAE7-D077EADC3CEC}"/>
            </a:ext>
          </a:extLst>
        </xdr:cNvPr>
        <xdr:cNvPicPr>
          <a:picLocks noChangeAspect="1"/>
        </xdr:cNvPicPr>
      </xdr:nvPicPr>
      <xdr:blipFill>
        <a:blip xmlns:r="http://schemas.openxmlformats.org/officeDocument/2006/relationships" r:embed="rId115"/>
        <a:stretch>
          <a:fillRect/>
        </a:stretch>
      </xdr:blipFill>
      <xdr:spPr>
        <a:xfrm>
          <a:off x="10247313" y="989655438"/>
          <a:ext cx="1970503" cy="2362967"/>
        </a:xfrm>
        <a:prstGeom prst="rect">
          <a:avLst/>
        </a:prstGeom>
      </xdr:spPr>
    </xdr:pic>
    <xdr:clientData/>
  </xdr:twoCellAnchor>
  <xdr:oneCellAnchor>
    <xdr:from>
      <xdr:col>1</xdr:col>
      <xdr:colOff>356347</xdr:colOff>
      <xdr:row>5918</xdr:row>
      <xdr:rowOff>55284</xdr:rowOff>
    </xdr:from>
    <xdr:ext cx="1333500" cy="371475"/>
    <xdr:pic>
      <xdr:nvPicPr>
        <xdr:cNvPr id="530" name="image57.jpg" descr="Logo CSJ RGB_01">
          <a:extLst>
            <a:ext uri="{FF2B5EF4-FFF2-40B4-BE49-F238E27FC236}">
              <a16:creationId xmlns:a16="http://schemas.microsoft.com/office/drawing/2014/main" id="{E8F8DB8A-A050-46DA-9E6D-F6F227DEC9EB}"/>
            </a:ext>
          </a:extLst>
        </xdr:cNvPr>
        <xdr:cNvPicPr preferRelativeResize="0"/>
      </xdr:nvPicPr>
      <xdr:blipFill>
        <a:blip xmlns:r="http://schemas.openxmlformats.org/officeDocument/2006/relationships" r:embed="rId48" cstate="print"/>
        <a:stretch>
          <a:fillRect/>
        </a:stretch>
      </xdr:blipFill>
      <xdr:spPr>
        <a:xfrm>
          <a:off x="689722" y="998616597"/>
          <a:ext cx="1333500" cy="371475"/>
        </a:xfrm>
        <a:prstGeom prst="rect">
          <a:avLst/>
        </a:prstGeom>
        <a:noFill/>
      </xdr:spPr>
    </xdr:pic>
    <xdr:clientData fLocksWithSheet="0"/>
  </xdr:oneCellAnchor>
  <xdr:oneCellAnchor>
    <xdr:from>
      <xdr:col>1</xdr:col>
      <xdr:colOff>356347</xdr:colOff>
      <xdr:row>5918</xdr:row>
      <xdr:rowOff>55284</xdr:rowOff>
    </xdr:from>
    <xdr:ext cx="1333500" cy="371475"/>
    <xdr:pic>
      <xdr:nvPicPr>
        <xdr:cNvPr id="531" name="image57.jpg" descr="Logo CSJ RGB_01">
          <a:extLst>
            <a:ext uri="{FF2B5EF4-FFF2-40B4-BE49-F238E27FC236}">
              <a16:creationId xmlns:a16="http://schemas.microsoft.com/office/drawing/2014/main" id="{6B7C7AFA-8776-4147-B077-27EADECC1C6B}"/>
            </a:ext>
          </a:extLst>
        </xdr:cNvPr>
        <xdr:cNvPicPr preferRelativeResize="0"/>
      </xdr:nvPicPr>
      <xdr:blipFill>
        <a:blip xmlns:r="http://schemas.openxmlformats.org/officeDocument/2006/relationships" r:embed="rId48" cstate="print"/>
        <a:stretch>
          <a:fillRect/>
        </a:stretch>
      </xdr:blipFill>
      <xdr:spPr>
        <a:xfrm>
          <a:off x="689722" y="998616597"/>
          <a:ext cx="1333500" cy="371475"/>
        </a:xfrm>
        <a:prstGeom prst="rect">
          <a:avLst/>
        </a:prstGeom>
        <a:noFill/>
      </xdr:spPr>
    </xdr:pic>
    <xdr:clientData fLocksWithSheet="0"/>
  </xdr:oneCellAnchor>
  <xdr:oneCellAnchor>
    <xdr:from>
      <xdr:col>1</xdr:col>
      <xdr:colOff>356347</xdr:colOff>
      <xdr:row>5940</xdr:row>
      <xdr:rowOff>55284</xdr:rowOff>
    </xdr:from>
    <xdr:ext cx="1333500" cy="371475"/>
    <xdr:pic>
      <xdr:nvPicPr>
        <xdr:cNvPr id="532" name="image57.jpg" descr="Logo CSJ RGB_01">
          <a:extLst>
            <a:ext uri="{FF2B5EF4-FFF2-40B4-BE49-F238E27FC236}">
              <a16:creationId xmlns:a16="http://schemas.microsoft.com/office/drawing/2014/main" id="{C81C3B79-B87E-4767-8A08-3D459BE936A5}"/>
            </a:ext>
          </a:extLst>
        </xdr:cNvPr>
        <xdr:cNvPicPr preferRelativeResize="0"/>
      </xdr:nvPicPr>
      <xdr:blipFill>
        <a:blip xmlns:r="http://schemas.openxmlformats.org/officeDocument/2006/relationships" r:embed="rId48" cstate="print"/>
        <a:stretch>
          <a:fillRect/>
        </a:stretch>
      </xdr:blipFill>
      <xdr:spPr>
        <a:xfrm>
          <a:off x="689722" y="998616597"/>
          <a:ext cx="1333500" cy="371475"/>
        </a:xfrm>
        <a:prstGeom prst="rect">
          <a:avLst/>
        </a:prstGeom>
        <a:noFill/>
      </xdr:spPr>
    </xdr:pic>
    <xdr:clientData fLocksWithSheet="0"/>
  </xdr:oneCellAnchor>
  <xdr:oneCellAnchor>
    <xdr:from>
      <xdr:col>1</xdr:col>
      <xdr:colOff>356347</xdr:colOff>
      <xdr:row>5940</xdr:row>
      <xdr:rowOff>55284</xdr:rowOff>
    </xdr:from>
    <xdr:ext cx="1333500" cy="371475"/>
    <xdr:pic>
      <xdr:nvPicPr>
        <xdr:cNvPr id="533" name="image57.jpg" descr="Logo CSJ RGB_01">
          <a:extLst>
            <a:ext uri="{FF2B5EF4-FFF2-40B4-BE49-F238E27FC236}">
              <a16:creationId xmlns:a16="http://schemas.microsoft.com/office/drawing/2014/main" id="{648E70E8-315D-4F47-9121-575B0F67F252}"/>
            </a:ext>
          </a:extLst>
        </xdr:cNvPr>
        <xdr:cNvPicPr preferRelativeResize="0"/>
      </xdr:nvPicPr>
      <xdr:blipFill>
        <a:blip xmlns:r="http://schemas.openxmlformats.org/officeDocument/2006/relationships" r:embed="rId48" cstate="print"/>
        <a:stretch>
          <a:fillRect/>
        </a:stretch>
      </xdr:blipFill>
      <xdr:spPr>
        <a:xfrm>
          <a:off x="689722" y="998616597"/>
          <a:ext cx="1333500" cy="371475"/>
        </a:xfrm>
        <a:prstGeom prst="rect">
          <a:avLst/>
        </a:prstGeom>
        <a:noFill/>
      </xdr:spPr>
    </xdr:pic>
    <xdr:clientData fLocksWithSheet="0"/>
  </xdr:oneCellAnchor>
  <xdr:oneCellAnchor>
    <xdr:from>
      <xdr:col>1</xdr:col>
      <xdr:colOff>356347</xdr:colOff>
      <xdr:row>5962</xdr:row>
      <xdr:rowOff>55284</xdr:rowOff>
    </xdr:from>
    <xdr:ext cx="1333500" cy="371475"/>
    <xdr:pic>
      <xdr:nvPicPr>
        <xdr:cNvPr id="534" name="image57.jpg" descr="Logo CSJ RGB_01">
          <a:extLst>
            <a:ext uri="{FF2B5EF4-FFF2-40B4-BE49-F238E27FC236}">
              <a16:creationId xmlns:a16="http://schemas.microsoft.com/office/drawing/2014/main" id="{3A02AD42-18CC-4BA5-A276-47905BD64FCB}"/>
            </a:ext>
          </a:extLst>
        </xdr:cNvPr>
        <xdr:cNvPicPr preferRelativeResize="0"/>
      </xdr:nvPicPr>
      <xdr:blipFill>
        <a:blip xmlns:r="http://schemas.openxmlformats.org/officeDocument/2006/relationships" r:embed="rId48" cstate="print"/>
        <a:stretch>
          <a:fillRect/>
        </a:stretch>
      </xdr:blipFill>
      <xdr:spPr>
        <a:xfrm>
          <a:off x="689722" y="998616597"/>
          <a:ext cx="1333500" cy="371475"/>
        </a:xfrm>
        <a:prstGeom prst="rect">
          <a:avLst/>
        </a:prstGeom>
        <a:noFill/>
      </xdr:spPr>
    </xdr:pic>
    <xdr:clientData fLocksWithSheet="0"/>
  </xdr:oneCellAnchor>
  <xdr:oneCellAnchor>
    <xdr:from>
      <xdr:col>1</xdr:col>
      <xdr:colOff>356347</xdr:colOff>
      <xdr:row>5962</xdr:row>
      <xdr:rowOff>55284</xdr:rowOff>
    </xdr:from>
    <xdr:ext cx="1333500" cy="371475"/>
    <xdr:pic>
      <xdr:nvPicPr>
        <xdr:cNvPr id="535" name="image57.jpg" descr="Logo CSJ RGB_01">
          <a:extLst>
            <a:ext uri="{FF2B5EF4-FFF2-40B4-BE49-F238E27FC236}">
              <a16:creationId xmlns:a16="http://schemas.microsoft.com/office/drawing/2014/main" id="{D17520BF-1BB4-4EB8-9D86-F4A86505F6F9}"/>
            </a:ext>
          </a:extLst>
        </xdr:cNvPr>
        <xdr:cNvPicPr preferRelativeResize="0"/>
      </xdr:nvPicPr>
      <xdr:blipFill>
        <a:blip xmlns:r="http://schemas.openxmlformats.org/officeDocument/2006/relationships" r:embed="rId48" cstate="print"/>
        <a:stretch>
          <a:fillRect/>
        </a:stretch>
      </xdr:blipFill>
      <xdr:spPr>
        <a:xfrm>
          <a:off x="689722" y="998616597"/>
          <a:ext cx="1333500" cy="371475"/>
        </a:xfrm>
        <a:prstGeom prst="rect">
          <a:avLst/>
        </a:prstGeom>
        <a:noFill/>
      </xdr:spPr>
    </xdr:pic>
    <xdr:clientData fLocksWithSheet="0"/>
  </xdr:oneCellAnchor>
  <xdr:oneCellAnchor>
    <xdr:from>
      <xdr:col>1</xdr:col>
      <xdr:colOff>356347</xdr:colOff>
      <xdr:row>5984</xdr:row>
      <xdr:rowOff>55284</xdr:rowOff>
    </xdr:from>
    <xdr:ext cx="1333500" cy="371475"/>
    <xdr:pic>
      <xdr:nvPicPr>
        <xdr:cNvPr id="536" name="image57.jpg" descr="Logo CSJ RGB_01">
          <a:extLst>
            <a:ext uri="{FF2B5EF4-FFF2-40B4-BE49-F238E27FC236}">
              <a16:creationId xmlns:a16="http://schemas.microsoft.com/office/drawing/2014/main" id="{9FC39EE2-418F-4383-80D3-FBC57253DD5C}"/>
            </a:ext>
          </a:extLst>
        </xdr:cNvPr>
        <xdr:cNvPicPr preferRelativeResize="0"/>
      </xdr:nvPicPr>
      <xdr:blipFill>
        <a:blip xmlns:r="http://schemas.openxmlformats.org/officeDocument/2006/relationships" r:embed="rId48" cstate="print"/>
        <a:stretch>
          <a:fillRect/>
        </a:stretch>
      </xdr:blipFill>
      <xdr:spPr>
        <a:xfrm>
          <a:off x="689722" y="998616597"/>
          <a:ext cx="1333500" cy="371475"/>
        </a:xfrm>
        <a:prstGeom prst="rect">
          <a:avLst/>
        </a:prstGeom>
        <a:noFill/>
      </xdr:spPr>
    </xdr:pic>
    <xdr:clientData fLocksWithSheet="0"/>
  </xdr:oneCellAnchor>
  <xdr:oneCellAnchor>
    <xdr:from>
      <xdr:col>1</xdr:col>
      <xdr:colOff>356347</xdr:colOff>
      <xdr:row>5984</xdr:row>
      <xdr:rowOff>55284</xdr:rowOff>
    </xdr:from>
    <xdr:ext cx="1333500" cy="371475"/>
    <xdr:pic>
      <xdr:nvPicPr>
        <xdr:cNvPr id="537" name="image57.jpg" descr="Logo CSJ RGB_01">
          <a:extLst>
            <a:ext uri="{FF2B5EF4-FFF2-40B4-BE49-F238E27FC236}">
              <a16:creationId xmlns:a16="http://schemas.microsoft.com/office/drawing/2014/main" id="{526D649C-5B07-428A-9A85-27E690987AA2}"/>
            </a:ext>
          </a:extLst>
        </xdr:cNvPr>
        <xdr:cNvPicPr preferRelativeResize="0"/>
      </xdr:nvPicPr>
      <xdr:blipFill>
        <a:blip xmlns:r="http://schemas.openxmlformats.org/officeDocument/2006/relationships" r:embed="rId48" cstate="print"/>
        <a:stretch>
          <a:fillRect/>
        </a:stretch>
      </xdr:blipFill>
      <xdr:spPr>
        <a:xfrm>
          <a:off x="689722" y="998616597"/>
          <a:ext cx="1333500" cy="371475"/>
        </a:xfrm>
        <a:prstGeom prst="rect">
          <a:avLst/>
        </a:prstGeom>
        <a:noFill/>
      </xdr:spPr>
    </xdr:pic>
    <xdr:clientData fLocksWithSheet="0"/>
  </xdr:oneCellAnchor>
  <xdr:oneCellAnchor>
    <xdr:from>
      <xdr:col>1</xdr:col>
      <xdr:colOff>356347</xdr:colOff>
      <xdr:row>6006</xdr:row>
      <xdr:rowOff>55284</xdr:rowOff>
    </xdr:from>
    <xdr:ext cx="1333500" cy="371475"/>
    <xdr:pic>
      <xdr:nvPicPr>
        <xdr:cNvPr id="538" name="image57.jpg" descr="Logo CSJ RGB_01">
          <a:extLst>
            <a:ext uri="{FF2B5EF4-FFF2-40B4-BE49-F238E27FC236}">
              <a16:creationId xmlns:a16="http://schemas.microsoft.com/office/drawing/2014/main" id="{54AD17F6-DAAB-4FB5-875E-588ECAD018D3}"/>
            </a:ext>
          </a:extLst>
        </xdr:cNvPr>
        <xdr:cNvPicPr preferRelativeResize="0"/>
      </xdr:nvPicPr>
      <xdr:blipFill>
        <a:blip xmlns:r="http://schemas.openxmlformats.org/officeDocument/2006/relationships" r:embed="rId48" cstate="print"/>
        <a:stretch>
          <a:fillRect/>
        </a:stretch>
      </xdr:blipFill>
      <xdr:spPr>
        <a:xfrm>
          <a:off x="689722" y="998616597"/>
          <a:ext cx="1333500" cy="371475"/>
        </a:xfrm>
        <a:prstGeom prst="rect">
          <a:avLst/>
        </a:prstGeom>
        <a:noFill/>
      </xdr:spPr>
    </xdr:pic>
    <xdr:clientData fLocksWithSheet="0"/>
  </xdr:oneCellAnchor>
  <xdr:oneCellAnchor>
    <xdr:from>
      <xdr:col>1</xdr:col>
      <xdr:colOff>356347</xdr:colOff>
      <xdr:row>6006</xdr:row>
      <xdr:rowOff>55284</xdr:rowOff>
    </xdr:from>
    <xdr:ext cx="1333500" cy="371475"/>
    <xdr:pic>
      <xdr:nvPicPr>
        <xdr:cNvPr id="539" name="image57.jpg" descr="Logo CSJ RGB_01">
          <a:extLst>
            <a:ext uri="{FF2B5EF4-FFF2-40B4-BE49-F238E27FC236}">
              <a16:creationId xmlns:a16="http://schemas.microsoft.com/office/drawing/2014/main" id="{7BF0F071-91EA-42ED-A26A-260D122F9DE3}"/>
            </a:ext>
          </a:extLst>
        </xdr:cNvPr>
        <xdr:cNvPicPr preferRelativeResize="0"/>
      </xdr:nvPicPr>
      <xdr:blipFill>
        <a:blip xmlns:r="http://schemas.openxmlformats.org/officeDocument/2006/relationships" r:embed="rId48" cstate="print"/>
        <a:stretch>
          <a:fillRect/>
        </a:stretch>
      </xdr:blipFill>
      <xdr:spPr>
        <a:xfrm>
          <a:off x="689722" y="998616597"/>
          <a:ext cx="1333500" cy="371475"/>
        </a:xfrm>
        <a:prstGeom prst="rect">
          <a:avLst/>
        </a:prstGeom>
        <a:noFill/>
      </xdr:spPr>
    </xdr:pic>
    <xdr:clientData fLocksWithSheet="0"/>
  </xdr:oneCellAnchor>
  <xdr:oneCellAnchor>
    <xdr:from>
      <xdr:col>1</xdr:col>
      <xdr:colOff>356347</xdr:colOff>
      <xdr:row>6028</xdr:row>
      <xdr:rowOff>55284</xdr:rowOff>
    </xdr:from>
    <xdr:ext cx="1333500" cy="371475"/>
    <xdr:pic>
      <xdr:nvPicPr>
        <xdr:cNvPr id="540" name="image57.jpg" descr="Logo CSJ RGB_01">
          <a:extLst>
            <a:ext uri="{FF2B5EF4-FFF2-40B4-BE49-F238E27FC236}">
              <a16:creationId xmlns:a16="http://schemas.microsoft.com/office/drawing/2014/main" id="{82D2F74F-69FD-402B-B93C-2B6B852E98DF}"/>
            </a:ext>
          </a:extLst>
        </xdr:cNvPr>
        <xdr:cNvPicPr preferRelativeResize="0"/>
      </xdr:nvPicPr>
      <xdr:blipFill>
        <a:blip xmlns:r="http://schemas.openxmlformats.org/officeDocument/2006/relationships" r:embed="rId48" cstate="print"/>
        <a:stretch>
          <a:fillRect/>
        </a:stretch>
      </xdr:blipFill>
      <xdr:spPr>
        <a:xfrm>
          <a:off x="689722" y="998616597"/>
          <a:ext cx="1333500" cy="371475"/>
        </a:xfrm>
        <a:prstGeom prst="rect">
          <a:avLst/>
        </a:prstGeom>
        <a:noFill/>
      </xdr:spPr>
    </xdr:pic>
    <xdr:clientData fLocksWithSheet="0"/>
  </xdr:oneCellAnchor>
  <xdr:oneCellAnchor>
    <xdr:from>
      <xdr:col>1</xdr:col>
      <xdr:colOff>356347</xdr:colOff>
      <xdr:row>6028</xdr:row>
      <xdr:rowOff>55284</xdr:rowOff>
    </xdr:from>
    <xdr:ext cx="1333500" cy="371475"/>
    <xdr:pic>
      <xdr:nvPicPr>
        <xdr:cNvPr id="541" name="image57.jpg" descr="Logo CSJ RGB_01">
          <a:extLst>
            <a:ext uri="{FF2B5EF4-FFF2-40B4-BE49-F238E27FC236}">
              <a16:creationId xmlns:a16="http://schemas.microsoft.com/office/drawing/2014/main" id="{20097D03-BA03-4417-9AA2-BDE08EC92027}"/>
            </a:ext>
          </a:extLst>
        </xdr:cNvPr>
        <xdr:cNvPicPr preferRelativeResize="0"/>
      </xdr:nvPicPr>
      <xdr:blipFill>
        <a:blip xmlns:r="http://schemas.openxmlformats.org/officeDocument/2006/relationships" r:embed="rId48" cstate="print"/>
        <a:stretch>
          <a:fillRect/>
        </a:stretch>
      </xdr:blipFill>
      <xdr:spPr>
        <a:xfrm>
          <a:off x="689722" y="998616597"/>
          <a:ext cx="1333500" cy="371475"/>
        </a:xfrm>
        <a:prstGeom prst="rect">
          <a:avLst/>
        </a:prstGeom>
        <a:noFill/>
      </xdr:spPr>
    </xdr:pic>
    <xdr:clientData fLocksWithSheet="0"/>
  </xdr:oneCellAnchor>
  <xdr:twoCellAnchor editAs="oneCell">
    <xdr:from>
      <xdr:col>8</xdr:col>
      <xdr:colOff>206375</xdr:colOff>
      <xdr:row>5900</xdr:row>
      <xdr:rowOff>119063</xdr:rowOff>
    </xdr:from>
    <xdr:to>
      <xdr:col>10</xdr:col>
      <xdr:colOff>711251</xdr:colOff>
      <xdr:row>5913</xdr:row>
      <xdr:rowOff>94320</xdr:rowOff>
    </xdr:to>
    <xdr:pic>
      <xdr:nvPicPr>
        <xdr:cNvPr id="542" name="Imagen 541">
          <a:extLst>
            <a:ext uri="{FF2B5EF4-FFF2-40B4-BE49-F238E27FC236}">
              <a16:creationId xmlns:a16="http://schemas.microsoft.com/office/drawing/2014/main" id="{29897E91-1347-47AC-B81A-0254DFFEE6C2}"/>
            </a:ext>
          </a:extLst>
        </xdr:cNvPr>
        <xdr:cNvPicPr>
          <a:picLocks noChangeAspect="1"/>
        </xdr:cNvPicPr>
      </xdr:nvPicPr>
      <xdr:blipFill>
        <a:blip xmlns:r="http://schemas.openxmlformats.org/officeDocument/2006/relationships" r:embed="rId114"/>
        <a:stretch>
          <a:fillRect/>
        </a:stretch>
      </xdr:blipFill>
      <xdr:spPr>
        <a:xfrm>
          <a:off x="8120063" y="999894813"/>
          <a:ext cx="1965376" cy="2451757"/>
        </a:xfrm>
        <a:prstGeom prst="rect">
          <a:avLst/>
        </a:prstGeom>
      </xdr:spPr>
    </xdr:pic>
    <xdr:clientData/>
  </xdr:twoCellAnchor>
  <xdr:twoCellAnchor editAs="oneCell">
    <xdr:from>
      <xdr:col>11</xdr:col>
      <xdr:colOff>63500</xdr:colOff>
      <xdr:row>5900</xdr:row>
      <xdr:rowOff>150813</xdr:rowOff>
    </xdr:from>
    <xdr:to>
      <xdr:col>13</xdr:col>
      <xdr:colOff>573503</xdr:colOff>
      <xdr:row>5913</xdr:row>
      <xdr:rowOff>37280</xdr:rowOff>
    </xdr:to>
    <xdr:pic>
      <xdr:nvPicPr>
        <xdr:cNvPr id="543" name="Imagen 542">
          <a:extLst>
            <a:ext uri="{FF2B5EF4-FFF2-40B4-BE49-F238E27FC236}">
              <a16:creationId xmlns:a16="http://schemas.microsoft.com/office/drawing/2014/main" id="{F2DC8A18-71C4-4B63-BC9C-D5D62DD2CBED}"/>
            </a:ext>
          </a:extLst>
        </xdr:cNvPr>
        <xdr:cNvPicPr>
          <a:picLocks noChangeAspect="1"/>
        </xdr:cNvPicPr>
      </xdr:nvPicPr>
      <xdr:blipFill>
        <a:blip xmlns:r="http://schemas.openxmlformats.org/officeDocument/2006/relationships" r:embed="rId115"/>
        <a:stretch>
          <a:fillRect/>
        </a:stretch>
      </xdr:blipFill>
      <xdr:spPr>
        <a:xfrm>
          <a:off x="10231438" y="999926563"/>
          <a:ext cx="1970503" cy="2362967"/>
        </a:xfrm>
        <a:prstGeom prst="rect">
          <a:avLst/>
        </a:prstGeom>
      </xdr:spPr>
    </xdr:pic>
    <xdr:clientData/>
  </xdr:twoCellAnchor>
  <xdr:twoCellAnchor editAs="oneCell">
    <xdr:from>
      <xdr:col>11</xdr:col>
      <xdr:colOff>377032</xdr:colOff>
      <xdr:row>615</xdr:row>
      <xdr:rowOff>119062</xdr:rowOff>
    </xdr:from>
    <xdr:to>
      <xdr:col>13</xdr:col>
      <xdr:colOff>458927</xdr:colOff>
      <xdr:row>630</xdr:row>
      <xdr:rowOff>103775</xdr:rowOff>
    </xdr:to>
    <xdr:pic>
      <xdr:nvPicPr>
        <xdr:cNvPr id="17" name="Imagen 16">
          <a:extLst>
            <a:ext uri="{FF2B5EF4-FFF2-40B4-BE49-F238E27FC236}">
              <a16:creationId xmlns:a16="http://schemas.microsoft.com/office/drawing/2014/main" id="{593280D6-8F6C-C629-419B-185C17AAEB8E}"/>
            </a:ext>
          </a:extLst>
        </xdr:cNvPr>
        <xdr:cNvPicPr>
          <a:picLocks noChangeAspect="1"/>
        </xdr:cNvPicPr>
      </xdr:nvPicPr>
      <xdr:blipFill>
        <a:blip xmlns:r="http://schemas.openxmlformats.org/officeDocument/2006/relationships" r:embed="rId118"/>
        <a:stretch>
          <a:fillRect/>
        </a:stretch>
      </xdr:blipFill>
      <xdr:spPr>
        <a:xfrm>
          <a:off x="10269141" y="78402656"/>
          <a:ext cx="1510645" cy="2633853"/>
        </a:xfrm>
        <a:prstGeom prst="rect">
          <a:avLst/>
        </a:prstGeom>
      </xdr:spPr>
    </xdr:pic>
    <xdr:clientData/>
  </xdr:twoCellAnchor>
  <xdr:twoCellAnchor editAs="oneCell">
    <xdr:from>
      <xdr:col>10</xdr:col>
      <xdr:colOff>708634</xdr:colOff>
      <xdr:row>649</xdr:row>
      <xdr:rowOff>112147</xdr:rowOff>
    </xdr:from>
    <xdr:to>
      <xdr:col>13</xdr:col>
      <xdr:colOff>674688</xdr:colOff>
      <xdr:row>660</xdr:row>
      <xdr:rowOff>81195</xdr:rowOff>
    </xdr:to>
    <xdr:pic>
      <xdr:nvPicPr>
        <xdr:cNvPr id="26" name="Imagen 25">
          <a:extLst>
            <a:ext uri="{FF2B5EF4-FFF2-40B4-BE49-F238E27FC236}">
              <a16:creationId xmlns:a16="http://schemas.microsoft.com/office/drawing/2014/main" id="{30CD5DBB-027E-FACE-06B4-707D14FAE6DC}"/>
            </a:ext>
          </a:extLst>
        </xdr:cNvPr>
        <xdr:cNvPicPr>
          <a:picLocks noChangeAspect="1"/>
        </xdr:cNvPicPr>
      </xdr:nvPicPr>
      <xdr:blipFill>
        <a:blip xmlns:r="http://schemas.openxmlformats.org/officeDocument/2006/relationships" r:embed="rId119"/>
        <a:stretch>
          <a:fillRect/>
        </a:stretch>
      </xdr:blipFill>
      <xdr:spPr>
        <a:xfrm flipH="1">
          <a:off x="9826837" y="85241835"/>
          <a:ext cx="2168710" cy="1933579"/>
        </a:xfrm>
        <a:prstGeom prst="rect">
          <a:avLst/>
        </a:prstGeom>
      </xdr:spPr>
    </xdr:pic>
    <xdr:clientData/>
  </xdr:twoCellAnchor>
  <xdr:twoCellAnchor editAs="oneCell">
    <xdr:from>
      <xdr:col>8</xdr:col>
      <xdr:colOff>238126</xdr:colOff>
      <xdr:row>5305</xdr:row>
      <xdr:rowOff>181374</xdr:rowOff>
    </xdr:from>
    <xdr:to>
      <xdr:col>10</xdr:col>
      <xdr:colOff>565548</xdr:colOff>
      <xdr:row>5317</xdr:row>
      <xdr:rowOff>129090</xdr:rowOff>
    </xdr:to>
    <xdr:pic>
      <xdr:nvPicPr>
        <xdr:cNvPr id="42" name="Imagen 41">
          <a:extLst>
            <a:ext uri="{FF2B5EF4-FFF2-40B4-BE49-F238E27FC236}">
              <a16:creationId xmlns:a16="http://schemas.microsoft.com/office/drawing/2014/main" id="{A6971ADA-6E7E-A8C5-195B-2E92271956E5}"/>
            </a:ext>
          </a:extLst>
        </xdr:cNvPr>
        <xdr:cNvPicPr>
          <a:picLocks noChangeAspect="1"/>
        </xdr:cNvPicPr>
      </xdr:nvPicPr>
      <xdr:blipFill>
        <a:blip xmlns:r="http://schemas.openxmlformats.org/officeDocument/2006/relationships" r:embed="rId120"/>
        <a:stretch>
          <a:fillRect/>
        </a:stretch>
      </xdr:blipFill>
      <xdr:spPr>
        <a:xfrm>
          <a:off x="7927579" y="869605515"/>
          <a:ext cx="1756172" cy="2209904"/>
        </a:xfrm>
        <a:prstGeom prst="rect">
          <a:avLst/>
        </a:prstGeom>
      </xdr:spPr>
    </xdr:pic>
    <xdr:clientData/>
  </xdr:twoCellAnchor>
  <xdr:twoCellAnchor editAs="oneCell">
    <xdr:from>
      <xdr:col>8</xdr:col>
      <xdr:colOff>109141</xdr:colOff>
      <xdr:row>5350</xdr:row>
      <xdr:rowOff>146892</xdr:rowOff>
    </xdr:from>
    <xdr:to>
      <xdr:col>11</xdr:col>
      <xdr:colOff>377032</xdr:colOff>
      <xdr:row>5359</xdr:row>
      <xdr:rowOff>152753</xdr:rowOff>
    </xdr:to>
    <xdr:pic>
      <xdr:nvPicPr>
        <xdr:cNvPr id="903" name="Imagen 902">
          <a:extLst>
            <a:ext uri="{FF2B5EF4-FFF2-40B4-BE49-F238E27FC236}">
              <a16:creationId xmlns:a16="http://schemas.microsoft.com/office/drawing/2014/main" id="{5CD59289-11CC-0A38-41CD-40539F75945A}"/>
            </a:ext>
          </a:extLst>
        </xdr:cNvPr>
        <xdr:cNvPicPr>
          <a:picLocks noChangeAspect="1"/>
        </xdr:cNvPicPr>
      </xdr:nvPicPr>
      <xdr:blipFill>
        <a:blip xmlns:r="http://schemas.openxmlformats.org/officeDocument/2006/relationships" r:embed="rId121"/>
        <a:stretch>
          <a:fillRect/>
        </a:stretch>
      </xdr:blipFill>
      <xdr:spPr>
        <a:xfrm>
          <a:off x="7798594" y="879344080"/>
          <a:ext cx="2470547" cy="1702502"/>
        </a:xfrm>
        <a:prstGeom prst="rect">
          <a:avLst/>
        </a:prstGeom>
      </xdr:spPr>
    </xdr:pic>
    <xdr:clientData/>
  </xdr:twoCellAnchor>
  <xdr:twoCellAnchor editAs="oneCell">
    <xdr:from>
      <xdr:col>8</xdr:col>
      <xdr:colOff>178594</xdr:colOff>
      <xdr:row>5372</xdr:row>
      <xdr:rowOff>59532</xdr:rowOff>
    </xdr:from>
    <xdr:to>
      <xdr:col>11</xdr:col>
      <xdr:colOff>446485</xdr:colOff>
      <xdr:row>5381</xdr:row>
      <xdr:rowOff>65393</xdr:rowOff>
    </xdr:to>
    <xdr:pic>
      <xdr:nvPicPr>
        <xdr:cNvPr id="904" name="Imagen 903">
          <a:extLst>
            <a:ext uri="{FF2B5EF4-FFF2-40B4-BE49-F238E27FC236}">
              <a16:creationId xmlns:a16="http://schemas.microsoft.com/office/drawing/2014/main" id="{CA8B495E-EF4A-4C0E-9027-CBEC811D2479}"/>
            </a:ext>
          </a:extLst>
        </xdr:cNvPr>
        <xdr:cNvPicPr>
          <a:picLocks noChangeAspect="1"/>
        </xdr:cNvPicPr>
      </xdr:nvPicPr>
      <xdr:blipFill>
        <a:blip xmlns:r="http://schemas.openxmlformats.org/officeDocument/2006/relationships" r:embed="rId121"/>
        <a:stretch>
          <a:fillRect/>
        </a:stretch>
      </xdr:blipFill>
      <xdr:spPr>
        <a:xfrm>
          <a:off x="7868047" y="884267266"/>
          <a:ext cx="2470547" cy="1702502"/>
        </a:xfrm>
        <a:prstGeom prst="rect">
          <a:avLst/>
        </a:prstGeom>
      </xdr:spPr>
    </xdr:pic>
    <xdr:clientData/>
  </xdr:twoCellAnchor>
  <xdr:twoCellAnchor editAs="oneCell">
    <xdr:from>
      <xdr:col>8</xdr:col>
      <xdr:colOff>168672</xdr:colOff>
      <xdr:row>5415</xdr:row>
      <xdr:rowOff>119062</xdr:rowOff>
    </xdr:from>
    <xdr:to>
      <xdr:col>10</xdr:col>
      <xdr:colOff>496094</xdr:colOff>
      <xdr:row>5427</xdr:row>
      <xdr:rowOff>66778</xdr:rowOff>
    </xdr:to>
    <xdr:pic>
      <xdr:nvPicPr>
        <xdr:cNvPr id="905" name="Imagen 904">
          <a:extLst>
            <a:ext uri="{FF2B5EF4-FFF2-40B4-BE49-F238E27FC236}">
              <a16:creationId xmlns:a16="http://schemas.microsoft.com/office/drawing/2014/main" id="{68C15796-F34E-4A02-9281-DEA7AA916119}"/>
            </a:ext>
          </a:extLst>
        </xdr:cNvPr>
        <xdr:cNvPicPr>
          <a:picLocks noChangeAspect="1"/>
        </xdr:cNvPicPr>
      </xdr:nvPicPr>
      <xdr:blipFill>
        <a:blip xmlns:r="http://schemas.openxmlformats.org/officeDocument/2006/relationships" r:embed="rId120"/>
        <a:stretch>
          <a:fillRect/>
        </a:stretch>
      </xdr:blipFill>
      <xdr:spPr>
        <a:xfrm>
          <a:off x="7858125" y="894208984"/>
          <a:ext cx="1756172" cy="2209904"/>
        </a:xfrm>
        <a:prstGeom prst="rect">
          <a:avLst/>
        </a:prstGeom>
      </xdr:spPr>
    </xdr:pic>
    <xdr:clientData/>
  </xdr:twoCellAnchor>
  <xdr:oneCellAnchor>
    <xdr:from>
      <xdr:col>1</xdr:col>
      <xdr:colOff>356347</xdr:colOff>
      <xdr:row>5477</xdr:row>
      <xdr:rowOff>55284</xdr:rowOff>
    </xdr:from>
    <xdr:ext cx="1333500" cy="371475"/>
    <xdr:pic>
      <xdr:nvPicPr>
        <xdr:cNvPr id="908" name="image57.jpg" descr="Logo CSJ RGB_01">
          <a:extLst>
            <a:ext uri="{FF2B5EF4-FFF2-40B4-BE49-F238E27FC236}">
              <a16:creationId xmlns:a16="http://schemas.microsoft.com/office/drawing/2014/main" id="{B6F51168-E303-4EE1-886C-A8955F62E12C}"/>
            </a:ext>
          </a:extLst>
        </xdr:cNvPr>
        <xdr:cNvPicPr preferRelativeResize="0"/>
      </xdr:nvPicPr>
      <xdr:blipFill>
        <a:blip xmlns:r="http://schemas.openxmlformats.org/officeDocument/2006/relationships" r:embed="rId48" cstate="print"/>
        <a:stretch>
          <a:fillRect/>
        </a:stretch>
      </xdr:blipFill>
      <xdr:spPr>
        <a:xfrm>
          <a:off x="683769" y="902906222"/>
          <a:ext cx="1333500" cy="371475"/>
        </a:xfrm>
        <a:prstGeom prst="rect">
          <a:avLst/>
        </a:prstGeom>
        <a:noFill/>
      </xdr:spPr>
    </xdr:pic>
    <xdr:clientData fLocksWithSheet="0"/>
  </xdr:oneCellAnchor>
  <xdr:oneCellAnchor>
    <xdr:from>
      <xdr:col>1</xdr:col>
      <xdr:colOff>356347</xdr:colOff>
      <xdr:row>5477</xdr:row>
      <xdr:rowOff>55284</xdr:rowOff>
    </xdr:from>
    <xdr:ext cx="1333500" cy="371475"/>
    <xdr:pic>
      <xdr:nvPicPr>
        <xdr:cNvPr id="909" name="image57.jpg" descr="Logo CSJ RGB_01">
          <a:extLst>
            <a:ext uri="{FF2B5EF4-FFF2-40B4-BE49-F238E27FC236}">
              <a16:creationId xmlns:a16="http://schemas.microsoft.com/office/drawing/2014/main" id="{0728A3EE-6FBC-49FB-9F57-35E6CAF03FC7}"/>
            </a:ext>
          </a:extLst>
        </xdr:cNvPr>
        <xdr:cNvPicPr preferRelativeResize="0"/>
      </xdr:nvPicPr>
      <xdr:blipFill>
        <a:blip xmlns:r="http://schemas.openxmlformats.org/officeDocument/2006/relationships" r:embed="rId48" cstate="print"/>
        <a:stretch>
          <a:fillRect/>
        </a:stretch>
      </xdr:blipFill>
      <xdr:spPr>
        <a:xfrm>
          <a:off x="683769" y="902906222"/>
          <a:ext cx="1333500" cy="371475"/>
        </a:xfrm>
        <a:prstGeom prst="rect">
          <a:avLst/>
        </a:prstGeom>
        <a:noFill/>
      </xdr:spPr>
    </xdr:pic>
    <xdr:clientData fLocksWithSheet="0"/>
  </xdr:oneCellAnchor>
  <xdr:twoCellAnchor editAs="oneCell">
    <xdr:from>
      <xdr:col>8</xdr:col>
      <xdr:colOff>327422</xdr:colOff>
      <xdr:row>5481</xdr:row>
      <xdr:rowOff>119063</xdr:rowOff>
    </xdr:from>
    <xdr:to>
      <xdr:col>10</xdr:col>
      <xdr:colOff>654844</xdr:colOff>
      <xdr:row>5493</xdr:row>
      <xdr:rowOff>66780</xdr:rowOff>
    </xdr:to>
    <xdr:pic>
      <xdr:nvPicPr>
        <xdr:cNvPr id="910" name="Imagen 909">
          <a:extLst>
            <a:ext uri="{FF2B5EF4-FFF2-40B4-BE49-F238E27FC236}">
              <a16:creationId xmlns:a16="http://schemas.microsoft.com/office/drawing/2014/main" id="{B11B98C9-1B5C-4767-AF76-628433260B22}"/>
            </a:ext>
          </a:extLst>
        </xdr:cNvPr>
        <xdr:cNvPicPr>
          <a:picLocks noChangeAspect="1"/>
        </xdr:cNvPicPr>
      </xdr:nvPicPr>
      <xdr:blipFill>
        <a:blip xmlns:r="http://schemas.openxmlformats.org/officeDocument/2006/relationships" r:embed="rId120"/>
        <a:stretch>
          <a:fillRect/>
        </a:stretch>
      </xdr:blipFill>
      <xdr:spPr>
        <a:xfrm>
          <a:off x="8016875" y="908952891"/>
          <a:ext cx="1756172" cy="2209904"/>
        </a:xfrm>
        <a:prstGeom prst="rect">
          <a:avLst/>
        </a:prstGeom>
      </xdr:spPr>
    </xdr:pic>
    <xdr:clientData/>
  </xdr:twoCellAnchor>
  <xdr:oneCellAnchor>
    <xdr:from>
      <xdr:col>1</xdr:col>
      <xdr:colOff>356347</xdr:colOff>
      <xdr:row>6050</xdr:row>
      <xdr:rowOff>55284</xdr:rowOff>
    </xdr:from>
    <xdr:ext cx="1333500" cy="371475"/>
    <xdr:pic>
      <xdr:nvPicPr>
        <xdr:cNvPr id="60" name="image57.jpg" descr="Logo CSJ RGB_01">
          <a:extLst>
            <a:ext uri="{FF2B5EF4-FFF2-40B4-BE49-F238E27FC236}">
              <a16:creationId xmlns:a16="http://schemas.microsoft.com/office/drawing/2014/main" id="{ECD351A4-16F1-4284-A203-67E98254B9DE}"/>
            </a:ext>
          </a:extLst>
        </xdr:cNvPr>
        <xdr:cNvPicPr preferRelativeResize="0"/>
      </xdr:nvPicPr>
      <xdr:blipFill>
        <a:blip xmlns:r="http://schemas.openxmlformats.org/officeDocument/2006/relationships" r:embed="rId48" cstate="print"/>
        <a:stretch>
          <a:fillRect/>
        </a:stretch>
      </xdr:blipFill>
      <xdr:spPr>
        <a:xfrm>
          <a:off x="683769" y="1026046612"/>
          <a:ext cx="1333500" cy="371475"/>
        </a:xfrm>
        <a:prstGeom prst="rect">
          <a:avLst/>
        </a:prstGeom>
        <a:noFill/>
      </xdr:spPr>
    </xdr:pic>
    <xdr:clientData fLocksWithSheet="0"/>
  </xdr:oneCellAnchor>
  <xdr:oneCellAnchor>
    <xdr:from>
      <xdr:col>1</xdr:col>
      <xdr:colOff>356347</xdr:colOff>
      <xdr:row>6050</xdr:row>
      <xdr:rowOff>55284</xdr:rowOff>
    </xdr:from>
    <xdr:ext cx="1333500" cy="371475"/>
    <xdr:pic>
      <xdr:nvPicPr>
        <xdr:cNvPr id="900" name="image57.jpg" descr="Logo CSJ RGB_01">
          <a:extLst>
            <a:ext uri="{FF2B5EF4-FFF2-40B4-BE49-F238E27FC236}">
              <a16:creationId xmlns:a16="http://schemas.microsoft.com/office/drawing/2014/main" id="{6A2E53DB-E85D-4425-90E4-563E029D846B}"/>
            </a:ext>
          </a:extLst>
        </xdr:cNvPr>
        <xdr:cNvPicPr preferRelativeResize="0"/>
      </xdr:nvPicPr>
      <xdr:blipFill>
        <a:blip xmlns:r="http://schemas.openxmlformats.org/officeDocument/2006/relationships" r:embed="rId48" cstate="print"/>
        <a:stretch>
          <a:fillRect/>
        </a:stretch>
      </xdr:blipFill>
      <xdr:spPr>
        <a:xfrm>
          <a:off x="683769" y="1026046612"/>
          <a:ext cx="1333500" cy="371475"/>
        </a:xfrm>
        <a:prstGeom prst="rect">
          <a:avLst/>
        </a:prstGeom>
        <a:noFill/>
      </xdr:spPr>
    </xdr:pic>
    <xdr:clientData fLocksWithSheet="0"/>
  </xdr:oneCellAnchor>
  <xdr:oneCellAnchor>
    <xdr:from>
      <xdr:col>1</xdr:col>
      <xdr:colOff>356347</xdr:colOff>
      <xdr:row>6072</xdr:row>
      <xdr:rowOff>55284</xdr:rowOff>
    </xdr:from>
    <xdr:ext cx="1333500" cy="371475"/>
    <xdr:pic>
      <xdr:nvPicPr>
        <xdr:cNvPr id="914" name="image57.jpg" descr="Logo CSJ RGB_01">
          <a:extLst>
            <a:ext uri="{FF2B5EF4-FFF2-40B4-BE49-F238E27FC236}">
              <a16:creationId xmlns:a16="http://schemas.microsoft.com/office/drawing/2014/main" id="{1C2FD63C-8DF4-4C8A-A18B-127A39BBC7C8}"/>
            </a:ext>
          </a:extLst>
        </xdr:cNvPr>
        <xdr:cNvPicPr preferRelativeResize="0"/>
      </xdr:nvPicPr>
      <xdr:blipFill>
        <a:blip xmlns:r="http://schemas.openxmlformats.org/officeDocument/2006/relationships" r:embed="rId48" cstate="print"/>
        <a:stretch>
          <a:fillRect/>
        </a:stretch>
      </xdr:blipFill>
      <xdr:spPr>
        <a:xfrm>
          <a:off x="683769" y="1030541222"/>
          <a:ext cx="1333500" cy="371475"/>
        </a:xfrm>
        <a:prstGeom prst="rect">
          <a:avLst/>
        </a:prstGeom>
        <a:noFill/>
      </xdr:spPr>
    </xdr:pic>
    <xdr:clientData fLocksWithSheet="0"/>
  </xdr:oneCellAnchor>
  <xdr:oneCellAnchor>
    <xdr:from>
      <xdr:col>1</xdr:col>
      <xdr:colOff>356347</xdr:colOff>
      <xdr:row>6072</xdr:row>
      <xdr:rowOff>55284</xdr:rowOff>
    </xdr:from>
    <xdr:ext cx="1333500" cy="371475"/>
    <xdr:pic>
      <xdr:nvPicPr>
        <xdr:cNvPr id="921" name="image57.jpg" descr="Logo CSJ RGB_01">
          <a:extLst>
            <a:ext uri="{FF2B5EF4-FFF2-40B4-BE49-F238E27FC236}">
              <a16:creationId xmlns:a16="http://schemas.microsoft.com/office/drawing/2014/main" id="{2CFDB5AB-169F-4C1D-AAA0-5D7A1CA3501B}"/>
            </a:ext>
          </a:extLst>
        </xdr:cNvPr>
        <xdr:cNvPicPr preferRelativeResize="0"/>
      </xdr:nvPicPr>
      <xdr:blipFill>
        <a:blip xmlns:r="http://schemas.openxmlformats.org/officeDocument/2006/relationships" r:embed="rId48" cstate="print"/>
        <a:stretch>
          <a:fillRect/>
        </a:stretch>
      </xdr:blipFill>
      <xdr:spPr>
        <a:xfrm>
          <a:off x="683769" y="1030541222"/>
          <a:ext cx="1333500" cy="371475"/>
        </a:xfrm>
        <a:prstGeom prst="rect">
          <a:avLst/>
        </a:prstGeom>
        <a:noFill/>
      </xdr:spPr>
    </xdr:pic>
    <xdr:clientData fLocksWithSheet="0"/>
  </xdr:oneCellAnchor>
  <xdr:oneCellAnchor>
    <xdr:from>
      <xdr:col>8</xdr:col>
      <xdr:colOff>210346</xdr:colOff>
      <xdr:row>6077</xdr:row>
      <xdr:rowOff>32380</xdr:rowOff>
    </xdr:from>
    <xdr:ext cx="1698624" cy="2079341"/>
    <xdr:pic>
      <xdr:nvPicPr>
        <xdr:cNvPr id="935" name="Imagen 934">
          <a:extLst>
            <a:ext uri="{FF2B5EF4-FFF2-40B4-BE49-F238E27FC236}">
              <a16:creationId xmlns:a16="http://schemas.microsoft.com/office/drawing/2014/main" id="{96E829F2-D457-47DB-9F70-6DE74B0F12AC}"/>
            </a:ext>
          </a:extLst>
        </xdr:cNvPr>
        <xdr:cNvPicPr>
          <a:picLocks noChangeAspect="1"/>
        </xdr:cNvPicPr>
      </xdr:nvPicPr>
      <xdr:blipFill>
        <a:blip xmlns:r="http://schemas.openxmlformats.org/officeDocument/2006/relationships" r:embed="rId122"/>
        <a:stretch>
          <a:fillRect/>
        </a:stretch>
      </xdr:blipFill>
      <xdr:spPr>
        <a:xfrm>
          <a:off x="7899799" y="1031778396"/>
          <a:ext cx="1698624" cy="2079341"/>
        </a:xfrm>
        <a:prstGeom prst="rect">
          <a:avLst/>
        </a:prstGeom>
      </xdr:spPr>
    </xdr:pic>
    <xdr:clientData/>
  </xdr:oneCellAnchor>
  <xdr:oneCellAnchor>
    <xdr:from>
      <xdr:col>1</xdr:col>
      <xdr:colOff>378758</xdr:colOff>
      <xdr:row>3177</xdr:row>
      <xdr:rowOff>40342</xdr:rowOff>
    </xdr:from>
    <xdr:ext cx="1333500" cy="371475"/>
    <xdr:pic>
      <xdr:nvPicPr>
        <xdr:cNvPr id="936" name="image57.jpg" descr="Logo CSJ RGB_01">
          <a:extLst>
            <a:ext uri="{FF2B5EF4-FFF2-40B4-BE49-F238E27FC236}">
              <a16:creationId xmlns:a16="http://schemas.microsoft.com/office/drawing/2014/main" id="{92FB429C-2064-4250-9329-F19EE8D8302A}"/>
            </a:ext>
          </a:extLst>
        </xdr:cNvPr>
        <xdr:cNvPicPr preferRelativeResize="0"/>
      </xdr:nvPicPr>
      <xdr:blipFill>
        <a:blip xmlns:r="http://schemas.openxmlformats.org/officeDocument/2006/relationships" r:embed="rId48" cstate="print"/>
        <a:stretch>
          <a:fillRect/>
        </a:stretch>
      </xdr:blipFill>
      <xdr:spPr>
        <a:xfrm>
          <a:off x="706180" y="325219873"/>
          <a:ext cx="1333500" cy="371475"/>
        </a:xfrm>
        <a:prstGeom prst="rect">
          <a:avLst/>
        </a:prstGeom>
        <a:noFill/>
      </xdr:spPr>
    </xdr:pic>
    <xdr:clientData fLocksWithSheet="0"/>
  </xdr:oneCellAnchor>
  <xdr:oneCellAnchor>
    <xdr:from>
      <xdr:col>1</xdr:col>
      <xdr:colOff>356347</xdr:colOff>
      <xdr:row>4543</xdr:row>
      <xdr:rowOff>55284</xdr:rowOff>
    </xdr:from>
    <xdr:ext cx="1333500" cy="371475"/>
    <xdr:pic>
      <xdr:nvPicPr>
        <xdr:cNvPr id="938" name="image57.jpg" descr="Logo CSJ RGB_01">
          <a:extLst>
            <a:ext uri="{FF2B5EF4-FFF2-40B4-BE49-F238E27FC236}">
              <a16:creationId xmlns:a16="http://schemas.microsoft.com/office/drawing/2014/main" id="{C0305E93-4782-43C7-8005-3D43F73D01C7}"/>
            </a:ext>
          </a:extLst>
        </xdr:cNvPr>
        <xdr:cNvPicPr preferRelativeResize="0"/>
      </xdr:nvPicPr>
      <xdr:blipFill>
        <a:blip xmlns:r="http://schemas.openxmlformats.org/officeDocument/2006/relationships" r:embed="rId48" cstate="print"/>
        <a:stretch>
          <a:fillRect/>
        </a:stretch>
      </xdr:blipFill>
      <xdr:spPr>
        <a:xfrm>
          <a:off x="683769" y="622900987"/>
          <a:ext cx="1333500" cy="371475"/>
        </a:xfrm>
        <a:prstGeom prst="rect">
          <a:avLst/>
        </a:prstGeom>
        <a:noFill/>
      </xdr:spPr>
    </xdr:pic>
    <xdr:clientData fLocksWithSheet="0"/>
  </xdr:oneCellAnchor>
  <xdr:oneCellAnchor>
    <xdr:from>
      <xdr:col>1</xdr:col>
      <xdr:colOff>356347</xdr:colOff>
      <xdr:row>4543</xdr:row>
      <xdr:rowOff>55284</xdr:rowOff>
    </xdr:from>
    <xdr:ext cx="1333500" cy="371475"/>
    <xdr:pic>
      <xdr:nvPicPr>
        <xdr:cNvPr id="942" name="image57.jpg" descr="Logo CSJ RGB_01">
          <a:extLst>
            <a:ext uri="{FF2B5EF4-FFF2-40B4-BE49-F238E27FC236}">
              <a16:creationId xmlns:a16="http://schemas.microsoft.com/office/drawing/2014/main" id="{971CA932-8506-4B05-B40E-37363490C2A4}"/>
            </a:ext>
          </a:extLst>
        </xdr:cNvPr>
        <xdr:cNvPicPr preferRelativeResize="0"/>
      </xdr:nvPicPr>
      <xdr:blipFill>
        <a:blip xmlns:r="http://schemas.openxmlformats.org/officeDocument/2006/relationships" r:embed="rId48" cstate="print"/>
        <a:stretch>
          <a:fillRect/>
        </a:stretch>
      </xdr:blipFill>
      <xdr:spPr>
        <a:xfrm>
          <a:off x="683769" y="622900987"/>
          <a:ext cx="1333500" cy="371475"/>
        </a:xfrm>
        <a:prstGeom prst="rect">
          <a:avLst/>
        </a:prstGeom>
        <a:noFill/>
      </xdr:spPr>
    </xdr:pic>
    <xdr:clientData fLocksWithSheet="0"/>
  </xdr:oneCellAnchor>
  <xdr:oneCellAnchor>
    <xdr:from>
      <xdr:col>1</xdr:col>
      <xdr:colOff>356347</xdr:colOff>
      <xdr:row>4858</xdr:row>
      <xdr:rowOff>55284</xdr:rowOff>
    </xdr:from>
    <xdr:ext cx="1333500" cy="371475"/>
    <xdr:pic>
      <xdr:nvPicPr>
        <xdr:cNvPr id="943" name="image57.jpg" descr="Logo CSJ RGB_01">
          <a:extLst>
            <a:ext uri="{FF2B5EF4-FFF2-40B4-BE49-F238E27FC236}">
              <a16:creationId xmlns:a16="http://schemas.microsoft.com/office/drawing/2014/main" id="{99922DB5-284E-455F-BB06-D7CC9C8F6F11}"/>
            </a:ext>
          </a:extLst>
        </xdr:cNvPr>
        <xdr:cNvPicPr preferRelativeResize="0"/>
      </xdr:nvPicPr>
      <xdr:blipFill>
        <a:blip xmlns:r="http://schemas.openxmlformats.org/officeDocument/2006/relationships" r:embed="rId48" cstate="print"/>
        <a:stretch>
          <a:fillRect/>
        </a:stretch>
      </xdr:blipFill>
      <xdr:spPr>
        <a:xfrm>
          <a:off x="683769" y="691153565"/>
          <a:ext cx="1333500" cy="371475"/>
        </a:xfrm>
        <a:prstGeom prst="rect">
          <a:avLst/>
        </a:prstGeom>
        <a:noFill/>
      </xdr:spPr>
    </xdr:pic>
    <xdr:clientData fLocksWithSheet="0"/>
  </xdr:oneCellAnchor>
  <xdr:oneCellAnchor>
    <xdr:from>
      <xdr:col>1</xdr:col>
      <xdr:colOff>356347</xdr:colOff>
      <xdr:row>4858</xdr:row>
      <xdr:rowOff>55284</xdr:rowOff>
    </xdr:from>
    <xdr:ext cx="1333500" cy="371475"/>
    <xdr:pic>
      <xdr:nvPicPr>
        <xdr:cNvPr id="947" name="image57.jpg" descr="Logo CSJ RGB_01">
          <a:extLst>
            <a:ext uri="{FF2B5EF4-FFF2-40B4-BE49-F238E27FC236}">
              <a16:creationId xmlns:a16="http://schemas.microsoft.com/office/drawing/2014/main" id="{D01CDC47-D305-46EC-8C31-85A6800D802C}"/>
            </a:ext>
          </a:extLst>
        </xdr:cNvPr>
        <xdr:cNvPicPr preferRelativeResize="0"/>
      </xdr:nvPicPr>
      <xdr:blipFill>
        <a:blip xmlns:r="http://schemas.openxmlformats.org/officeDocument/2006/relationships" r:embed="rId48" cstate="print"/>
        <a:stretch>
          <a:fillRect/>
        </a:stretch>
      </xdr:blipFill>
      <xdr:spPr>
        <a:xfrm>
          <a:off x="683769" y="691153565"/>
          <a:ext cx="1333500" cy="371475"/>
        </a:xfrm>
        <a:prstGeom prst="rect">
          <a:avLst/>
        </a:prstGeom>
        <a:noFill/>
      </xdr:spPr>
    </xdr:pic>
    <xdr:clientData fLocksWithSheet="0"/>
  </xdr:oneCellAnchor>
  <xdr:twoCellAnchor editAs="oneCell">
    <xdr:from>
      <xdr:col>8</xdr:col>
      <xdr:colOff>506016</xdr:colOff>
      <xdr:row>3800</xdr:row>
      <xdr:rowOff>59531</xdr:rowOff>
    </xdr:from>
    <xdr:to>
      <xdr:col>11</xdr:col>
      <xdr:colOff>68717</xdr:colOff>
      <xdr:row>3811</xdr:row>
      <xdr:rowOff>57758</xdr:rowOff>
    </xdr:to>
    <xdr:pic>
      <xdr:nvPicPr>
        <xdr:cNvPr id="948" name="Imagen 947">
          <a:extLst>
            <a:ext uri="{FF2B5EF4-FFF2-40B4-BE49-F238E27FC236}">
              <a16:creationId xmlns:a16="http://schemas.microsoft.com/office/drawing/2014/main" id="{AA189D2C-B5BE-F344-13B5-0BAEF0E649E5}"/>
            </a:ext>
          </a:extLst>
        </xdr:cNvPr>
        <xdr:cNvPicPr>
          <a:picLocks noChangeAspect="1"/>
        </xdr:cNvPicPr>
      </xdr:nvPicPr>
      <xdr:blipFill>
        <a:blip xmlns:r="http://schemas.openxmlformats.org/officeDocument/2006/relationships" r:embed="rId123"/>
        <a:stretch>
          <a:fillRect/>
        </a:stretch>
      </xdr:blipFill>
      <xdr:spPr>
        <a:xfrm>
          <a:off x="8195469" y="467558437"/>
          <a:ext cx="1765357" cy="2071899"/>
        </a:xfrm>
        <a:prstGeom prst="rect">
          <a:avLst/>
        </a:prstGeom>
      </xdr:spPr>
    </xdr:pic>
    <xdr:clientData/>
  </xdr:twoCellAnchor>
  <xdr:twoCellAnchor editAs="oneCell">
    <xdr:from>
      <xdr:col>8</xdr:col>
      <xdr:colOff>9922</xdr:colOff>
      <xdr:row>3777</xdr:row>
      <xdr:rowOff>106016</xdr:rowOff>
    </xdr:from>
    <xdr:to>
      <xdr:col>10</xdr:col>
      <xdr:colOff>541652</xdr:colOff>
      <xdr:row>3789</xdr:row>
      <xdr:rowOff>0</xdr:rowOff>
    </xdr:to>
    <xdr:pic>
      <xdr:nvPicPr>
        <xdr:cNvPr id="951" name="Imagen 950">
          <a:extLst>
            <a:ext uri="{FF2B5EF4-FFF2-40B4-BE49-F238E27FC236}">
              <a16:creationId xmlns:a16="http://schemas.microsoft.com/office/drawing/2014/main" id="{3A72AD44-B3CA-BC69-0B9A-57A4B102E786}"/>
            </a:ext>
          </a:extLst>
        </xdr:cNvPr>
        <xdr:cNvPicPr>
          <a:picLocks noChangeAspect="1"/>
        </xdr:cNvPicPr>
      </xdr:nvPicPr>
      <xdr:blipFill>
        <a:blip xmlns:r="http://schemas.openxmlformats.org/officeDocument/2006/relationships" r:embed="rId124"/>
        <a:stretch>
          <a:fillRect/>
        </a:stretch>
      </xdr:blipFill>
      <xdr:spPr>
        <a:xfrm>
          <a:off x="7699375" y="462683672"/>
          <a:ext cx="1960480" cy="2156172"/>
        </a:xfrm>
        <a:prstGeom prst="rect">
          <a:avLst/>
        </a:prstGeom>
      </xdr:spPr>
    </xdr:pic>
    <xdr:clientData/>
  </xdr:twoCellAnchor>
  <xdr:twoCellAnchor editAs="oneCell">
    <xdr:from>
      <xdr:col>8</xdr:col>
      <xdr:colOff>386953</xdr:colOff>
      <xdr:row>2578</xdr:row>
      <xdr:rowOff>158750</xdr:rowOff>
    </xdr:from>
    <xdr:to>
      <xdr:col>12</xdr:col>
      <xdr:colOff>365926</xdr:colOff>
      <xdr:row>2590</xdr:row>
      <xdr:rowOff>162213</xdr:rowOff>
    </xdr:to>
    <xdr:pic>
      <xdr:nvPicPr>
        <xdr:cNvPr id="952" name="Imagen 951">
          <a:extLst>
            <a:ext uri="{FF2B5EF4-FFF2-40B4-BE49-F238E27FC236}">
              <a16:creationId xmlns:a16="http://schemas.microsoft.com/office/drawing/2014/main" id="{9DB7C8CC-3917-6DCC-B2DD-B04509D987C0}"/>
            </a:ext>
          </a:extLst>
        </xdr:cNvPr>
        <xdr:cNvPicPr>
          <a:picLocks noChangeAspect="1"/>
        </xdr:cNvPicPr>
      </xdr:nvPicPr>
      <xdr:blipFill>
        <a:blip xmlns:r="http://schemas.openxmlformats.org/officeDocument/2006/relationships" r:embed="rId125"/>
        <a:stretch>
          <a:fillRect/>
        </a:stretch>
      </xdr:blipFill>
      <xdr:spPr>
        <a:xfrm>
          <a:off x="8076406" y="247441641"/>
          <a:ext cx="2896004" cy="2067213"/>
        </a:xfrm>
        <a:prstGeom prst="rect">
          <a:avLst/>
        </a:prstGeom>
      </xdr:spPr>
    </xdr:pic>
    <xdr:clientData/>
  </xdr:twoCellAnchor>
  <xdr:twoCellAnchor editAs="oneCell">
    <xdr:from>
      <xdr:col>9</xdr:col>
      <xdr:colOff>238126</xdr:colOff>
      <xdr:row>5752</xdr:row>
      <xdr:rowOff>121375</xdr:rowOff>
    </xdr:from>
    <xdr:to>
      <xdr:col>11</xdr:col>
      <xdr:colOff>1</xdr:colOff>
      <xdr:row>5760</xdr:row>
      <xdr:rowOff>117373</xdr:rowOff>
    </xdr:to>
    <xdr:pic>
      <xdr:nvPicPr>
        <xdr:cNvPr id="477" name="Imagen 476">
          <a:extLst>
            <a:ext uri="{FF2B5EF4-FFF2-40B4-BE49-F238E27FC236}">
              <a16:creationId xmlns:a16="http://schemas.microsoft.com/office/drawing/2014/main" id="{BA1F36E5-3864-43CF-9E6B-AA9F8EEF9DD3}"/>
            </a:ext>
          </a:extLst>
        </xdr:cNvPr>
        <xdr:cNvPicPr>
          <a:picLocks noChangeAspect="1"/>
        </xdr:cNvPicPr>
      </xdr:nvPicPr>
      <xdr:blipFill>
        <a:blip xmlns:r="http://schemas.openxmlformats.org/officeDocument/2006/relationships" r:embed="rId126"/>
        <a:stretch>
          <a:fillRect/>
        </a:stretch>
      </xdr:blipFill>
      <xdr:spPr>
        <a:xfrm>
          <a:off x="8890001" y="898900375"/>
          <a:ext cx="1285875" cy="1519998"/>
        </a:xfrm>
        <a:prstGeom prst="rect">
          <a:avLst/>
        </a:prstGeom>
      </xdr:spPr>
    </xdr:pic>
    <xdr:clientData/>
  </xdr:twoCellAnchor>
  <xdr:twoCellAnchor editAs="oneCell">
    <xdr:from>
      <xdr:col>8</xdr:col>
      <xdr:colOff>103188</xdr:colOff>
      <xdr:row>5767</xdr:row>
      <xdr:rowOff>180374</xdr:rowOff>
    </xdr:from>
    <xdr:to>
      <xdr:col>10</xdr:col>
      <xdr:colOff>396876</xdr:colOff>
      <xdr:row>5776</xdr:row>
      <xdr:rowOff>176654</xdr:rowOff>
    </xdr:to>
    <xdr:pic>
      <xdr:nvPicPr>
        <xdr:cNvPr id="7" name="Imagen 6">
          <a:extLst>
            <a:ext uri="{FF2B5EF4-FFF2-40B4-BE49-F238E27FC236}">
              <a16:creationId xmlns:a16="http://schemas.microsoft.com/office/drawing/2014/main" id="{AB9753A1-E2BA-4F77-BCD5-0C346D36F46E}"/>
            </a:ext>
          </a:extLst>
        </xdr:cNvPr>
        <xdr:cNvPicPr>
          <a:picLocks noChangeAspect="1"/>
        </xdr:cNvPicPr>
      </xdr:nvPicPr>
      <xdr:blipFill>
        <a:blip xmlns:r="http://schemas.openxmlformats.org/officeDocument/2006/relationships" r:embed="rId127"/>
        <a:stretch>
          <a:fillRect/>
        </a:stretch>
      </xdr:blipFill>
      <xdr:spPr>
        <a:xfrm>
          <a:off x="8024813" y="902356624"/>
          <a:ext cx="1754188" cy="1710780"/>
        </a:xfrm>
        <a:prstGeom prst="rect">
          <a:avLst/>
        </a:prstGeom>
      </xdr:spPr>
    </xdr:pic>
    <xdr:clientData/>
  </xdr:twoCellAnchor>
  <xdr:twoCellAnchor editAs="oneCell">
    <xdr:from>
      <xdr:col>8</xdr:col>
      <xdr:colOff>230188</xdr:colOff>
      <xdr:row>5790</xdr:row>
      <xdr:rowOff>39687</xdr:rowOff>
    </xdr:from>
    <xdr:to>
      <xdr:col>10</xdr:col>
      <xdr:colOff>523876</xdr:colOff>
      <xdr:row>5799</xdr:row>
      <xdr:rowOff>35967</xdr:rowOff>
    </xdr:to>
    <xdr:pic>
      <xdr:nvPicPr>
        <xdr:cNvPr id="478" name="Imagen 477">
          <a:extLst>
            <a:ext uri="{FF2B5EF4-FFF2-40B4-BE49-F238E27FC236}">
              <a16:creationId xmlns:a16="http://schemas.microsoft.com/office/drawing/2014/main" id="{68174F9F-3AEE-40C9-9EE4-B8DE629B83C2}"/>
            </a:ext>
          </a:extLst>
        </xdr:cNvPr>
        <xdr:cNvPicPr>
          <a:picLocks noChangeAspect="1"/>
        </xdr:cNvPicPr>
      </xdr:nvPicPr>
      <xdr:blipFill>
        <a:blip xmlns:r="http://schemas.openxmlformats.org/officeDocument/2006/relationships" r:embed="rId127"/>
        <a:stretch>
          <a:fillRect/>
        </a:stretch>
      </xdr:blipFill>
      <xdr:spPr>
        <a:xfrm>
          <a:off x="8151813" y="907319750"/>
          <a:ext cx="1754188" cy="171078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0</xdr:col>
      <xdr:colOff>352425</xdr:colOff>
      <xdr:row>0</xdr:row>
      <xdr:rowOff>47625</xdr:rowOff>
    </xdr:from>
    <xdr:ext cx="1914525" cy="619125"/>
    <xdr:pic>
      <xdr:nvPicPr>
        <xdr:cNvPr id="2" name="image498.jpg" descr="Logo CSJ RGB_01">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BE4D5"/>
  </sheetPr>
  <dimension ref="A1:AH445"/>
  <sheetViews>
    <sheetView showGridLines="0" tabSelected="1" view="pageBreakPreview" topLeftCell="A229" zoomScaleNormal="100" zoomScaleSheetLayoutView="100" workbookViewId="0">
      <selection activeCell="E220" sqref="E220:E226"/>
    </sheetView>
  </sheetViews>
  <sheetFormatPr baseColWidth="10" defaultColWidth="14.42578125" defaultRowHeight="15" customHeight="1" outlineLevelCol="1" x14ac:dyDescent="0.2"/>
  <cols>
    <col min="1" max="2" width="7.28515625" style="1" customWidth="1"/>
    <col min="3" max="3" width="72.42578125" style="1" customWidth="1"/>
    <col min="4" max="4" width="8.85546875" style="1" customWidth="1"/>
    <col min="5" max="5" width="9.7109375" style="1" customWidth="1"/>
    <col min="6" max="6" width="20.28515625" style="1" customWidth="1"/>
    <col min="7" max="7" width="17.7109375" style="305" customWidth="1"/>
    <col min="8" max="8" width="10.7109375" style="1" customWidth="1"/>
    <col min="9" max="9" width="18.28515625" style="1" customWidth="1"/>
    <col min="10" max="10" width="11.5703125" style="1" customWidth="1"/>
    <col min="11" max="11" width="20.42578125" style="1" customWidth="1"/>
    <col min="12" max="12" width="4.28515625" style="1" customWidth="1"/>
    <col min="13" max="13" width="11.7109375" style="1" customWidth="1"/>
    <col min="14" max="14" width="19.140625" style="1" customWidth="1"/>
    <col min="15" max="15" width="1.5703125" style="1" customWidth="1"/>
    <col min="16" max="16" width="9.28515625" style="1" customWidth="1" outlineLevel="1"/>
    <col min="17" max="17" width="19" style="1" customWidth="1" outlineLevel="1"/>
    <col min="18" max="18" width="1.28515625" style="1" customWidth="1"/>
    <col min="19" max="19" width="7.140625" style="1" customWidth="1" outlineLevel="1"/>
    <col min="20" max="20" width="14.28515625" style="1" customWidth="1" outlineLevel="1"/>
    <col min="21" max="21" width="1.140625" style="1" customWidth="1"/>
    <col min="22" max="22" width="7.140625" style="1" customWidth="1"/>
    <col min="23" max="23" width="19.85546875" style="1" customWidth="1"/>
    <col min="24" max="24" width="13.42578125" style="1" customWidth="1"/>
    <col min="25" max="25" width="1.140625" style="1" hidden="1" customWidth="1"/>
    <col min="26" max="26" width="8" style="1" hidden="1" customWidth="1" outlineLevel="1"/>
    <col min="27" max="27" width="20" style="1" hidden="1" customWidth="1" outlineLevel="1"/>
    <col min="28" max="28" width="5.7109375" style="1" hidden="1" customWidth="1" outlineLevel="1"/>
    <col min="29" max="29" width="17.140625" style="1" hidden="1" customWidth="1" outlineLevel="1"/>
    <col min="30" max="30" width="14.42578125" style="1" hidden="1" customWidth="1" collapsed="1"/>
    <col min="31" max="48" width="14.42578125" style="1" customWidth="1"/>
    <col min="49" max="16384" width="14.42578125" style="1"/>
  </cols>
  <sheetData>
    <row r="1" spans="1:29" ht="24.6" customHeight="1" x14ac:dyDescent="0.2">
      <c r="A1" s="1" t="s">
        <v>0</v>
      </c>
      <c r="C1" s="676" t="s">
        <v>1</v>
      </c>
      <c r="D1" s="677"/>
      <c r="E1" s="677"/>
      <c r="F1" s="677"/>
      <c r="G1" s="677"/>
      <c r="H1" s="677"/>
      <c r="I1" s="677"/>
      <c r="J1" s="677"/>
      <c r="K1" s="677"/>
      <c r="L1" s="677"/>
      <c r="M1" s="677"/>
      <c r="N1" s="677"/>
      <c r="P1" s="2"/>
      <c r="Q1" s="3"/>
      <c r="T1" s="3"/>
      <c r="W1" s="3"/>
      <c r="Z1" s="4"/>
      <c r="AA1" s="3"/>
      <c r="AC1" s="4"/>
    </row>
    <row r="2" spans="1:29" ht="23.45" customHeight="1" thickBot="1" x14ac:dyDescent="0.25">
      <c r="C2" s="262"/>
      <c r="D2" s="262"/>
      <c r="E2" s="262"/>
      <c r="F2" s="262"/>
      <c r="G2" s="293"/>
      <c r="H2" s="5"/>
      <c r="I2" s="6"/>
      <c r="J2" s="262"/>
      <c r="K2" s="6"/>
      <c r="L2" s="262"/>
      <c r="M2" s="5"/>
      <c r="N2" s="6"/>
      <c r="P2" s="2"/>
      <c r="Q2" s="3"/>
      <c r="T2" s="3"/>
      <c r="W2" s="3"/>
      <c r="Z2" s="4"/>
      <c r="AA2" s="3"/>
      <c r="AC2" s="4"/>
    </row>
    <row r="3" spans="1:29" ht="11.25" customHeight="1" x14ac:dyDescent="0.2">
      <c r="A3" s="678" t="s">
        <v>2</v>
      </c>
      <c r="B3" s="610"/>
      <c r="C3" s="679"/>
      <c r="D3" s="680" t="s">
        <v>3</v>
      </c>
      <c r="E3" s="610"/>
      <c r="F3" s="610"/>
      <c r="G3" s="679"/>
      <c r="H3" s="680" t="s">
        <v>4</v>
      </c>
      <c r="I3" s="610"/>
      <c r="J3" s="610"/>
      <c r="K3" s="610"/>
      <c r="L3" s="610"/>
      <c r="M3" s="610"/>
      <c r="N3" s="611"/>
      <c r="P3" s="2"/>
      <c r="Q3" s="3"/>
      <c r="T3" s="3"/>
      <c r="W3" s="3"/>
      <c r="Z3" s="4"/>
      <c r="AA3" s="3"/>
      <c r="AC3" s="4"/>
    </row>
    <row r="4" spans="1:29" ht="13.9" customHeight="1" x14ac:dyDescent="0.2">
      <c r="A4" s="681"/>
      <c r="B4" s="589"/>
      <c r="C4" s="590"/>
      <c r="D4" s="682"/>
      <c r="E4" s="589"/>
      <c r="F4" s="589"/>
      <c r="G4" s="590"/>
      <c r="H4" s="682" t="s">
        <v>5</v>
      </c>
      <c r="I4" s="589"/>
      <c r="J4" s="589"/>
      <c r="K4" s="589"/>
      <c r="L4" s="589"/>
      <c r="M4" s="589"/>
      <c r="N4" s="686"/>
      <c r="P4" s="2"/>
      <c r="Q4" s="3"/>
      <c r="T4" s="3"/>
      <c r="W4" s="3"/>
      <c r="Z4" s="4"/>
      <c r="AA4" s="3"/>
      <c r="AC4" s="4"/>
    </row>
    <row r="5" spans="1:29" ht="11.25" customHeight="1" x14ac:dyDescent="0.2">
      <c r="A5" s="624"/>
      <c r="B5" s="599"/>
      <c r="C5" s="642"/>
      <c r="D5" s="683"/>
      <c r="E5" s="677"/>
      <c r="F5" s="677"/>
      <c r="G5" s="684"/>
      <c r="H5" s="683"/>
      <c r="I5" s="677"/>
      <c r="J5" s="677"/>
      <c r="K5" s="677"/>
      <c r="L5" s="677"/>
      <c r="M5" s="677"/>
      <c r="N5" s="687"/>
      <c r="P5" s="2"/>
      <c r="Q5" s="3"/>
      <c r="T5" s="3"/>
      <c r="W5" s="3"/>
      <c r="Z5" s="4"/>
      <c r="AA5" s="3"/>
      <c r="AC5" s="4"/>
    </row>
    <row r="6" spans="1:29" ht="11.25" customHeight="1" x14ac:dyDescent="0.2">
      <c r="A6" s="688" t="s">
        <v>6</v>
      </c>
      <c r="B6" s="631"/>
      <c r="C6" s="584"/>
      <c r="D6" s="685"/>
      <c r="E6" s="599"/>
      <c r="F6" s="599"/>
      <c r="G6" s="642"/>
      <c r="H6" s="683"/>
      <c r="I6" s="677"/>
      <c r="J6" s="677"/>
      <c r="K6" s="677"/>
      <c r="L6" s="677"/>
      <c r="M6" s="677"/>
      <c r="N6" s="687"/>
      <c r="P6" s="2"/>
      <c r="Q6" s="3"/>
      <c r="T6" s="3"/>
      <c r="W6" s="3"/>
      <c r="Z6" s="4"/>
      <c r="AA6" s="3"/>
      <c r="AC6" s="4"/>
    </row>
    <row r="7" spans="1:29" ht="11.25" customHeight="1" x14ac:dyDescent="0.2">
      <c r="A7" s="691"/>
      <c r="B7" s="631"/>
      <c r="C7" s="584"/>
      <c r="D7" s="689" t="s">
        <v>7</v>
      </c>
      <c r="E7" s="584"/>
      <c r="F7" s="690"/>
      <c r="G7" s="584"/>
      <c r="H7" s="683"/>
      <c r="I7" s="677"/>
      <c r="J7" s="677"/>
      <c r="K7" s="677"/>
      <c r="L7" s="677"/>
      <c r="M7" s="677"/>
      <c r="N7" s="687"/>
      <c r="P7" s="2"/>
      <c r="Q7" s="3"/>
      <c r="T7" s="3"/>
      <c r="W7" s="3"/>
      <c r="Z7" s="4"/>
      <c r="AA7" s="3"/>
      <c r="AC7" s="4"/>
    </row>
    <row r="8" spans="1:29" ht="21" customHeight="1" x14ac:dyDescent="0.2">
      <c r="A8" s="688" t="s">
        <v>8</v>
      </c>
      <c r="B8" s="631"/>
      <c r="C8" s="584"/>
      <c r="D8" s="689" t="s">
        <v>9</v>
      </c>
      <c r="E8" s="584"/>
      <c r="F8" s="669"/>
      <c r="G8" s="584"/>
      <c r="H8" s="685"/>
      <c r="I8" s="599"/>
      <c r="J8" s="599"/>
      <c r="K8" s="599"/>
      <c r="L8" s="599"/>
      <c r="M8" s="599"/>
      <c r="N8" s="600"/>
      <c r="P8" s="2"/>
      <c r="Q8" s="3"/>
      <c r="T8" s="3"/>
      <c r="W8" s="3"/>
      <c r="Z8" s="4"/>
      <c r="AA8" s="3"/>
      <c r="AC8" s="4"/>
    </row>
    <row r="9" spans="1:29" ht="24" customHeight="1" x14ac:dyDescent="0.2">
      <c r="A9" s="696"/>
      <c r="B9" s="631"/>
      <c r="C9" s="584"/>
      <c r="D9" s="689" t="s">
        <v>10</v>
      </c>
      <c r="E9" s="584"/>
      <c r="F9" s="250"/>
      <c r="G9" s="697" t="s">
        <v>11</v>
      </c>
      <c r="H9" s="642"/>
      <c r="I9" s="251"/>
      <c r="J9" s="655" t="str">
        <f>CONCATENATE("VR.ACTA ACTUAL (",F11,")")</f>
        <v>VR.ACTA ACTUAL ()</v>
      </c>
      <c r="K9" s="656"/>
      <c r="L9" s="667">
        <f>+Q250</f>
        <v>0</v>
      </c>
      <c r="M9" s="631"/>
      <c r="N9" s="597"/>
      <c r="P9" s="2"/>
      <c r="Q9" s="3"/>
      <c r="T9" s="3"/>
      <c r="W9" s="3"/>
      <c r="Z9" s="4"/>
      <c r="AA9" s="3"/>
      <c r="AC9" s="4"/>
    </row>
    <row r="10" spans="1:29" ht="22.5" customHeight="1" x14ac:dyDescent="0.2">
      <c r="A10" s="692" t="s">
        <v>12</v>
      </c>
      <c r="B10" s="631"/>
      <c r="C10" s="584"/>
      <c r="D10" s="693" t="s">
        <v>13</v>
      </c>
      <c r="E10" s="590"/>
      <c r="F10" s="252">
        <f>F8+F9</f>
        <v>0</v>
      </c>
      <c r="G10" s="668" t="s">
        <v>14</v>
      </c>
      <c r="H10" s="590"/>
      <c r="I10" s="253"/>
      <c r="J10" s="657" t="s">
        <v>15</v>
      </c>
      <c r="K10" s="590"/>
      <c r="L10" s="669">
        <f>I10+L9</f>
        <v>0</v>
      </c>
      <c r="M10" s="631"/>
      <c r="N10" s="597"/>
      <c r="P10" s="2"/>
      <c r="Q10" s="3"/>
      <c r="T10" s="3"/>
      <c r="W10" s="3"/>
      <c r="Z10" s="4"/>
      <c r="AA10" s="3"/>
      <c r="AC10" s="4"/>
    </row>
    <row r="11" spans="1:29" ht="17.25" customHeight="1" thickBot="1" x14ac:dyDescent="0.25">
      <c r="A11" s="673"/>
      <c r="B11" s="608"/>
      <c r="C11" s="659"/>
      <c r="D11" s="707" t="s">
        <v>16</v>
      </c>
      <c r="E11" s="659"/>
      <c r="F11" s="254"/>
      <c r="G11" s="658"/>
      <c r="H11" s="659"/>
      <c r="I11" s="255"/>
      <c r="J11" s="660" t="s">
        <v>17</v>
      </c>
      <c r="K11" s="659"/>
      <c r="L11" s="661">
        <f>F10-L10</f>
        <v>0</v>
      </c>
      <c r="M11" s="608"/>
      <c r="N11" s="662"/>
      <c r="P11" s="2"/>
      <c r="Q11" s="3"/>
      <c r="T11" s="3"/>
      <c r="W11" s="3"/>
      <c r="Z11" s="4"/>
      <c r="AA11" s="3"/>
      <c r="AC11" s="4"/>
    </row>
    <row r="12" spans="1:29" ht="4.9000000000000004" customHeight="1" thickBot="1" x14ac:dyDescent="0.25">
      <c r="G12" s="294"/>
      <c r="H12" s="2"/>
      <c r="I12" s="3"/>
      <c r="K12" s="3"/>
      <c r="M12" s="2"/>
      <c r="N12" s="3"/>
      <c r="P12" s="2"/>
      <c r="Q12" s="3"/>
      <c r="T12" s="3"/>
      <c r="W12" s="3"/>
      <c r="AA12" s="3"/>
    </row>
    <row r="13" spans="1:29" ht="21.75" customHeight="1" x14ac:dyDescent="0.2">
      <c r="A13" s="709" t="s">
        <v>18</v>
      </c>
      <c r="B13" s="664"/>
      <c r="C13" s="665"/>
      <c r="D13" s="663" t="s">
        <v>19</v>
      </c>
      <c r="E13" s="664"/>
      <c r="F13" s="665"/>
      <c r="G13" s="663" t="str">
        <f>+D8</f>
        <v>VALOR CONTRATO:</v>
      </c>
      <c r="H13" s="664"/>
      <c r="I13" s="665"/>
      <c r="J13" s="663" t="str">
        <f>+G9</f>
        <v>TIEMPO (DIAS) ADICIÓN 1:</v>
      </c>
      <c r="K13" s="664"/>
      <c r="L13" s="665"/>
      <c r="M13" s="663" t="str">
        <f>+G10</f>
        <v xml:space="preserve">VR. ACTA No. 1 </v>
      </c>
      <c r="N13" s="666"/>
      <c r="P13" s="2"/>
      <c r="Q13" s="3"/>
      <c r="T13" s="3"/>
      <c r="W13" s="3"/>
      <c r="Z13" s="4"/>
      <c r="AA13" s="3"/>
      <c r="AC13" s="4"/>
    </row>
    <row r="14" spans="1:29" ht="11.25" customHeight="1" thickBot="1" x14ac:dyDescent="0.25">
      <c r="A14" s="674"/>
      <c r="B14" s="608"/>
      <c r="C14" s="659"/>
      <c r="D14" s="708" t="s">
        <v>20</v>
      </c>
      <c r="E14" s="608"/>
      <c r="F14" s="659"/>
      <c r="G14" s="675" t="str">
        <f>+D14</f>
        <v>N/A</v>
      </c>
      <c r="H14" s="608"/>
      <c r="I14" s="659"/>
      <c r="J14" s="675" t="str">
        <f>+G14</f>
        <v>N/A</v>
      </c>
      <c r="K14" s="608"/>
      <c r="L14" s="659"/>
      <c r="M14" s="675" t="str">
        <f>+J14</f>
        <v>N/A</v>
      </c>
      <c r="N14" s="662"/>
      <c r="P14" s="2"/>
      <c r="Q14" s="3"/>
      <c r="T14" s="3"/>
      <c r="W14" s="3"/>
      <c r="Z14" s="4"/>
      <c r="AA14" s="3"/>
      <c r="AC14" s="4"/>
    </row>
    <row r="15" spans="1:29" ht="6.6" customHeight="1" thickBot="1" x14ac:dyDescent="0.25">
      <c r="A15" s="256"/>
      <c r="B15" s="257"/>
      <c r="E15" s="8"/>
      <c r="F15" s="258"/>
      <c r="G15" s="295"/>
      <c r="H15" s="259"/>
      <c r="I15" s="260"/>
      <c r="J15" s="261"/>
      <c r="K15" s="260"/>
      <c r="L15" s="9"/>
      <c r="M15" s="2"/>
      <c r="N15" s="3"/>
      <c r="P15" s="2"/>
      <c r="Q15" s="3"/>
      <c r="T15" s="3"/>
      <c r="W15" s="3"/>
      <c r="Z15" s="4"/>
      <c r="AA15" s="3"/>
      <c r="AC15" s="4"/>
    </row>
    <row r="16" spans="1:29" ht="16.149999999999999" customHeight="1" x14ac:dyDescent="0.2">
      <c r="A16" s="645"/>
      <c r="B16" s="623"/>
      <c r="C16" s="646"/>
      <c r="D16" s="622" t="s">
        <v>21</v>
      </c>
      <c r="E16" s="623"/>
      <c r="F16" s="623"/>
      <c r="G16" s="623"/>
      <c r="H16" s="625" t="s">
        <v>22</v>
      </c>
      <c r="I16" s="626"/>
      <c r="J16" s="629" t="s">
        <v>23</v>
      </c>
      <c r="K16" s="593"/>
      <c r="M16" s="595">
        <v>1</v>
      </c>
      <c r="N16" s="593"/>
      <c r="O16" s="10"/>
      <c r="P16" s="595">
        <v>2</v>
      </c>
      <c r="Q16" s="593"/>
      <c r="R16" s="10"/>
      <c r="S16" s="595">
        <v>3</v>
      </c>
      <c r="T16" s="593"/>
      <c r="U16" s="10"/>
      <c r="V16" s="591" t="s">
        <v>24</v>
      </c>
      <c r="W16" s="592"/>
      <c r="X16" s="593"/>
      <c r="Z16" s="594" t="s">
        <v>25</v>
      </c>
      <c r="AA16" s="592"/>
      <c r="AB16" s="593"/>
      <c r="AC16" s="4"/>
    </row>
    <row r="17" spans="1:31" ht="13.15" customHeight="1" x14ac:dyDescent="0.2">
      <c r="A17" s="627"/>
      <c r="B17" s="599"/>
      <c r="C17" s="600"/>
      <c r="D17" s="624"/>
      <c r="E17" s="599"/>
      <c r="F17" s="599"/>
      <c r="G17" s="599"/>
      <c r="H17" s="627"/>
      <c r="I17" s="628"/>
      <c r="J17" s="599"/>
      <c r="K17" s="600"/>
      <c r="M17" s="596"/>
      <c r="N17" s="597"/>
      <c r="P17" s="596"/>
      <c r="Q17" s="597"/>
      <c r="S17" s="596"/>
      <c r="T17" s="597"/>
      <c r="V17" s="598"/>
      <c r="W17" s="599"/>
      <c r="X17" s="600"/>
      <c r="Z17" s="601"/>
      <c r="AA17" s="599"/>
      <c r="AB17" s="600"/>
      <c r="AC17" s="4"/>
    </row>
    <row r="18" spans="1:31" ht="26.25" customHeight="1" thickBot="1" x14ac:dyDescent="0.25">
      <c r="A18" s="374" t="s">
        <v>26</v>
      </c>
      <c r="B18" s="375" t="s">
        <v>27</v>
      </c>
      <c r="C18" s="376" t="s">
        <v>28</v>
      </c>
      <c r="D18" s="377" t="s">
        <v>29</v>
      </c>
      <c r="E18" s="378" t="s">
        <v>30</v>
      </c>
      <c r="F18" s="378" t="s">
        <v>31</v>
      </c>
      <c r="G18" s="379" t="s">
        <v>32</v>
      </c>
      <c r="H18" s="383" t="s">
        <v>33</v>
      </c>
      <c r="I18" s="384" t="s">
        <v>32</v>
      </c>
      <c r="J18" s="12" t="s">
        <v>33</v>
      </c>
      <c r="K18" s="11" t="s">
        <v>32</v>
      </c>
      <c r="M18" s="13" t="s">
        <v>33</v>
      </c>
      <c r="N18" s="14" t="s">
        <v>32</v>
      </c>
      <c r="P18" s="13" t="s">
        <v>33</v>
      </c>
      <c r="Q18" s="14" t="s">
        <v>32</v>
      </c>
      <c r="S18" s="15" t="s">
        <v>33</v>
      </c>
      <c r="T18" s="16" t="s">
        <v>32</v>
      </c>
      <c r="V18" s="17" t="s">
        <v>33</v>
      </c>
      <c r="W18" s="18" t="s">
        <v>32</v>
      </c>
      <c r="X18" s="19" t="s">
        <v>34</v>
      </c>
      <c r="Z18" s="20" t="s">
        <v>33</v>
      </c>
      <c r="AA18" s="21" t="s">
        <v>32</v>
      </c>
      <c r="AB18" s="22" t="s">
        <v>34</v>
      </c>
      <c r="AC18" s="4"/>
    </row>
    <row r="19" spans="1:31" ht="16.5" customHeight="1" x14ac:dyDescent="0.2">
      <c r="A19" s="635" t="s">
        <v>35</v>
      </c>
      <c r="B19" s="636"/>
      <c r="C19" s="636"/>
      <c r="D19" s="636"/>
      <c r="E19" s="637"/>
      <c r="F19" s="653" t="s">
        <v>36</v>
      </c>
      <c r="G19" s="636"/>
      <c r="H19" s="385"/>
      <c r="I19" s="386"/>
      <c r="J19" s="268"/>
      <c r="K19" s="267"/>
      <c r="M19" s="269"/>
      <c r="N19" s="270"/>
      <c r="P19" s="271"/>
      <c r="Q19" s="272"/>
      <c r="S19" s="24"/>
      <c r="T19" s="25"/>
      <c r="V19" s="273"/>
      <c r="W19" s="270"/>
      <c r="X19" s="274"/>
      <c r="Y19" s="216"/>
      <c r="Z19" s="26"/>
      <c r="AA19" s="23"/>
      <c r="AB19" s="27"/>
      <c r="AC19" s="4"/>
      <c r="AE19" s="28"/>
    </row>
    <row r="20" spans="1:31" ht="23.25" customHeight="1" x14ac:dyDescent="0.2">
      <c r="A20" s="313" t="s">
        <v>37</v>
      </c>
      <c r="B20" s="313" t="s">
        <v>27</v>
      </c>
      <c r="C20" s="314" t="s">
        <v>38</v>
      </c>
      <c r="D20" s="313" t="s">
        <v>39</v>
      </c>
      <c r="E20" s="313" t="s">
        <v>40</v>
      </c>
      <c r="F20" s="315" t="s">
        <v>41</v>
      </c>
      <c r="G20" s="316" t="s">
        <v>42</v>
      </c>
      <c r="H20" s="387" t="str">
        <f t="shared" ref="H20:K20" si="0">+H18</f>
        <v>CANT.</v>
      </c>
      <c r="I20" s="388" t="str">
        <f t="shared" si="0"/>
        <v xml:space="preserve">VALOR </v>
      </c>
      <c r="J20" s="30" t="str">
        <f t="shared" si="0"/>
        <v>CANT.</v>
      </c>
      <c r="K20" s="29" t="str">
        <f t="shared" si="0"/>
        <v xml:space="preserve">VALOR </v>
      </c>
      <c r="M20" s="31" t="str">
        <f t="shared" ref="M20:N20" si="1">+M18</f>
        <v>CANT.</v>
      </c>
      <c r="N20" s="32" t="str">
        <f t="shared" si="1"/>
        <v xml:space="preserve">VALOR </v>
      </c>
      <c r="P20" s="31" t="str">
        <f t="shared" ref="P20:Q20" si="2">+P18</f>
        <v>CANT.</v>
      </c>
      <c r="Q20" s="32" t="str">
        <f t="shared" si="2"/>
        <v xml:space="preserve">VALOR </v>
      </c>
      <c r="S20" s="33" t="str">
        <f t="shared" ref="S20:T20" si="3">+S18</f>
        <v>CANT.</v>
      </c>
      <c r="T20" s="32" t="str">
        <f t="shared" si="3"/>
        <v xml:space="preserve">VALOR </v>
      </c>
      <c r="V20" s="31" t="str">
        <f t="shared" ref="V20:W20" si="4">+V18</f>
        <v>CANT.</v>
      </c>
      <c r="W20" s="32" t="str">
        <f t="shared" si="4"/>
        <v xml:space="preserve">VALOR </v>
      </c>
      <c r="X20" s="206"/>
      <c r="Z20" s="34"/>
      <c r="AA20" s="35"/>
      <c r="AB20" s="206"/>
      <c r="AC20" s="4"/>
      <c r="AD20" s="36"/>
      <c r="AE20" s="28"/>
    </row>
    <row r="21" spans="1:31" ht="11.25" customHeight="1" x14ac:dyDescent="0.2">
      <c r="A21" s="638" t="s">
        <v>43</v>
      </c>
      <c r="B21" s="631"/>
      <c r="C21" s="584"/>
      <c r="D21" s="605"/>
      <c r="E21" s="584"/>
      <c r="F21" s="654"/>
      <c r="G21" s="631"/>
      <c r="H21" s="389"/>
      <c r="I21" s="390"/>
      <c r="J21" s="38"/>
      <c r="K21" s="37"/>
      <c r="M21" s="39"/>
      <c r="N21" s="40"/>
      <c r="P21" s="39"/>
      <c r="Q21" s="40"/>
      <c r="S21" s="39"/>
      <c r="T21" s="40"/>
      <c r="V21" s="42"/>
      <c r="W21" s="40"/>
      <c r="X21" s="43"/>
      <c r="Y21" s="217"/>
      <c r="Z21" s="42"/>
      <c r="AA21" s="40"/>
      <c r="AB21" s="43"/>
      <c r="AC21" s="4"/>
      <c r="AE21" s="28"/>
    </row>
    <row r="22" spans="1:31" ht="24.6" customHeight="1" x14ac:dyDescent="0.2">
      <c r="A22" s="44">
        <v>1</v>
      </c>
      <c r="B22" s="421" t="s">
        <v>44</v>
      </c>
      <c r="C22" s="45" t="s">
        <v>45</v>
      </c>
      <c r="D22" s="46" t="s">
        <v>46</v>
      </c>
      <c r="E22" s="52">
        <f>Memorias!D9</f>
        <v>55.100000000000016</v>
      </c>
      <c r="F22" s="263"/>
      <c r="G22" s="296">
        <f>ROUND(F22*E22,0)</f>
        <v>0</v>
      </c>
      <c r="H22" s="391"/>
      <c r="I22" s="392">
        <f>ROUND(H22*F22,0)</f>
        <v>0</v>
      </c>
      <c r="J22" s="49">
        <f>+H22+E22</f>
        <v>55.100000000000016</v>
      </c>
      <c r="K22" s="48">
        <f>G22+I22</f>
        <v>0</v>
      </c>
      <c r="M22" s="50"/>
      <c r="N22" s="35">
        <f>ROUND(M22*F22,0)</f>
        <v>0</v>
      </c>
      <c r="P22" s="50"/>
      <c r="Q22" s="35">
        <f t="shared" ref="Q22:Q27" si="5">ROUND(P22*F22,0)</f>
        <v>0</v>
      </c>
      <c r="S22" s="50"/>
      <c r="T22" s="35">
        <f t="shared" ref="T22:T27" si="6">ROUND(S22*F22,0)</f>
        <v>0</v>
      </c>
      <c r="V22" s="34">
        <f t="shared" ref="V22:V27" si="7">+M22+P22+S22</f>
        <v>0</v>
      </c>
      <c r="W22" s="35">
        <f t="shared" ref="W22:W27" si="8">+T22+Q22+N22</f>
        <v>0</v>
      </c>
      <c r="X22" s="206">
        <f t="shared" ref="X22:X27" si="9">IFERROR(V22/J22,"")</f>
        <v>0</v>
      </c>
      <c r="Z22" s="34">
        <f>J22-V22</f>
        <v>55.100000000000016</v>
      </c>
      <c r="AA22" s="35">
        <f>ROUND(Z22*F22,0)</f>
        <v>0</v>
      </c>
      <c r="AB22" s="206" t="str">
        <f>IFERROR(Z22/#REF!,"")</f>
        <v/>
      </c>
      <c r="AC22" s="4"/>
    </row>
    <row r="23" spans="1:31" ht="54.75" customHeight="1" x14ac:dyDescent="0.2">
      <c r="A23" s="44">
        <v>2</v>
      </c>
      <c r="B23" s="421" t="s">
        <v>47</v>
      </c>
      <c r="C23" s="45" t="s">
        <v>48</v>
      </c>
      <c r="D23" s="46" t="s">
        <v>46</v>
      </c>
      <c r="E23" s="822">
        <f>Memorias!D44</f>
        <v>55.100000000000016</v>
      </c>
      <c r="F23" s="248"/>
      <c r="G23" s="296">
        <f t="shared" ref="G23:G26" si="10">ROUND(F23*E23,0)</f>
        <v>0</v>
      </c>
      <c r="H23" s="391"/>
      <c r="I23" s="392">
        <f t="shared" ref="I23:I27" si="11">ROUND(H23*F23,0)</f>
        <v>0</v>
      </c>
      <c r="J23" s="49">
        <f t="shared" ref="J23:J27" si="12">+H23+E23</f>
        <v>55.100000000000016</v>
      </c>
      <c r="K23" s="48">
        <f t="shared" ref="K23:K36" si="13">G23+I23</f>
        <v>0</v>
      </c>
      <c r="M23" s="50"/>
      <c r="N23" s="35">
        <f t="shared" ref="N23:N36" si="14">ROUND(M23*F23,0)</f>
        <v>0</v>
      </c>
      <c r="P23" s="50"/>
      <c r="Q23" s="35">
        <f t="shared" si="5"/>
        <v>0</v>
      </c>
      <c r="S23" s="50"/>
      <c r="T23" s="35">
        <f t="shared" si="6"/>
        <v>0</v>
      </c>
      <c r="V23" s="34">
        <f t="shared" si="7"/>
        <v>0</v>
      </c>
      <c r="W23" s="35">
        <f t="shared" si="8"/>
        <v>0</v>
      </c>
      <c r="X23" s="206">
        <f t="shared" si="9"/>
        <v>0</v>
      </c>
      <c r="Z23" s="34">
        <f>J23-V23</f>
        <v>55.100000000000016</v>
      </c>
      <c r="AA23" s="35">
        <f>ROUND(Z23*F23,0)</f>
        <v>0</v>
      </c>
      <c r="AB23" s="206" t="str">
        <f>IFERROR(Z23/#REF!,"")</f>
        <v/>
      </c>
      <c r="AC23" s="4"/>
      <c r="AD23" s="36"/>
    </row>
    <row r="24" spans="1:31" ht="66.75" customHeight="1" x14ac:dyDescent="0.2">
      <c r="A24" s="44">
        <v>3</v>
      </c>
      <c r="B24" s="424" t="s">
        <v>49</v>
      </c>
      <c r="C24" s="45" t="s">
        <v>50</v>
      </c>
      <c r="D24" s="249" t="s">
        <v>51</v>
      </c>
      <c r="E24" s="823">
        <f>Memorias!D74</f>
        <v>39.810600000000008</v>
      </c>
      <c r="F24" s="282"/>
      <c r="G24" s="296">
        <f t="shared" si="10"/>
        <v>0</v>
      </c>
      <c r="H24" s="391"/>
      <c r="I24" s="392">
        <f t="shared" si="11"/>
        <v>0</v>
      </c>
      <c r="J24" s="49">
        <f t="shared" si="12"/>
        <v>39.810600000000008</v>
      </c>
      <c r="K24" s="48">
        <f t="shared" si="13"/>
        <v>0</v>
      </c>
      <c r="M24" s="50"/>
      <c r="N24" s="35">
        <f t="shared" si="14"/>
        <v>0</v>
      </c>
      <c r="P24" s="50"/>
      <c r="Q24" s="35">
        <f t="shared" si="5"/>
        <v>0</v>
      </c>
      <c r="S24" s="50"/>
      <c r="T24" s="35">
        <f t="shared" si="6"/>
        <v>0</v>
      </c>
      <c r="V24" s="34">
        <f t="shared" si="7"/>
        <v>0</v>
      </c>
      <c r="W24" s="35">
        <f t="shared" si="8"/>
        <v>0</v>
      </c>
      <c r="X24" s="206">
        <f t="shared" si="9"/>
        <v>0</v>
      </c>
      <c r="Z24" s="34">
        <f>J24-V24</f>
        <v>39.810600000000008</v>
      </c>
      <c r="AA24" s="35">
        <f>ROUND(Z24*F24,0)</f>
        <v>0</v>
      </c>
      <c r="AB24" s="206" t="str">
        <f>IFERROR(Z24/#REF!,"")</f>
        <v/>
      </c>
      <c r="AC24" s="4"/>
    </row>
    <row r="25" spans="1:31" ht="32.25" customHeight="1" x14ac:dyDescent="0.2">
      <c r="A25" s="44">
        <v>4</v>
      </c>
      <c r="B25" s="424" t="s">
        <v>52</v>
      </c>
      <c r="C25" s="279" t="s">
        <v>53</v>
      </c>
      <c r="D25" s="281" t="s">
        <v>51</v>
      </c>
      <c r="E25" s="824">
        <f>Memorias!D105</f>
        <v>12.892800000000003</v>
      </c>
      <c r="F25" s="263"/>
      <c r="G25" s="296">
        <f t="shared" si="10"/>
        <v>0</v>
      </c>
      <c r="H25" s="391"/>
      <c r="I25" s="392">
        <f t="shared" si="11"/>
        <v>0</v>
      </c>
      <c r="J25" s="49">
        <f t="shared" si="12"/>
        <v>12.892800000000003</v>
      </c>
      <c r="K25" s="48">
        <f t="shared" si="13"/>
        <v>0</v>
      </c>
      <c r="M25" s="50"/>
      <c r="N25" s="35">
        <f t="shared" si="14"/>
        <v>0</v>
      </c>
      <c r="P25" s="50"/>
      <c r="Q25" s="35">
        <f t="shared" si="5"/>
        <v>0</v>
      </c>
      <c r="S25" s="50"/>
      <c r="T25" s="35">
        <f t="shared" si="6"/>
        <v>0</v>
      </c>
      <c r="V25" s="34">
        <f t="shared" si="7"/>
        <v>0</v>
      </c>
      <c r="W25" s="35">
        <f t="shared" si="8"/>
        <v>0</v>
      </c>
      <c r="X25" s="206">
        <f t="shared" si="9"/>
        <v>0</v>
      </c>
      <c r="Z25" s="34"/>
      <c r="AA25" s="35"/>
      <c r="AB25" s="206"/>
      <c r="AC25" s="4"/>
    </row>
    <row r="26" spans="1:31" ht="62.25" customHeight="1" x14ac:dyDescent="0.2">
      <c r="A26" s="44">
        <v>5</v>
      </c>
      <c r="B26" s="424" t="s">
        <v>54</v>
      </c>
      <c r="C26" s="45" t="s">
        <v>55</v>
      </c>
      <c r="D26" s="343" t="s">
        <v>51</v>
      </c>
      <c r="E26" s="825">
        <f>Memorias!$D$135</f>
        <v>12.892800000000003</v>
      </c>
      <c r="F26" s="282"/>
      <c r="G26" s="368">
        <f t="shared" si="10"/>
        <v>0</v>
      </c>
      <c r="H26" s="391"/>
      <c r="I26" s="392">
        <f t="shared" si="11"/>
        <v>0</v>
      </c>
      <c r="J26" s="49">
        <f t="shared" si="12"/>
        <v>12.892800000000003</v>
      </c>
      <c r="K26" s="48">
        <f t="shared" si="13"/>
        <v>0</v>
      </c>
      <c r="M26" s="50"/>
      <c r="N26" s="35">
        <f t="shared" si="14"/>
        <v>0</v>
      </c>
      <c r="P26" s="50"/>
      <c r="Q26" s="35">
        <f t="shared" si="5"/>
        <v>0</v>
      </c>
      <c r="S26" s="53"/>
      <c r="T26" s="35">
        <f t="shared" si="6"/>
        <v>0</v>
      </c>
      <c r="V26" s="34">
        <f t="shared" si="7"/>
        <v>0</v>
      </c>
      <c r="W26" s="35">
        <f t="shared" si="8"/>
        <v>0</v>
      </c>
      <c r="X26" s="206">
        <f t="shared" si="9"/>
        <v>0</v>
      </c>
      <c r="Z26" s="34"/>
      <c r="AA26" s="35"/>
      <c r="AB26" s="206"/>
      <c r="AC26" s="4"/>
    </row>
    <row r="27" spans="1:31" ht="56.45" customHeight="1" x14ac:dyDescent="0.2">
      <c r="A27" s="44">
        <v>6</v>
      </c>
      <c r="B27" s="425" t="s">
        <v>56</v>
      </c>
      <c r="C27" s="342" t="s">
        <v>57</v>
      </c>
      <c r="D27" s="306" t="s">
        <v>46</v>
      </c>
      <c r="E27" s="222">
        <f>Memorias!$D$159</f>
        <v>55.100000000000016</v>
      </c>
      <c r="F27" s="263"/>
      <c r="G27" s="380"/>
      <c r="H27" s="391"/>
      <c r="I27" s="392">
        <f t="shared" si="11"/>
        <v>0</v>
      </c>
      <c r="J27" s="49">
        <f t="shared" si="12"/>
        <v>55.100000000000016</v>
      </c>
      <c r="K27" s="48">
        <f t="shared" si="13"/>
        <v>0</v>
      </c>
      <c r="M27" s="50"/>
      <c r="N27" s="35">
        <f t="shared" si="14"/>
        <v>0</v>
      </c>
      <c r="P27" s="50"/>
      <c r="Q27" s="35">
        <f t="shared" si="5"/>
        <v>0</v>
      </c>
      <c r="S27" s="53"/>
      <c r="T27" s="35">
        <f t="shared" si="6"/>
        <v>0</v>
      </c>
      <c r="V27" s="34">
        <f t="shared" si="7"/>
        <v>0</v>
      </c>
      <c r="W27" s="35">
        <f t="shared" si="8"/>
        <v>0</v>
      </c>
      <c r="X27" s="206">
        <f t="shared" si="9"/>
        <v>0</v>
      </c>
      <c r="Z27" s="34"/>
      <c r="AA27" s="35"/>
      <c r="AB27" s="206"/>
      <c r="AC27" s="4"/>
    </row>
    <row r="28" spans="1:31" ht="12.75" customHeight="1" x14ac:dyDescent="0.2">
      <c r="A28" s="698" t="s">
        <v>58</v>
      </c>
      <c r="B28" s="699"/>
      <c r="C28" s="700"/>
      <c r="D28" s="701"/>
      <c r="E28" s="684"/>
      <c r="F28" s="702"/>
      <c r="G28" s="703"/>
      <c r="H28" s="389"/>
      <c r="I28" s="390"/>
      <c r="J28" s="38"/>
      <c r="K28" s="37"/>
      <c r="M28" s="39"/>
      <c r="N28" s="40"/>
      <c r="P28" s="39"/>
      <c r="Q28" s="40"/>
      <c r="S28" s="39"/>
      <c r="T28" s="40"/>
      <c r="V28" s="42"/>
      <c r="W28" s="40"/>
      <c r="X28" s="43"/>
      <c r="Z28" s="34">
        <f>J28-V28</f>
        <v>0</v>
      </c>
      <c r="AA28" s="35" t="e">
        <f>ROUND(Z28*#REF!,0)</f>
        <v>#REF!</v>
      </c>
      <c r="AB28" s="206" t="str">
        <f>IFERROR(Z28/#REF!,"")</f>
        <v/>
      </c>
      <c r="AC28" s="4"/>
    </row>
    <row r="29" spans="1:31" ht="33.75" customHeight="1" x14ac:dyDescent="0.2">
      <c r="A29" s="223">
        <v>7</v>
      </c>
      <c r="B29" s="425" t="s">
        <v>52</v>
      </c>
      <c r="C29" s="288" t="s">
        <v>59</v>
      </c>
      <c r="D29" s="280" t="s">
        <v>51</v>
      </c>
      <c r="E29" s="826">
        <f>Memorias!D190</f>
        <v>47.64</v>
      </c>
      <c r="F29" s="373"/>
      <c r="G29" s="380">
        <f>ROUND(F29*E29,0)</f>
        <v>0</v>
      </c>
      <c r="H29" s="391"/>
      <c r="I29" s="392">
        <f>ROUND(H29*F29,0)</f>
        <v>0</v>
      </c>
      <c r="J29" s="49">
        <f t="shared" ref="J29:J36" si="15">+H29+E29</f>
        <v>47.64</v>
      </c>
      <c r="K29" s="48">
        <f t="shared" si="13"/>
        <v>0</v>
      </c>
      <c r="M29" s="50"/>
      <c r="N29" s="35">
        <f t="shared" si="14"/>
        <v>0</v>
      </c>
      <c r="P29" s="50"/>
      <c r="Q29" s="35">
        <f t="shared" ref="Q29:Q36" si="16">ROUND(P29*F29,0)</f>
        <v>0</v>
      </c>
      <c r="S29" s="53"/>
      <c r="T29" s="35">
        <f t="shared" ref="T29:T36" si="17">ROUND(S29*F29,0)</f>
        <v>0</v>
      </c>
      <c r="V29" s="34">
        <f t="shared" ref="V29:V36" si="18">+M29+P29+S29</f>
        <v>0</v>
      </c>
      <c r="W29" s="35">
        <f t="shared" ref="W29:W36" si="19">+T29+Q29+N29</f>
        <v>0</v>
      </c>
      <c r="X29" s="206">
        <f t="shared" ref="X29:X36" si="20">IFERROR(V29/J29,"")</f>
        <v>0</v>
      </c>
      <c r="Z29" s="34">
        <f>J29-V29</f>
        <v>47.64</v>
      </c>
      <c r="AA29" s="35">
        <f>ROUND(Z29*F70,0)</f>
        <v>0</v>
      </c>
      <c r="AB29" s="206" t="str">
        <f>IFERROR(Z29/#REF!,"")</f>
        <v/>
      </c>
      <c r="AC29" s="4"/>
      <c r="AD29" s="36"/>
    </row>
    <row r="30" spans="1:31" ht="57.6" customHeight="1" x14ac:dyDescent="0.2">
      <c r="A30" s="223">
        <v>8</v>
      </c>
      <c r="B30" s="425" t="s">
        <v>60</v>
      </c>
      <c r="C30" s="338" t="s">
        <v>61</v>
      </c>
      <c r="D30" s="306" t="s">
        <v>51</v>
      </c>
      <c r="E30" s="824">
        <f>Memorias!D221</f>
        <v>27.599999999999998</v>
      </c>
      <c r="F30" s="263"/>
      <c r="G30" s="380">
        <f t="shared" ref="G30:G36" si="21">ROUND(F30*E30,0)</f>
        <v>0</v>
      </c>
      <c r="H30" s="391"/>
      <c r="I30" s="392">
        <f t="shared" ref="I30:I36" si="22">ROUND(H30*F30,0)</f>
        <v>0</v>
      </c>
      <c r="J30" s="49">
        <f t="shared" si="15"/>
        <v>27.599999999999998</v>
      </c>
      <c r="K30" s="48">
        <f t="shared" si="13"/>
        <v>0</v>
      </c>
      <c r="M30" s="50"/>
      <c r="N30" s="35">
        <f t="shared" si="14"/>
        <v>0</v>
      </c>
      <c r="P30" s="50"/>
      <c r="Q30" s="35">
        <f t="shared" si="16"/>
        <v>0</v>
      </c>
      <c r="S30" s="53"/>
      <c r="T30" s="35">
        <f t="shared" si="17"/>
        <v>0</v>
      </c>
      <c r="V30" s="34">
        <f t="shared" si="18"/>
        <v>0</v>
      </c>
      <c r="W30" s="35">
        <f t="shared" si="19"/>
        <v>0</v>
      </c>
      <c r="X30" s="206">
        <f t="shared" si="20"/>
        <v>0</v>
      </c>
      <c r="Z30" s="34"/>
      <c r="AA30" s="35"/>
      <c r="AB30" s="206"/>
      <c r="AC30" s="4"/>
      <c r="AD30" s="36"/>
    </row>
    <row r="31" spans="1:31" ht="64.5" customHeight="1" x14ac:dyDescent="0.2">
      <c r="A31" s="223">
        <v>9</v>
      </c>
      <c r="B31" s="425" t="s">
        <v>62</v>
      </c>
      <c r="C31" s="338" t="s">
        <v>63</v>
      </c>
      <c r="D31" s="306" t="s">
        <v>51</v>
      </c>
      <c r="E31" s="824">
        <f>Memorias!D281</f>
        <v>20.04</v>
      </c>
      <c r="F31" s="263"/>
      <c r="G31" s="380"/>
      <c r="H31" s="391"/>
      <c r="I31" s="392">
        <f t="shared" si="22"/>
        <v>0</v>
      </c>
      <c r="J31" s="49">
        <f t="shared" si="15"/>
        <v>20.04</v>
      </c>
      <c r="K31" s="48">
        <f t="shared" si="13"/>
        <v>0</v>
      </c>
      <c r="M31" s="50"/>
      <c r="N31" s="35">
        <f t="shared" si="14"/>
        <v>0</v>
      </c>
      <c r="P31" s="50"/>
      <c r="Q31" s="35">
        <f t="shared" si="16"/>
        <v>0</v>
      </c>
      <c r="S31" s="53"/>
      <c r="T31" s="35">
        <f t="shared" si="17"/>
        <v>0</v>
      </c>
      <c r="V31" s="34">
        <f t="shared" si="18"/>
        <v>0</v>
      </c>
      <c r="W31" s="35">
        <f t="shared" si="19"/>
        <v>0</v>
      </c>
      <c r="X31" s="206">
        <f t="shared" si="20"/>
        <v>0</v>
      </c>
      <c r="Z31" s="34"/>
      <c r="AA31" s="35"/>
      <c r="AB31" s="206"/>
      <c r="AC31" s="4"/>
      <c r="AD31" s="36"/>
    </row>
    <row r="32" spans="1:31" ht="45" customHeight="1" x14ac:dyDescent="0.2">
      <c r="A32" s="223">
        <v>10</v>
      </c>
      <c r="B32" s="421" t="s">
        <v>64</v>
      </c>
      <c r="C32" s="338" t="s">
        <v>65</v>
      </c>
      <c r="D32" s="306" t="s">
        <v>46</v>
      </c>
      <c r="E32" s="824">
        <f>Memorias!D392</f>
        <v>3.1680000000000001</v>
      </c>
      <c r="F32" s="263"/>
      <c r="G32" s="380">
        <f t="shared" si="21"/>
        <v>0</v>
      </c>
      <c r="H32" s="391"/>
      <c r="I32" s="392">
        <f t="shared" si="22"/>
        <v>0</v>
      </c>
      <c r="J32" s="49">
        <f t="shared" si="15"/>
        <v>3.1680000000000001</v>
      </c>
      <c r="K32" s="48">
        <f t="shared" si="13"/>
        <v>0</v>
      </c>
      <c r="M32" s="50"/>
      <c r="N32" s="35">
        <f t="shared" si="14"/>
        <v>0</v>
      </c>
      <c r="P32" s="50"/>
      <c r="Q32" s="35">
        <f t="shared" si="16"/>
        <v>0</v>
      </c>
      <c r="S32" s="53"/>
      <c r="T32" s="35">
        <f t="shared" si="17"/>
        <v>0</v>
      </c>
      <c r="V32" s="34">
        <f t="shared" si="18"/>
        <v>0</v>
      </c>
      <c r="W32" s="35">
        <f t="shared" si="19"/>
        <v>0</v>
      </c>
      <c r="X32" s="206">
        <f t="shared" si="20"/>
        <v>0</v>
      </c>
      <c r="Z32" s="34"/>
      <c r="AA32" s="35"/>
      <c r="AB32" s="206"/>
      <c r="AC32" s="4"/>
      <c r="AD32" s="36"/>
    </row>
    <row r="33" spans="1:31" ht="44.25" customHeight="1" x14ac:dyDescent="0.2">
      <c r="A33" s="223">
        <v>11</v>
      </c>
      <c r="B33" s="422" t="s">
        <v>66</v>
      </c>
      <c r="C33" s="289" t="s">
        <v>67</v>
      </c>
      <c r="D33" s="307" t="s">
        <v>46</v>
      </c>
      <c r="E33" s="827">
        <f>Memorias!D421</f>
        <v>13.633999999999999</v>
      </c>
      <c r="F33" s="371"/>
      <c r="G33" s="380">
        <f t="shared" si="21"/>
        <v>0</v>
      </c>
      <c r="H33" s="391"/>
      <c r="I33" s="392">
        <f t="shared" si="22"/>
        <v>0</v>
      </c>
      <c r="J33" s="49">
        <f t="shared" si="15"/>
        <v>13.633999999999999</v>
      </c>
      <c r="K33" s="48">
        <f t="shared" si="13"/>
        <v>0</v>
      </c>
      <c r="M33" s="50"/>
      <c r="N33" s="35">
        <f t="shared" si="14"/>
        <v>0</v>
      </c>
      <c r="P33" s="50"/>
      <c r="Q33" s="35">
        <f t="shared" si="16"/>
        <v>0</v>
      </c>
      <c r="S33" s="53"/>
      <c r="T33" s="35">
        <f t="shared" si="17"/>
        <v>0</v>
      </c>
      <c r="V33" s="34">
        <f t="shared" si="18"/>
        <v>0</v>
      </c>
      <c r="W33" s="35">
        <f t="shared" si="19"/>
        <v>0</v>
      </c>
      <c r="X33" s="206">
        <f t="shared" si="20"/>
        <v>0</v>
      </c>
      <c r="Z33" s="34"/>
      <c r="AA33" s="35"/>
      <c r="AB33" s="206"/>
      <c r="AC33" s="4"/>
      <c r="AD33" s="36"/>
    </row>
    <row r="34" spans="1:31" ht="60.75" customHeight="1" x14ac:dyDescent="0.2">
      <c r="A34" s="223">
        <v>12</v>
      </c>
      <c r="B34" s="423" t="s">
        <v>49</v>
      </c>
      <c r="C34" s="339" t="s">
        <v>68</v>
      </c>
      <c r="D34" s="223" t="s">
        <v>51</v>
      </c>
      <c r="E34" s="824">
        <f>Memorias!D587</f>
        <v>24.15</v>
      </c>
      <c r="F34" s="319"/>
      <c r="G34" s="380">
        <f t="shared" si="21"/>
        <v>0</v>
      </c>
      <c r="H34" s="391"/>
      <c r="I34" s="392">
        <f t="shared" si="22"/>
        <v>0</v>
      </c>
      <c r="J34" s="49">
        <f t="shared" si="15"/>
        <v>24.15</v>
      </c>
      <c r="K34" s="48">
        <f t="shared" si="13"/>
        <v>0</v>
      </c>
      <c r="M34" s="50"/>
      <c r="N34" s="35">
        <f t="shared" si="14"/>
        <v>0</v>
      </c>
      <c r="P34" s="50"/>
      <c r="Q34" s="35">
        <f t="shared" si="16"/>
        <v>0</v>
      </c>
      <c r="S34" s="53"/>
      <c r="T34" s="35">
        <f t="shared" si="17"/>
        <v>0</v>
      </c>
      <c r="V34" s="34">
        <f t="shared" si="18"/>
        <v>0</v>
      </c>
      <c r="W34" s="35">
        <f t="shared" si="19"/>
        <v>0</v>
      </c>
      <c r="X34" s="206">
        <f t="shared" si="20"/>
        <v>0</v>
      </c>
      <c r="Z34" s="34"/>
      <c r="AA34" s="35"/>
      <c r="AB34" s="206"/>
      <c r="AC34" s="4"/>
      <c r="AD34" s="36"/>
    </row>
    <row r="35" spans="1:31" ht="33" customHeight="1" x14ac:dyDescent="0.2">
      <c r="A35" s="223">
        <v>13</v>
      </c>
      <c r="B35" s="421" t="s">
        <v>69</v>
      </c>
      <c r="C35" s="340" t="s">
        <v>70</v>
      </c>
      <c r="D35" s="307" t="s">
        <v>51</v>
      </c>
      <c r="E35" s="827">
        <f>Memorias!D615</f>
        <v>105</v>
      </c>
      <c r="F35" s="372"/>
      <c r="G35" s="380">
        <f t="shared" ref="G35" si="23">ROUND(F35*E35,0)</f>
        <v>0</v>
      </c>
      <c r="H35" s="391"/>
      <c r="I35" s="392">
        <f t="shared" si="22"/>
        <v>0</v>
      </c>
      <c r="J35" s="49">
        <f t="shared" si="15"/>
        <v>105</v>
      </c>
      <c r="K35" s="48">
        <f t="shared" si="13"/>
        <v>0</v>
      </c>
      <c r="M35" s="50"/>
      <c r="N35" s="35">
        <f t="shared" si="14"/>
        <v>0</v>
      </c>
      <c r="P35" s="50"/>
      <c r="Q35" s="35">
        <f t="shared" si="16"/>
        <v>0</v>
      </c>
      <c r="S35" s="53"/>
      <c r="T35" s="35">
        <f t="shared" si="17"/>
        <v>0</v>
      </c>
      <c r="V35" s="34">
        <f t="shared" si="18"/>
        <v>0</v>
      </c>
      <c r="W35" s="35">
        <f t="shared" si="19"/>
        <v>0</v>
      </c>
      <c r="X35" s="206">
        <f t="shared" si="20"/>
        <v>0</v>
      </c>
      <c r="Z35" s="34"/>
      <c r="AA35" s="35"/>
      <c r="AB35" s="206"/>
      <c r="AC35" s="4"/>
      <c r="AD35" s="36"/>
    </row>
    <row r="36" spans="1:31" ht="40.5" customHeight="1" x14ac:dyDescent="0.2">
      <c r="A36" s="223">
        <v>14</v>
      </c>
      <c r="B36" s="421" t="s">
        <v>71</v>
      </c>
      <c r="C36" s="288" t="s">
        <v>72</v>
      </c>
      <c r="D36" s="341" t="s">
        <v>51</v>
      </c>
      <c r="E36" s="828">
        <f>Memorias!D649</f>
        <v>105</v>
      </c>
      <c r="F36" s="248"/>
      <c r="G36" s="380">
        <f t="shared" si="21"/>
        <v>0</v>
      </c>
      <c r="H36" s="391"/>
      <c r="I36" s="392">
        <f t="shared" si="22"/>
        <v>0</v>
      </c>
      <c r="J36" s="49">
        <f t="shared" si="15"/>
        <v>105</v>
      </c>
      <c r="K36" s="48">
        <f t="shared" si="13"/>
        <v>0</v>
      </c>
      <c r="M36" s="50"/>
      <c r="N36" s="35">
        <f t="shared" si="14"/>
        <v>0</v>
      </c>
      <c r="P36" s="50"/>
      <c r="Q36" s="35">
        <f t="shared" si="16"/>
        <v>0</v>
      </c>
      <c r="S36" s="53"/>
      <c r="T36" s="35">
        <f t="shared" si="17"/>
        <v>0</v>
      </c>
      <c r="V36" s="34">
        <f t="shared" si="18"/>
        <v>0</v>
      </c>
      <c r="W36" s="35">
        <f t="shared" si="19"/>
        <v>0</v>
      </c>
      <c r="X36" s="206">
        <f t="shared" si="20"/>
        <v>0</v>
      </c>
      <c r="Z36" s="34"/>
      <c r="AA36" s="35"/>
      <c r="AB36" s="206"/>
      <c r="AC36" s="4"/>
      <c r="AD36" s="36"/>
    </row>
    <row r="37" spans="1:31" ht="12.75" customHeight="1" x14ac:dyDescent="0.2">
      <c r="A37" s="639" t="s">
        <v>73</v>
      </c>
      <c r="B37" s="640"/>
      <c r="C37" s="640"/>
      <c r="D37" s="641"/>
      <c r="E37" s="642"/>
      <c r="F37" s="643"/>
      <c r="G37" s="644"/>
      <c r="H37" s="389"/>
      <c r="I37" s="390"/>
      <c r="J37" s="38"/>
      <c r="K37" s="37"/>
      <c r="M37" s="39"/>
      <c r="N37" s="40"/>
      <c r="P37" s="39"/>
      <c r="Q37" s="40"/>
      <c r="S37" s="39"/>
      <c r="T37" s="40"/>
      <c r="V37" s="42"/>
      <c r="W37" s="40"/>
      <c r="X37" s="43"/>
      <c r="Z37" s="34">
        <f t="shared" ref="Z37:Z42" si="24">J37-V37</f>
        <v>0</v>
      </c>
      <c r="AA37" s="40"/>
      <c r="AB37" s="43"/>
      <c r="AC37" s="4"/>
      <c r="AE37" s="28"/>
    </row>
    <row r="38" spans="1:31" ht="31.15" customHeight="1" x14ac:dyDescent="0.2">
      <c r="A38" s="44">
        <v>15</v>
      </c>
      <c r="B38" s="404" t="s">
        <v>74</v>
      </c>
      <c r="C38" s="292" t="s">
        <v>75</v>
      </c>
      <c r="D38" s="221" t="s">
        <v>29</v>
      </c>
      <c r="E38" s="222">
        <f>Memorias!D1357</f>
        <v>32</v>
      </c>
      <c r="F38" s="263"/>
      <c r="G38" s="296">
        <f>ROUND(F38*E38,0)</f>
        <v>0</v>
      </c>
      <c r="H38" s="391"/>
      <c r="I38" s="392">
        <f>ROUND(H38*F38,0)</f>
        <v>0</v>
      </c>
      <c r="J38" s="49">
        <f>+H38+E38</f>
        <v>32</v>
      </c>
      <c r="K38" s="48">
        <f>G38+I38</f>
        <v>0</v>
      </c>
      <c r="M38" s="50"/>
      <c r="N38" s="35">
        <f>ROUND(M38*F38,0)</f>
        <v>0</v>
      </c>
      <c r="P38" s="50"/>
      <c r="Q38" s="35">
        <f t="shared" ref="Q38:Q49" si="25">ROUND(P38*F38,0)</f>
        <v>0</v>
      </c>
      <c r="S38" s="53"/>
      <c r="T38" s="35">
        <f t="shared" ref="T38:T49" si="26">ROUND(S38*F38,0)</f>
        <v>0</v>
      </c>
      <c r="V38" s="34">
        <f t="shared" ref="V38:V49" si="27">+M38+P38+S38</f>
        <v>0</v>
      </c>
      <c r="W38" s="35">
        <f t="shared" ref="W38:W49" si="28">+T38+Q38+N38</f>
        <v>0</v>
      </c>
      <c r="X38" s="206">
        <f t="shared" ref="X38:X49" si="29">IFERROR(V38/J38,"")</f>
        <v>0</v>
      </c>
      <c r="Z38" s="34">
        <f t="shared" si="24"/>
        <v>32</v>
      </c>
      <c r="AA38" s="35">
        <f>ROUND(Z38*F38,0)</f>
        <v>0</v>
      </c>
      <c r="AB38" s="206" t="str">
        <f>IFERROR(Z38/#REF!,"")</f>
        <v/>
      </c>
      <c r="AC38" s="4"/>
    </row>
    <row r="39" spans="1:31" ht="42" customHeight="1" x14ac:dyDescent="0.2">
      <c r="A39" s="44">
        <v>16</v>
      </c>
      <c r="B39" s="404" t="s">
        <v>76</v>
      </c>
      <c r="C39" s="51" t="s">
        <v>77</v>
      </c>
      <c r="D39" s="44" t="s">
        <v>29</v>
      </c>
      <c r="E39" s="52">
        <f>Memorias!D1393</f>
        <v>26</v>
      </c>
      <c r="F39" s="245"/>
      <c r="G39" s="296">
        <f t="shared" ref="G39:G49" si="30">ROUND(F39*E39,0)</f>
        <v>0</v>
      </c>
      <c r="H39" s="391"/>
      <c r="I39" s="392">
        <f t="shared" ref="I39:I49" si="31">ROUND(H39*F39,0)</f>
        <v>0</v>
      </c>
      <c r="J39" s="49">
        <f t="shared" ref="J39:J49" si="32">+H39+E39</f>
        <v>26</v>
      </c>
      <c r="K39" s="48">
        <f t="shared" ref="K39:K49" si="33">G39+I39</f>
        <v>0</v>
      </c>
      <c r="M39" s="50"/>
      <c r="N39" s="35">
        <f t="shared" ref="N39:N49" si="34">ROUND(M39*F39,0)</f>
        <v>0</v>
      </c>
      <c r="P39" s="50"/>
      <c r="Q39" s="35">
        <f t="shared" si="25"/>
        <v>0</v>
      </c>
      <c r="S39" s="53"/>
      <c r="T39" s="35">
        <f t="shared" si="26"/>
        <v>0</v>
      </c>
      <c r="V39" s="34">
        <f t="shared" si="27"/>
        <v>0</v>
      </c>
      <c r="W39" s="35">
        <f t="shared" si="28"/>
        <v>0</v>
      </c>
      <c r="X39" s="206">
        <f t="shared" si="29"/>
        <v>0</v>
      </c>
      <c r="Z39" s="34">
        <f t="shared" si="24"/>
        <v>26</v>
      </c>
      <c r="AA39" s="35">
        <f>ROUND(Z39*F39,0)</f>
        <v>0</v>
      </c>
      <c r="AB39" s="206" t="str">
        <f>IFERROR(Z39/#REF!,"")</f>
        <v/>
      </c>
      <c r="AC39" s="4"/>
      <c r="AE39" s="28"/>
    </row>
    <row r="40" spans="1:31" ht="25.15" customHeight="1" x14ac:dyDescent="0.2">
      <c r="A40" s="44">
        <v>17</v>
      </c>
      <c r="B40" s="421" t="s">
        <v>78</v>
      </c>
      <c r="C40" s="290" t="s">
        <v>79</v>
      </c>
      <c r="D40" s="44" t="s">
        <v>29</v>
      </c>
      <c r="E40" s="822">
        <f>Memorias!D1421</f>
        <v>19</v>
      </c>
      <c r="F40" s="245"/>
      <c r="G40" s="296">
        <f t="shared" si="30"/>
        <v>0</v>
      </c>
      <c r="H40" s="391"/>
      <c r="I40" s="392">
        <f t="shared" si="31"/>
        <v>0</v>
      </c>
      <c r="J40" s="49">
        <f t="shared" si="32"/>
        <v>19</v>
      </c>
      <c r="K40" s="48">
        <f t="shared" si="33"/>
        <v>0</v>
      </c>
      <c r="M40" s="50"/>
      <c r="N40" s="35">
        <f t="shared" si="34"/>
        <v>0</v>
      </c>
      <c r="P40" s="50"/>
      <c r="Q40" s="35">
        <f t="shared" si="25"/>
        <v>0</v>
      </c>
      <c r="S40" s="53"/>
      <c r="T40" s="35">
        <f t="shared" si="26"/>
        <v>0</v>
      </c>
      <c r="V40" s="34">
        <f t="shared" si="27"/>
        <v>0</v>
      </c>
      <c r="W40" s="35">
        <f t="shared" si="28"/>
        <v>0</v>
      </c>
      <c r="X40" s="206">
        <f t="shared" si="29"/>
        <v>0</v>
      </c>
      <c r="Z40" s="34">
        <f t="shared" si="24"/>
        <v>19</v>
      </c>
      <c r="AA40" s="35">
        <f>ROUND(Z40*F40,0)</f>
        <v>0</v>
      </c>
      <c r="AB40" s="206" t="str">
        <f>IFERROR(Z40/#REF!,"")</f>
        <v/>
      </c>
      <c r="AC40" s="4"/>
    </row>
    <row r="41" spans="1:31" ht="22.5" customHeight="1" x14ac:dyDescent="0.2">
      <c r="A41" s="44">
        <v>18</v>
      </c>
      <c r="B41" s="404" t="s">
        <v>80</v>
      </c>
      <c r="C41" s="45" t="s">
        <v>81</v>
      </c>
      <c r="D41" s="44" t="s">
        <v>51</v>
      </c>
      <c r="E41" s="822">
        <f>Memorias!D1450</f>
        <v>30.107999999999997</v>
      </c>
      <c r="F41" s="291"/>
      <c r="G41" s="296">
        <f t="shared" si="30"/>
        <v>0</v>
      </c>
      <c r="H41" s="391"/>
      <c r="I41" s="392">
        <f t="shared" si="31"/>
        <v>0</v>
      </c>
      <c r="J41" s="49">
        <f t="shared" si="32"/>
        <v>30.107999999999997</v>
      </c>
      <c r="K41" s="48">
        <f t="shared" si="33"/>
        <v>0</v>
      </c>
      <c r="M41" s="50"/>
      <c r="N41" s="35">
        <f t="shared" si="34"/>
        <v>0</v>
      </c>
      <c r="P41" s="50"/>
      <c r="Q41" s="35">
        <f t="shared" si="25"/>
        <v>0</v>
      </c>
      <c r="S41" s="53"/>
      <c r="T41" s="35">
        <f t="shared" si="26"/>
        <v>0</v>
      </c>
      <c r="V41" s="34">
        <f t="shared" si="27"/>
        <v>0</v>
      </c>
      <c r="W41" s="35">
        <f t="shared" si="28"/>
        <v>0</v>
      </c>
      <c r="X41" s="206">
        <f t="shared" si="29"/>
        <v>0</v>
      </c>
      <c r="Z41" s="34">
        <f t="shared" si="24"/>
        <v>30.107999999999997</v>
      </c>
      <c r="AA41" s="35">
        <f>ROUND(Z41*F41,0)</f>
        <v>0</v>
      </c>
      <c r="AB41" s="206" t="str">
        <f>IFERROR(Z41/#REF!,"")</f>
        <v/>
      </c>
      <c r="AC41" s="4"/>
      <c r="AD41" s="36"/>
    </row>
    <row r="42" spans="1:31" ht="54" customHeight="1" x14ac:dyDescent="0.2">
      <c r="A42" s="44">
        <v>19</v>
      </c>
      <c r="B42" s="421" t="s">
        <v>82</v>
      </c>
      <c r="C42" s="408" t="s">
        <v>83</v>
      </c>
      <c r="D42" s="44" t="s">
        <v>29</v>
      </c>
      <c r="E42" s="822">
        <f>Memorias!D1485</f>
        <v>4</v>
      </c>
      <c r="F42" s="361"/>
      <c r="G42" s="296">
        <f t="shared" si="30"/>
        <v>0</v>
      </c>
      <c r="H42" s="391"/>
      <c r="I42" s="392">
        <f t="shared" si="31"/>
        <v>0</v>
      </c>
      <c r="J42" s="49">
        <f t="shared" si="32"/>
        <v>4</v>
      </c>
      <c r="K42" s="48">
        <f t="shared" si="33"/>
        <v>0</v>
      </c>
      <c r="M42" s="50"/>
      <c r="N42" s="35">
        <f t="shared" si="34"/>
        <v>0</v>
      </c>
      <c r="P42" s="50"/>
      <c r="Q42" s="35">
        <f t="shared" si="25"/>
        <v>0</v>
      </c>
      <c r="S42" s="53"/>
      <c r="T42" s="35">
        <f t="shared" si="26"/>
        <v>0</v>
      </c>
      <c r="V42" s="34">
        <f t="shared" si="27"/>
        <v>0</v>
      </c>
      <c r="W42" s="35">
        <f t="shared" si="28"/>
        <v>0</v>
      </c>
      <c r="X42" s="206">
        <f t="shared" si="29"/>
        <v>0</v>
      </c>
      <c r="Z42" s="34">
        <f t="shared" si="24"/>
        <v>4</v>
      </c>
      <c r="AA42" s="35">
        <f>ROUND(Z42*F42,0)</f>
        <v>0</v>
      </c>
      <c r="AB42" s="206" t="str">
        <f>IFERROR(Z42/#REF!,"")</f>
        <v/>
      </c>
      <c r="AC42" s="4"/>
    </row>
    <row r="43" spans="1:31" ht="58.15" customHeight="1" x14ac:dyDescent="0.2">
      <c r="A43" s="44">
        <v>20</v>
      </c>
      <c r="B43" s="421" t="s">
        <v>84</v>
      </c>
      <c r="C43" s="408" t="s">
        <v>85</v>
      </c>
      <c r="D43" s="44" t="s">
        <v>29</v>
      </c>
      <c r="E43" s="822">
        <f>Memorias!D1511</f>
        <v>26</v>
      </c>
      <c r="F43" s="367"/>
      <c r="G43" s="296">
        <f t="shared" si="30"/>
        <v>0</v>
      </c>
      <c r="H43" s="391"/>
      <c r="I43" s="392">
        <f t="shared" si="31"/>
        <v>0</v>
      </c>
      <c r="J43" s="49">
        <f t="shared" si="32"/>
        <v>26</v>
      </c>
      <c r="K43" s="48">
        <f t="shared" si="33"/>
        <v>0</v>
      </c>
      <c r="M43" s="50"/>
      <c r="N43" s="35">
        <f t="shared" si="34"/>
        <v>0</v>
      </c>
      <c r="P43" s="50"/>
      <c r="Q43" s="35">
        <f t="shared" si="25"/>
        <v>0</v>
      </c>
      <c r="S43" s="53"/>
      <c r="T43" s="35">
        <f t="shared" si="26"/>
        <v>0</v>
      </c>
      <c r="V43" s="34">
        <f t="shared" si="27"/>
        <v>0</v>
      </c>
      <c r="W43" s="35">
        <f t="shared" si="28"/>
        <v>0</v>
      </c>
      <c r="X43" s="206">
        <f t="shared" si="29"/>
        <v>0</v>
      </c>
      <c r="Z43" s="34"/>
      <c r="AA43" s="35"/>
      <c r="AB43" s="206"/>
      <c r="AC43" s="4"/>
    </row>
    <row r="44" spans="1:31" ht="54.75" customHeight="1" x14ac:dyDescent="0.2">
      <c r="A44" s="44">
        <v>21</v>
      </c>
      <c r="B44" s="421" t="s">
        <v>86</v>
      </c>
      <c r="C44" s="45" t="s">
        <v>87</v>
      </c>
      <c r="D44" s="44" t="s">
        <v>29</v>
      </c>
      <c r="E44" s="52">
        <f>Memorias!D1544</f>
        <v>19</v>
      </c>
      <c r="F44" s="263"/>
      <c r="G44" s="296">
        <f t="shared" si="30"/>
        <v>0</v>
      </c>
      <c r="H44" s="391"/>
      <c r="I44" s="392">
        <f t="shared" si="31"/>
        <v>0</v>
      </c>
      <c r="J44" s="49">
        <f t="shared" si="32"/>
        <v>19</v>
      </c>
      <c r="K44" s="48">
        <f t="shared" si="33"/>
        <v>0</v>
      </c>
      <c r="M44" s="50"/>
      <c r="N44" s="35">
        <f t="shared" si="34"/>
        <v>0</v>
      </c>
      <c r="P44" s="50"/>
      <c r="Q44" s="35">
        <f t="shared" si="25"/>
        <v>0</v>
      </c>
      <c r="S44" s="53"/>
      <c r="T44" s="35">
        <f t="shared" si="26"/>
        <v>0</v>
      </c>
      <c r="V44" s="34">
        <f t="shared" si="27"/>
        <v>0</v>
      </c>
      <c r="W44" s="35">
        <f t="shared" si="28"/>
        <v>0</v>
      </c>
      <c r="X44" s="206">
        <f t="shared" si="29"/>
        <v>0</v>
      </c>
      <c r="Z44" s="34">
        <f>J44-V44</f>
        <v>19</v>
      </c>
      <c r="AA44" s="35">
        <f>ROUND(Z44*F44,0)</f>
        <v>0</v>
      </c>
      <c r="AB44" s="206" t="str">
        <f>IFERROR(Z44/#REF!,"")</f>
        <v/>
      </c>
      <c r="AC44" s="4"/>
      <c r="AE44" s="4"/>
    </row>
    <row r="45" spans="1:31" ht="72.75" customHeight="1" x14ac:dyDescent="0.2">
      <c r="A45" s="44">
        <v>22</v>
      </c>
      <c r="B45" s="421" t="s">
        <v>88</v>
      </c>
      <c r="C45" s="45" t="s">
        <v>89</v>
      </c>
      <c r="D45" s="223" t="s">
        <v>29</v>
      </c>
      <c r="E45" s="46">
        <f>Memorias!D1609</f>
        <v>19</v>
      </c>
      <c r="F45" s="263"/>
      <c r="G45" s="296">
        <f t="shared" si="30"/>
        <v>0</v>
      </c>
      <c r="H45" s="391"/>
      <c r="I45" s="392">
        <f t="shared" si="31"/>
        <v>0</v>
      </c>
      <c r="J45" s="49">
        <f t="shared" si="32"/>
        <v>19</v>
      </c>
      <c r="K45" s="48">
        <f t="shared" si="33"/>
        <v>0</v>
      </c>
      <c r="M45" s="53"/>
      <c r="N45" s="35">
        <f t="shared" si="34"/>
        <v>0</v>
      </c>
      <c r="P45" s="50"/>
      <c r="Q45" s="35">
        <f t="shared" si="25"/>
        <v>0</v>
      </c>
      <c r="S45" s="53"/>
      <c r="T45" s="35">
        <f t="shared" si="26"/>
        <v>0</v>
      </c>
      <c r="V45" s="34">
        <f t="shared" si="27"/>
        <v>0</v>
      </c>
      <c r="W45" s="35">
        <f t="shared" si="28"/>
        <v>0</v>
      </c>
      <c r="X45" s="206">
        <f t="shared" si="29"/>
        <v>0</v>
      </c>
      <c r="Y45" s="206"/>
      <c r="Z45" s="34">
        <f>J45-V45</f>
        <v>19</v>
      </c>
      <c r="AA45" s="35">
        <f>ROUND(Z45*F45,0)</f>
        <v>0</v>
      </c>
      <c r="AB45" s="206" t="str">
        <f>IFERROR(Z45/#REF!,"")</f>
        <v/>
      </c>
    </row>
    <row r="46" spans="1:31" ht="21" customHeight="1" x14ac:dyDescent="0.2">
      <c r="A46" s="44">
        <v>23</v>
      </c>
      <c r="B46" s="421" t="s">
        <v>90</v>
      </c>
      <c r="C46" s="45" t="s">
        <v>91</v>
      </c>
      <c r="D46" s="44" t="s">
        <v>51</v>
      </c>
      <c r="E46" s="52">
        <f>Memorias!D1511</f>
        <v>26</v>
      </c>
      <c r="F46" s="245"/>
      <c r="G46" s="296">
        <f t="shared" si="30"/>
        <v>0</v>
      </c>
      <c r="H46" s="391"/>
      <c r="I46" s="392">
        <f t="shared" si="31"/>
        <v>0</v>
      </c>
      <c r="J46" s="49">
        <f t="shared" si="32"/>
        <v>26</v>
      </c>
      <c r="K46" s="48">
        <f t="shared" si="33"/>
        <v>0</v>
      </c>
      <c r="M46" s="53"/>
      <c r="N46" s="35">
        <f t="shared" si="34"/>
        <v>0</v>
      </c>
      <c r="P46" s="50"/>
      <c r="Q46" s="35">
        <f t="shared" si="25"/>
        <v>0</v>
      </c>
      <c r="S46" s="53"/>
      <c r="T46" s="35">
        <f t="shared" si="26"/>
        <v>0</v>
      </c>
      <c r="V46" s="34">
        <f t="shared" si="27"/>
        <v>0</v>
      </c>
      <c r="W46" s="35">
        <f t="shared" si="28"/>
        <v>0</v>
      </c>
      <c r="X46" s="206">
        <f t="shared" si="29"/>
        <v>0</v>
      </c>
      <c r="Y46" s="206"/>
      <c r="Z46" s="34">
        <f>J46-V46</f>
        <v>26</v>
      </c>
      <c r="AA46" s="35">
        <f>ROUND(Z46*F46,0)</f>
        <v>0</v>
      </c>
      <c r="AB46" s="206" t="str">
        <f>IFERROR(Z46/#REF!,"")</f>
        <v/>
      </c>
    </row>
    <row r="47" spans="1:31" ht="31.15" customHeight="1" x14ac:dyDescent="0.2">
      <c r="A47" s="44">
        <v>24</v>
      </c>
      <c r="B47" s="421" t="s">
        <v>92</v>
      </c>
      <c r="C47" s="347" t="s">
        <v>93</v>
      </c>
      <c r="D47" s="348" t="s">
        <v>51</v>
      </c>
      <c r="E47" s="278">
        <f>Memorias!D1609</f>
        <v>19</v>
      </c>
      <c r="F47" s="291"/>
      <c r="G47" s="296">
        <f t="shared" si="30"/>
        <v>0</v>
      </c>
      <c r="H47" s="391"/>
      <c r="I47" s="392">
        <f t="shared" si="31"/>
        <v>0</v>
      </c>
      <c r="J47" s="49">
        <f t="shared" si="32"/>
        <v>19</v>
      </c>
      <c r="K47" s="48">
        <f t="shared" si="33"/>
        <v>0</v>
      </c>
      <c r="M47" s="53"/>
      <c r="N47" s="35">
        <f t="shared" si="34"/>
        <v>0</v>
      </c>
      <c r="P47" s="50"/>
      <c r="Q47" s="35">
        <f t="shared" si="25"/>
        <v>0</v>
      </c>
      <c r="S47" s="53"/>
      <c r="T47" s="35">
        <f t="shared" si="26"/>
        <v>0</v>
      </c>
      <c r="V47" s="34">
        <f t="shared" si="27"/>
        <v>0</v>
      </c>
      <c r="W47" s="35">
        <f t="shared" si="28"/>
        <v>0</v>
      </c>
      <c r="X47" s="206">
        <f t="shared" si="29"/>
        <v>0</v>
      </c>
      <c r="Y47" s="206"/>
      <c r="Z47" s="34">
        <f>J47-V47</f>
        <v>19</v>
      </c>
      <c r="AA47" s="35">
        <f>ROUND(Z47*F47,0)</f>
        <v>0</v>
      </c>
      <c r="AB47" s="206" t="str">
        <f>IFERROR(Z47/#REF!,"")</f>
        <v/>
      </c>
    </row>
    <row r="48" spans="1:31" ht="29.25" customHeight="1" x14ac:dyDescent="0.2">
      <c r="A48" s="44">
        <v>25</v>
      </c>
      <c r="B48" s="423" t="s">
        <v>94</v>
      </c>
      <c r="C48" s="349" t="s">
        <v>95</v>
      </c>
      <c r="D48" s="307" t="s">
        <v>51</v>
      </c>
      <c r="E48" s="332">
        <f>Memorias!D1642</f>
        <v>30.107999999999997</v>
      </c>
      <c r="F48" s="345"/>
      <c r="G48" s="296">
        <f t="shared" si="30"/>
        <v>0</v>
      </c>
      <c r="H48" s="391"/>
      <c r="I48" s="392">
        <f t="shared" si="31"/>
        <v>0</v>
      </c>
      <c r="J48" s="49">
        <f t="shared" si="32"/>
        <v>30.107999999999997</v>
      </c>
      <c r="K48" s="48">
        <f t="shared" si="33"/>
        <v>0</v>
      </c>
      <c r="M48" s="53"/>
      <c r="N48" s="35">
        <f t="shared" si="34"/>
        <v>0</v>
      </c>
      <c r="P48" s="50"/>
      <c r="Q48" s="35">
        <f t="shared" si="25"/>
        <v>0</v>
      </c>
      <c r="S48" s="53"/>
      <c r="T48" s="35">
        <f t="shared" si="26"/>
        <v>0</v>
      </c>
      <c r="V48" s="34">
        <f t="shared" si="27"/>
        <v>0</v>
      </c>
      <c r="W48" s="35">
        <f t="shared" si="28"/>
        <v>0</v>
      </c>
      <c r="X48" s="206">
        <f t="shared" si="29"/>
        <v>0</v>
      </c>
      <c r="Y48" s="206">
        <f>IFERROR(W48/J48,"")</f>
        <v>0</v>
      </c>
      <c r="Z48" s="34">
        <f>J48-V48</f>
        <v>30.107999999999997</v>
      </c>
      <c r="AA48" s="35">
        <f>ROUND(Z48*F48,0)</f>
        <v>0</v>
      </c>
      <c r="AB48" s="206" t="str">
        <f>IFERROR(Z48/#REF!,"")</f>
        <v/>
      </c>
    </row>
    <row r="49" spans="1:31" ht="33" customHeight="1" x14ac:dyDescent="0.2">
      <c r="A49" s="44">
        <v>26</v>
      </c>
      <c r="B49" s="421" t="s">
        <v>96</v>
      </c>
      <c r="C49" s="349" t="s">
        <v>97</v>
      </c>
      <c r="D49" s="307" t="s">
        <v>46</v>
      </c>
      <c r="E49" s="332">
        <f>Memorias!D1702</f>
        <v>6</v>
      </c>
      <c r="F49" s="346"/>
      <c r="G49" s="296">
        <f t="shared" si="30"/>
        <v>0</v>
      </c>
      <c r="H49" s="391"/>
      <c r="I49" s="392">
        <f t="shared" si="31"/>
        <v>0</v>
      </c>
      <c r="J49" s="49">
        <f t="shared" si="32"/>
        <v>6</v>
      </c>
      <c r="K49" s="48">
        <f t="shared" si="33"/>
        <v>0</v>
      </c>
      <c r="M49" s="53"/>
      <c r="N49" s="35">
        <f t="shared" si="34"/>
        <v>0</v>
      </c>
      <c r="P49" s="50"/>
      <c r="Q49" s="35">
        <f t="shared" si="25"/>
        <v>0</v>
      </c>
      <c r="S49" s="53"/>
      <c r="T49" s="35">
        <f t="shared" si="26"/>
        <v>0</v>
      </c>
      <c r="V49" s="34">
        <f t="shared" si="27"/>
        <v>0</v>
      </c>
      <c r="W49" s="35">
        <f t="shared" si="28"/>
        <v>0</v>
      </c>
      <c r="X49" s="206">
        <f t="shared" si="29"/>
        <v>0</v>
      </c>
      <c r="Y49" s="207"/>
      <c r="Z49" s="34"/>
      <c r="AA49" s="35"/>
      <c r="AB49" s="206"/>
    </row>
    <row r="50" spans="1:31" ht="11.25" customHeight="1" x14ac:dyDescent="0.2">
      <c r="A50" s="705" t="s">
        <v>98</v>
      </c>
      <c r="B50" s="599"/>
      <c r="C50" s="642"/>
      <c r="D50" s="706"/>
      <c r="E50" s="642"/>
      <c r="F50" s="633"/>
      <c r="G50" s="634"/>
      <c r="H50" s="389"/>
      <c r="I50" s="390"/>
      <c r="J50" s="38"/>
      <c r="K50" s="37"/>
      <c r="M50" s="39"/>
      <c r="N50" s="40"/>
      <c r="P50" s="39"/>
      <c r="Q50" s="40"/>
      <c r="S50" s="39"/>
      <c r="T50" s="40"/>
      <c r="V50" s="42"/>
      <c r="W50" s="40"/>
      <c r="X50" s="43"/>
      <c r="Y50" s="217"/>
      <c r="Z50" s="34">
        <f>J50-V50</f>
        <v>0</v>
      </c>
      <c r="AA50" s="40"/>
      <c r="AB50" s="43"/>
      <c r="AC50" s="4"/>
      <c r="AE50" s="28"/>
    </row>
    <row r="51" spans="1:31" ht="28.15" customHeight="1" x14ac:dyDescent="0.2">
      <c r="A51" s="44">
        <v>27</v>
      </c>
      <c r="B51" s="421" t="s">
        <v>99</v>
      </c>
      <c r="C51" s="247" t="s">
        <v>100</v>
      </c>
      <c r="D51" s="246" t="s">
        <v>51</v>
      </c>
      <c r="E51" s="354">
        <f>Memorias!D1727</f>
        <v>455.96000000000004</v>
      </c>
      <c r="F51" s="248"/>
      <c r="G51" s="296">
        <f>ROUND(F51*E51,0)</f>
        <v>0</v>
      </c>
      <c r="H51" s="391"/>
      <c r="I51" s="392">
        <f>ROUND(H51*F51,0)</f>
        <v>0</v>
      </c>
      <c r="J51" s="49">
        <f t="shared" ref="J51:J56" si="35">+H51+E51</f>
        <v>455.96000000000004</v>
      </c>
      <c r="K51" s="48">
        <f>G51+I51</f>
        <v>0</v>
      </c>
      <c r="M51" s="53"/>
      <c r="N51" s="35">
        <f>ROUND(M51*F51,0)</f>
        <v>0</v>
      </c>
      <c r="P51" s="50"/>
      <c r="Q51" s="35">
        <f t="shared" ref="Q51:Q56" si="36">ROUND(P51*F51,0)</f>
        <v>0</v>
      </c>
      <c r="S51" s="50"/>
      <c r="T51" s="35">
        <f t="shared" ref="T51:T56" si="37">ROUND(S51*F51,0)</f>
        <v>0</v>
      </c>
      <c r="V51" s="34">
        <f t="shared" ref="V51:V56" si="38">+M51+P51+S51</f>
        <v>0</v>
      </c>
      <c r="W51" s="35">
        <f t="shared" ref="W51:W56" si="39">+T51+Q51+N51</f>
        <v>0</v>
      </c>
      <c r="X51" s="206">
        <f t="shared" ref="X51:X56" si="40">IFERROR(V51/J51,"")</f>
        <v>0</v>
      </c>
      <c r="Z51" s="34">
        <f>J51-V51</f>
        <v>455.96000000000004</v>
      </c>
      <c r="AA51" s="35">
        <f>ROUND(Z51*F51,0)</f>
        <v>0</v>
      </c>
      <c r="AB51" s="206" t="str">
        <f>IFERROR(Z51/#REF!,"")</f>
        <v/>
      </c>
      <c r="AC51" s="4"/>
    </row>
    <row r="52" spans="1:31" ht="23.45" customHeight="1" x14ac:dyDescent="0.2">
      <c r="A52" s="44">
        <v>28</v>
      </c>
      <c r="B52" s="421" t="s">
        <v>101</v>
      </c>
      <c r="C52" s="51" t="s">
        <v>102</v>
      </c>
      <c r="D52" s="44" t="s">
        <v>46</v>
      </c>
      <c r="E52" s="54">
        <f>Memorias!D1759</f>
        <v>7</v>
      </c>
      <c r="F52" s="245"/>
      <c r="G52" s="296">
        <f t="shared" ref="G52:G56" si="41">ROUND(F52*E52,0)</f>
        <v>0</v>
      </c>
      <c r="H52" s="391"/>
      <c r="I52" s="392">
        <f t="shared" ref="I52:I56" si="42">ROUND(H52*F52,0)</f>
        <v>0</v>
      </c>
      <c r="J52" s="49">
        <f t="shared" si="35"/>
        <v>7</v>
      </c>
      <c r="K52" s="48">
        <f t="shared" ref="K52:K56" si="43">G52+I52</f>
        <v>0</v>
      </c>
      <c r="M52" s="50"/>
      <c r="N52" s="35">
        <f t="shared" ref="N52:N56" si="44">ROUND(M52*F52,0)</f>
        <v>0</v>
      </c>
      <c r="P52" s="50"/>
      <c r="Q52" s="35">
        <f t="shared" si="36"/>
        <v>0</v>
      </c>
      <c r="S52" s="50"/>
      <c r="T52" s="35">
        <f t="shared" si="37"/>
        <v>0</v>
      </c>
      <c r="V52" s="34">
        <f t="shared" si="38"/>
        <v>0</v>
      </c>
      <c r="W52" s="35">
        <f t="shared" si="39"/>
        <v>0</v>
      </c>
      <c r="X52" s="206">
        <f t="shared" si="40"/>
        <v>0</v>
      </c>
      <c r="Z52" s="34">
        <f>J52-V52</f>
        <v>7</v>
      </c>
      <c r="AA52" s="35">
        <f>ROUND(Z52*F52,0)</f>
        <v>0</v>
      </c>
      <c r="AB52" s="206" t="str">
        <f>IFERROR(Z52/#REF!,"")</f>
        <v/>
      </c>
      <c r="AC52" s="4"/>
      <c r="AD52" s="36"/>
    </row>
    <row r="53" spans="1:31" ht="31.15" customHeight="1" x14ac:dyDescent="0.2">
      <c r="A53" s="44">
        <v>29</v>
      </c>
      <c r="B53" s="421" t="s">
        <v>103</v>
      </c>
      <c r="C53" s="51" t="s">
        <v>104</v>
      </c>
      <c r="D53" s="44" t="s">
        <v>46</v>
      </c>
      <c r="E53" s="54">
        <f>Memorias!D1790</f>
        <v>7</v>
      </c>
      <c r="F53" s="245"/>
      <c r="G53" s="296">
        <f t="shared" si="41"/>
        <v>0</v>
      </c>
      <c r="H53" s="391"/>
      <c r="I53" s="392">
        <f t="shared" si="42"/>
        <v>0</v>
      </c>
      <c r="J53" s="49">
        <f t="shared" si="35"/>
        <v>7</v>
      </c>
      <c r="K53" s="48">
        <f t="shared" si="43"/>
        <v>0</v>
      </c>
      <c r="M53" s="50"/>
      <c r="N53" s="35">
        <f t="shared" si="44"/>
        <v>0</v>
      </c>
      <c r="P53" s="50"/>
      <c r="Q53" s="35">
        <f t="shared" si="36"/>
        <v>0</v>
      </c>
      <c r="S53" s="50"/>
      <c r="T53" s="35">
        <f t="shared" si="37"/>
        <v>0</v>
      </c>
      <c r="V53" s="34">
        <f t="shared" si="38"/>
        <v>0</v>
      </c>
      <c r="W53" s="35">
        <f t="shared" si="39"/>
        <v>0</v>
      </c>
      <c r="X53" s="206">
        <f t="shared" si="40"/>
        <v>0</v>
      </c>
      <c r="Z53" s="34">
        <f>J53-V53</f>
        <v>7</v>
      </c>
      <c r="AA53" s="35">
        <f>ROUND(Z53*F53,0)</f>
        <v>0</v>
      </c>
      <c r="AB53" s="206" t="str">
        <f>IFERROR(Z53/#REF!,"")</f>
        <v/>
      </c>
      <c r="AC53" s="4"/>
    </row>
    <row r="54" spans="1:31" ht="27.75" customHeight="1" x14ac:dyDescent="0.2">
      <c r="A54" s="44">
        <v>30</v>
      </c>
      <c r="B54" s="421" t="s">
        <v>105</v>
      </c>
      <c r="C54" s="350" t="s">
        <v>106</v>
      </c>
      <c r="D54" s="351" t="s">
        <v>29</v>
      </c>
      <c r="E54" s="278">
        <f>Memorias!D1815</f>
        <v>2</v>
      </c>
      <c r="F54" s="352"/>
      <c r="G54" s="296">
        <f t="shared" si="41"/>
        <v>0</v>
      </c>
      <c r="H54" s="391"/>
      <c r="I54" s="392">
        <f t="shared" si="42"/>
        <v>0</v>
      </c>
      <c r="J54" s="49">
        <f t="shared" si="35"/>
        <v>2</v>
      </c>
      <c r="K54" s="48">
        <f t="shared" si="43"/>
        <v>0</v>
      </c>
      <c r="M54" s="53"/>
      <c r="N54" s="35">
        <f t="shared" si="44"/>
        <v>0</v>
      </c>
      <c r="P54" s="50"/>
      <c r="Q54" s="35">
        <f t="shared" si="36"/>
        <v>0</v>
      </c>
      <c r="S54" s="53"/>
      <c r="T54" s="35">
        <f t="shared" si="37"/>
        <v>0</v>
      </c>
      <c r="V54" s="34">
        <f t="shared" si="38"/>
        <v>0</v>
      </c>
      <c r="W54" s="35">
        <f t="shared" si="39"/>
        <v>0</v>
      </c>
      <c r="X54" s="206">
        <f t="shared" si="40"/>
        <v>0</v>
      </c>
      <c r="Y54" s="206"/>
      <c r="Z54" s="34">
        <f>J54-V54</f>
        <v>2</v>
      </c>
      <c r="AA54" s="35">
        <f>ROUND(Z54*F54,0)</f>
        <v>0</v>
      </c>
      <c r="AB54" s="206" t="str">
        <f>IFERROR(Z54/#REF!,"")</f>
        <v/>
      </c>
    </row>
    <row r="55" spans="1:31" ht="28.5" customHeight="1" x14ac:dyDescent="0.2">
      <c r="A55" s="44">
        <v>31</v>
      </c>
      <c r="B55" s="421" t="s">
        <v>107</v>
      </c>
      <c r="C55" s="426" t="s">
        <v>108</v>
      </c>
      <c r="D55" s="306" t="s">
        <v>46</v>
      </c>
      <c r="E55" s="222">
        <f>Memorias!D1842</f>
        <v>227.98000000000002</v>
      </c>
      <c r="F55" s="328"/>
      <c r="G55" s="297"/>
      <c r="H55" s="391"/>
      <c r="I55" s="392">
        <f t="shared" si="42"/>
        <v>0</v>
      </c>
      <c r="J55" s="49"/>
      <c r="K55" s="48">
        <f t="shared" si="43"/>
        <v>0</v>
      </c>
      <c r="M55" s="53"/>
      <c r="N55" s="35">
        <f t="shared" si="44"/>
        <v>0</v>
      </c>
      <c r="P55" s="50"/>
      <c r="Q55" s="35">
        <f t="shared" si="36"/>
        <v>0</v>
      </c>
      <c r="S55" s="53"/>
      <c r="T55" s="35">
        <f t="shared" si="37"/>
        <v>0</v>
      </c>
      <c r="V55" s="34">
        <f t="shared" si="38"/>
        <v>0</v>
      </c>
      <c r="W55" s="35">
        <f t="shared" si="39"/>
        <v>0</v>
      </c>
      <c r="X55" s="206" t="str">
        <f t="shared" si="40"/>
        <v/>
      </c>
      <c r="Y55" s="206"/>
      <c r="Z55" s="34"/>
      <c r="AA55" s="35"/>
      <c r="AB55" s="206"/>
    </row>
    <row r="56" spans="1:31" ht="25.5" customHeight="1" x14ac:dyDescent="0.2">
      <c r="A56" s="44">
        <v>32</v>
      </c>
      <c r="B56" s="421" t="s">
        <v>109</v>
      </c>
      <c r="C56" s="409" t="s">
        <v>110</v>
      </c>
      <c r="D56" s="410" t="s">
        <v>46</v>
      </c>
      <c r="E56" s="411">
        <f>Memorias!D1877</f>
        <v>227.98000000000002</v>
      </c>
      <c r="F56" s="412"/>
      <c r="G56" s="320">
        <f t="shared" si="41"/>
        <v>0</v>
      </c>
      <c r="H56" s="391"/>
      <c r="I56" s="392">
        <f t="shared" si="42"/>
        <v>0</v>
      </c>
      <c r="J56" s="49">
        <f t="shared" si="35"/>
        <v>227.98000000000002</v>
      </c>
      <c r="K56" s="48">
        <f t="shared" si="43"/>
        <v>0</v>
      </c>
      <c r="M56" s="53"/>
      <c r="N56" s="35">
        <f t="shared" si="44"/>
        <v>0</v>
      </c>
      <c r="P56" s="50"/>
      <c r="Q56" s="35">
        <f t="shared" si="36"/>
        <v>0</v>
      </c>
      <c r="S56" s="53"/>
      <c r="T56" s="35">
        <f t="shared" si="37"/>
        <v>0</v>
      </c>
      <c r="V56" s="34">
        <f t="shared" si="38"/>
        <v>0</v>
      </c>
      <c r="W56" s="35">
        <f t="shared" si="39"/>
        <v>0</v>
      </c>
      <c r="X56" s="206">
        <f t="shared" si="40"/>
        <v>0</v>
      </c>
      <c r="Y56" s="206"/>
      <c r="Z56" s="34">
        <f t="shared" ref="Z56:Z69" si="45">J56-V56</f>
        <v>227.98000000000002</v>
      </c>
      <c r="AA56" s="35">
        <f>ROUND(Z56*F56,0)</f>
        <v>0</v>
      </c>
      <c r="AB56" s="206" t="str">
        <f>IFERROR(Z56/#REF!,"")</f>
        <v/>
      </c>
    </row>
    <row r="57" spans="1:31" ht="16.5" customHeight="1" x14ac:dyDescent="0.2">
      <c r="A57" s="638" t="s">
        <v>111</v>
      </c>
      <c r="B57" s="631"/>
      <c r="C57" s="584"/>
      <c r="D57" s="605"/>
      <c r="E57" s="584"/>
      <c r="F57" s="633"/>
      <c r="G57" s="634"/>
      <c r="H57" s="389"/>
      <c r="I57" s="390"/>
      <c r="J57" s="38"/>
      <c r="K57" s="37"/>
      <c r="M57" s="39"/>
      <c r="N57" s="40"/>
      <c r="P57" s="39"/>
      <c r="Q57" s="40"/>
      <c r="S57" s="39"/>
      <c r="T57" s="40"/>
      <c r="V57" s="42"/>
      <c r="W57" s="40"/>
      <c r="X57" s="43"/>
      <c r="Y57" s="217"/>
      <c r="Z57" s="34">
        <f t="shared" si="45"/>
        <v>0</v>
      </c>
      <c r="AA57" s="40"/>
      <c r="AB57" s="43"/>
      <c r="AC57" s="4"/>
      <c r="AE57" s="28"/>
    </row>
    <row r="58" spans="1:31" ht="17.45" customHeight="1" x14ac:dyDescent="0.2">
      <c r="A58" s="44">
        <v>33</v>
      </c>
      <c r="B58" s="421" t="s">
        <v>112</v>
      </c>
      <c r="C58" s="51" t="s">
        <v>113</v>
      </c>
      <c r="D58" s="44" t="s">
        <v>51</v>
      </c>
      <c r="E58" s="829">
        <f>Memorias!D1910</f>
        <v>126</v>
      </c>
      <c r="F58" s="361"/>
      <c r="G58" s="296">
        <f>ROUND(F58*E58,0)</f>
        <v>0</v>
      </c>
      <c r="H58" s="391"/>
      <c r="I58" s="392">
        <f>ROUND(H58*F58,0)</f>
        <v>0</v>
      </c>
      <c r="J58" s="49">
        <f t="shared" ref="J58:J73" si="46">+H58+E58</f>
        <v>126</v>
      </c>
      <c r="K58" s="48">
        <f>G58+I58</f>
        <v>0</v>
      </c>
      <c r="M58" s="53"/>
      <c r="N58" s="35">
        <f>ROUND(M58*F58,0)</f>
        <v>0</v>
      </c>
      <c r="P58" s="50"/>
      <c r="Q58" s="35">
        <f t="shared" ref="Q58:Q68" si="47">ROUND(P58*F58,0)</f>
        <v>0</v>
      </c>
      <c r="S58" s="41"/>
      <c r="T58" s="35">
        <f t="shared" ref="T58:T68" si="48">ROUND(S58*F58,0)</f>
        <v>0</v>
      </c>
      <c r="V58" s="34">
        <f t="shared" ref="V58:V68" si="49">+M58+P58+S58</f>
        <v>0</v>
      </c>
      <c r="W58" s="35">
        <f t="shared" ref="W58:W68" si="50">+T58+Q58+N58</f>
        <v>0</v>
      </c>
      <c r="X58" s="206">
        <f t="shared" ref="X58:X68" si="51">IFERROR(V58/J58,"")</f>
        <v>0</v>
      </c>
      <c r="Z58" s="34">
        <f t="shared" si="45"/>
        <v>126</v>
      </c>
      <c r="AA58" s="35">
        <f t="shared" ref="AA58:AA68" si="52">ROUND(Z58*F58,0)</f>
        <v>0</v>
      </c>
      <c r="AB58" s="206" t="str">
        <f>IFERROR(Z58/#REF!,"")</f>
        <v/>
      </c>
      <c r="AC58" s="4"/>
    </row>
    <row r="59" spans="1:31" ht="25.9" customHeight="1" x14ac:dyDescent="0.2">
      <c r="A59" s="44">
        <v>34</v>
      </c>
      <c r="B59" s="421" t="s">
        <v>114</v>
      </c>
      <c r="C59" s="51" t="s">
        <v>115</v>
      </c>
      <c r="D59" s="44" t="s">
        <v>51</v>
      </c>
      <c r="E59" s="822">
        <f>Memorias!D1936</f>
        <v>126</v>
      </c>
      <c r="F59" s="245"/>
      <c r="G59" s="296">
        <f t="shared" ref="G59:G68" si="53">ROUND(F59*E59,0)</f>
        <v>0</v>
      </c>
      <c r="H59" s="391"/>
      <c r="I59" s="392">
        <f t="shared" ref="I59:I73" si="54">ROUND(H59*F59,0)</f>
        <v>0</v>
      </c>
      <c r="J59" s="49">
        <f t="shared" si="46"/>
        <v>126</v>
      </c>
      <c r="K59" s="48">
        <f t="shared" ref="K59:K68" si="55">G59+I59</f>
        <v>0</v>
      </c>
      <c r="M59" s="53"/>
      <c r="N59" s="35">
        <f t="shared" ref="N59:N68" si="56">ROUND(M59*F59,0)</f>
        <v>0</v>
      </c>
      <c r="P59" s="50"/>
      <c r="Q59" s="35">
        <f t="shared" si="47"/>
        <v>0</v>
      </c>
      <c r="S59" s="41"/>
      <c r="T59" s="35">
        <f t="shared" si="48"/>
        <v>0</v>
      </c>
      <c r="V59" s="34">
        <f t="shared" si="49"/>
        <v>0</v>
      </c>
      <c r="W59" s="35">
        <f t="shared" si="50"/>
        <v>0</v>
      </c>
      <c r="X59" s="206">
        <f t="shared" si="51"/>
        <v>0</v>
      </c>
      <c r="Z59" s="34">
        <f t="shared" si="45"/>
        <v>126</v>
      </c>
      <c r="AA59" s="35">
        <f t="shared" si="52"/>
        <v>0</v>
      </c>
      <c r="AB59" s="206" t="str">
        <f>IFERROR(Z59/#REF!,"")</f>
        <v/>
      </c>
      <c r="AC59" s="4"/>
      <c r="AD59" s="36"/>
      <c r="AE59" s="2"/>
    </row>
    <row r="60" spans="1:31" ht="24" customHeight="1" x14ac:dyDescent="0.2">
      <c r="A60" s="44">
        <v>35</v>
      </c>
      <c r="B60" s="421" t="s">
        <v>116</v>
      </c>
      <c r="C60" s="51" t="s">
        <v>117</v>
      </c>
      <c r="D60" s="44" t="s">
        <v>51</v>
      </c>
      <c r="E60" s="822">
        <f>Memorias!D1996</f>
        <v>151.19999999999999</v>
      </c>
      <c r="F60" s="361"/>
      <c r="G60" s="296">
        <f t="shared" si="53"/>
        <v>0</v>
      </c>
      <c r="H60" s="391"/>
      <c r="I60" s="392">
        <f t="shared" si="54"/>
        <v>0</v>
      </c>
      <c r="J60" s="49">
        <f t="shared" si="46"/>
        <v>151.19999999999999</v>
      </c>
      <c r="K60" s="48">
        <f t="shared" si="55"/>
        <v>0</v>
      </c>
      <c r="M60" s="53"/>
      <c r="N60" s="35">
        <f t="shared" si="56"/>
        <v>0</v>
      </c>
      <c r="P60" s="50"/>
      <c r="Q60" s="35">
        <f t="shared" si="47"/>
        <v>0</v>
      </c>
      <c r="S60" s="41"/>
      <c r="T60" s="35">
        <f t="shared" si="48"/>
        <v>0</v>
      </c>
      <c r="V60" s="34">
        <f t="shared" si="49"/>
        <v>0</v>
      </c>
      <c r="W60" s="35">
        <f t="shared" si="50"/>
        <v>0</v>
      </c>
      <c r="X60" s="206">
        <f t="shared" si="51"/>
        <v>0</v>
      </c>
      <c r="Z60" s="34">
        <f t="shared" si="45"/>
        <v>151.19999999999999</v>
      </c>
      <c r="AA60" s="35">
        <f t="shared" si="52"/>
        <v>0</v>
      </c>
      <c r="AB60" s="206" t="str">
        <f>IFERROR(Z60/#REF!,"")</f>
        <v/>
      </c>
      <c r="AC60" s="4"/>
      <c r="AE60" s="2"/>
    </row>
    <row r="61" spans="1:31" ht="19.899999999999999" customHeight="1" x14ac:dyDescent="0.2">
      <c r="A61" s="44">
        <v>36</v>
      </c>
      <c r="B61" s="421" t="s">
        <v>118</v>
      </c>
      <c r="C61" s="51" t="s">
        <v>119</v>
      </c>
      <c r="D61" s="44" t="s">
        <v>51</v>
      </c>
      <c r="E61" s="822">
        <f>Memorias!D2020</f>
        <v>252</v>
      </c>
      <c r="F61" s="361"/>
      <c r="G61" s="296">
        <f t="shared" si="53"/>
        <v>0</v>
      </c>
      <c r="H61" s="391"/>
      <c r="I61" s="392">
        <f t="shared" si="54"/>
        <v>0</v>
      </c>
      <c r="J61" s="49">
        <f t="shared" si="46"/>
        <v>252</v>
      </c>
      <c r="K61" s="48">
        <f t="shared" si="55"/>
        <v>0</v>
      </c>
      <c r="M61" s="53"/>
      <c r="N61" s="35">
        <f t="shared" si="56"/>
        <v>0</v>
      </c>
      <c r="P61" s="50"/>
      <c r="Q61" s="35">
        <f t="shared" si="47"/>
        <v>0</v>
      </c>
      <c r="S61" s="41"/>
      <c r="T61" s="35">
        <f t="shared" si="48"/>
        <v>0</v>
      </c>
      <c r="V61" s="34">
        <f t="shared" si="49"/>
        <v>0</v>
      </c>
      <c r="W61" s="35">
        <f t="shared" si="50"/>
        <v>0</v>
      </c>
      <c r="X61" s="206">
        <f t="shared" si="51"/>
        <v>0</v>
      </c>
      <c r="Z61" s="34">
        <f t="shared" si="45"/>
        <v>252</v>
      </c>
      <c r="AA61" s="35">
        <f t="shared" si="52"/>
        <v>0</v>
      </c>
      <c r="AB61" s="206" t="str">
        <f>IFERROR(Z61/#REF!,"")</f>
        <v/>
      </c>
      <c r="AC61" s="4"/>
    </row>
    <row r="62" spans="1:31" ht="16.149999999999999" customHeight="1" x14ac:dyDescent="0.2">
      <c r="A62" s="44">
        <v>37</v>
      </c>
      <c r="B62" s="421" t="s">
        <v>120</v>
      </c>
      <c r="C62" s="51" t="s">
        <v>121</v>
      </c>
      <c r="D62" s="44" t="s">
        <v>51</v>
      </c>
      <c r="E62" s="822">
        <f>Memorias!D2045</f>
        <v>14.399999999999999</v>
      </c>
      <c r="F62" s="245"/>
      <c r="G62" s="296">
        <f t="shared" si="53"/>
        <v>0</v>
      </c>
      <c r="H62" s="391"/>
      <c r="I62" s="392">
        <f t="shared" si="54"/>
        <v>0</v>
      </c>
      <c r="J62" s="49">
        <f t="shared" si="46"/>
        <v>14.399999999999999</v>
      </c>
      <c r="K62" s="48">
        <f t="shared" si="55"/>
        <v>0</v>
      </c>
      <c r="M62" s="53"/>
      <c r="N62" s="35">
        <f t="shared" si="56"/>
        <v>0</v>
      </c>
      <c r="P62" s="50"/>
      <c r="Q62" s="35">
        <f t="shared" si="47"/>
        <v>0</v>
      </c>
      <c r="S62" s="41"/>
      <c r="T62" s="35">
        <f t="shared" si="48"/>
        <v>0</v>
      </c>
      <c r="V62" s="34">
        <f t="shared" si="49"/>
        <v>0</v>
      </c>
      <c r="W62" s="35">
        <f t="shared" si="50"/>
        <v>0</v>
      </c>
      <c r="X62" s="206">
        <f t="shared" si="51"/>
        <v>0</v>
      </c>
      <c r="Z62" s="34">
        <f t="shared" si="45"/>
        <v>14.399999999999999</v>
      </c>
      <c r="AA62" s="35">
        <f t="shared" si="52"/>
        <v>0</v>
      </c>
      <c r="AB62" s="206" t="str">
        <f>IFERROR(Z62/#REF!,"")</f>
        <v/>
      </c>
      <c r="AC62" s="4"/>
      <c r="AD62" s="36"/>
    </row>
    <row r="63" spans="1:31" ht="16.149999999999999" customHeight="1" x14ac:dyDescent="0.2">
      <c r="A63" s="44">
        <v>38</v>
      </c>
      <c r="B63" s="421" t="s">
        <v>122</v>
      </c>
      <c r="C63" s="51" t="s">
        <v>123</v>
      </c>
      <c r="D63" s="46" t="s">
        <v>51</v>
      </c>
      <c r="E63" s="822">
        <f>Memorias!D2068</f>
        <v>540</v>
      </c>
      <c r="F63" s="361"/>
      <c r="G63" s="296">
        <f t="shared" si="53"/>
        <v>0</v>
      </c>
      <c r="H63" s="391"/>
      <c r="I63" s="392">
        <f t="shared" si="54"/>
        <v>0</v>
      </c>
      <c r="J63" s="49">
        <f t="shared" si="46"/>
        <v>540</v>
      </c>
      <c r="K63" s="48">
        <f t="shared" si="55"/>
        <v>0</v>
      </c>
      <c r="M63" s="53"/>
      <c r="N63" s="35">
        <f t="shared" si="56"/>
        <v>0</v>
      </c>
      <c r="P63" s="50"/>
      <c r="Q63" s="35">
        <f t="shared" si="47"/>
        <v>0</v>
      </c>
      <c r="S63" s="41"/>
      <c r="T63" s="35">
        <f t="shared" si="48"/>
        <v>0</v>
      </c>
      <c r="V63" s="34">
        <f t="shared" si="49"/>
        <v>0</v>
      </c>
      <c r="W63" s="35">
        <f t="shared" si="50"/>
        <v>0</v>
      </c>
      <c r="X63" s="206">
        <f t="shared" si="51"/>
        <v>0</v>
      </c>
      <c r="Z63" s="34">
        <f t="shared" si="45"/>
        <v>540</v>
      </c>
      <c r="AA63" s="35">
        <f t="shared" si="52"/>
        <v>0</v>
      </c>
      <c r="AB63" s="206" t="str">
        <f>IFERROR(Z63/#REF!,"")</f>
        <v/>
      </c>
      <c r="AC63" s="4"/>
      <c r="AE63" s="28"/>
    </row>
    <row r="64" spans="1:31" ht="16.149999999999999" customHeight="1" x14ac:dyDescent="0.2">
      <c r="A64" s="44">
        <v>39</v>
      </c>
      <c r="B64" s="421" t="s">
        <v>112</v>
      </c>
      <c r="C64" s="51" t="s">
        <v>113</v>
      </c>
      <c r="D64" s="44" t="s">
        <v>46</v>
      </c>
      <c r="E64" s="822">
        <f>Memorias!D2130</f>
        <v>10</v>
      </c>
      <c r="F64" s="245"/>
      <c r="G64" s="296">
        <f t="shared" si="53"/>
        <v>0</v>
      </c>
      <c r="H64" s="391"/>
      <c r="I64" s="392">
        <f t="shared" si="54"/>
        <v>0</v>
      </c>
      <c r="J64" s="49">
        <f t="shared" si="46"/>
        <v>10</v>
      </c>
      <c r="K64" s="48">
        <f t="shared" si="55"/>
        <v>0</v>
      </c>
      <c r="M64" s="53"/>
      <c r="N64" s="35">
        <f t="shared" si="56"/>
        <v>0</v>
      </c>
      <c r="P64" s="50"/>
      <c r="Q64" s="35">
        <f t="shared" si="47"/>
        <v>0</v>
      </c>
      <c r="S64" s="41"/>
      <c r="T64" s="35">
        <f t="shared" si="48"/>
        <v>0</v>
      </c>
      <c r="V64" s="34">
        <f t="shared" si="49"/>
        <v>0</v>
      </c>
      <c r="W64" s="35">
        <f t="shared" si="50"/>
        <v>0</v>
      </c>
      <c r="X64" s="206">
        <f t="shared" si="51"/>
        <v>0</v>
      </c>
      <c r="Z64" s="34">
        <f t="shared" si="45"/>
        <v>10</v>
      </c>
      <c r="AA64" s="35">
        <f t="shared" si="52"/>
        <v>0</v>
      </c>
      <c r="AB64" s="206" t="str">
        <f>IFERROR(Z64/#REF!,"")</f>
        <v/>
      </c>
      <c r="AC64" s="4"/>
    </row>
    <row r="65" spans="1:31" ht="25.9" customHeight="1" x14ac:dyDescent="0.2">
      <c r="A65" s="44">
        <v>40</v>
      </c>
      <c r="B65" s="421" t="s">
        <v>114</v>
      </c>
      <c r="C65" s="51" t="s">
        <v>115</v>
      </c>
      <c r="D65" s="44" t="s">
        <v>46</v>
      </c>
      <c r="E65" s="822">
        <f>Memorias!D2153</f>
        <v>10</v>
      </c>
      <c r="F65" s="245"/>
      <c r="G65" s="296">
        <f t="shared" si="53"/>
        <v>0</v>
      </c>
      <c r="H65" s="391"/>
      <c r="I65" s="392">
        <f t="shared" si="54"/>
        <v>0</v>
      </c>
      <c r="J65" s="49">
        <f t="shared" si="46"/>
        <v>10</v>
      </c>
      <c r="K65" s="48">
        <f t="shared" si="55"/>
        <v>0</v>
      </c>
      <c r="M65" s="53"/>
      <c r="N65" s="35">
        <f t="shared" si="56"/>
        <v>0</v>
      </c>
      <c r="P65" s="50"/>
      <c r="Q65" s="35">
        <f t="shared" si="47"/>
        <v>0</v>
      </c>
      <c r="S65" s="41"/>
      <c r="T65" s="35">
        <f t="shared" si="48"/>
        <v>0</v>
      </c>
      <c r="V65" s="34">
        <f t="shared" si="49"/>
        <v>0</v>
      </c>
      <c r="W65" s="35">
        <f t="shared" si="50"/>
        <v>0</v>
      </c>
      <c r="X65" s="206">
        <f t="shared" si="51"/>
        <v>0</v>
      </c>
      <c r="Z65" s="34">
        <f t="shared" si="45"/>
        <v>10</v>
      </c>
      <c r="AA65" s="35">
        <f t="shared" si="52"/>
        <v>0</v>
      </c>
      <c r="AB65" s="206" t="str">
        <f>IFERROR(Z65/#REF!,"")</f>
        <v/>
      </c>
      <c r="AC65" s="4"/>
    </row>
    <row r="66" spans="1:31" ht="16.149999999999999" customHeight="1" x14ac:dyDescent="0.2">
      <c r="A66" s="44">
        <v>41</v>
      </c>
      <c r="B66" s="421" t="s">
        <v>116</v>
      </c>
      <c r="C66" s="51" t="s">
        <v>124</v>
      </c>
      <c r="D66" s="44" t="s">
        <v>46</v>
      </c>
      <c r="E66" s="830">
        <f>Memorias!D2244</f>
        <v>12</v>
      </c>
      <c r="F66" s="245"/>
      <c r="G66" s="296">
        <f t="shared" si="53"/>
        <v>0</v>
      </c>
      <c r="H66" s="391"/>
      <c r="I66" s="392">
        <f t="shared" si="54"/>
        <v>0</v>
      </c>
      <c r="J66" s="49">
        <f t="shared" si="46"/>
        <v>12</v>
      </c>
      <c r="K66" s="48">
        <f t="shared" si="55"/>
        <v>0</v>
      </c>
      <c r="M66" s="53"/>
      <c r="N66" s="35">
        <f t="shared" si="56"/>
        <v>0</v>
      </c>
      <c r="P66" s="50"/>
      <c r="Q66" s="35">
        <f t="shared" si="47"/>
        <v>0</v>
      </c>
      <c r="S66" s="41"/>
      <c r="T66" s="35">
        <f t="shared" si="48"/>
        <v>0</v>
      </c>
      <c r="V66" s="34">
        <f t="shared" si="49"/>
        <v>0</v>
      </c>
      <c r="W66" s="35">
        <f t="shared" si="50"/>
        <v>0</v>
      </c>
      <c r="X66" s="206">
        <f t="shared" si="51"/>
        <v>0</v>
      </c>
      <c r="Z66" s="34">
        <f t="shared" si="45"/>
        <v>12</v>
      </c>
      <c r="AA66" s="35">
        <f t="shared" si="52"/>
        <v>0</v>
      </c>
      <c r="AB66" s="206" t="str">
        <f>IFERROR(Z66/#REF!,"")</f>
        <v/>
      </c>
      <c r="AC66" s="4"/>
    </row>
    <row r="67" spans="1:31" ht="16.149999999999999" customHeight="1" x14ac:dyDescent="0.2">
      <c r="A67" s="44">
        <v>42</v>
      </c>
      <c r="B67" s="421" t="s">
        <v>125</v>
      </c>
      <c r="C67" s="51" t="s">
        <v>126</v>
      </c>
      <c r="D67" s="44" t="s">
        <v>46</v>
      </c>
      <c r="E67" s="822">
        <f>Memorias!D2267</f>
        <v>20</v>
      </c>
      <c r="F67" s="245"/>
      <c r="G67" s="296">
        <f t="shared" si="53"/>
        <v>0</v>
      </c>
      <c r="H67" s="391"/>
      <c r="I67" s="392">
        <f t="shared" si="54"/>
        <v>0</v>
      </c>
      <c r="J67" s="49">
        <f t="shared" si="46"/>
        <v>20</v>
      </c>
      <c r="K67" s="48">
        <f t="shared" si="55"/>
        <v>0</v>
      </c>
      <c r="M67" s="53"/>
      <c r="N67" s="35">
        <f t="shared" si="56"/>
        <v>0</v>
      </c>
      <c r="P67" s="50"/>
      <c r="Q67" s="35">
        <f t="shared" si="47"/>
        <v>0</v>
      </c>
      <c r="S67" s="41"/>
      <c r="T67" s="35">
        <f t="shared" si="48"/>
        <v>0</v>
      </c>
      <c r="V67" s="34">
        <f t="shared" si="49"/>
        <v>0</v>
      </c>
      <c r="W67" s="35">
        <f t="shared" si="50"/>
        <v>0</v>
      </c>
      <c r="X67" s="206">
        <f t="shared" si="51"/>
        <v>0</v>
      </c>
      <c r="Z67" s="34">
        <f t="shared" si="45"/>
        <v>20</v>
      </c>
      <c r="AA67" s="35">
        <f t="shared" si="52"/>
        <v>0</v>
      </c>
      <c r="AB67" s="206" t="str">
        <f>IFERROR(Z67/#REF!,"")</f>
        <v/>
      </c>
      <c r="AC67" s="4"/>
    </row>
    <row r="68" spans="1:31" ht="16.149999999999999" customHeight="1" x14ac:dyDescent="0.2">
      <c r="A68" s="44">
        <v>43</v>
      </c>
      <c r="B68" s="421" t="s">
        <v>127</v>
      </c>
      <c r="C68" s="51" t="s">
        <v>128</v>
      </c>
      <c r="D68" s="44" t="s">
        <v>46</v>
      </c>
      <c r="E68" s="822">
        <f>Memorias!D2293</f>
        <v>12</v>
      </c>
      <c r="F68" s="245"/>
      <c r="G68" s="296">
        <f t="shared" si="53"/>
        <v>0</v>
      </c>
      <c r="H68" s="391"/>
      <c r="I68" s="392">
        <f>ROUND(H68*F68,0)</f>
        <v>0</v>
      </c>
      <c r="J68" s="49">
        <f t="shared" si="46"/>
        <v>12</v>
      </c>
      <c r="K68" s="48">
        <f t="shared" si="55"/>
        <v>0</v>
      </c>
      <c r="M68" s="53"/>
      <c r="N68" s="35">
        <f t="shared" si="56"/>
        <v>0</v>
      </c>
      <c r="P68" s="50"/>
      <c r="Q68" s="35">
        <f t="shared" si="47"/>
        <v>0</v>
      </c>
      <c r="S68" s="41"/>
      <c r="T68" s="35">
        <f t="shared" si="48"/>
        <v>0</v>
      </c>
      <c r="V68" s="34">
        <f t="shared" si="49"/>
        <v>0</v>
      </c>
      <c r="W68" s="35">
        <f t="shared" si="50"/>
        <v>0</v>
      </c>
      <c r="X68" s="206">
        <f t="shared" si="51"/>
        <v>0</v>
      </c>
      <c r="Z68" s="34">
        <f t="shared" si="45"/>
        <v>12</v>
      </c>
      <c r="AA68" s="35">
        <f t="shared" si="52"/>
        <v>0</v>
      </c>
      <c r="AB68" s="206" t="str">
        <f>IFERROR(Z68/#REF!,"")</f>
        <v/>
      </c>
      <c r="AC68" s="4"/>
      <c r="AE68" s="28"/>
    </row>
    <row r="69" spans="1:31" ht="16.899999999999999" customHeight="1" x14ac:dyDescent="0.2">
      <c r="A69" s="638" t="s">
        <v>129</v>
      </c>
      <c r="B69" s="631"/>
      <c r="C69" s="584"/>
      <c r="D69" s="605"/>
      <c r="E69" s="584"/>
      <c r="F69" s="633"/>
      <c r="G69" s="634"/>
      <c r="H69" s="389"/>
      <c r="I69" s="389"/>
      <c r="J69" s="38"/>
      <c r="K69" s="37"/>
      <c r="M69" s="39"/>
      <c r="N69" s="40"/>
      <c r="P69" s="39"/>
      <c r="Q69" s="40"/>
      <c r="S69" s="39"/>
      <c r="T69" s="40"/>
      <c r="V69" s="42"/>
      <c r="W69" s="40"/>
      <c r="X69" s="43"/>
      <c r="Y69" s="217"/>
      <c r="Z69" s="34">
        <f t="shared" si="45"/>
        <v>0</v>
      </c>
      <c r="AA69" s="40"/>
      <c r="AB69" s="43"/>
      <c r="AC69" s="4"/>
      <c r="AE69" s="28"/>
    </row>
    <row r="70" spans="1:31" ht="34.5" customHeight="1" x14ac:dyDescent="0.2">
      <c r="A70" s="44">
        <v>44</v>
      </c>
      <c r="B70" s="421" t="s">
        <v>130</v>
      </c>
      <c r="C70" s="831" t="s">
        <v>131</v>
      </c>
      <c r="D70" s="832" t="s">
        <v>132</v>
      </c>
      <c r="E70" s="833">
        <f>Memorias!D2351</f>
        <v>8.25</v>
      </c>
      <c r="F70" s="322"/>
      <c r="G70" s="296">
        <f t="shared" ref="G70:G73" si="57">ROUND(F70*E70,0)</f>
        <v>0</v>
      </c>
      <c r="H70" s="391"/>
      <c r="I70" s="392">
        <f t="shared" si="54"/>
        <v>0</v>
      </c>
      <c r="J70" s="49">
        <f t="shared" si="46"/>
        <v>8.25</v>
      </c>
      <c r="K70" s="48">
        <f t="shared" ref="K70:K73" si="58">G70+I70</f>
        <v>0</v>
      </c>
      <c r="M70" s="50"/>
      <c r="N70" s="35">
        <f t="shared" ref="N70:N90" si="59">ROUND(M70*F70,0)</f>
        <v>0</v>
      </c>
      <c r="P70" s="50"/>
      <c r="Q70" s="35">
        <f t="shared" ref="Q70:Q73" si="60">ROUND(P70*F70,0)</f>
        <v>0</v>
      </c>
      <c r="S70" s="41"/>
      <c r="T70" s="35">
        <f t="shared" ref="T70:T73" si="61">ROUND(S70*F70,0)</f>
        <v>0</v>
      </c>
      <c r="V70" s="34">
        <f t="shared" ref="V70:V73" si="62">+M70+P70+S70</f>
        <v>0</v>
      </c>
      <c r="W70" s="35">
        <f t="shared" ref="W70:W73" si="63">+T70+Q70+N70</f>
        <v>0</v>
      </c>
      <c r="X70" s="206">
        <f t="shared" ref="X70:X73" si="64">IFERROR(V70/J70,"")</f>
        <v>0</v>
      </c>
      <c r="Z70" s="34"/>
      <c r="AA70" s="35"/>
      <c r="AB70" s="206"/>
      <c r="AC70" s="4"/>
    </row>
    <row r="71" spans="1:31" ht="50.25" customHeight="1" x14ac:dyDescent="0.2">
      <c r="A71" s="44">
        <v>45</v>
      </c>
      <c r="B71" s="421" t="s">
        <v>133</v>
      </c>
      <c r="C71" s="247" t="s">
        <v>134</v>
      </c>
      <c r="D71" s="281" t="s">
        <v>29</v>
      </c>
      <c r="E71" s="354">
        <f>Memorias!D2578</f>
        <v>1</v>
      </c>
      <c r="F71" s="318"/>
      <c r="G71" s="296">
        <f t="shared" si="57"/>
        <v>0</v>
      </c>
      <c r="H71" s="391"/>
      <c r="I71" s="392">
        <f t="shared" si="54"/>
        <v>0</v>
      </c>
      <c r="J71" s="49">
        <f t="shared" si="46"/>
        <v>1</v>
      </c>
      <c r="K71" s="48">
        <f t="shared" si="58"/>
        <v>0</v>
      </c>
      <c r="M71" s="50"/>
      <c r="N71" s="35">
        <f t="shared" si="59"/>
        <v>0</v>
      </c>
      <c r="P71" s="50"/>
      <c r="Q71" s="35">
        <f t="shared" si="60"/>
        <v>0</v>
      </c>
      <c r="S71" s="41"/>
      <c r="T71" s="35">
        <f t="shared" si="61"/>
        <v>0</v>
      </c>
      <c r="V71" s="34">
        <f t="shared" si="62"/>
        <v>0</v>
      </c>
      <c r="W71" s="35">
        <f t="shared" si="63"/>
        <v>0</v>
      </c>
      <c r="X71" s="206">
        <f t="shared" si="64"/>
        <v>0</v>
      </c>
      <c r="Z71" s="34"/>
      <c r="AA71" s="35"/>
      <c r="AB71" s="206"/>
      <c r="AC71" s="4"/>
    </row>
    <row r="72" spans="1:31" ht="24" customHeight="1" x14ac:dyDescent="0.2">
      <c r="A72" s="44">
        <v>46</v>
      </c>
      <c r="B72" s="421" t="s">
        <v>135</v>
      </c>
      <c r="C72" s="310" t="s">
        <v>136</v>
      </c>
      <c r="D72" s="280" t="s">
        <v>51</v>
      </c>
      <c r="E72" s="332">
        <f>Memorias!D2614</f>
        <v>12.5</v>
      </c>
      <c r="F72" s="311"/>
      <c r="G72" s="296">
        <f t="shared" si="57"/>
        <v>0</v>
      </c>
      <c r="H72" s="391"/>
      <c r="I72" s="392">
        <f t="shared" si="54"/>
        <v>0</v>
      </c>
      <c r="J72" s="49">
        <f t="shared" si="46"/>
        <v>12.5</v>
      </c>
      <c r="K72" s="48">
        <f t="shared" si="58"/>
        <v>0</v>
      </c>
      <c r="M72" s="50"/>
      <c r="N72" s="35">
        <f t="shared" si="59"/>
        <v>0</v>
      </c>
      <c r="P72" s="50"/>
      <c r="Q72" s="35">
        <f t="shared" si="60"/>
        <v>0</v>
      </c>
      <c r="S72" s="41"/>
      <c r="T72" s="35">
        <f t="shared" si="61"/>
        <v>0</v>
      </c>
      <c r="V72" s="34">
        <f t="shared" si="62"/>
        <v>0</v>
      </c>
      <c r="W72" s="35">
        <f t="shared" si="63"/>
        <v>0</v>
      </c>
      <c r="X72" s="206">
        <f t="shared" si="64"/>
        <v>0</v>
      </c>
      <c r="Z72" s="34"/>
      <c r="AA72" s="35"/>
      <c r="AB72" s="206"/>
      <c r="AC72" s="4"/>
    </row>
    <row r="73" spans="1:31" ht="28.5" customHeight="1" x14ac:dyDescent="0.2">
      <c r="A73" s="44">
        <v>47</v>
      </c>
      <c r="B73" s="421" t="s">
        <v>137</v>
      </c>
      <c r="C73" s="310" t="s">
        <v>138</v>
      </c>
      <c r="D73" s="312" t="s">
        <v>51</v>
      </c>
      <c r="E73" s="359">
        <f>Memorias!D2680</f>
        <v>12.5</v>
      </c>
      <c r="F73" s="321"/>
      <c r="G73" s="296">
        <f t="shared" si="57"/>
        <v>0</v>
      </c>
      <c r="H73" s="391"/>
      <c r="I73" s="392">
        <f t="shared" si="54"/>
        <v>0</v>
      </c>
      <c r="J73" s="49">
        <f t="shared" si="46"/>
        <v>12.5</v>
      </c>
      <c r="K73" s="48">
        <f t="shared" si="58"/>
        <v>0</v>
      </c>
      <c r="M73" s="50"/>
      <c r="N73" s="35">
        <f t="shared" si="59"/>
        <v>0</v>
      </c>
      <c r="P73" s="50"/>
      <c r="Q73" s="35">
        <f t="shared" si="60"/>
        <v>0</v>
      </c>
      <c r="S73" s="41"/>
      <c r="T73" s="35">
        <f t="shared" si="61"/>
        <v>0</v>
      </c>
      <c r="V73" s="34">
        <f t="shared" si="62"/>
        <v>0</v>
      </c>
      <c r="W73" s="35">
        <f t="shared" si="63"/>
        <v>0</v>
      </c>
      <c r="X73" s="206">
        <f t="shared" si="64"/>
        <v>0</v>
      </c>
      <c r="Z73" s="34"/>
      <c r="AA73" s="35"/>
      <c r="AB73" s="206"/>
      <c r="AC73" s="4"/>
    </row>
    <row r="74" spans="1:31" ht="13.5" customHeight="1" x14ac:dyDescent="0.2">
      <c r="A74" s="638" t="s">
        <v>139</v>
      </c>
      <c r="B74" s="599"/>
      <c r="C74" s="584"/>
      <c r="D74" s="605"/>
      <c r="E74" s="584"/>
      <c r="F74" s="633"/>
      <c r="G74" s="634"/>
      <c r="H74" s="389"/>
      <c r="I74" s="390"/>
      <c r="J74" s="38"/>
      <c r="K74" s="37"/>
      <c r="M74" s="39"/>
      <c r="N74" s="40"/>
      <c r="P74" s="39"/>
      <c r="Q74" s="40"/>
      <c r="S74" s="39"/>
      <c r="T74" s="40"/>
      <c r="V74" s="42"/>
      <c r="W74" s="40"/>
      <c r="X74" s="43"/>
      <c r="Y74" s="217"/>
      <c r="Z74" s="34">
        <f>J74-V74</f>
        <v>0</v>
      </c>
      <c r="AA74" s="40"/>
      <c r="AB74" s="43"/>
      <c r="AC74" s="4"/>
      <c r="AE74" s="28"/>
    </row>
    <row r="75" spans="1:31" ht="21" customHeight="1" x14ac:dyDescent="0.2">
      <c r="A75" s="44">
        <v>48</v>
      </c>
      <c r="B75" s="421" t="s">
        <v>140</v>
      </c>
      <c r="C75" s="45" t="s">
        <v>141</v>
      </c>
      <c r="D75" s="46" t="s">
        <v>51</v>
      </c>
      <c r="E75" s="52">
        <f>Memorias!D2887</f>
        <v>1308.9048</v>
      </c>
      <c r="F75" s="245"/>
      <c r="G75" s="296">
        <f>ROUND(F75*E75,0)</f>
        <v>0</v>
      </c>
      <c r="H75" s="391"/>
      <c r="I75" s="392">
        <f t="shared" ref="I75:I90" si="65">ROUND(H75*F75,0)</f>
        <v>0</v>
      </c>
      <c r="J75" s="49">
        <f t="shared" ref="J75" si="66">+H75+E75</f>
        <v>1308.9048</v>
      </c>
      <c r="K75" s="48">
        <f>G75+I75</f>
        <v>0</v>
      </c>
      <c r="M75" s="53"/>
      <c r="N75" s="35">
        <f t="shared" si="59"/>
        <v>0</v>
      </c>
      <c r="P75" s="50"/>
      <c r="Q75" s="35">
        <f t="shared" ref="Q75:Q80" si="67">ROUND(P75*F75,0)</f>
        <v>0</v>
      </c>
      <c r="S75" s="41"/>
      <c r="T75" s="35">
        <f t="shared" ref="T75:T80" si="68">ROUND(S75*F75,0)</f>
        <v>0</v>
      </c>
      <c r="V75" s="34">
        <f t="shared" ref="V75:V80" si="69">+M75+P75+S75</f>
        <v>0</v>
      </c>
      <c r="W75" s="35">
        <f t="shared" ref="W75:W80" si="70">+T75+Q75+N75</f>
        <v>0</v>
      </c>
      <c r="X75" s="206">
        <f t="shared" ref="X75:X80" si="71">IFERROR(V75/J75,"")</f>
        <v>0</v>
      </c>
      <c r="Z75" s="34">
        <f>J75-V75</f>
        <v>1308.9048</v>
      </c>
      <c r="AA75" s="35" t="e">
        <f>ROUND(Z75*#REF!,0)</f>
        <v>#REF!</v>
      </c>
      <c r="AB75" s="206" t="str">
        <f>IFERROR(Z75/#REF!,"")</f>
        <v/>
      </c>
      <c r="AC75" s="4"/>
    </row>
    <row r="76" spans="1:31" ht="30.6" customHeight="1" x14ac:dyDescent="0.2">
      <c r="A76" s="44">
        <v>49</v>
      </c>
      <c r="B76" s="421" t="s">
        <v>142</v>
      </c>
      <c r="C76" s="247" t="s">
        <v>143</v>
      </c>
      <c r="D76" s="246" t="s">
        <v>46</v>
      </c>
      <c r="E76" s="354">
        <f>Memorias!D2910</f>
        <v>1790.2500000000002</v>
      </c>
      <c r="F76" s="248"/>
      <c r="G76" s="296">
        <f t="shared" ref="G76:G80" si="72">ROUND(F76*E76,0)</f>
        <v>0</v>
      </c>
      <c r="H76" s="391"/>
      <c r="I76" s="392">
        <f t="shared" si="65"/>
        <v>0</v>
      </c>
      <c r="J76" s="49">
        <f t="shared" ref="J76:J80" si="73">+H76+E76</f>
        <v>1790.2500000000002</v>
      </c>
      <c r="K76" s="48">
        <f t="shared" ref="K76:K80" si="74">G76+I76</f>
        <v>0</v>
      </c>
      <c r="M76" s="50"/>
      <c r="N76" s="35">
        <f t="shared" si="59"/>
        <v>0</v>
      </c>
      <c r="P76" s="50"/>
      <c r="Q76" s="35">
        <f t="shared" si="67"/>
        <v>0</v>
      </c>
      <c r="S76" s="41"/>
      <c r="T76" s="35">
        <f t="shared" si="68"/>
        <v>0</v>
      </c>
      <c r="V76" s="34">
        <f t="shared" si="69"/>
        <v>0</v>
      </c>
      <c r="W76" s="35">
        <f t="shared" si="70"/>
        <v>0</v>
      </c>
      <c r="X76" s="206">
        <f t="shared" si="71"/>
        <v>0</v>
      </c>
      <c r="Z76" s="34">
        <f>J76-V76</f>
        <v>1790.2500000000002</v>
      </c>
      <c r="AA76" s="35">
        <f>ROUND(Z76*F75,0)</f>
        <v>0</v>
      </c>
      <c r="AB76" s="206" t="str">
        <f>IFERROR(Z76/#REF!,"")</f>
        <v/>
      </c>
      <c r="AC76" s="4"/>
    </row>
    <row r="77" spans="1:31" ht="41.45" customHeight="1" x14ac:dyDescent="0.2">
      <c r="A77" s="44">
        <v>50</v>
      </c>
      <c r="B77" s="421" t="s">
        <v>144</v>
      </c>
      <c r="C77" s="247" t="s">
        <v>145</v>
      </c>
      <c r="D77" s="246" t="s">
        <v>46</v>
      </c>
      <c r="E77" s="354">
        <f>Memorias!D2945</f>
        <v>30</v>
      </c>
      <c r="F77" s="324"/>
      <c r="G77" s="296">
        <f t="shared" si="72"/>
        <v>0</v>
      </c>
      <c r="H77" s="391"/>
      <c r="I77" s="392">
        <f t="shared" si="65"/>
        <v>0</v>
      </c>
      <c r="J77" s="49">
        <f t="shared" si="73"/>
        <v>30</v>
      </c>
      <c r="K77" s="48">
        <f t="shared" si="74"/>
        <v>0</v>
      </c>
      <c r="M77" s="50"/>
      <c r="N77" s="35">
        <f t="shared" si="59"/>
        <v>0</v>
      </c>
      <c r="P77" s="50"/>
      <c r="Q77" s="35">
        <f t="shared" si="67"/>
        <v>0</v>
      </c>
      <c r="S77" s="41"/>
      <c r="T77" s="35">
        <f t="shared" si="68"/>
        <v>0</v>
      </c>
      <c r="V77" s="34">
        <f t="shared" si="69"/>
        <v>0</v>
      </c>
      <c r="W77" s="35">
        <f t="shared" si="70"/>
        <v>0</v>
      </c>
      <c r="X77" s="206">
        <f t="shared" si="71"/>
        <v>0</v>
      </c>
      <c r="Z77" s="34"/>
      <c r="AA77" s="35"/>
      <c r="AB77" s="206"/>
      <c r="AC77" s="4"/>
    </row>
    <row r="78" spans="1:31" ht="43.5" customHeight="1" x14ac:dyDescent="0.2">
      <c r="A78" s="44">
        <v>51</v>
      </c>
      <c r="B78" s="421" t="s">
        <v>146</v>
      </c>
      <c r="C78" s="325" t="s">
        <v>147</v>
      </c>
      <c r="D78" s="280" t="s">
        <v>29</v>
      </c>
      <c r="E78" s="332">
        <f>Memorias!D2964</f>
        <v>12</v>
      </c>
      <c r="F78" s="317"/>
      <c r="G78" s="296">
        <f t="shared" si="72"/>
        <v>0</v>
      </c>
      <c r="H78" s="391"/>
      <c r="I78" s="392">
        <f t="shared" si="65"/>
        <v>0</v>
      </c>
      <c r="J78" s="49">
        <f t="shared" si="73"/>
        <v>12</v>
      </c>
      <c r="K78" s="48">
        <f t="shared" si="74"/>
        <v>0</v>
      </c>
      <c r="M78" s="50"/>
      <c r="N78" s="35">
        <f t="shared" si="59"/>
        <v>0</v>
      </c>
      <c r="P78" s="50"/>
      <c r="Q78" s="35">
        <f t="shared" si="67"/>
        <v>0</v>
      </c>
      <c r="S78" s="41"/>
      <c r="T78" s="35">
        <f t="shared" si="68"/>
        <v>0</v>
      </c>
      <c r="V78" s="34">
        <f t="shared" si="69"/>
        <v>0</v>
      </c>
      <c r="W78" s="35">
        <f t="shared" si="70"/>
        <v>0</v>
      </c>
      <c r="X78" s="206">
        <f t="shared" si="71"/>
        <v>0</v>
      </c>
      <c r="Z78" s="34"/>
      <c r="AA78" s="35"/>
      <c r="AB78" s="206"/>
      <c r="AC78" s="4"/>
    </row>
    <row r="79" spans="1:31" ht="45.75" customHeight="1" x14ac:dyDescent="0.2">
      <c r="A79" s="44">
        <v>52</v>
      </c>
      <c r="B79" s="421" t="s">
        <v>148</v>
      </c>
      <c r="C79" s="325" t="s">
        <v>149</v>
      </c>
      <c r="D79" s="280" t="s">
        <v>29</v>
      </c>
      <c r="E79" s="332">
        <f>Memorias!D2986</f>
        <v>15</v>
      </c>
      <c r="F79" s="317"/>
      <c r="G79" s="296">
        <f t="shared" si="72"/>
        <v>0</v>
      </c>
      <c r="H79" s="391"/>
      <c r="I79" s="392">
        <f t="shared" si="65"/>
        <v>0</v>
      </c>
      <c r="J79" s="49">
        <f t="shared" si="73"/>
        <v>15</v>
      </c>
      <c r="K79" s="48">
        <f t="shared" si="74"/>
        <v>0</v>
      </c>
      <c r="M79" s="50"/>
      <c r="N79" s="35">
        <f t="shared" si="59"/>
        <v>0</v>
      </c>
      <c r="P79" s="50"/>
      <c r="Q79" s="35">
        <f t="shared" si="67"/>
        <v>0</v>
      </c>
      <c r="S79" s="41"/>
      <c r="T79" s="35">
        <f t="shared" si="68"/>
        <v>0</v>
      </c>
      <c r="V79" s="34">
        <f t="shared" si="69"/>
        <v>0</v>
      </c>
      <c r="W79" s="35">
        <f t="shared" si="70"/>
        <v>0</v>
      </c>
      <c r="X79" s="206">
        <f t="shared" si="71"/>
        <v>0</v>
      </c>
      <c r="Z79" s="34"/>
      <c r="AA79" s="35"/>
      <c r="AB79" s="206"/>
      <c r="AC79" s="4"/>
    </row>
    <row r="80" spans="1:31" ht="33" customHeight="1" x14ac:dyDescent="0.2">
      <c r="A80" s="44">
        <v>53</v>
      </c>
      <c r="B80" s="421" t="s">
        <v>150</v>
      </c>
      <c r="C80" s="326" t="s">
        <v>151</v>
      </c>
      <c r="D80" s="329" t="s">
        <v>29</v>
      </c>
      <c r="E80" s="360">
        <f>Memorias!D3008</f>
        <v>1</v>
      </c>
      <c r="F80" s="330"/>
      <c r="G80" s="296">
        <f t="shared" si="72"/>
        <v>0</v>
      </c>
      <c r="H80" s="391"/>
      <c r="I80" s="392">
        <f t="shared" si="65"/>
        <v>0</v>
      </c>
      <c r="J80" s="49">
        <f t="shared" si="73"/>
        <v>1</v>
      </c>
      <c r="K80" s="48">
        <f t="shared" si="74"/>
        <v>0</v>
      </c>
      <c r="M80" s="50"/>
      <c r="N80" s="35">
        <f t="shared" si="59"/>
        <v>0</v>
      </c>
      <c r="P80" s="50"/>
      <c r="Q80" s="35">
        <f t="shared" si="67"/>
        <v>0</v>
      </c>
      <c r="S80" s="41"/>
      <c r="T80" s="35">
        <f t="shared" si="68"/>
        <v>0</v>
      </c>
      <c r="V80" s="34">
        <f t="shared" si="69"/>
        <v>0</v>
      </c>
      <c r="W80" s="35">
        <f t="shared" si="70"/>
        <v>0</v>
      </c>
      <c r="X80" s="206">
        <f t="shared" si="71"/>
        <v>0</v>
      </c>
      <c r="Z80" s="34"/>
      <c r="AA80" s="35"/>
      <c r="AB80" s="206"/>
      <c r="AC80" s="4"/>
    </row>
    <row r="81" spans="1:31" ht="18" customHeight="1" x14ac:dyDescent="0.2">
      <c r="A81" s="588" t="s">
        <v>152</v>
      </c>
      <c r="B81" s="589"/>
      <c r="C81" s="590"/>
      <c r="D81" s="612"/>
      <c r="E81" s="590"/>
      <c r="F81" s="647"/>
      <c r="G81" s="648"/>
      <c r="H81" s="389"/>
      <c r="I81" s="390"/>
      <c r="J81" s="382"/>
      <c r="K81" s="37"/>
      <c r="M81" s="39"/>
      <c r="N81" s="40"/>
      <c r="P81" s="39"/>
      <c r="Q81" s="40"/>
      <c r="S81" s="39"/>
      <c r="T81" s="40"/>
      <c r="V81" s="42"/>
      <c r="W81" s="40"/>
      <c r="X81" s="43"/>
      <c r="Y81" s="217"/>
      <c r="Z81" s="34">
        <f>J81-V81</f>
        <v>0</v>
      </c>
      <c r="AA81" s="40"/>
      <c r="AB81" s="43"/>
      <c r="AC81" s="4"/>
      <c r="AE81" s="28"/>
    </row>
    <row r="82" spans="1:31" ht="31.15" customHeight="1" x14ac:dyDescent="0.2">
      <c r="A82" s="218">
        <v>54</v>
      </c>
      <c r="B82" s="421" t="s">
        <v>153</v>
      </c>
      <c r="C82" s="310" t="s">
        <v>154</v>
      </c>
      <c r="D82" s="327" t="s">
        <v>51</v>
      </c>
      <c r="E82" s="337">
        <f>Memorias!D3028</f>
        <v>800</v>
      </c>
      <c r="F82" s="331"/>
      <c r="G82" s="380">
        <f>E82*F82</f>
        <v>0</v>
      </c>
      <c r="H82" s="391"/>
      <c r="I82" s="392">
        <f t="shared" si="65"/>
        <v>0</v>
      </c>
      <c r="J82" s="49">
        <f t="shared" ref="J82" si="75">+H82+E82</f>
        <v>800</v>
      </c>
      <c r="K82" s="48">
        <f t="shared" ref="K82:K86" si="76">G82+I82</f>
        <v>0</v>
      </c>
      <c r="M82" s="50"/>
      <c r="N82" s="35">
        <f t="shared" si="59"/>
        <v>0</v>
      </c>
      <c r="P82" s="50"/>
      <c r="Q82" s="35">
        <f t="shared" ref="Q82:Q90" si="77">ROUND(P82*F82,0)</f>
        <v>0</v>
      </c>
      <c r="S82" s="41"/>
      <c r="T82" s="35">
        <f t="shared" ref="T82:T90" si="78">ROUND(S82*F82,0)</f>
        <v>0</v>
      </c>
      <c r="V82" s="34">
        <f t="shared" ref="V82:V90" si="79">+M82+P82+S82</f>
        <v>0</v>
      </c>
      <c r="W82" s="35">
        <f t="shared" ref="W82:W90" si="80">+T82+Q82+N82</f>
        <v>0</v>
      </c>
      <c r="X82" s="206">
        <f t="shared" ref="X82:X90" si="81">IFERROR(V82/J82,"")</f>
        <v>0</v>
      </c>
      <c r="Z82" s="34"/>
      <c r="AA82" s="35"/>
      <c r="AB82" s="206"/>
      <c r="AC82" s="4"/>
    </row>
    <row r="83" spans="1:31" ht="27" customHeight="1" x14ac:dyDescent="0.2">
      <c r="A83" s="218">
        <v>55</v>
      </c>
      <c r="B83" s="421" t="s">
        <v>155</v>
      </c>
      <c r="C83" s="310" t="s">
        <v>156</v>
      </c>
      <c r="D83" s="327" t="s">
        <v>51</v>
      </c>
      <c r="E83" s="337">
        <f>Memorias!D3050</f>
        <v>400</v>
      </c>
      <c r="F83" s="331"/>
      <c r="G83" s="380">
        <f t="shared" ref="G83:G86" si="82">E83*F83</f>
        <v>0</v>
      </c>
      <c r="H83" s="391"/>
      <c r="I83" s="392">
        <f t="shared" si="65"/>
        <v>0</v>
      </c>
      <c r="J83" s="49">
        <f t="shared" ref="J83:J90" si="83">+H83+E83</f>
        <v>400</v>
      </c>
      <c r="K83" s="48">
        <f t="shared" si="76"/>
        <v>0</v>
      </c>
      <c r="M83" s="50"/>
      <c r="N83" s="35">
        <f t="shared" si="59"/>
        <v>0</v>
      </c>
      <c r="P83" s="50"/>
      <c r="Q83" s="35">
        <f t="shared" si="77"/>
        <v>0</v>
      </c>
      <c r="S83" s="41"/>
      <c r="T83" s="35">
        <f t="shared" si="78"/>
        <v>0</v>
      </c>
      <c r="V83" s="34">
        <f t="shared" si="79"/>
        <v>0</v>
      </c>
      <c r="W83" s="35">
        <f t="shared" si="80"/>
        <v>0</v>
      </c>
      <c r="X83" s="206">
        <f t="shared" si="81"/>
        <v>0</v>
      </c>
      <c r="Z83" s="34"/>
      <c r="AA83" s="35"/>
      <c r="AB83" s="206"/>
      <c r="AC83" s="4"/>
    </row>
    <row r="84" spans="1:31" ht="34.15" customHeight="1" x14ac:dyDescent="0.2">
      <c r="A84" s="218">
        <v>56</v>
      </c>
      <c r="B84" s="421" t="s">
        <v>157</v>
      </c>
      <c r="C84" s="310" t="s">
        <v>158</v>
      </c>
      <c r="D84" s="327" t="s">
        <v>51</v>
      </c>
      <c r="E84" s="337">
        <f>Memorias!D3072</f>
        <v>250</v>
      </c>
      <c r="F84" s="333"/>
      <c r="G84" s="380">
        <f t="shared" si="82"/>
        <v>0</v>
      </c>
      <c r="H84" s="391"/>
      <c r="I84" s="392">
        <f t="shared" si="65"/>
        <v>0</v>
      </c>
      <c r="J84" s="49">
        <f t="shared" si="83"/>
        <v>250</v>
      </c>
      <c r="K84" s="48">
        <f t="shared" si="76"/>
        <v>0</v>
      </c>
      <c r="M84" s="50"/>
      <c r="N84" s="35">
        <f t="shared" si="59"/>
        <v>0</v>
      </c>
      <c r="P84" s="50"/>
      <c r="Q84" s="35">
        <f t="shared" si="77"/>
        <v>0</v>
      </c>
      <c r="S84" s="41"/>
      <c r="T84" s="35">
        <f t="shared" si="78"/>
        <v>0</v>
      </c>
      <c r="V84" s="34">
        <f t="shared" si="79"/>
        <v>0</v>
      </c>
      <c r="W84" s="35">
        <f t="shared" si="80"/>
        <v>0</v>
      </c>
      <c r="X84" s="206">
        <f t="shared" si="81"/>
        <v>0</v>
      </c>
      <c r="Z84" s="34"/>
      <c r="AA84" s="35"/>
      <c r="AB84" s="206"/>
      <c r="AC84" s="4"/>
    </row>
    <row r="85" spans="1:31" ht="20.45" customHeight="1" x14ac:dyDescent="0.2">
      <c r="A85" s="218">
        <v>57</v>
      </c>
      <c r="B85" s="421" t="s">
        <v>159</v>
      </c>
      <c r="C85" s="310" t="s">
        <v>160</v>
      </c>
      <c r="D85" s="327" t="s">
        <v>51</v>
      </c>
      <c r="E85" s="337">
        <f>Memorias!D3094</f>
        <v>400</v>
      </c>
      <c r="F85" s="331"/>
      <c r="G85" s="380">
        <f t="shared" si="82"/>
        <v>0</v>
      </c>
      <c r="H85" s="391"/>
      <c r="I85" s="392">
        <f t="shared" si="65"/>
        <v>0</v>
      </c>
      <c r="J85" s="49">
        <f t="shared" si="83"/>
        <v>400</v>
      </c>
      <c r="K85" s="48">
        <f t="shared" si="76"/>
        <v>0</v>
      </c>
      <c r="M85" s="50"/>
      <c r="N85" s="35">
        <f t="shared" si="59"/>
        <v>0</v>
      </c>
      <c r="P85" s="50"/>
      <c r="Q85" s="35">
        <f t="shared" si="77"/>
        <v>0</v>
      </c>
      <c r="S85" s="41"/>
      <c r="T85" s="35">
        <f t="shared" si="78"/>
        <v>0</v>
      </c>
      <c r="V85" s="34">
        <f t="shared" si="79"/>
        <v>0</v>
      </c>
      <c r="W85" s="35">
        <f t="shared" si="80"/>
        <v>0</v>
      </c>
      <c r="X85" s="206">
        <f t="shared" si="81"/>
        <v>0</v>
      </c>
      <c r="Z85" s="34"/>
      <c r="AA85" s="35"/>
      <c r="AB85" s="206"/>
      <c r="AC85" s="4"/>
    </row>
    <row r="86" spans="1:31" ht="30.6" customHeight="1" x14ac:dyDescent="0.2">
      <c r="A86" s="218">
        <v>58</v>
      </c>
      <c r="B86" s="421" t="s">
        <v>161</v>
      </c>
      <c r="C86" s="310" t="s">
        <v>162</v>
      </c>
      <c r="D86" s="327" t="s">
        <v>29</v>
      </c>
      <c r="E86" s="337">
        <f>Memorias!D3094</f>
        <v>400</v>
      </c>
      <c r="F86" s="331"/>
      <c r="G86" s="380">
        <f t="shared" si="82"/>
        <v>0</v>
      </c>
      <c r="H86" s="391"/>
      <c r="I86" s="392">
        <f t="shared" si="65"/>
        <v>0</v>
      </c>
      <c r="J86" s="49">
        <f t="shared" si="83"/>
        <v>400</v>
      </c>
      <c r="K86" s="48">
        <f t="shared" si="76"/>
        <v>0</v>
      </c>
      <c r="M86" s="50"/>
      <c r="N86" s="35">
        <f t="shared" si="59"/>
        <v>0</v>
      </c>
      <c r="P86" s="50"/>
      <c r="Q86" s="35">
        <f t="shared" si="77"/>
        <v>0</v>
      </c>
      <c r="S86" s="41"/>
      <c r="T86" s="35">
        <f t="shared" si="78"/>
        <v>0</v>
      </c>
      <c r="V86" s="34">
        <f t="shared" si="79"/>
        <v>0</v>
      </c>
      <c r="W86" s="35">
        <f t="shared" si="80"/>
        <v>0</v>
      </c>
      <c r="X86" s="206">
        <f t="shared" si="81"/>
        <v>0</v>
      </c>
      <c r="Z86" s="34"/>
      <c r="AA86" s="35"/>
      <c r="AB86" s="206"/>
      <c r="AC86" s="4"/>
    </row>
    <row r="87" spans="1:31" ht="21" customHeight="1" x14ac:dyDescent="0.2">
      <c r="A87" s="588" t="s">
        <v>163</v>
      </c>
      <c r="B87" s="589"/>
      <c r="C87" s="590"/>
      <c r="D87" s="612"/>
      <c r="E87" s="590"/>
      <c r="F87" s="647"/>
      <c r="G87" s="648"/>
      <c r="H87" s="389"/>
      <c r="I87" s="390"/>
      <c r="J87" s="382"/>
      <c r="K87" s="37"/>
      <c r="M87" s="39"/>
      <c r="N87" s="40">
        <f t="shared" si="59"/>
        <v>0</v>
      </c>
      <c r="P87" s="39"/>
      <c r="Q87" s="40">
        <f t="shared" si="77"/>
        <v>0</v>
      </c>
      <c r="S87" s="39"/>
      <c r="T87" s="40">
        <f t="shared" si="78"/>
        <v>0</v>
      </c>
      <c r="V87" s="42">
        <f t="shared" si="79"/>
        <v>0</v>
      </c>
      <c r="W87" s="40">
        <f t="shared" si="80"/>
        <v>0</v>
      </c>
      <c r="X87" s="43" t="str">
        <f t="shared" si="81"/>
        <v/>
      </c>
      <c r="Y87" s="217"/>
      <c r="Z87" s="34"/>
      <c r="AA87" s="40"/>
      <c r="AB87" s="43"/>
      <c r="AC87" s="4"/>
      <c r="AE87" s="28"/>
    </row>
    <row r="88" spans="1:31" ht="21.75" customHeight="1" x14ac:dyDescent="0.2">
      <c r="A88" s="218">
        <v>59</v>
      </c>
      <c r="B88" s="421" t="s">
        <v>164</v>
      </c>
      <c r="C88" s="310" t="s">
        <v>165</v>
      </c>
      <c r="D88" s="327" t="s">
        <v>166</v>
      </c>
      <c r="E88" s="337">
        <f>Memorias!D3138</f>
        <v>3</v>
      </c>
      <c r="F88" s="331"/>
      <c r="G88" s="296">
        <f>ROUND(F88*E88,0)</f>
        <v>0</v>
      </c>
      <c r="H88" s="391"/>
      <c r="I88" s="392">
        <f t="shared" si="65"/>
        <v>0</v>
      </c>
      <c r="J88" s="49">
        <f t="shared" si="83"/>
        <v>3</v>
      </c>
      <c r="K88" s="48">
        <f t="shared" ref="K88:K90" si="84">G88+I88</f>
        <v>0</v>
      </c>
      <c r="M88" s="50"/>
      <c r="N88" s="35">
        <f t="shared" si="59"/>
        <v>0</v>
      </c>
      <c r="P88" s="50"/>
      <c r="Q88" s="35">
        <f t="shared" si="77"/>
        <v>0</v>
      </c>
      <c r="S88" s="41"/>
      <c r="T88" s="35">
        <f t="shared" si="78"/>
        <v>0</v>
      </c>
      <c r="V88" s="34">
        <f t="shared" si="79"/>
        <v>0</v>
      </c>
      <c r="W88" s="35">
        <f t="shared" si="80"/>
        <v>0</v>
      </c>
      <c r="X88" s="206">
        <f t="shared" si="81"/>
        <v>0</v>
      </c>
      <c r="Z88" s="34"/>
      <c r="AA88" s="35"/>
      <c r="AB88" s="206"/>
      <c r="AC88" s="4"/>
    </row>
    <row r="89" spans="1:31" ht="30.6" customHeight="1" x14ac:dyDescent="0.2">
      <c r="A89" s="218">
        <v>60</v>
      </c>
      <c r="B89" s="421" t="s">
        <v>167</v>
      </c>
      <c r="C89" s="309" t="s">
        <v>168</v>
      </c>
      <c r="D89" s="280" t="s">
        <v>46</v>
      </c>
      <c r="E89" s="362">
        <f>Memorias!D3160</f>
        <v>10</v>
      </c>
      <c r="F89" s="323"/>
      <c r="G89" s="296">
        <f t="shared" ref="G89:G90" si="85">ROUND(F89*E89,0)</f>
        <v>0</v>
      </c>
      <c r="H89" s="391"/>
      <c r="I89" s="392">
        <f t="shared" si="65"/>
        <v>0</v>
      </c>
      <c r="J89" s="49">
        <f t="shared" si="83"/>
        <v>10</v>
      </c>
      <c r="K89" s="48">
        <f t="shared" si="84"/>
        <v>0</v>
      </c>
      <c r="M89" s="50"/>
      <c r="N89" s="35">
        <f t="shared" si="59"/>
        <v>0</v>
      </c>
      <c r="P89" s="50"/>
      <c r="Q89" s="35">
        <f t="shared" si="77"/>
        <v>0</v>
      </c>
      <c r="S89" s="41"/>
      <c r="T89" s="35">
        <f t="shared" si="78"/>
        <v>0</v>
      </c>
      <c r="V89" s="34">
        <f t="shared" si="79"/>
        <v>0</v>
      </c>
      <c r="W89" s="35">
        <f t="shared" si="80"/>
        <v>0</v>
      </c>
      <c r="X89" s="206">
        <f t="shared" si="81"/>
        <v>0</v>
      </c>
      <c r="Z89" s="34"/>
      <c r="AA89" s="35"/>
      <c r="AB89" s="206"/>
      <c r="AC89" s="4"/>
    </row>
    <row r="90" spans="1:31" ht="81" customHeight="1" x14ac:dyDescent="0.2">
      <c r="A90" s="218">
        <v>61</v>
      </c>
      <c r="B90" s="421" t="s">
        <v>169</v>
      </c>
      <c r="C90" s="308" t="s">
        <v>170</v>
      </c>
      <c r="D90" s="280" t="s">
        <v>46</v>
      </c>
      <c r="E90" s="824">
        <f>Memorias!D3182</f>
        <v>18</v>
      </c>
      <c r="F90" s="366"/>
      <c r="G90" s="296">
        <f t="shared" si="85"/>
        <v>0</v>
      </c>
      <c r="H90" s="391"/>
      <c r="I90" s="392">
        <f t="shared" si="65"/>
        <v>0</v>
      </c>
      <c r="J90" s="49">
        <f t="shared" si="83"/>
        <v>18</v>
      </c>
      <c r="K90" s="48">
        <f t="shared" si="84"/>
        <v>0</v>
      </c>
      <c r="M90" s="50"/>
      <c r="N90" s="35">
        <f t="shared" si="59"/>
        <v>0</v>
      </c>
      <c r="P90" s="50"/>
      <c r="Q90" s="35">
        <f t="shared" si="77"/>
        <v>0</v>
      </c>
      <c r="S90" s="41"/>
      <c r="T90" s="35">
        <f t="shared" si="78"/>
        <v>0</v>
      </c>
      <c r="V90" s="34">
        <f t="shared" si="79"/>
        <v>0</v>
      </c>
      <c r="W90" s="35">
        <f t="shared" si="80"/>
        <v>0</v>
      </c>
      <c r="X90" s="206">
        <f t="shared" si="81"/>
        <v>0</v>
      </c>
      <c r="Z90" s="34"/>
      <c r="AA90" s="35"/>
      <c r="AB90" s="206"/>
      <c r="AC90" s="4"/>
    </row>
    <row r="91" spans="1:31" ht="11.25" customHeight="1" x14ac:dyDescent="0.2">
      <c r="A91" s="670" t="s">
        <v>171</v>
      </c>
      <c r="B91" s="671"/>
      <c r="C91" s="671"/>
      <c r="D91" s="671"/>
      <c r="E91" s="671"/>
      <c r="F91" s="672"/>
      <c r="G91" s="370"/>
      <c r="H91" s="393"/>
      <c r="I91" s="394">
        <f>SUM(I18:I90)</f>
        <v>0</v>
      </c>
      <c r="J91" s="38"/>
      <c r="K91" s="55">
        <f>+I91+G91</f>
        <v>0</v>
      </c>
      <c r="M91" s="39"/>
      <c r="N91" s="55">
        <f>SUM(N21:N90)</f>
        <v>0</v>
      </c>
      <c r="P91" s="39"/>
      <c r="Q91" s="55">
        <f>SUM(Q18:Q90)</f>
        <v>0</v>
      </c>
      <c r="S91" s="39"/>
      <c r="T91" s="55">
        <f>SUM(T18:T90)</f>
        <v>0</v>
      </c>
      <c r="V91" s="42"/>
      <c r="W91" s="55">
        <f>SUM(W18:W90)</f>
        <v>0</v>
      </c>
      <c r="X91" s="43"/>
      <c r="Y91" s="217"/>
      <c r="Z91" s="42"/>
      <c r="AA91" s="55" t="e">
        <f>SUM(AA18:AA86)</f>
        <v>#REF!</v>
      </c>
      <c r="AB91" s="206"/>
      <c r="AC91" s="4"/>
    </row>
    <row r="92" spans="1:31" ht="11.25" customHeight="1" x14ac:dyDescent="0.2">
      <c r="A92" s="630" t="s">
        <v>172</v>
      </c>
      <c r="B92" s="631"/>
      <c r="C92" s="631"/>
      <c r="D92" s="631"/>
      <c r="E92" s="584"/>
      <c r="F92" s="57">
        <v>0.28000000000000003</v>
      </c>
      <c r="G92" s="296">
        <f>+ROUND(G$91*$F92,0)</f>
        <v>0</v>
      </c>
      <c r="H92" s="395"/>
      <c r="I92" s="396">
        <f>+ROUND(I$91*$F92,0)</f>
        <v>0</v>
      </c>
      <c r="J92" s="49"/>
      <c r="K92" s="58">
        <f>+I92+G92</f>
        <v>0</v>
      </c>
      <c r="M92" s="53"/>
      <c r="N92" s="58">
        <f t="shared" ref="N92:N94" si="86">ROUND(+(N$91*$F92),0)</f>
        <v>0</v>
      </c>
      <c r="P92" s="53"/>
      <c r="Q92" s="58">
        <f>+ROUND(Q$91*$F92,0)</f>
        <v>0</v>
      </c>
      <c r="S92" s="41"/>
      <c r="T92" s="58">
        <f t="shared" ref="T92:T94" si="87">+ROUND(T$91*$F92,0)</f>
        <v>0</v>
      </c>
      <c r="V92" s="34"/>
      <c r="W92" s="58">
        <f t="shared" ref="W92:W94" si="88">+ROUND(W$91*$F92,0)</f>
        <v>0</v>
      </c>
      <c r="X92" s="206"/>
      <c r="Z92" s="34"/>
      <c r="AA92" s="58" t="e">
        <f t="shared" ref="AA92:AA94" si="89">+ROUND(AA$91*$F92,0)</f>
        <v>#REF!</v>
      </c>
      <c r="AB92" s="206"/>
      <c r="AC92" s="4"/>
    </row>
    <row r="93" spans="1:31" ht="11.25" customHeight="1" x14ac:dyDescent="0.2">
      <c r="A93" s="630" t="s">
        <v>173</v>
      </c>
      <c r="B93" s="631"/>
      <c r="C93" s="631"/>
      <c r="D93" s="631"/>
      <c r="E93" s="584"/>
      <c r="F93" s="57">
        <v>0.01</v>
      </c>
      <c r="G93" s="296">
        <f>+ROUND(G$91*$F93,0)</f>
        <v>0</v>
      </c>
      <c r="H93" s="395"/>
      <c r="I93" s="396">
        <f>+ROUND(I$91*$F93,0)</f>
        <v>0</v>
      </c>
      <c r="J93" s="49"/>
      <c r="K93" s="58">
        <f t="shared" ref="K93:K95" si="90">+I93+G93</f>
        <v>0</v>
      </c>
      <c r="M93" s="53"/>
      <c r="N93" s="58">
        <f t="shared" si="86"/>
        <v>0</v>
      </c>
      <c r="P93" s="53"/>
      <c r="Q93" s="58">
        <f>+ROUND(Q$91*$F93,0)</f>
        <v>0</v>
      </c>
      <c r="S93" s="41"/>
      <c r="T93" s="58">
        <f t="shared" si="87"/>
        <v>0</v>
      </c>
      <c r="V93" s="34"/>
      <c r="W93" s="58">
        <f t="shared" si="88"/>
        <v>0</v>
      </c>
      <c r="X93" s="206"/>
      <c r="Z93" s="34"/>
      <c r="AA93" s="58" t="e">
        <f t="shared" si="89"/>
        <v>#REF!</v>
      </c>
      <c r="AB93" s="206"/>
      <c r="AC93" s="4"/>
    </row>
    <row r="94" spans="1:31" ht="11.25" customHeight="1" x14ac:dyDescent="0.2">
      <c r="A94" s="630" t="s">
        <v>174</v>
      </c>
      <c r="B94" s="631"/>
      <c r="C94" s="631"/>
      <c r="D94" s="631"/>
      <c r="E94" s="584"/>
      <c r="F94" s="57">
        <v>0.05</v>
      </c>
      <c r="G94" s="296">
        <f>+ROUND(G$91*$F94,0)</f>
        <v>0</v>
      </c>
      <c r="H94" s="395"/>
      <c r="I94" s="396">
        <f>+ROUND(I$91*$F94,0)</f>
        <v>0</v>
      </c>
      <c r="J94" s="49"/>
      <c r="K94" s="58">
        <f t="shared" si="90"/>
        <v>0</v>
      </c>
      <c r="M94" s="53"/>
      <c r="N94" s="58">
        <f t="shared" si="86"/>
        <v>0</v>
      </c>
      <c r="P94" s="53"/>
      <c r="Q94" s="58">
        <f>+ROUND(Q$91*$F94,0)</f>
        <v>0</v>
      </c>
      <c r="S94" s="41"/>
      <c r="T94" s="58">
        <f t="shared" si="87"/>
        <v>0</v>
      </c>
      <c r="V94" s="34"/>
      <c r="W94" s="58">
        <f t="shared" si="88"/>
        <v>0</v>
      </c>
      <c r="X94" s="206"/>
      <c r="Z94" s="34"/>
      <c r="AA94" s="58" t="e">
        <f t="shared" si="89"/>
        <v>#REF!</v>
      </c>
      <c r="AB94" s="206"/>
      <c r="AC94" s="4"/>
    </row>
    <row r="95" spans="1:31" ht="11.25" customHeight="1" x14ac:dyDescent="0.2">
      <c r="A95" s="632" t="s">
        <v>175</v>
      </c>
      <c r="B95" s="589"/>
      <c r="C95" s="589"/>
      <c r="D95" s="589"/>
      <c r="E95" s="590"/>
      <c r="F95" s="59">
        <v>0.19</v>
      </c>
      <c r="G95" s="368">
        <f>+ROUND(G$94*$F95,0)</f>
        <v>0</v>
      </c>
      <c r="H95" s="397"/>
      <c r="I95" s="398">
        <f>+ROUND(I$94*$F95,0)</f>
        <v>0</v>
      </c>
      <c r="J95" s="219"/>
      <c r="K95" s="58">
        <f t="shared" si="90"/>
        <v>0</v>
      </c>
      <c r="M95" s="220"/>
      <c r="N95" s="60">
        <f>ROUND(+(N$94*$F95),0)</f>
        <v>0</v>
      </c>
      <c r="P95" s="53"/>
      <c r="Q95" s="58">
        <f>+ROUND(Q$94*$F95,0)</f>
        <v>0</v>
      </c>
      <c r="S95" s="41"/>
      <c r="T95" s="58">
        <f>+ROUND(T$94*$F95,0)</f>
        <v>0</v>
      </c>
      <c r="V95" s="34"/>
      <c r="W95" s="58">
        <f>+ROUND(W$94*$F95,0)</f>
        <v>0</v>
      </c>
      <c r="X95" s="206"/>
      <c r="Z95" s="34"/>
      <c r="AA95" s="58" t="e">
        <f>+ROUND(AA$94*$F95,0)</f>
        <v>#REF!</v>
      </c>
      <c r="AB95" s="206"/>
      <c r="AC95" s="4"/>
    </row>
    <row r="96" spans="1:31" ht="19.5" customHeight="1" thickBot="1" x14ac:dyDescent="0.25">
      <c r="A96" s="704" t="s">
        <v>176</v>
      </c>
      <c r="B96" s="640"/>
      <c r="C96" s="640"/>
      <c r="D96" s="640"/>
      <c r="E96" s="640"/>
      <c r="F96" s="640"/>
      <c r="G96" s="414">
        <f>SUM(G91:G95)</f>
        <v>0</v>
      </c>
      <c r="H96" s="413"/>
      <c r="I96" s="399">
        <f>SUM(I91:I95)</f>
        <v>0</v>
      </c>
      <c r="J96" s="62"/>
      <c r="K96" s="61">
        <f>SUM(K91:K95)</f>
        <v>0</v>
      </c>
      <c r="M96" s="63"/>
      <c r="N96" s="61">
        <f>SUM(N91:N95)</f>
        <v>0</v>
      </c>
      <c r="P96" s="63"/>
      <c r="Q96" s="61">
        <f>SUM(Q91:Q95)</f>
        <v>0</v>
      </c>
      <c r="S96" s="63"/>
      <c r="T96" s="61">
        <f>SUM(T91:T95)</f>
        <v>0</v>
      </c>
      <c r="V96" s="64"/>
      <c r="W96" s="61">
        <f>SUM(W91:W95)</f>
        <v>0</v>
      </c>
      <c r="X96" s="65"/>
      <c r="Y96" s="217"/>
      <c r="Z96" s="64"/>
      <c r="AA96" s="61" t="e">
        <f>SUM(AA91:AA95)</f>
        <v>#REF!</v>
      </c>
      <c r="AB96" s="65"/>
      <c r="AC96" s="4"/>
    </row>
    <row r="97" spans="1:31" ht="11.25" customHeight="1" thickBot="1" x14ac:dyDescent="0.25">
      <c r="E97" s="66"/>
      <c r="G97" s="381"/>
      <c r="H97" s="400"/>
      <c r="I97" s="401"/>
      <c r="J97" s="243"/>
      <c r="K97" s="242"/>
      <c r="M97" s="244"/>
      <c r="N97" s="242"/>
      <c r="P97" s="244"/>
      <c r="Q97" s="242"/>
      <c r="T97" s="3"/>
      <c r="W97" s="3"/>
      <c r="Z97" s="4"/>
      <c r="AA97" s="3"/>
      <c r="AC97" s="4"/>
    </row>
    <row r="98" spans="1:31" ht="13.5" customHeight="1" x14ac:dyDescent="0.2">
      <c r="A98" s="720" t="s">
        <v>177</v>
      </c>
      <c r="B98" s="719"/>
      <c r="C98" s="719"/>
      <c r="D98" s="719"/>
      <c r="E98" s="721"/>
      <c r="F98" s="718" t="s">
        <v>36</v>
      </c>
      <c r="G98" s="719"/>
      <c r="H98" s="649" t="s">
        <v>178</v>
      </c>
      <c r="I98" s="650"/>
      <c r="J98" s="651" t="s">
        <v>179</v>
      </c>
      <c r="K98" s="652"/>
      <c r="L98" s="243"/>
      <c r="M98" s="595">
        <v>1</v>
      </c>
      <c r="N98" s="593"/>
      <c r="O98" s="243"/>
      <c r="P98" s="595">
        <v>2</v>
      </c>
      <c r="Q98" s="593"/>
      <c r="R98" s="243"/>
      <c r="S98" s="595">
        <v>3</v>
      </c>
      <c r="T98" s="593"/>
      <c r="V98" s="724" t="s">
        <v>24</v>
      </c>
      <c r="W98" s="610"/>
      <c r="X98" s="611"/>
      <c r="Z98" s="620" t="s">
        <v>25</v>
      </c>
      <c r="AA98" s="610"/>
      <c r="AB98" s="611"/>
      <c r="AC98" s="4"/>
      <c r="AE98" s="28"/>
    </row>
    <row r="99" spans="1:31" ht="11.25" customHeight="1" x14ac:dyDescent="0.2">
      <c r="A99" s="429" t="s">
        <v>37</v>
      </c>
      <c r="B99" s="429" t="s">
        <v>27</v>
      </c>
      <c r="C99" s="430" t="s">
        <v>38</v>
      </c>
      <c r="D99" s="429" t="s">
        <v>39</v>
      </c>
      <c r="E99" s="429" t="s">
        <v>40</v>
      </c>
      <c r="F99" s="431" t="s">
        <v>41</v>
      </c>
      <c r="G99" s="432" t="s">
        <v>42</v>
      </c>
      <c r="H99" s="433" t="s">
        <v>33</v>
      </c>
      <c r="I99" s="434" t="s">
        <v>32</v>
      </c>
      <c r="J99" s="435" t="s">
        <v>33</v>
      </c>
      <c r="K99" s="436" t="s">
        <v>32</v>
      </c>
      <c r="L99" s="243"/>
      <c r="M99" s="68" t="s">
        <v>33</v>
      </c>
      <c r="N99" s="69" t="s">
        <v>32</v>
      </c>
      <c r="O99" s="243"/>
      <c r="P99" s="68" t="s">
        <v>33</v>
      </c>
      <c r="Q99" s="69" t="s">
        <v>32</v>
      </c>
      <c r="R99" s="243"/>
      <c r="S99" s="68" t="s">
        <v>33</v>
      </c>
      <c r="T99" s="69" t="s">
        <v>32</v>
      </c>
      <c r="V99" s="70" t="s">
        <v>33</v>
      </c>
      <c r="W99" s="71" t="s">
        <v>32</v>
      </c>
      <c r="X99" s="72" t="s">
        <v>34</v>
      </c>
      <c r="Z99" s="67" t="s">
        <v>33</v>
      </c>
      <c r="AA99" s="73" t="s">
        <v>32</v>
      </c>
      <c r="AB99" s="74" t="s">
        <v>34</v>
      </c>
      <c r="AC99" s="4"/>
    </row>
    <row r="100" spans="1:31" ht="16.149999999999999" customHeight="1" x14ac:dyDescent="0.2">
      <c r="A100" s="613" t="s">
        <v>180</v>
      </c>
      <c r="B100" s="712"/>
      <c r="C100" s="713"/>
      <c r="D100" s="613"/>
      <c r="E100" s="712"/>
      <c r="F100" s="713"/>
      <c r="G100" s="437"/>
      <c r="H100" s="438"/>
      <c r="I100" s="439"/>
      <c r="J100" s="438"/>
      <c r="K100" s="439"/>
      <c r="L100" s="243"/>
      <c r="M100" s="621"/>
      <c r="N100" s="597"/>
      <c r="O100" s="243"/>
      <c r="P100" s="621"/>
      <c r="Q100" s="597"/>
      <c r="R100" s="243"/>
      <c r="S100" s="621"/>
      <c r="T100" s="597"/>
      <c r="V100" s="621"/>
      <c r="W100" s="597"/>
      <c r="X100" s="65"/>
    </row>
    <row r="101" spans="1:31" ht="27" customHeight="1" x14ac:dyDescent="0.2">
      <c r="A101" s="440">
        <v>62</v>
      </c>
      <c r="B101" s="441" t="s">
        <v>181</v>
      </c>
      <c r="C101" s="442" t="s">
        <v>182</v>
      </c>
      <c r="D101" s="443" t="s">
        <v>51</v>
      </c>
      <c r="E101" s="444">
        <f>Memorias!D3205</f>
        <v>672</v>
      </c>
      <c r="F101" s="445"/>
      <c r="G101" s="446">
        <f>ROUND(F101*E101,0)</f>
        <v>0</v>
      </c>
      <c r="H101" s="447"/>
      <c r="I101" s="448">
        <f>ROUND(H101*F101,0)</f>
        <v>0</v>
      </c>
      <c r="J101" s="449">
        <f t="shared" ref="J101" si="91">+H101+E101</f>
        <v>672</v>
      </c>
      <c r="K101" s="450">
        <f t="shared" ref="K101:K120" si="92">G101+I101</f>
        <v>0</v>
      </c>
      <c r="L101" s="243"/>
      <c r="M101" s="53"/>
      <c r="N101" s="60">
        <f>ROUND(+(N$94*$F101),0)</f>
        <v>0</v>
      </c>
      <c r="O101" s="243"/>
      <c r="P101" s="50"/>
      <c r="Q101" s="35">
        <f t="shared" ref="Q101:Q120" si="93">ROUND(P101*F101,0)</f>
        <v>0</v>
      </c>
      <c r="R101" s="243"/>
      <c r="S101" s="53"/>
      <c r="T101" s="35">
        <f t="shared" ref="T101:T120" si="94">ROUND(S101*F101,0)</f>
        <v>0</v>
      </c>
      <c r="V101" s="34">
        <f t="shared" ref="V101:V120" si="95">+M101+P101+S101</f>
        <v>0</v>
      </c>
      <c r="W101" s="35">
        <f t="shared" ref="W101:W120" si="96">+T101+Q101+N101</f>
        <v>0</v>
      </c>
      <c r="X101" s="206">
        <f t="shared" ref="X101:X120" si="97">IFERROR(V101/J101,"")</f>
        <v>0</v>
      </c>
      <c r="Y101" s="206"/>
      <c r="Z101" s="34">
        <f>J101-V101</f>
        <v>672</v>
      </c>
      <c r="AA101" s="75">
        <f>ROUND(Z101*F101,0)</f>
        <v>0</v>
      </c>
      <c r="AB101" s="206" t="str">
        <f>IFERROR(Z101/#REF!,"")</f>
        <v/>
      </c>
    </row>
    <row r="102" spans="1:31" ht="29.25" customHeight="1" x14ac:dyDescent="0.2">
      <c r="A102" s="440">
        <v>63</v>
      </c>
      <c r="B102" s="441" t="s">
        <v>183</v>
      </c>
      <c r="C102" s="442" t="s">
        <v>184</v>
      </c>
      <c r="D102" s="443" t="s">
        <v>51</v>
      </c>
      <c r="E102" s="444">
        <f>Memorias!D3227</f>
        <v>644.5</v>
      </c>
      <c r="F102" s="445"/>
      <c r="G102" s="446">
        <f t="shared" ref="G102:G120" si="98">ROUND(F102*E102,0)</f>
        <v>0</v>
      </c>
      <c r="H102" s="447"/>
      <c r="I102" s="448">
        <f t="shared" ref="I102:I120" si="99">ROUND(H102*F102,0)</f>
        <v>0</v>
      </c>
      <c r="J102" s="449">
        <f t="shared" ref="J102:J120" si="100">+H102+E102</f>
        <v>644.5</v>
      </c>
      <c r="K102" s="450">
        <f t="shared" si="92"/>
        <v>0</v>
      </c>
      <c r="L102" s="243"/>
      <c r="M102" s="53"/>
      <c r="N102" s="60">
        <f t="shared" ref="N102:N165" si="101">ROUND(+(N$94*$F102),0)</f>
        <v>0</v>
      </c>
      <c r="O102" s="243"/>
      <c r="P102" s="50"/>
      <c r="Q102" s="35">
        <f t="shared" si="93"/>
        <v>0</v>
      </c>
      <c r="R102" s="243"/>
      <c r="S102" s="53"/>
      <c r="T102" s="35">
        <f t="shared" si="94"/>
        <v>0</v>
      </c>
      <c r="V102" s="34">
        <f t="shared" si="95"/>
        <v>0</v>
      </c>
      <c r="W102" s="35">
        <f t="shared" si="96"/>
        <v>0</v>
      </c>
      <c r="X102" s="206">
        <f t="shared" si="97"/>
        <v>0</v>
      </c>
      <c r="Y102" s="206"/>
      <c r="Z102" s="34">
        <f>J102-V102</f>
        <v>644.5</v>
      </c>
      <c r="AA102" s="75">
        <f>ROUND(Z102*F102,0)</f>
        <v>0</v>
      </c>
      <c r="AB102" s="206" t="str">
        <f>IFERROR(Z102/#REF!,"")</f>
        <v/>
      </c>
    </row>
    <row r="103" spans="1:31" ht="33.6" customHeight="1" x14ac:dyDescent="0.2">
      <c r="A103" s="440">
        <v>64</v>
      </c>
      <c r="B103" s="441" t="s">
        <v>185</v>
      </c>
      <c r="C103" s="442" t="s">
        <v>186</v>
      </c>
      <c r="D103" s="443" t="s">
        <v>29</v>
      </c>
      <c r="E103" s="444">
        <f>Memorias!D3250</f>
        <v>48</v>
      </c>
      <c r="F103" s="445"/>
      <c r="G103" s="446">
        <f t="shared" si="98"/>
        <v>0</v>
      </c>
      <c r="H103" s="447"/>
      <c r="I103" s="448">
        <f t="shared" si="99"/>
        <v>0</v>
      </c>
      <c r="J103" s="449">
        <f t="shared" si="100"/>
        <v>48</v>
      </c>
      <c r="K103" s="450">
        <f t="shared" si="92"/>
        <v>0</v>
      </c>
      <c r="L103" s="243"/>
      <c r="M103" s="53"/>
      <c r="N103" s="60">
        <f t="shared" si="101"/>
        <v>0</v>
      </c>
      <c r="O103" s="243"/>
      <c r="P103" s="50"/>
      <c r="Q103" s="35">
        <f t="shared" si="93"/>
        <v>0</v>
      </c>
      <c r="R103" s="243"/>
      <c r="S103" s="53"/>
      <c r="T103" s="35">
        <f t="shared" si="94"/>
        <v>0</v>
      </c>
      <c r="V103" s="34">
        <f t="shared" si="95"/>
        <v>0</v>
      </c>
      <c r="W103" s="35">
        <f t="shared" si="96"/>
        <v>0</v>
      </c>
      <c r="X103" s="206">
        <f t="shared" si="97"/>
        <v>0</v>
      </c>
      <c r="Y103" s="206"/>
      <c r="Z103" s="34">
        <f>J103-V103</f>
        <v>48</v>
      </c>
      <c r="AA103" s="75"/>
      <c r="AB103" s="206"/>
    </row>
    <row r="104" spans="1:31" ht="31.9" customHeight="1" x14ac:dyDescent="0.2">
      <c r="A104" s="440">
        <v>65</v>
      </c>
      <c r="B104" s="441" t="s">
        <v>185</v>
      </c>
      <c r="C104" s="442" t="s">
        <v>187</v>
      </c>
      <c r="D104" s="443" t="s">
        <v>29</v>
      </c>
      <c r="E104" s="444">
        <f>Memorias!D3272</f>
        <v>10</v>
      </c>
      <c r="F104" s="445"/>
      <c r="G104" s="446">
        <f t="shared" si="98"/>
        <v>0</v>
      </c>
      <c r="H104" s="447"/>
      <c r="I104" s="448">
        <f t="shared" si="99"/>
        <v>0</v>
      </c>
      <c r="J104" s="449">
        <f t="shared" si="100"/>
        <v>10</v>
      </c>
      <c r="K104" s="450">
        <f t="shared" si="92"/>
        <v>0</v>
      </c>
      <c r="L104" s="243"/>
      <c r="M104" s="53"/>
      <c r="N104" s="60">
        <f t="shared" si="101"/>
        <v>0</v>
      </c>
      <c r="O104" s="243"/>
      <c r="P104" s="50"/>
      <c r="Q104" s="35">
        <f t="shared" si="93"/>
        <v>0</v>
      </c>
      <c r="R104" s="243"/>
      <c r="S104" s="53"/>
      <c r="T104" s="35">
        <f t="shared" si="94"/>
        <v>0</v>
      </c>
      <c r="V104" s="34">
        <f t="shared" si="95"/>
        <v>0</v>
      </c>
      <c r="W104" s="35">
        <f t="shared" si="96"/>
        <v>0</v>
      </c>
      <c r="X104" s="206">
        <f t="shared" si="97"/>
        <v>0</v>
      </c>
      <c r="Y104" s="206"/>
      <c r="Z104" s="34"/>
      <c r="AA104" s="75"/>
      <c r="AB104" s="206"/>
    </row>
    <row r="105" spans="1:31" ht="63" customHeight="1" x14ac:dyDescent="0.2">
      <c r="A105" s="440">
        <v>66</v>
      </c>
      <c r="B105" s="441" t="s">
        <v>188</v>
      </c>
      <c r="C105" s="442" t="s">
        <v>189</v>
      </c>
      <c r="D105" s="443" t="s">
        <v>46</v>
      </c>
      <c r="E105" s="444">
        <f>Memorias!D3294</f>
        <v>69.02000000000001</v>
      </c>
      <c r="F105" s="445"/>
      <c r="G105" s="446">
        <f t="shared" si="98"/>
        <v>0</v>
      </c>
      <c r="H105" s="447"/>
      <c r="I105" s="448">
        <f t="shared" si="99"/>
        <v>0</v>
      </c>
      <c r="J105" s="449">
        <f t="shared" si="100"/>
        <v>69.02000000000001</v>
      </c>
      <c r="K105" s="450">
        <f t="shared" si="92"/>
        <v>0</v>
      </c>
      <c r="L105" s="243"/>
      <c r="M105" s="53"/>
      <c r="N105" s="60">
        <f t="shared" si="101"/>
        <v>0</v>
      </c>
      <c r="O105" s="243"/>
      <c r="P105" s="50"/>
      <c r="Q105" s="35">
        <f t="shared" si="93"/>
        <v>0</v>
      </c>
      <c r="R105" s="243"/>
      <c r="S105" s="53"/>
      <c r="T105" s="35">
        <f t="shared" si="94"/>
        <v>0</v>
      </c>
      <c r="V105" s="34">
        <f t="shared" si="95"/>
        <v>0</v>
      </c>
      <c r="W105" s="35">
        <f t="shared" si="96"/>
        <v>0</v>
      </c>
      <c r="X105" s="206">
        <f t="shared" si="97"/>
        <v>0</v>
      </c>
      <c r="Y105" s="206"/>
      <c r="Z105" s="34">
        <f>J105-V105</f>
        <v>69.02000000000001</v>
      </c>
      <c r="AA105" s="75"/>
      <c r="AB105" s="206"/>
    </row>
    <row r="106" spans="1:31" ht="63" customHeight="1" x14ac:dyDescent="0.2">
      <c r="A106" s="440">
        <v>67</v>
      </c>
      <c r="B106" s="441" t="s">
        <v>190</v>
      </c>
      <c r="C106" s="442" t="s">
        <v>191</v>
      </c>
      <c r="D106" s="443" t="s">
        <v>46</v>
      </c>
      <c r="E106" s="444">
        <f>Memorias!D3316</f>
        <v>479.83000000000004</v>
      </c>
      <c r="F106" s="445"/>
      <c r="G106" s="446">
        <f t="shared" si="98"/>
        <v>0</v>
      </c>
      <c r="H106" s="447"/>
      <c r="I106" s="448">
        <f t="shared" si="99"/>
        <v>0</v>
      </c>
      <c r="J106" s="449">
        <f t="shared" si="100"/>
        <v>479.83000000000004</v>
      </c>
      <c r="K106" s="450">
        <f t="shared" si="92"/>
        <v>0</v>
      </c>
      <c r="L106" s="243"/>
      <c r="M106" s="53"/>
      <c r="N106" s="60">
        <f t="shared" si="101"/>
        <v>0</v>
      </c>
      <c r="O106" s="243"/>
      <c r="P106" s="50"/>
      <c r="Q106" s="35">
        <f t="shared" si="93"/>
        <v>0</v>
      </c>
      <c r="R106" s="243"/>
      <c r="S106" s="53"/>
      <c r="T106" s="35">
        <f t="shared" si="94"/>
        <v>0</v>
      </c>
      <c r="V106" s="34">
        <f t="shared" si="95"/>
        <v>0</v>
      </c>
      <c r="W106" s="35">
        <f t="shared" si="96"/>
        <v>0</v>
      </c>
      <c r="X106" s="206">
        <f t="shared" si="97"/>
        <v>0</v>
      </c>
      <c r="Y106" s="206">
        <f>IFERROR(W106/J106,"")</f>
        <v>0</v>
      </c>
      <c r="Z106" s="34">
        <f>J106-V106</f>
        <v>479.83000000000004</v>
      </c>
      <c r="AA106" s="75">
        <f>ROUND(Z106*F106,0)</f>
        <v>0</v>
      </c>
      <c r="AB106" s="206" t="str">
        <f>IFERROR(Z106/#REF!,"")</f>
        <v/>
      </c>
    </row>
    <row r="107" spans="1:31" ht="147.75" customHeight="1" x14ac:dyDescent="0.2">
      <c r="A107" s="440">
        <v>68</v>
      </c>
      <c r="B107" s="441" t="s">
        <v>192</v>
      </c>
      <c r="C107" s="442" t="s">
        <v>193</v>
      </c>
      <c r="D107" s="443" t="s">
        <v>51</v>
      </c>
      <c r="E107" s="444">
        <f>Memorias!D3338</f>
        <v>594.24</v>
      </c>
      <c r="F107" s="445"/>
      <c r="G107" s="446">
        <f t="shared" si="98"/>
        <v>0</v>
      </c>
      <c r="H107" s="447"/>
      <c r="I107" s="448">
        <f t="shared" si="99"/>
        <v>0</v>
      </c>
      <c r="J107" s="449">
        <f t="shared" si="100"/>
        <v>594.24</v>
      </c>
      <c r="K107" s="450">
        <f t="shared" si="92"/>
        <v>0</v>
      </c>
      <c r="L107" s="243"/>
      <c r="M107" s="53"/>
      <c r="N107" s="60">
        <f t="shared" si="101"/>
        <v>0</v>
      </c>
      <c r="O107" s="243"/>
      <c r="P107" s="50"/>
      <c r="Q107" s="35">
        <f t="shared" si="93"/>
        <v>0</v>
      </c>
      <c r="R107" s="243"/>
      <c r="S107" s="53"/>
      <c r="T107" s="35">
        <f t="shared" si="94"/>
        <v>0</v>
      </c>
      <c r="V107" s="34">
        <f t="shared" si="95"/>
        <v>0</v>
      </c>
      <c r="W107" s="35">
        <f t="shared" si="96"/>
        <v>0</v>
      </c>
      <c r="X107" s="206">
        <f t="shared" si="97"/>
        <v>0</v>
      </c>
      <c r="Y107" s="206"/>
      <c r="Z107" s="34">
        <f>J107-V107</f>
        <v>594.24</v>
      </c>
      <c r="AA107" s="75">
        <f>ROUND(Z107*F107,0)</f>
        <v>0</v>
      </c>
      <c r="AB107" s="206" t="str">
        <f>IFERROR(Z107/#REF!,"")</f>
        <v/>
      </c>
    </row>
    <row r="108" spans="1:31" ht="63.75" customHeight="1" x14ac:dyDescent="0.2">
      <c r="A108" s="440">
        <v>69</v>
      </c>
      <c r="B108" s="441" t="s">
        <v>194</v>
      </c>
      <c r="C108" s="442" t="s">
        <v>195</v>
      </c>
      <c r="D108" s="443" t="s">
        <v>46</v>
      </c>
      <c r="E108" s="444">
        <f>Memorias!D3360</f>
        <v>24</v>
      </c>
      <c r="F108" s="445"/>
      <c r="G108" s="446">
        <f t="shared" si="98"/>
        <v>0</v>
      </c>
      <c r="H108" s="447"/>
      <c r="I108" s="448">
        <f t="shared" si="99"/>
        <v>0</v>
      </c>
      <c r="J108" s="449">
        <f t="shared" si="100"/>
        <v>24</v>
      </c>
      <c r="K108" s="450">
        <f t="shared" si="92"/>
        <v>0</v>
      </c>
      <c r="L108" s="243"/>
      <c r="M108" s="53"/>
      <c r="N108" s="60">
        <f t="shared" si="101"/>
        <v>0</v>
      </c>
      <c r="O108" s="243"/>
      <c r="P108" s="50"/>
      <c r="Q108" s="35">
        <f t="shared" si="93"/>
        <v>0</v>
      </c>
      <c r="R108" s="243"/>
      <c r="S108" s="53"/>
      <c r="T108" s="35">
        <f t="shared" si="94"/>
        <v>0</v>
      </c>
      <c r="V108" s="34">
        <f t="shared" si="95"/>
        <v>0</v>
      </c>
      <c r="W108" s="35">
        <f t="shared" si="96"/>
        <v>0</v>
      </c>
      <c r="X108" s="206">
        <f t="shared" si="97"/>
        <v>0</v>
      </c>
      <c r="Y108" s="206"/>
      <c r="Z108" s="34"/>
      <c r="AA108" s="75"/>
      <c r="AB108" s="206"/>
    </row>
    <row r="109" spans="1:31" ht="57" customHeight="1" x14ac:dyDescent="0.2">
      <c r="A109" s="440">
        <v>70</v>
      </c>
      <c r="B109" s="441" t="s">
        <v>196</v>
      </c>
      <c r="C109" s="442" t="s">
        <v>197</v>
      </c>
      <c r="D109" s="443" t="s">
        <v>46</v>
      </c>
      <c r="E109" s="834">
        <f>Memorias!D3382</f>
        <v>24</v>
      </c>
      <c r="F109" s="445"/>
      <c r="G109" s="446">
        <f t="shared" si="98"/>
        <v>0</v>
      </c>
      <c r="H109" s="447"/>
      <c r="I109" s="448">
        <f t="shared" si="99"/>
        <v>0</v>
      </c>
      <c r="J109" s="449">
        <f t="shared" si="100"/>
        <v>24</v>
      </c>
      <c r="K109" s="450">
        <f t="shared" si="92"/>
        <v>0</v>
      </c>
      <c r="L109" s="243"/>
      <c r="M109" s="53"/>
      <c r="N109" s="60">
        <f t="shared" si="101"/>
        <v>0</v>
      </c>
      <c r="O109" s="243"/>
      <c r="P109" s="50"/>
      <c r="Q109" s="35">
        <f t="shared" si="93"/>
        <v>0</v>
      </c>
      <c r="R109" s="243"/>
      <c r="S109" s="53"/>
      <c r="T109" s="35">
        <f t="shared" si="94"/>
        <v>0</v>
      </c>
      <c r="V109" s="34">
        <f t="shared" si="95"/>
        <v>0</v>
      </c>
      <c r="W109" s="35">
        <f t="shared" si="96"/>
        <v>0</v>
      </c>
      <c r="X109" s="206">
        <f t="shared" si="97"/>
        <v>0</v>
      </c>
      <c r="Y109" s="206"/>
      <c r="Z109" s="34"/>
      <c r="AA109" s="75"/>
      <c r="AB109" s="206"/>
    </row>
    <row r="110" spans="1:31" ht="30" customHeight="1" x14ac:dyDescent="0.2">
      <c r="A110" s="440">
        <v>71</v>
      </c>
      <c r="B110" s="441" t="s">
        <v>198</v>
      </c>
      <c r="C110" s="442" t="s">
        <v>199</v>
      </c>
      <c r="D110" s="443" t="s">
        <v>46</v>
      </c>
      <c r="E110" s="834">
        <f>Memorias!$D$3404</f>
        <v>16</v>
      </c>
      <c r="F110" s="445"/>
      <c r="G110" s="446">
        <f t="shared" si="98"/>
        <v>0</v>
      </c>
      <c r="H110" s="447"/>
      <c r="I110" s="448">
        <f t="shared" si="99"/>
        <v>0</v>
      </c>
      <c r="J110" s="449">
        <f t="shared" si="100"/>
        <v>16</v>
      </c>
      <c r="K110" s="450">
        <f t="shared" si="92"/>
        <v>0</v>
      </c>
      <c r="L110" s="243"/>
      <c r="M110" s="53"/>
      <c r="N110" s="60">
        <f t="shared" si="101"/>
        <v>0</v>
      </c>
      <c r="O110" s="243"/>
      <c r="P110" s="50"/>
      <c r="Q110" s="35">
        <f t="shared" si="93"/>
        <v>0</v>
      </c>
      <c r="R110" s="243"/>
      <c r="S110" s="53"/>
      <c r="T110" s="35">
        <f t="shared" si="94"/>
        <v>0</v>
      </c>
      <c r="V110" s="34">
        <f t="shared" si="95"/>
        <v>0</v>
      </c>
      <c r="W110" s="35">
        <f t="shared" si="96"/>
        <v>0</v>
      </c>
      <c r="X110" s="206">
        <f t="shared" si="97"/>
        <v>0</v>
      </c>
      <c r="Y110" s="206"/>
      <c r="Z110" s="34"/>
      <c r="AA110" s="75"/>
      <c r="AB110" s="206"/>
    </row>
    <row r="111" spans="1:31" ht="25.9" customHeight="1" x14ac:dyDescent="0.2">
      <c r="A111" s="440">
        <v>72</v>
      </c>
      <c r="B111" s="451" t="s">
        <v>200</v>
      </c>
      <c r="C111" s="442" t="s">
        <v>201</v>
      </c>
      <c r="D111" s="452" t="s">
        <v>46</v>
      </c>
      <c r="E111" s="835">
        <f>Memorias!D3426</f>
        <v>15</v>
      </c>
      <c r="F111" s="454"/>
      <c r="G111" s="446">
        <f t="shared" si="98"/>
        <v>0</v>
      </c>
      <c r="H111" s="447"/>
      <c r="I111" s="448">
        <f t="shared" si="99"/>
        <v>0</v>
      </c>
      <c r="J111" s="449">
        <f t="shared" si="100"/>
        <v>15</v>
      </c>
      <c r="K111" s="450">
        <f t="shared" si="92"/>
        <v>0</v>
      </c>
      <c r="L111" s="243"/>
      <c r="M111" s="53"/>
      <c r="N111" s="60">
        <f t="shared" si="101"/>
        <v>0</v>
      </c>
      <c r="O111" s="243"/>
      <c r="P111" s="50"/>
      <c r="Q111" s="35">
        <f t="shared" si="93"/>
        <v>0</v>
      </c>
      <c r="R111" s="243"/>
      <c r="S111" s="53"/>
      <c r="T111" s="35">
        <f t="shared" si="94"/>
        <v>0</v>
      </c>
      <c r="V111" s="34">
        <f t="shared" si="95"/>
        <v>0</v>
      </c>
      <c r="W111" s="35">
        <f t="shared" si="96"/>
        <v>0</v>
      </c>
      <c r="X111" s="206">
        <f t="shared" si="97"/>
        <v>0</v>
      </c>
      <c r="Y111" s="206"/>
      <c r="Z111" s="34"/>
      <c r="AA111" s="75"/>
      <c r="AB111" s="206"/>
    </row>
    <row r="112" spans="1:31" ht="64.900000000000006" customHeight="1" x14ac:dyDescent="0.2">
      <c r="A112" s="440">
        <v>73</v>
      </c>
      <c r="B112" s="455" t="s">
        <v>202</v>
      </c>
      <c r="C112" s="442" t="s">
        <v>203</v>
      </c>
      <c r="D112" s="440" t="s">
        <v>51</v>
      </c>
      <c r="E112" s="456">
        <f>Memorias!D3448</f>
        <v>29.909999999999997</v>
      </c>
      <c r="F112" s="457"/>
      <c r="G112" s="446">
        <f t="shared" si="98"/>
        <v>0</v>
      </c>
      <c r="H112" s="458"/>
      <c r="I112" s="448">
        <f t="shared" si="99"/>
        <v>0</v>
      </c>
      <c r="J112" s="449">
        <f t="shared" si="100"/>
        <v>29.909999999999997</v>
      </c>
      <c r="K112" s="450">
        <f t="shared" si="92"/>
        <v>0</v>
      </c>
      <c r="L112" s="243"/>
      <c r="M112" s="334"/>
      <c r="N112" s="60">
        <f t="shared" si="101"/>
        <v>0</v>
      </c>
      <c r="O112" s="243"/>
      <c r="P112" s="50"/>
      <c r="Q112" s="35">
        <f t="shared" si="93"/>
        <v>0</v>
      </c>
      <c r="R112" s="243"/>
      <c r="S112" s="53"/>
      <c r="T112" s="35">
        <f t="shared" si="94"/>
        <v>0</v>
      </c>
      <c r="V112" s="34">
        <f t="shared" si="95"/>
        <v>0</v>
      </c>
      <c r="W112" s="35">
        <f t="shared" si="96"/>
        <v>0</v>
      </c>
      <c r="X112" s="206">
        <f t="shared" si="97"/>
        <v>0</v>
      </c>
      <c r="Y112" s="207"/>
      <c r="Z112" s="34"/>
      <c r="AA112" s="75"/>
      <c r="AB112" s="206"/>
    </row>
    <row r="113" spans="1:31" ht="64.900000000000006" customHeight="1" x14ac:dyDescent="0.2">
      <c r="A113" s="440">
        <v>74</v>
      </c>
      <c r="B113" s="441" t="s">
        <v>99</v>
      </c>
      <c r="C113" s="459" t="s">
        <v>204</v>
      </c>
      <c r="D113" s="440" t="s">
        <v>51</v>
      </c>
      <c r="E113" s="456">
        <f>Memorias!D3470</f>
        <v>34.409999999999997</v>
      </c>
      <c r="F113" s="460"/>
      <c r="G113" s="446">
        <f t="shared" si="98"/>
        <v>0</v>
      </c>
      <c r="H113" s="458"/>
      <c r="I113" s="448">
        <f t="shared" si="99"/>
        <v>0</v>
      </c>
      <c r="J113" s="449">
        <f t="shared" si="100"/>
        <v>34.409999999999997</v>
      </c>
      <c r="K113" s="450">
        <f t="shared" si="92"/>
        <v>0</v>
      </c>
      <c r="L113" s="243"/>
      <c r="M113" s="334"/>
      <c r="N113" s="60">
        <f t="shared" si="101"/>
        <v>0</v>
      </c>
      <c r="O113" s="243"/>
      <c r="P113" s="50"/>
      <c r="Q113" s="35">
        <f t="shared" si="93"/>
        <v>0</v>
      </c>
      <c r="R113" s="243"/>
      <c r="S113" s="53"/>
      <c r="T113" s="35">
        <f t="shared" si="94"/>
        <v>0</v>
      </c>
      <c r="V113" s="34">
        <f t="shared" si="95"/>
        <v>0</v>
      </c>
      <c r="W113" s="35">
        <f t="shared" si="96"/>
        <v>0</v>
      </c>
      <c r="X113" s="206">
        <f t="shared" si="97"/>
        <v>0</v>
      </c>
      <c r="Y113" s="207"/>
      <c r="Z113" s="34"/>
      <c r="AA113" s="75"/>
      <c r="AB113" s="206"/>
    </row>
    <row r="114" spans="1:31" ht="24" x14ac:dyDescent="0.2">
      <c r="A114" s="440">
        <v>75</v>
      </c>
      <c r="B114" s="441" t="s">
        <v>205</v>
      </c>
      <c r="C114" s="459" t="s">
        <v>206</v>
      </c>
      <c r="D114" s="461" t="s">
        <v>46</v>
      </c>
      <c r="E114" s="462">
        <f>Memorias!D3492</f>
        <v>24</v>
      </c>
      <c r="F114" s="463"/>
      <c r="G114" s="446">
        <f t="shared" si="98"/>
        <v>0</v>
      </c>
      <c r="H114" s="458"/>
      <c r="I114" s="448">
        <f t="shared" si="99"/>
        <v>0</v>
      </c>
      <c r="J114" s="449">
        <f t="shared" si="100"/>
        <v>24</v>
      </c>
      <c r="K114" s="450">
        <f t="shared" si="92"/>
        <v>0</v>
      </c>
      <c r="L114" s="243"/>
      <c r="M114" s="334"/>
      <c r="N114" s="60">
        <f t="shared" si="101"/>
        <v>0</v>
      </c>
      <c r="O114" s="243"/>
      <c r="P114" s="50"/>
      <c r="Q114" s="35">
        <f t="shared" si="93"/>
        <v>0</v>
      </c>
      <c r="R114" s="243"/>
      <c r="S114" s="53"/>
      <c r="T114" s="35">
        <f t="shared" si="94"/>
        <v>0</v>
      </c>
      <c r="V114" s="34">
        <f t="shared" si="95"/>
        <v>0</v>
      </c>
      <c r="W114" s="35">
        <f t="shared" si="96"/>
        <v>0</v>
      </c>
      <c r="X114" s="206">
        <f t="shared" si="97"/>
        <v>0</v>
      </c>
      <c r="Y114" s="207"/>
      <c r="Z114" s="34"/>
      <c r="AA114" s="75"/>
      <c r="AB114" s="206"/>
    </row>
    <row r="115" spans="1:31" ht="16.5" customHeight="1" x14ac:dyDescent="0.2">
      <c r="A115" s="440">
        <v>76</v>
      </c>
      <c r="B115" s="441" t="s">
        <v>207</v>
      </c>
      <c r="C115" s="459" t="s">
        <v>208</v>
      </c>
      <c r="D115" s="464" t="s">
        <v>46</v>
      </c>
      <c r="E115" s="456">
        <f>Memorias!D3514</f>
        <v>61.6</v>
      </c>
      <c r="F115" s="463"/>
      <c r="G115" s="446">
        <f t="shared" si="98"/>
        <v>0</v>
      </c>
      <c r="H115" s="458"/>
      <c r="I115" s="448">
        <f t="shared" si="99"/>
        <v>0</v>
      </c>
      <c r="J115" s="449">
        <f t="shared" si="100"/>
        <v>61.6</v>
      </c>
      <c r="K115" s="450">
        <f t="shared" si="92"/>
        <v>0</v>
      </c>
      <c r="L115" s="243"/>
      <c r="M115" s="334"/>
      <c r="N115" s="60">
        <f t="shared" si="101"/>
        <v>0</v>
      </c>
      <c r="O115" s="243"/>
      <c r="P115" s="50"/>
      <c r="Q115" s="35">
        <f t="shared" si="93"/>
        <v>0</v>
      </c>
      <c r="R115" s="243"/>
      <c r="S115" s="53"/>
      <c r="T115" s="35">
        <f t="shared" si="94"/>
        <v>0</v>
      </c>
      <c r="V115" s="34">
        <f t="shared" si="95"/>
        <v>0</v>
      </c>
      <c r="W115" s="35">
        <f t="shared" si="96"/>
        <v>0</v>
      </c>
      <c r="X115" s="206">
        <f t="shared" si="97"/>
        <v>0</v>
      </c>
      <c r="Y115" s="207"/>
      <c r="Z115" s="34"/>
      <c r="AA115" s="75"/>
      <c r="AB115" s="206"/>
    </row>
    <row r="116" spans="1:31" ht="20.25" customHeight="1" x14ac:dyDescent="0.2">
      <c r="A116" s="440">
        <v>77</v>
      </c>
      <c r="B116" s="441" t="s">
        <v>209</v>
      </c>
      <c r="C116" s="459" t="s">
        <v>210</v>
      </c>
      <c r="D116" s="464" t="s">
        <v>132</v>
      </c>
      <c r="E116" s="456">
        <f>Memorias!D3536</f>
        <v>0.12</v>
      </c>
      <c r="F116" s="463"/>
      <c r="G116" s="446">
        <f t="shared" si="98"/>
        <v>0</v>
      </c>
      <c r="H116" s="458"/>
      <c r="I116" s="448">
        <f t="shared" si="99"/>
        <v>0</v>
      </c>
      <c r="J116" s="449">
        <f t="shared" si="100"/>
        <v>0.12</v>
      </c>
      <c r="K116" s="450">
        <f t="shared" si="92"/>
        <v>0</v>
      </c>
      <c r="L116" s="243"/>
      <c r="M116" s="334"/>
      <c r="N116" s="60">
        <f t="shared" si="101"/>
        <v>0</v>
      </c>
      <c r="O116" s="243"/>
      <c r="P116" s="50"/>
      <c r="Q116" s="35">
        <f t="shared" si="93"/>
        <v>0</v>
      </c>
      <c r="R116" s="243"/>
      <c r="S116" s="53"/>
      <c r="T116" s="35">
        <f t="shared" si="94"/>
        <v>0</v>
      </c>
      <c r="V116" s="34">
        <f t="shared" si="95"/>
        <v>0</v>
      </c>
      <c r="W116" s="35">
        <f t="shared" si="96"/>
        <v>0</v>
      </c>
      <c r="X116" s="206">
        <f t="shared" si="97"/>
        <v>0</v>
      </c>
      <c r="Y116" s="207"/>
      <c r="Z116" s="34"/>
      <c r="AA116" s="75"/>
      <c r="AB116" s="206"/>
    </row>
    <row r="117" spans="1:31" ht="108.75" customHeight="1" x14ac:dyDescent="0.2">
      <c r="A117" s="440">
        <v>78</v>
      </c>
      <c r="B117" s="441" t="s">
        <v>62</v>
      </c>
      <c r="C117" s="459" t="s">
        <v>211</v>
      </c>
      <c r="D117" s="465" t="s">
        <v>51</v>
      </c>
      <c r="E117" s="466">
        <f>Memorias!D3558</f>
        <v>0.8</v>
      </c>
      <c r="F117" s="467"/>
      <c r="G117" s="446">
        <f t="shared" si="98"/>
        <v>0</v>
      </c>
      <c r="H117" s="458"/>
      <c r="I117" s="448">
        <f t="shared" si="99"/>
        <v>0</v>
      </c>
      <c r="J117" s="449">
        <f t="shared" si="100"/>
        <v>0.8</v>
      </c>
      <c r="K117" s="450">
        <f t="shared" si="92"/>
        <v>0</v>
      </c>
      <c r="L117" s="243"/>
      <c r="M117" s="334"/>
      <c r="N117" s="60">
        <f t="shared" si="101"/>
        <v>0</v>
      </c>
      <c r="O117" s="243"/>
      <c r="P117" s="50"/>
      <c r="Q117" s="35">
        <f t="shared" si="93"/>
        <v>0</v>
      </c>
      <c r="R117" s="243"/>
      <c r="S117" s="53"/>
      <c r="T117" s="35">
        <f t="shared" si="94"/>
        <v>0</v>
      </c>
      <c r="V117" s="34">
        <f t="shared" si="95"/>
        <v>0</v>
      </c>
      <c r="W117" s="35">
        <f t="shared" si="96"/>
        <v>0</v>
      </c>
      <c r="X117" s="206">
        <f t="shared" si="97"/>
        <v>0</v>
      </c>
      <c r="Y117" s="207"/>
      <c r="Z117" s="34"/>
      <c r="AA117" s="75"/>
      <c r="AB117" s="206"/>
    </row>
    <row r="118" spans="1:31" ht="73.150000000000006" customHeight="1" x14ac:dyDescent="0.2">
      <c r="A118" s="440">
        <v>79</v>
      </c>
      <c r="B118" s="441" t="s">
        <v>82</v>
      </c>
      <c r="C118" s="459" t="s">
        <v>212</v>
      </c>
      <c r="D118" s="468" t="s">
        <v>46</v>
      </c>
      <c r="E118" s="469">
        <f>Memorias!D3580</f>
        <v>105.5</v>
      </c>
      <c r="F118" s="470"/>
      <c r="G118" s="446">
        <f t="shared" si="98"/>
        <v>0</v>
      </c>
      <c r="H118" s="458"/>
      <c r="I118" s="448">
        <f t="shared" si="99"/>
        <v>0</v>
      </c>
      <c r="J118" s="449">
        <f t="shared" si="100"/>
        <v>105.5</v>
      </c>
      <c r="K118" s="450">
        <f t="shared" si="92"/>
        <v>0</v>
      </c>
      <c r="L118" s="243"/>
      <c r="M118" s="334"/>
      <c r="N118" s="60">
        <f t="shared" si="101"/>
        <v>0</v>
      </c>
      <c r="O118" s="243"/>
      <c r="P118" s="50"/>
      <c r="Q118" s="35">
        <f t="shared" si="93"/>
        <v>0</v>
      </c>
      <c r="R118" s="243"/>
      <c r="S118" s="53"/>
      <c r="T118" s="35">
        <f t="shared" si="94"/>
        <v>0</v>
      </c>
      <c r="V118" s="34">
        <f t="shared" si="95"/>
        <v>0</v>
      </c>
      <c r="W118" s="35">
        <f t="shared" si="96"/>
        <v>0</v>
      </c>
      <c r="X118" s="206">
        <f t="shared" si="97"/>
        <v>0</v>
      </c>
      <c r="Y118" s="207"/>
      <c r="Z118" s="34"/>
      <c r="AA118" s="75"/>
      <c r="AB118" s="206"/>
    </row>
    <row r="119" spans="1:31" ht="37.15" customHeight="1" x14ac:dyDescent="0.2">
      <c r="A119" s="440">
        <v>80</v>
      </c>
      <c r="B119" s="441" t="s">
        <v>213</v>
      </c>
      <c r="C119" s="471" t="s">
        <v>214</v>
      </c>
      <c r="D119" s="461" t="s">
        <v>51</v>
      </c>
      <c r="E119" s="472">
        <f>Memorias!D3602</f>
        <v>6.5</v>
      </c>
      <c r="F119" s="473"/>
      <c r="G119" s="446">
        <f t="shared" si="98"/>
        <v>0</v>
      </c>
      <c r="H119" s="458"/>
      <c r="I119" s="448">
        <f t="shared" si="99"/>
        <v>0</v>
      </c>
      <c r="J119" s="449">
        <f t="shared" si="100"/>
        <v>6.5</v>
      </c>
      <c r="K119" s="450">
        <f t="shared" si="92"/>
        <v>0</v>
      </c>
      <c r="L119" s="243"/>
      <c r="M119" s="334"/>
      <c r="N119" s="60">
        <f t="shared" si="101"/>
        <v>0</v>
      </c>
      <c r="O119" s="243"/>
      <c r="P119" s="50"/>
      <c r="Q119" s="35">
        <f t="shared" si="93"/>
        <v>0</v>
      </c>
      <c r="R119" s="243"/>
      <c r="S119" s="53"/>
      <c r="T119" s="35">
        <f t="shared" si="94"/>
        <v>0</v>
      </c>
      <c r="V119" s="34">
        <f t="shared" si="95"/>
        <v>0</v>
      </c>
      <c r="W119" s="35">
        <f t="shared" si="96"/>
        <v>0</v>
      </c>
      <c r="X119" s="206">
        <f t="shared" si="97"/>
        <v>0</v>
      </c>
      <c r="Y119" s="207"/>
      <c r="Z119" s="34"/>
      <c r="AA119" s="75"/>
      <c r="AB119" s="206"/>
    </row>
    <row r="120" spans="1:31" ht="25.9" customHeight="1" x14ac:dyDescent="0.2">
      <c r="A120" s="440">
        <v>81</v>
      </c>
      <c r="B120" s="441" t="s">
        <v>215</v>
      </c>
      <c r="C120" s="471" t="s">
        <v>216</v>
      </c>
      <c r="D120" s="474" t="s">
        <v>217</v>
      </c>
      <c r="E120" s="475">
        <f>Memorias!D3624</f>
        <v>4.5</v>
      </c>
      <c r="F120" s="476"/>
      <c r="G120" s="446">
        <f t="shared" si="98"/>
        <v>0</v>
      </c>
      <c r="H120" s="458"/>
      <c r="I120" s="448">
        <f t="shared" si="99"/>
        <v>0</v>
      </c>
      <c r="J120" s="449">
        <f t="shared" si="100"/>
        <v>4.5</v>
      </c>
      <c r="K120" s="450">
        <f t="shared" si="92"/>
        <v>0</v>
      </c>
      <c r="L120" s="243"/>
      <c r="M120" s="334"/>
      <c r="N120" s="60">
        <f t="shared" si="101"/>
        <v>0</v>
      </c>
      <c r="O120" s="243"/>
      <c r="P120" s="50"/>
      <c r="Q120" s="35">
        <f t="shared" si="93"/>
        <v>0</v>
      </c>
      <c r="R120" s="243"/>
      <c r="S120" s="53"/>
      <c r="T120" s="35">
        <f t="shared" si="94"/>
        <v>0</v>
      </c>
      <c r="V120" s="34">
        <f t="shared" si="95"/>
        <v>0</v>
      </c>
      <c r="W120" s="35">
        <f t="shared" si="96"/>
        <v>0</v>
      </c>
      <c r="X120" s="206">
        <f t="shared" si="97"/>
        <v>0</v>
      </c>
      <c r="Y120" s="207"/>
      <c r="Z120" s="34"/>
      <c r="AA120" s="75"/>
      <c r="AB120" s="206"/>
    </row>
    <row r="121" spans="1:31" ht="16.899999999999999" customHeight="1" x14ac:dyDescent="0.2">
      <c r="A121" s="606" t="s">
        <v>218</v>
      </c>
      <c r="B121" s="586"/>
      <c r="C121" s="587"/>
      <c r="D121" s="602"/>
      <c r="E121" s="587"/>
      <c r="F121" s="603"/>
      <c r="G121" s="604"/>
      <c r="H121" s="477"/>
      <c r="I121" s="478"/>
      <c r="J121" s="479"/>
      <c r="K121" s="480"/>
      <c r="L121" s="243"/>
      <c r="M121" s="415"/>
      <c r="N121" s="416"/>
      <c r="O121" s="243"/>
      <c r="P121" s="39"/>
      <c r="Q121" s="40"/>
      <c r="R121" s="243"/>
      <c r="S121" s="39"/>
      <c r="T121" s="40"/>
      <c r="V121" s="42"/>
      <c r="W121" s="76"/>
      <c r="X121" s="77"/>
      <c r="Y121" s="217"/>
      <c r="Z121" s="34">
        <f>J121-V121</f>
        <v>0</v>
      </c>
      <c r="AA121" s="76"/>
      <c r="AB121" s="77"/>
      <c r="AC121" s="4"/>
      <c r="AE121" s="28"/>
    </row>
    <row r="122" spans="1:31" ht="28.15" customHeight="1" x14ac:dyDescent="0.2">
      <c r="A122" s="465">
        <v>82</v>
      </c>
      <c r="B122" s="441" t="s">
        <v>219</v>
      </c>
      <c r="C122" s="481" t="s">
        <v>220</v>
      </c>
      <c r="D122" s="440" t="s">
        <v>29</v>
      </c>
      <c r="E122" s="456">
        <f>Memorias!$D$3646</f>
        <v>10</v>
      </c>
      <c r="F122" s="445"/>
      <c r="G122" s="446">
        <f>ROUND(F122*E122,0)</f>
        <v>0</v>
      </c>
      <c r="H122" s="447"/>
      <c r="I122" s="448">
        <f t="shared" ref="I122:I165" si="102">ROUND(H122*F122,0)</f>
        <v>0</v>
      </c>
      <c r="J122" s="449">
        <f t="shared" ref="J122" si="103">+H122+E122</f>
        <v>10</v>
      </c>
      <c r="K122" s="450">
        <f t="shared" ref="K122:K185" si="104">G122+I122</f>
        <v>0</v>
      </c>
      <c r="L122" s="243"/>
      <c r="M122" s="53"/>
      <c r="N122" s="406">
        <f t="shared" si="101"/>
        <v>0</v>
      </c>
      <c r="O122" s="243"/>
      <c r="P122" s="50"/>
      <c r="Q122" s="35">
        <f t="shared" ref="Q122:Q153" si="105">ROUND(P122*F122,0)</f>
        <v>0</v>
      </c>
      <c r="R122" s="243"/>
      <c r="S122" s="53"/>
      <c r="T122" s="35">
        <f t="shared" ref="T122:T153" si="106">ROUND(S122*F122,0)</f>
        <v>0</v>
      </c>
      <c r="V122" s="34">
        <f t="shared" ref="V122:V153" si="107">+M122+P122+S122</f>
        <v>0</v>
      </c>
      <c r="W122" s="35">
        <f t="shared" ref="W122:W153" si="108">+T122+Q122+N122</f>
        <v>0</v>
      </c>
      <c r="X122" s="206">
        <f t="shared" ref="X122:X153" si="109">IFERROR(V122/J122,"")</f>
        <v>0</v>
      </c>
      <c r="Y122" s="206"/>
      <c r="Z122" s="34"/>
      <c r="AA122" s="75"/>
      <c r="AB122" s="206"/>
    </row>
    <row r="123" spans="1:31" ht="27" customHeight="1" x14ac:dyDescent="0.2">
      <c r="A123" s="465">
        <v>83</v>
      </c>
      <c r="B123" s="441" t="s">
        <v>78</v>
      </c>
      <c r="C123" s="482" t="s">
        <v>221</v>
      </c>
      <c r="D123" s="483" t="s">
        <v>51</v>
      </c>
      <c r="E123" s="484">
        <f>Memorias!$D$3668</f>
        <v>2</v>
      </c>
      <c r="F123" s="485"/>
      <c r="G123" s="446">
        <f t="shared" ref="G123:G175" si="110">ROUND(F123*E123,0)</f>
        <v>0</v>
      </c>
      <c r="H123" s="447"/>
      <c r="I123" s="448">
        <f t="shared" si="102"/>
        <v>0</v>
      </c>
      <c r="J123" s="449">
        <f t="shared" ref="J123:J175" si="111">+H123+E123</f>
        <v>2</v>
      </c>
      <c r="K123" s="450">
        <f t="shared" si="104"/>
        <v>0</v>
      </c>
      <c r="L123" s="243"/>
      <c r="M123" s="53"/>
      <c r="N123" s="60">
        <f t="shared" si="101"/>
        <v>0</v>
      </c>
      <c r="O123" s="243"/>
      <c r="P123" s="50"/>
      <c r="Q123" s="35">
        <f t="shared" si="105"/>
        <v>0</v>
      </c>
      <c r="R123" s="243"/>
      <c r="S123" s="53"/>
      <c r="T123" s="35">
        <f t="shared" si="106"/>
        <v>0</v>
      </c>
      <c r="V123" s="34">
        <f t="shared" si="107"/>
        <v>0</v>
      </c>
      <c r="W123" s="35">
        <f t="shared" si="108"/>
        <v>0</v>
      </c>
      <c r="X123" s="206">
        <f t="shared" si="109"/>
        <v>0</v>
      </c>
      <c r="Y123" s="206"/>
      <c r="Z123" s="34"/>
      <c r="AA123" s="75"/>
      <c r="AB123" s="206"/>
    </row>
    <row r="124" spans="1:31" ht="16.5" customHeight="1" x14ac:dyDescent="0.2">
      <c r="A124" s="465">
        <v>84</v>
      </c>
      <c r="B124" s="441" t="s">
        <v>222</v>
      </c>
      <c r="C124" s="482" t="s">
        <v>223</v>
      </c>
      <c r="D124" s="486" t="s">
        <v>29</v>
      </c>
      <c r="E124" s="484">
        <f>Memorias!$D$3690</f>
        <v>2</v>
      </c>
      <c r="F124" s="485"/>
      <c r="G124" s="446">
        <f t="shared" si="110"/>
        <v>0</v>
      </c>
      <c r="H124" s="447"/>
      <c r="I124" s="448">
        <f t="shared" si="102"/>
        <v>0</v>
      </c>
      <c r="J124" s="449">
        <f t="shared" si="111"/>
        <v>2</v>
      </c>
      <c r="K124" s="450">
        <f t="shared" si="104"/>
        <v>0</v>
      </c>
      <c r="L124" s="243"/>
      <c r="M124" s="53"/>
      <c r="N124" s="60">
        <f t="shared" si="101"/>
        <v>0</v>
      </c>
      <c r="O124" s="243"/>
      <c r="P124" s="50"/>
      <c r="Q124" s="35">
        <f t="shared" si="105"/>
        <v>0</v>
      </c>
      <c r="R124" s="243"/>
      <c r="S124" s="53"/>
      <c r="T124" s="35">
        <f t="shared" si="106"/>
        <v>0</v>
      </c>
      <c r="V124" s="34">
        <f t="shared" si="107"/>
        <v>0</v>
      </c>
      <c r="W124" s="35">
        <f t="shared" si="108"/>
        <v>0</v>
      </c>
      <c r="X124" s="206">
        <f t="shared" si="109"/>
        <v>0</v>
      </c>
      <c r="Y124" s="206"/>
      <c r="Z124" s="34"/>
      <c r="AA124" s="75"/>
      <c r="AB124" s="206"/>
    </row>
    <row r="125" spans="1:31" ht="25.15" customHeight="1" x14ac:dyDescent="0.2">
      <c r="A125" s="465">
        <v>85</v>
      </c>
      <c r="B125" s="441" t="s">
        <v>224</v>
      </c>
      <c r="C125" s="487" t="s">
        <v>225</v>
      </c>
      <c r="D125" s="465" t="s">
        <v>29</v>
      </c>
      <c r="E125" s="488">
        <f>Memorias!$D$3712</f>
        <v>2</v>
      </c>
      <c r="F125" s="489"/>
      <c r="G125" s="446">
        <f t="shared" si="110"/>
        <v>0</v>
      </c>
      <c r="H125" s="447"/>
      <c r="I125" s="448">
        <f t="shared" si="102"/>
        <v>0</v>
      </c>
      <c r="J125" s="449">
        <f t="shared" si="111"/>
        <v>2</v>
      </c>
      <c r="K125" s="450">
        <f t="shared" si="104"/>
        <v>0</v>
      </c>
      <c r="L125" s="243"/>
      <c r="M125" s="53"/>
      <c r="N125" s="60">
        <f t="shared" si="101"/>
        <v>0</v>
      </c>
      <c r="O125" s="243"/>
      <c r="P125" s="50"/>
      <c r="Q125" s="35">
        <f t="shared" si="105"/>
        <v>0</v>
      </c>
      <c r="R125" s="243"/>
      <c r="S125" s="53"/>
      <c r="T125" s="35">
        <f t="shared" si="106"/>
        <v>0</v>
      </c>
      <c r="V125" s="34">
        <f t="shared" si="107"/>
        <v>0</v>
      </c>
      <c r="W125" s="35">
        <f t="shared" si="108"/>
        <v>0</v>
      </c>
      <c r="X125" s="206">
        <f t="shared" si="109"/>
        <v>0</v>
      </c>
      <c r="Y125" s="206"/>
      <c r="Z125" s="34"/>
      <c r="AA125" s="75"/>
      <c r="AB125" s="206"/>
    </row>
    <row r="126" spans="1:31" ht="34.9" customHeight="1" x14ac:dyDescent="0.2">
      <c r="A126" s="465">
        <v>86</v>
      </c>
      <c r="B126" s="441" t="s">
        <v>226</v>
      </c>
      <c r="C126" s="471" t="s">
        <v>227</v>
      </c>
      <c r="D126" s="461" t="s">
        <v>51</v>
      </c>
      <c r="E126" s="456">
        <f>Memorias!$D$3734</f>
        <v>21.938500000000001</v>
      </c>
      <c r="F126" s="490"/>
      <c r="G126" s="446">
        <f t="shared" si="110"/>
        <v>0</v>
      </c>
      <c r="H126" s="447"/>
      <c r="I126" s="448">
        <f t="shared" si="102"/>
        <v>0</v>
      </c>
      <c r="J126" s="449">
        <f t="shared" si="111"/>
        <v>21.938500000000001</v>
      </c>
      <c r="K126" s="450">
        <f t="shared" si="104"/>
        <v>0</v>
      </c>
      <c r="L126" s="243"/>
      <c r="M126" s="53"/>
      <c r="N126" s="60">
        <f t="shared" si="101"/>
        <v>0</v>
      </c>
      <c r="O126" s="243"/>
      <c r="P126" s="50"/>
      <c r="Q126" s="35">
        <f t="shared" si="105"/>
        <v>0</v>
      </c>
      <c r="R126" s="243"/>
      <c r="S126" s="53"/>
      <c r="T126" s="35">
        <f t="shared" si="106"/>
        <v>0</v>
      </c>
      <c r="V126" s="34">
        <f t="shared" si="107"/>
        <v>0</v>
      </c>
      <c r="W126" s="35">
        <f t="shared" si="108"/>
        <v>0</v>
      </c>
      <c r="X126" s="206">
        <f t="shared" si="109"/>
        <v>0</v>
      </c>
      <c r="Y126" s="206"/>
      <c r="Z126" s="34"/>
      <c r="AA126" s="75"/>
      <c r="AB126" s="206"/>
    </row>
    <row r="127" spans="1:31" ht="30" customHeight="1" x14ac:dyDescent="0.2">
      <c r="A127" s="465">
        <v>87</v>
      </c>
      <c r="B127" s="441" t="s">
        <v>228</v>
      </c>
      <c r="C127" s="471" t="s">
        <v>229</v>
      </c>
      <c r="D127" s="461" t="s">
        <v>51</v>
      </c>
      <c r="E127" s="456">
        <f>Memorias!D3756</f>
        <v>49.655999999999992</v>
      </c>
      <c r="F127" s="490"/>
      <c r="G127" s="446">
        <f t="shared" si="110"/>
        <v>0</v>
      </c>
      <c r="H127" s="447"/>
      <c r="I127" s="448">
        <f t="shared" si="102"/>
        <v>0</v>
      </c>
      <c r="J127" s="449">
        <f t="shared" si="111"/>
        <v>49.655999999999992</v>
      </c>
      <c r="K127" s="450">
        <f t="shared" si="104"/>
        <v>0</v>
      </c>
      <c r="L127" s="243"/>
      <c r="M127" s="53"/>
      <c r="N127" s="60">
        <f t="shared" si="101"/>
        <v>0</v>
      </c>
      <c r="O127" s="243"/>
      <c r="P127" s="50"/>
      <c r="Q127" s="35">
        <f t="shared" si="105"/>
        <v>0</v>
      </c>
      <c r="R127" s="243"/>
      <c r="S127" s="53"/>
      <c r="T127" s="35">
        <f t="shared" si="106"/>
        <v>0</v>
      </c>
      <c r="V127" s="34">
        <f t="shared" si="107"/>
        <v>0</v>
      </c>
      <c r="W127" s="35">
        <f t="shared" si="108"/>
        <v>0</v>
      </c>
      <c r="X127" s="206">
        <f t="shared" si="109"/>
        <v>0</v>
      </c>
      <c r="Y127" s="206"/>
      <c r="Z127" s="34"/>
      <c r="AA127" s="75"/>
      <c r="AB127" s="206"/>
    </row>
    <row r="128" spans="1:31" ht="16.5" customHeight="1" x14ac:dyDescent="0.2">
      <c r="A128" s="465">
        <v>88</v>
      </c>
      <c r="B128" s="441" t="s">
        <v>101</v>
      </c>
      <c r="C128" s="471" t="s">
        <v>230</v>
      </c>
      <c r="D128" s="443" t="s">
        <v>46</v>
      </c>
      <c r="E128" s="491">
        <f>Memorias!D3778</f>
        <v>12.79</v>
      </c>
      <c r="F128" s="490"/>
      <c r="G128" s="446">
        <f t="shared" si="110"/>
        <v>0</v>
      </c>
      <c r="H128" s="447"/>
      <c r="I128" s="448">
        <f t="shared" si="102"/>
        <v>0</v>
      </c>
      <c r="J128" s="449">
        <f t="shared" si="111"/>
        <v>12.79</v>
      </c>
      <c r="K128" s="450">
        <f t="shared" si="104"/>
        <v>0</v>
      </c>
      <c r="L128" s="243"/>
      <c r="M128" s="53"/>
      <c r="N128" s="60">
        <f t="shared" si="101"/>
        <v>0</v>
      </c>
      <c r="O128" s="243"/>
      <c r="P128" s="50"/>
      <c r="Q128" s="35">
        <f t="shared" si="105"/>
        <v>0</v>
      </c>
      <c r="R128" s="243"/>
      <c r="S128" s="53"/>
      <c r="T128" s="35">
        <f t="shared" si="106"/>
        <v>0</v>
      </c>
      <c r="V128" s="34">
        <f t="shared" si="107"/>
        <v>0</v>
      </c>
      <c r="W128" s="35">
        <f t="shared" si="108"/>
        <v>0</v>
      </c>
      <c r="X128" s="206">
        <f t="shared" si="109"/>
        <v>0</v>
      </c>
      <c r="Y128" s="206"/>
      <c r="Z128" s="34"/>
      <c r="AA128" s="75"/>
      <c r="AB128" s="206"/>
    </row>
    <row r="129" spans="1:28" ht="16.5" customHeight="1" x14ac:dyDescent="0.2">
      <c r="A129" s="465">
        <v>89</v>
      </c>
      <c r="B129" s="441" t="s">
        <v>231</v>
      </c>
      <c r="C129" s="471" t="s">
        <v>232</v>
      </c>
      <c r="D129" s="492" t="s">
        <v>46</v>
      </c>
      <c r="E129" s="493">
        <f>Memorias!D3800</f>
        <v>18.62</v>
      </c>
      <c r="F129" s="490"/>
      <c r="G129" s="446">
        <f t="shared" si="110"/>
        <v>0</v>
      </c>
      <c r="H129" s="447"/>
      <c r="I129" s="448">
        <f t="shared" si="102"/>
        <v>0</v>
      </c>
      <c r="J129" s="449">
        <f t="shared" si="111"/>
        <v>18.62</v>
      </c>
      <c r="K129" s="450">
        <f t="shared" si="104"/>
        <v>0</v>
      </c>
      <c r="L129" s="243"/>
      <c r="M129" s="53"/>
      <c r="N129" s="60">
        <f t="shared" si="101"/>
        <v>0</v>
      </c>
      <c r="O129" s="243"/>
      <c r="P129" s="50"/>
      <c r="Q129" s="35">
        <f t="shared" si="105"/>
        <v>0</v>
      </c>
      <c r="R129" s="243"/>
      <c r="S129" s="53"/>
      <c r="T129" s="35">
        <f t="shared" si="106"/>
        <v>0</v>
      </c>
      <c r="V129" s="34">
        <f t="shared" si="107"/>
        <v>0</v>
      </c>
      <c r="W129" s="35">
        <f t="shared" si="108"/>
        <v>0</v>
      </c>
      <c r="X129" s="206">
        <f t="shared" si="109"/>
        <v>0</v>
      </c>
      <c r="Y129" s="206"/>
      <c r="Z129" s="34"/>
      <c r="AA129" s="75"/>
      <c r="AB129" s="206"/>
    </row>
    <row r="130" spans="1:28" ht="16.5" customHeight="1" x14ac:dyDescent="0.2">
      <c r="A130" s="465">
        <v>90</v>
      </c>
      <c r="B130" s="441" t="s">
        <v>233</v>
      </c>
      <c r="C130" s="481" t="s">
        <v>234</v>
      </c>
      <c r="D130" s="440" t="s">
        <v>46</v>
      </c>
      <c r="E130" s="456">
        <f>Memorias!D3822</f>
        <v>6</v>
      </c>
      <c r="F130" s="494"/>
      <c r="G130" s="446">
        <f t="shared" si="110"/>
        <v>0</v>
      </c>
      <c r="H130" s="447"/>
      <c r="I130" s="448">
        <f t="shared" si="102"/>
        <v>0</v>
      </c>
      <c r="J130" s="449">
        <f t="shared" si="111"/>
        <v>6</v>
      </c>
      <c r="K130" s="450">
        <f t="shared" si="104"/>
        <v>0</v>
      </c>
      <c r="L130" s="243"/>
      <c r="M130" s="53"/>
      <c r="N130" s="60">
        <f t="shared" si="101"/>
        <v>0</v>
      </c>
      <c r="O130" s="243"/>
      <c r="P130" s="50"/>
      <c r="Q130" s="35">
        <f t="shared" si="105"/>
        <v>0</v>
      </c>
      <c r="R130" s="243"/>
      <c r="S130" s="53"/>
      <c r="T130" s="35">
        <f t="shared" si="106"/>
        <v>0</v>
      </c>
      <c r="V130" s="34">
        <f t="shared" si="107"/>
        <v>0</v>
      </c>
      <c r="W130" s="35">
        <f t="shared" si="108"/>
        <v>0</v>
      </c>
      <c r="X130" s="206">
        <f t="shared" si="109"/>
        <v>0</v>
      </c>
      <c r="Y130" s="206"/>
      <c r="Z130" s="34"/>
      <c r="AA130" s="75"/>
      <c r="AB130" s="206"/>
    </row>
    <row r="131" spans="1:28" ht="16.5" customHeight="1" x14ac:dyDescent="0.2">
      <c r="A131" s="465">
        <v>91</v>
      </c>
      <c r="B131" s="441" t="s">
        <v>235</v>
      </c>
      <c r="C131" s="495" t="s">
        <v>236</v>
      </c>
      <c r="D131" s="440" t="s">
        <v>29</v>
      </c>
      <c r="E131" s="456">
        <f>Memorias!D3844</f>
        <v>10</v>
      </c>
      <c r="F131" s="494"/>
      <c r="G131" s="446">
        <f t="shared" si="110"/>
        <v>0</v>
      </c>
      <c r="H131" s="447"/>
      <c r="I131" s="448">
        <f t="shared" si="102"/>
        <v>0</v>
      </c>
      <c r="J131" s="449">
        <f t="shared" si="111"/>
        <v>10</v>
      </c>
      <c r="K131" s="450">
        <f t="shared" si="104"/>
        <v>0</v>
      </c>
      <c r="L131" s="243"/>
      <c r="M131" s="53"/>
      <c r="N131" s="60">
        <f t="shared" si="101"/>
        <v>0</v>
      </c>
      <c r="O131" s="243"/>
      <c r="P131" s="50"/>
      <c r="Q131" s="35">
        <f t="shared" si="105"/>
        <v>0</v>
      </c>
      <c r="R131" s="243"/>
      <c r="S131" s="53"/>
      <c r="T131" s="35">
        <f t="shared" si="106"/>
        <v>0</v>
      </c>
      <c r="V131" s="34">
        <f t="shared" si="107"/>
        <v>0</v>
      </c>
      <c r="W131" s="35">
        <f t="shared" si="108"/>
        <v>0</v>
      </c>
      <c r="X131" s="206">
        <f t="shared" si="109"/>
        <v>0</v>
      </c>
      <c r="Y131" s="206"/>
      <c r="Z131" s="34"/>
      <c r="AA131" s="75"/>
      <c r="AB131" s="206"/>
    </row>
    <row r="132" spans="1:28" ht="16.5" customHeight="1" x14ac:dyDescent="0.2">
      <c r="A132" s="465">
        <v>92</v>
      </c>
      <c r="B132" s="441" t="s">
        <v>237</v>
      </c>
      <c r="C132" s="496" t="s">
        <v>238</v>
      </c>
      <c r="D132" s="440" t="s">
        <v>46</v>
      </c>
      <c r="E132" s="456">
        <f>Memorias!D3866</f>
        <v>17.8</v>
      </c>
      <c r="F132" s="494"/>
      <c r="G132" s="446">
        <f t="shared" si="110"/>
        <v>0</v>
      </c>
      <c r="H132" s="447"/>
      <c r="I132" s="448">
        <f t="shared" si="102"/>
        <v>0</v>
      </c>
      <c r="J132" s="449">
        <f t="shared" si="111"/>
        <v>17.8</v>
      </c>
      <c r="K132" s="450">
        <f t="shared" si="104"/>
        <v>0</v>
      </c>
      <c r="L132" s="243"/>
      <c r="M132" s="53"/>
      <c r="N132" s="60">
        <f t="shared" si="101"/>
        <v>0</v>
      </c>
      <c r="O132" s="243"/>
      <c r="P132" s="50"/>
      <c r="Q132" s="35">
        <f t="shared" si="105"/>
        <v>0</v>
      </c>
      <c r="R132" s="243"/>
      <c r="S132" s="53"/>
      <c r="T132" s="35">
        <f t="shared" si="106"/>
        <v>0</v>
      </c>
      <c r="V132" s="34">
        <f t="shared" si="107"/>
        <v>0</v>
      </c>
      <c r="W132" s="35">
        <f t="shared" si="108"/>
        <v>0</v>
      </c>
      <c r="X132" s="206">
        <f t="shared" si="109"/>
        <v>0</v>
      </c>
      <c r="Y132" s="206"/>
      <c r="Z132" s="34"/>
      <c r="AA132" s="75"/>
      <c r="AB132" s="206"/>
    </row>
    <row r="133" spans="1:28" ht="16.5" customHeight="1" x14ac:dyDescent="0.2">
      <c r="A133" s="465">
        <v>93</v>
      </c>
      <c r="B133" s="441" t="s">
        <v>239</v>
      </c>
      <c r="C133" s="481" t="s">
        <v>240</v>
      </c>
      <c r="D133" s="440" t="s">
        <v>46</v>
      </c>
      <c r="E133" s="456">
        <f>Memorias!D3888</f>
        <v>5</v>
      </c>
      <c r="F133" s="494"/>
      <c r="G133" s="446">
        <f t="shared" si="110"/>
        <v>0</v>
      </c>
      <c r="H133" s="447"/>
      <c r="I133" s="448">
        <f t="shared" si="102"/>
        <v>0</v>
      </c>
      <c r="J133" s="449">
        <f t="shared" si="111"/>
        <v>5</v>
      </c>
      <c r="K133" s="450">
        <f t="shared" si="104"/>
        <v>0</v>
      </c>
      <c r="L133" s="243"/>
      <c r="M133" s="53"/>
      <c r="N133" s="60">
        <f t="shared" si="101"/>
        <v>0</v>
      </c>
      <c r="O133" s="243"/>
      <c r="P133" s="50"/>
      <c r="Q133" s="35">
        <f t="shared" si="105"/>
        <v>0</v>
      </c>
      <c r="R133" s="243"/>
      <c r="S133" s="53"/>
      <c r="T133" s="35">
        <f t="shared" si="106"/>
        <v>0</v>
      </c>
      <c r="V133" s="34">
        <f t="shared" si="107"/>
        <v>0</v>
      </c>
      <c r="W133" s="35">
        <f t="shared" si="108"/>
        <v>0</v>
      </c>
      <c r="X133" s="206">
        <f t="shared" si="109"/>
        <v>0</v>
      </c>
      <c r="Y133" s="206"/>
      <c r="Z133" s="34"/>
      <c r="AA133" s="75"/>
      <c r="AB133" s="206"/>
    </row>
    <row r="134" spans="1:28" ht="16.5" customHeight="1" x14ac:dyDescent="0.2">
      <c r="A134" s="465">
        <v>94</v>
      </c>
      <c r="B134" s="441" t="s">
        <v>241</v>
      </c>
      <c r="C134" s="495" t="s">
        <v>242</v>
      </c>
      <c r="D134" s="440" t="s">
        <v>29</v>
      </c>
      <c r="E134" s="456">
        <f>Memorias!D3910</f>
        <v>2</v>
      </c>
      <c r="F134" s="494"/>
      <c r="G134" s="446">
        <f t="shared" si="110"/>
        <v>0</v>
      </c>
      <c r="H134" s="447"/>
      <c r="I134" s="448">
        <f t="shared" si="102"/>
        <v>0</v>
      </c>
      <c r="J134" s="449">
        <f t="shared" si="111"/>
        <v>2</v>
      </c>
      <c r="K134" s="450">
        <f t="shared" si="104"/>
        <v>0</v>
      </c>
      <c r="L134" s="243"/>
      <c r="M134" s="53"/>
      <c r="N134" s="60">
        <f t="shared" si="101"/>
        <v>0</v>
      </c>
      <c r="O134" s="243"/>
      <c r="P134" s="50"/>
      <c r="Q134" s="35">
        <f t="shared" si="105"/>
        <v>0</v>
      </c>
      <c r="R134" s="243"/>
      <c r="S134" s="53"/>
      <c r="T134" s="35">
        <f t="shared" si="106"/>
        <v>0</v>
      </c>
      <c r="V134" s="34">
        <f t="shared" si="107"/>
        <v>0</v>
      </c>
      <c r="W134" s="35">
        <f t="shared" si="108"/>
        <v>0</v>
      </c>
      <c r="X134" s="206">
        <f t="shared" si="109"/>
        <v>0</v>
      </c>
      <c r="Y134" s="206"/>
      <c r="Z134" s="34"/>
      <c r="AA134" s="75"/>
      <c r="AB134" s="206"/>
    </row>
    <row r="135" spans="1:28" ht="30" customHeight="1" x14ac:dyDescent="0.2">
      <c r="A135" s="465">
        <v>95</v>
      </c>
      <c r="B135" s="441" t="s">
        <v>243</v>
      </c>
      <c r="C135" s="495" t="s">
        <v>244</v>
      </c>
      <c r="D135" s="440" t="s">
        <v>46</v>
      </c>
      <c r="E135" s="456">
        <f>Memorias!D3932</f>
        <v>4</v>
      </c>
      <c r="F135" s="494"/>
      <c r="G135" s="446">
        <f t="shared" si="110"/>
        <v>0</v>
      </c>
      <c r="H135" s="447"/>
      <c r="I135" s="448">
        <f t="shared" si="102"/>
        <v>0</v>
      </c>
      <c r="J135" s="449">
        <f t="shared" si="111"/>
        <v>4</v>
      </c>
      <c r="K135" s="450">
        <f t="shared" si="104"/>
        <v>0</v>
      </c>
      <c r="L135" s="243"/>
      <c r="M135" s="53"/>
      <c r="N135" s="60">
        <f t="shared" si="101"/>
        <v>0</v>
      </c>
      <c r="O135" s="243"/>
      <c r="P135" s="50"/>
      <c r="Q135" s="35">
        <f t="shared" si="105"/>
        <v>0</v>
      </c>
      <c r="R135" s="243"/>
      <c r="S135" s="53"/>
      <c r="T135" s="35">
        <f t="shared" si="106"/>
        <v>0</v>
      </c>
      <c r="V135" s="34">
        <f t="shared" si="107"/>
        <v>0</v>
      </c>
      <c r="W135" s="35">
        <f t="shared" si="108"/>
        <v>0</v>
      </c>
      <c r="X135" s="206">
        <f t="shared" si="109"/>
        <v>0</v>
      </c>
      <c r="Y135" s="206"/>
      <c r="Z135" s="34"/>
      <c r="AA135" s="75"/>
      <c r="AB135" s="206"/>
    </row>
    <row r="136" spans="1:28" ht="28.5" customHeight="1" x14ac:dyDescent="0.2">
      <c r="A136" s="465">
        <v>96</v>
      </c>
      <c r="B136" s="441" t="s">
        <v>245</v>
      </c>
      <c r="C136" s="481" t="s">
        <v>246</v>
      </c>
      <c r="D136" s="440" t="s">
        <v>46</v>
      </c>
      <c r="E136" s="456">
        <f>Memorias!D3954</f>
        <v>3</v>
      </c>
      <c r="F136" s="494"/>
      <c r="G136" s="446">
        <f t="shared" si="110"/>
        <v>0</v>
      </c>
      <c r="H136" s="447"/>
      <c r="I136" s="448">
        <f t="shared" si="102"/>
        <v>0</v>
      </c>
      <c r="J136" s="449">
        <f t="shared" si="111"/>
        <v>3</v>
      </c>
      <c r="K136" s="450">
        <f t="shared" si="104"/>
        <v>0</v>
      </c>
      <c r="L136" s="243"/>
      <c r="M136" s="53"/>
      <c r="N136" s="60">
        <f t="shared" si="101"/>
        <v>0</v>
      </c>
      <c r="O136" s="243"/>
      <c r="P136" s="50"/>
      <c r="Q136" s="35">
        <f t="shared" si="105"/>
        <v>0</v>
      </c>
      <c r="R136" s="243"/>
      <c r="S136" s="53"/>
      <c r="T136" s="35">
        <f t="shared" si="106"/>
        <v>0</v>
      </c>
      <c r="V136" s="34">
        <f t="shared" si="107"/>
        <v>0</v>
      </c>
      <c r="W136" s="35">
        <f t="shared" si="108"/>
        <v>0</v>
      </c>
      <c r="X136" s="206">
        <f t="shared" si="109"/>
        <v>0</v>
      </c>
      <c r="Y136" s="206"/>
      <c r="Z136" s="34"/>
      <c r="AA136" s="75"/>
      <c r="AB136" s="206"/>
    </row>
    <row r="137" spans="1:28" ht="27.75" customHeight="1" x14ac:dyDescent="0.2">
      <c r="A137" s="465">
        <v>97</v>
      </c>
      <c r="B137" s="441" t="s">
        <v>103</v>
      </c>
      <c r="C137" s="481" t="s">
        <v>247</v>
      </c>
      <c r="D137" s="440" t="s">
        <v>46</v>
      </c>
      <c r="E137" s="456">
        <f>Memorias!D3976</f>
        <v>15</v>
      </c>
      <c r="F137" s="494"/>
      <c r="G137" s="446">
        <f t="shared" si="110"/>
        <v>0</v>
      </c>
      <c r="H137" s="447"/>
      <c r="I137" s="448">
        <f t="shared" si="102"/>
        <v>0</v>
      </c>
      <c r="J137" s="449">
        <f t="shared" si="111"/>
        <v>15</v>
      </c>
      <c r="K137" s="450">
        <f t="shared" si="104"/>
        <v>0</v>
      </c>
      <c r="L137" s="243"/>
      <c r="M137" s="53"/>
      <c r="N137" s="60">
        <f t="shared" si="101"/>
        <v>0</v>
      </c>
      <c r="O137" s="243"/>
      <c r="P137" s="50"/>
      <c r="Q137" s="35">
        <f t="shared" si="105"/>
        <v>0</v>
      </c>
      <c r="R137" s="243"/>
      <c r="S137" s="53"/>
      <c r="T137" s="35">
        <f t="shared" si="106"/>
        <v>0</v>
      </c>
      <c r="V137" s="34">
        <f t="shared" si="107"/>
        <v>0</v>
      </c>
      <c r="W137" s="35">
        <f t="shared" si="108"/>
        <v>0</v>
      </c>
      <c r="X137" s="206">
        <f t="shared" si="109"/>
        <v>0</v>
      </c>
      <c r="Y137" s="206"/>
      <c r="Z137" s="34"/>
      <c r="AA137" s="75"/>
      <c r="AB137" s="206"/>
    </row>
    <row r="138" spans="1:28" ht="24" customHeight="1" x14ac:dyDescent="0.2">
      <c r="A138" s="465">
        <v>98</v>
      </c>
      <c r="B138" s="441" t="s">
        <v>248</v>
      </c>
      <c r="C138" s="481" t="s">
        <v>249</v>
      </c>
      <c r="D138" s="440" t="s">
        <v>29</v>
      </c>
      <c r="E138" s="456">
        <f>Memorias!D3998</f>
        <v>4</v>
      </c>
      <c r="F138" s="494"/>
      <c r="G138" s="446">
        <f t="shared" si="110"/>
        <v>0</v>
      </c>
      <c r="H138" s="447"/>
      <c r="I138" s="448">
        <f t="shared" si="102"/>
        <v>0</v>
      </c>
      <c r="J138" s="449">
        <f t="shared" si="111"/>
        <v>4</v>
      </c>
      <c r="K138" s="450">
        <f t="shared" si="104"/>
        <v>0</v>
      </c>
      <c r="L138" s="243"/>
      <c r="M138" s="53"/>
      <c r="N138" s="60">
        <f t="shared" si="101"/>
        <v>0</v>
      </c>
      <c r="O138" s="243"/>
      <c r="P138" s="50"/>
      <c r="Q138" s="35">
        <f t="shared" si="105"/>
        <v>0</v>
      </c>
      <c r="R138" s="243"/>
      <c r="S138" s="53"/>
      <c r="T138" s="35">
        <f t="shared" si="106"/>
        <v>0</v>
      </c>
      <c r="V138" s="34">
        <f t="shared" si="107"/>
        <v>0</v>
      </c>
      <c r="W138" s="35">
        <f t="shared" si="108"/>
        <v>0</v>
      </c>
      <c r="X138" s="206">
        <f t="shared" si="109"/>
        <v>0</v>
      </c>
      <c r="Y138" s="206"/>
      <c r="Z138" s="34"/>
      <c r="AA138" s="75"/>
      <c r="AB138" s="206"/>
    </row>
    <row r="139" spans="1:28" ht="24" x14ac:dyDescent="0.2">
      <c r="A139" s="465">
        <v>99</v>
      </c>
      <c r="B139" s="441" t="s">
        <v>198</v>
      </c>
      <c r="C139" s="471" t="s">
        <v>199</v>
      </c>
      <c r="D139" s="492" t="s">
        <v>46</v>
      </c>
      <c r="E139" s="491">
        <f>Memorias!D4020</f>
        <v>31</v>
      </c>
      <c r="F139" s="497"/>
      <c r="G139" s="446">
        <f t="shared" si="110"/>
        <v>0</v>
      </c>
      <c r="H139" s="447"/>
      <c r="I139" s="448">
        <f t="shared" si="102"/>
        <v>0</v>
      </c>
      <c r="J139" s="449">
        <f t="shared" si="111"/>
        <v>31</v>
      </c>
      <c r="K139" s="450">
        <f t="shared" si="104"/>
        <v>0</v>
      </c>
      <c r="L139" s="243"/>
      <c r="M139" s="53"/>
      <c r="N139" s="60">
        <f t="shared" si="101"/>
        <v>0</v>
      </c>
      <c r="O139" s="243"/>
      <c r="P139" s="50"/>
      <c r="Q139" s="35">
        <f t="shared" si="105"/>
        <v>0</v>
      </c>
      <c r="R139" s="243"/>
      <c r="S139" s="53"/>
      <c r="T139" s="35">
        <f t="shared" si="106"/>
        <v>0</v>
      </c>
      <c r="V139" s="34">
        <f t="shared" si="107"/>
        <v>0</v>
      </c>
      <c r="W139" s="35">
        <f t="shared" si="108"/>
        <v>0</v>
      </c>
      <c r="X139" s="206">
        <f t="shared" si="109"/>
        <v>0</v>
      </c>
      <c r="Y139" s="206"/>
      <c r="Z139" s="34"/>
      <c r="AA139" s="75"/>
      <c r="AB139" s="206"/>
    </row>
    <row r="140" spans="1:28" ht="24" x14ac:dyDescent="0.2">
      <c r="A140" s="465">
        <v>100</v>
      </c>
      <c r="B140" s="441" t="s">
        <v>250</v>
      </c>
      <c r="C140" s="495" t="s">
        <v>251</v>
      </c>
      <c r="D140" s="440" t="s">
        <v>29</v>
      </c>
      <c r="E140" s="456">
        <f>Memorias!D4042</f>
        <v>2</v>
      </c>
      <c r="F140" s="494"/>
      <c r="G140" s="446">
        <f t="shared" si="110"/>
        <v>0</v>
      </c>
      <c r="H140" s="447"/>
      <c r="I140" s="448">
        <f t="shared" si="102"/>
        <v>0</v>
      </c>
      <c r="J140" s="449">
        <f t="shared" si="111"/>
        <v>2</v>
      </c>
      <c r="K140" s="450">
        <f t="shared" si="104"/>
        <v>0</v>
      </c>
      <c r="L140" s="243"/>
      <c r="M140" s="53"/>
      <c r="N140" s="60">
        <f t="shared" si="101"/>
        <v>0</v>
      </c>
      <c r="O140" s="243"/>
      <c r="P140" s="50"/>
      <c r="Q140" s="35">
        <f t="shared" si="105"/>
        <v>0</v>
      </c>
      <c r="R140" s="243"/>
      <c r="S140" s="53"/>
      <c r="T140" s="35">
        <f t="shared" si="106"/>
        <v>0</v>
      </c>
      <c r="V140" s="34">
        <f t="shared" si="107"/>
        <v>0</v>
      </c>
      <c r="W140" s="35">
        <f t="shared" si="108"/>
        <v>0</v>
      </c>
      <c r="X140" s="206">
        <f t="shared" si="109"/>
        <v>0</v>
      </c>
      <c r="Y140" s="206"/>
      <c r="Z140" s="34"/>
      <c r="AA140" s="75"/>
      <c r="AB140" s="206"/>
    </row>
    <row r="141" spans="1:28" ht="24" x14ac:dyDescent="0.2">
      <c r="A141" s="465">
        <v>101</v>
      </c>
      <c r="B141" s="441" t="s">
        <v>252</v>
      </c>
      <c r="C141" s="471" t="s">
        <v>253</v>
      </c>
      <c r="D141" s="443" t="s">
        <v>46</v>
      </c>
      <c r="E141" s="491">
        <f>Memorias!D4064</f>
        <v>3</v>
      </c>
      <c r="F141" s="497"/>
      <c r="G141" s="446">
        <f t="shared" si="110"/>
        <v>0</v>
      </c>
      <c r="H141" s="447"/>
      <c r="I141" s="448">
        <f t="shared" si="102"/>
        <v>0</v>
      </c>
      <c r="J141" s="449">
        <f t="shared" si="111"/>
        <v>3</v>
      </c>
      <c r="K141" s="450">
        <f t="shared" si="104"/>
        <v>0</v>
      </c>
      <c r="L141" s="243"/>
      <c r="M141" s="53"/>
      <c r="N141" s="60">
        <f t="shared" si="101"/>
        <v>0</v>
      </c>
      <c r="O141" s="243"/>
      <c r="P141" s="50"/>
      <c r="Q141" s="35">
        <f t="shared" si="105"/>
        <v>0</v>
      </c>
      <c r="R141" s="243"/>
      <c r="S141" s="53"/>
      <c r="T141" s="35">
        <f t="shared" si="106"/>
        <v>0</v>
      </c>
      <c r="V141" s="34">
        <f t="shared" si="107"/>
        <v>0</v>
      </c>
      <c r="W141" s="35">
        <f t="shared" si="108"/>
        <v>0</v>
      </c>
      <c r="X141" s="206">
        <f t="shared" si="109"/>
        <v>0</v>
      </c>
      <c r="Y141" s="206"/>
      <c r="Z141" s="34"/>
      <c r="AA141" s="75"/>
      <c r="AB141" s="206"/>
    </row>
    <row r="142" spans="1:28" ht="12" x14ac:dyDescent="0.2">
      <c r="A142" s="465">
        <v>102</v>
      </c>
      <c r="B142" s="441" t="s">
        <v>254</v>
      </c>
      <c r="C142" s="495" t="s">
        <v>255</v>
      </c>
      <c r="D142" s="440" t="s">
        <v>51</v>
      </c>
      <c r="E142" s="456">
        <f>Memorias!D4086</f>
        <v>21.938500000000001</v>
      </c>
      <c r="F142" s="494"/>
      <c r="G142" s="446">
        <f t="shared" si="110"/>
        <v>0</v>
      </c>
      <c r="H142" s="447"/>
      <c r="I142" s="448">
        <f t="shared" si="102"/>
        <v>0</v>
      </c>
      <c r="J142" s="449">
        <f t="shared" si="111"/>
        <v>21.938500000000001</v>
      </c>
      <c r="K142" s="450">
        <f t="shared" si="104"/>
        <v>0</v>
      </c>
      <c r="L142" s="243"/>
      <c r="M142" s="53"/>
      <c r="N142" s="60">
        <f t="shared" si="101"/>
        <v>0</v>
      </c>
      <c r="O142" s="243"/>
      <c r="P142" s="50"/>
      <c r="Q142" s="35">
        <f t="shared" si="105"/>
        <v>0</v>
      </c>
      <c r="R142" s="243"/>
      <c r="S142" s="53"/>
      <c r="T142" s="35">
        <f t="shared" si="106"/>
        <v>0</v>
      </c>
      <c r="V142" s="34">
        <f t="shared" si="107"/>
        <v>0</v>
      </c>
      <c r="W142" s="35">
        <f t="shared" si="108"/>
        <v>0</v>
      </c>
      <c r="X142" s="206">
        <f t="shared" si="109"/>
        <v>0</v>
      </c>
      <c r="Y142" s="206"/>
      <c r="Z142" s="34"/>
      <c r="AA142" s="75"/>
      <c r="AB142" s="206"/>
    </row>
    <row r="143" spans="1:28" ht="24" x14ac:dyDescent="0.2">
      <c r="A143" s="465">
        <v>103</v>
      </c>
      <c r="B143" s="441" t="s">
        <v>256</v>
      </c>
      <c r="C143" s="495" t="s">
        <v>257</v>
      </c>
      <c r="D143" s="440" t="s">
        <v>51</v>
      </c>
      <c r="E143" s="456">
        <f>Memorias!$D$4108</f>
        <v>49.655999999999992</v>
      </c>
      <c r="F143" s="494"/>
      <c r="G143" s="446">
        <f t="shared" si="110"/>
        <v>0</v>
      </c>
      <c r="H143" s="447"/>
      <c r="I143" s="448">
        <f t="shared" si="102"/>
        <v>0</v>
      </c>
      <c r="J143" s="449">
        <f t="shared" si="111"/>
        <v>49.655999999999992</v>
      </c>
      <c r="K143" s="450">
        <f t="shared" si="104"/>
        <v>0</v>
      </c>
      <c r="L143" s="243"/>
      <c r="M143" s="53"/>
      <c r="N143" s="60">
        <f t="shared" si="101"/>
        <v>0</v>
      </c>
      <c r="O143" s="243"/>
      <c r="P143" s="50"/>
      <c r="Q143" s="35">
        <f t="shared" si="105"/>
        <v>0</v>
      </c>
      <c r="R143" s="243"/>
      <c r="S143" s="53"/>
      <c r="T143" s="35">
        <f t="shared" si="106"/>
        <v>0</v>
      </c>
      <c r="V143" s="34">
        <f t="shared" si="107"/>
        <v>0</v>
      </c>
      <c r="W143" s="35">
        <f t="shared" si="108"/>
        <v>0</v>
      </c>
      <c r="X143" s="206">
        <f t="shared" si="109"/>
        <v>0</v>
      </c>
      <c r="Y143" s="206"/>
      <c r="Z143" s="34"/>
      <c r="AA143" s="75"/>
      <c r="AB143" s="206"/>
    </row>
    <row r="144" spans="1:28" ht="24" x14ac:dyDescent="0.2">
      <c r="A144" s="465">
        <v>104</v>
      </c>
      <c r="B144" s="441" t="s">
        <v>258</v>
      </c>
      <c r="C144" s="481" t="s">
        <v>259</v>
      </c>
      <c r="D144" s="440" t="s">
        <v>51</v>
      </c>
      <c r="E144" s="456">
        <f>Memorias!$D$4130</f>
        <v>21.938500000000001</v>
      </c>
      <c r="F144" s="494"/>
      <c r="G144" s="446">
        <f t="shared" si="110"/>
        <v>0</v>
      </c>
      <c r="H144" s="447"/>
      <c r="I144" s="448">
        <f t="shared" si="102"/>
        <v>0</v>
      </c>
      <c r="J144" s="449">
        <f t="shared" si="111"/>
        <v>21.938500000000001</v>
      </c>
      <c r="K144" s="450">
        <f t="shared" si="104"/>
        <v>0</v>
      </c>
      <c r="L144" s="243"/>
      <c r="M144" s="53"/>
      <c r="N144" s="60">
        <f t="shared" si="101"/>
        <v>0</v>
      </c>
      <c r="O144" s="243"/>
      <c r="P144" s="50"/>
      <c r="Q144" s="35">
        <f t="shared" si="105"/>
        <v>0</v>
      </c>
      <c r="R144" s="243"/>
      <c r="S144" s="53"/>
      <c r="T144" s="35">
        <f t="shared" si="106"/>
        <v>0</v>
      </c>
      <c r="V144" s="34">
        <f t="shared" si="107"/>
        <v>0</v>
      </c>
      <c r="W144" s="35">
        <f t="shared" si="108"/>
        <v>0</v>
      </c>
      <c r="X144" s="206">
        <f t="shared" si="109"/>
        <v>0</v>
      </c>
      <c r="Y144" s="206"/>
      <c r="Z144" s="34"/>
      <c r="AA144" s="75"/>
      <c r="AB144" s="206"/>
    </row>
    <row r="145" spans="1:28" ht="12" x14ac:dyDescent="0.2">
      <c r="A145" s="465">
        <v>105</v>
      </c>
      <c r="B145" s="441" t="s">
        <v>260</v>
      </c>
      <c r="C145" s="481" t="s">
        <v>261</v>
      </c>
      <c r="D145" s="440" t="s">
        <v>29</v>
      </c>
      <c r="E145" s="456">
        <f>Memorias!$D$4152</f>
        <v>2</v>
      </c>
      <c r="F145" s="494"/>
      <c r="G145" s="446">
        <f t="shared" si="110"/>
        <v>0</v>
      </c>
      <c r="H145" s="447"/>
      <c r="I145" s="448">
        <f t="shared" si="102"/>
        <v>0</v>
      </c>
      <c r="J145" s="449">
        <f t="shared" si="111"/>
        <v>2</v>
      </c>
      <c r="K145" s="450">
        <f t="shared" si="104"/>
        <v>0</v>
      </c>
      <c r="L145" s="243"/>
      <c r="M145" s="53"/>
      <c r="N145" s="60">
        <f t="shared" si="101"/>
        <v>0</v>
      </c>
      <c r="O145" s="243"/>
      <c r="P145" s="50"/>
      <c r="Q145" s="35">
        <f t="shared" si="105"/>
        <v>0</v>
      </c>
      <c r="R145" s="243"/>
      <c r="S145" s="53"/>
      <c r="T145" s="35">
        <f t="shared" si="106"/>
        <v>0</v>
      </c>
      <c r="V145" s="34">
        <f t="shared" si="107"/>
        <v>0</v>
      </c>
      <c r="W145" s="35">
        <f t="shared" si="108"/>
        <v>0</v>
      </c>
      <c r="X145" s="206">
        <f t="shared" si="109"/>
        <v>0</v>
      </c>
      <c r="Y145" s="206"/>
      <c r="Z145" s="34"/>
      <c r="AA145" s="75"/>
      <c r="AB145" s="206"/>
    </row>
    <row r="146" spans="1:28" ht="31.15" customHeight="1" x14ac:dyDescent="0.2">
      <c r="A146" s="465">
        <v>106</v>
      </c>
      <c r="B146" s="441" t="s">
        <v>262</v>
      </c>
      <c r="C146" s="471" t="s">
        <v>263</v>
      </c>
      <c r="D146" s="440" t="s">
        <v>29</v>
      </c>
      <c r="E146" s="456">
        <f>Memorias!D4174</f>
        <v>4</v>
      </c>
      <c r="F146" s="494"/>
      <c r="G146" s="446">
        <f t="shared" si="110"/>
        <v>0</v>
      </c>
      <c r="H146" s="447"/>
      <c r="I146" s="448">
        <f t="shared" si="102"/>
        <v>0</v>
      </c>
      <c r="J146" s="449">
        <f t="shared" si="111"/>
        <v>4</v>
      </c>
      <c r="K146" s="450">
        <f t="shared" si="104"/>
        <v>0</v>
      </c>
      <c r="L146" s="243"/>
      <c r="M146" s="53"/>
      <c r="N146" s="60">
        <f t="shared" si="101"/>
        <v>0</v>
      </c>
      <c r="O146" s="243"/>
      <c r="P146" s="50"/>
      <c r="Q146" s="35">
        <f t="shared" si="105"/>
        <v>0</v>
      </c>
      <c r="R146" s="243"/>
      <c r="S146" s="53"/>
      <c r="T146" s="35">
        <f t="shared" si="106"/>
        <v>0</v>
      </c>
      <c r="V146" s="34">
        <f t="shared" si="107"/>
        <v>0</v>
      </c>
      <c r="W146" s="35">
        <f t="shared" si="108"/>
        <v>0</v>
      </c>
      <c r="X146" s="206">
        <f t="shared" si="109"/>
        <v>0</v>
      </c>
      <c r="Y146" s="206"/>
      <c r="Z146" s="34"/>
      <c r="AA146" s="75"/>
      <c r="AB146" s="206"/>
    </row>
    <row r="147" spans="1:28" ht="30" customHeight="1" x14ac:dyDescent="0.2">
      <c r="A147" s="465">
        <v>107</v>
      </c>
      <c r="B147" s="441" t="s">
        <v>264</v>
      </c>
      <c r="C147" s="471" t="s">
        <v>265</v>
      </c>
      <c r="D147" s="443" t="s">
        <v>29</v>
      </c>
      <c r="E147" s="491">
        <f>Memorias!D4196</f>
        <v>4</v>
      </c>
      <c r="F147" s="497"/>
      <c r="G147" s="446">
        <f t="shared" si="110"/>
        <v>0</v>
      </c>
      <c r="H147" s="447"/>
      <c r="I147" s="448">
        <f t="shared" si="102"/>
        <v>0</v>
      </c>
      <c r="J147" s="449">
        <f t="shared" si="111"/>
        <v>4</v>
      </c>
      <c r="K147" s="450">
        <f t="shared" si="104"/>
        <v>0</v>
      </c>
      <c r="L147" s="243"/>
      <c r="M147" s="53"/>
      <c r="N147" s="60">
        <f t="shared" si="101"/>
        <v>0</v>
      </c>
      <c r="O147" s="243"/>
      <c r="P147" s="50"/>
      <c r="Q147" s="35">
        <f t="shared" si="105"/>
        <v>0</v>
      </c>
      <c r="R147" s="243"/>
      <c r="S147" s="53"/>
      <c r="T147" s="35">
        <f t="shared" si="106"/>
        <v>0</v>
      </c>
      <c r="V147" s="34">
        <f t="shared" si="107"/>
        <v>0</v>
      </c>
      <c r="W147" s="35">
        <f t="shared" si="108"/>
        <v>0</v>
      </c>
      <c r="X147" s="206">
        <f t="shared" si="109"/>
        <v>0</v>
      </c>
      <c r="Y147" s="206"/>
      <c r="Z147" s="34"/>
      <c r="AA147" s="75"/>
      <c r="AB147" s="206"/>
    </row>
    <row r="148" spans="1:28" ht="17.25" customHeight="1" x14ac:dyDescent="0.2">
      <c r="A148" s="465">
        <v>108</v>
      </c>
      <c r="B148" s="441" t="s">
        <v>266</v>
      </c>
      <c r="C148" s="481" t="s">
        <v>267</v>
      </c>
      <c r="D148" s="440" t="s">
        <v>29</v>
      </c>
      <c r="E148" s="456">
        <f>Memorias!D4218</f>
        <v>4</v>
      </c>
      <c r="F148" s="494"/>
      <c r="G148" s="446">
        <f t="shared" si="110"/>
        <v>0</v>
      </c>
      <c r="H148" s="447"/>
      <c r="I148" s="448">
        <f t="shared" si="102"/>
        <v>0</v>
      </c>
      <c r="J148" s="449">
        <f t="shared" si="111"/>
        <v>4</v>
      </c>
      <c r="K148" s="450">
        <f t="shared" si="104"/>
        <v>0</v>
      </c>
      <c r="L148" s="243"/>
      <c r="M148" s="53"/>
      <c r="N148" s="60">
        <f t="shared" si="101"/>
        <v>0</v>
      </c>
      <c r="O148" s="243"/>
      <c r="P148" s="50"/>
      <c r="Q148" s="35">
        <f t="shared" si="105"/>
        <v>0</v>
      </c>
      <c r="R148" s="243"/>
      <c r="S148" s="53"/>
      <c r="T148" s="35">
        <f t="shared" si="106"/>
        <v>0</v>
      </c>
      <c r="V148" s="34">
        <f t="shared" si="107"/>
        <v>0</v>
      </c>
      <c r="W148" s="35">
        <f t="shared" si="108"/>
        <v>0</v>
      </c>
      <c r="X148" s="206">
        <f t="shared" si="109"/>
        <v>0</v>
      </c>
      <c r="Y148" s="206"/>
      <c r="Z148" s="34"/>
      <c r="AA148" s="75"/>
      <c r="AB148" s="206"/>
    </row>
    <row r="149" spans="1:28" ht="19.5" customHeight="1" x14ac:dyDescent="0.2">
      <c r="A149" s="465">
        <v>109</v>
      </c>
      <c r="B149" s="441" t="s">
        <v>268</v>
      </c>
      <c r="C149" s="471" t="s">
        <v>269</v>
      </c>
      <c r="D149" s="443" t="s">
        <v>29</v>
      </c>
      <c r="E149" s="498">
        <f>Memorias!D4240</f>
        <v>4</v>
      </c>
      <c r="F149" s="497"/>
      <c r="G149" s="446">
        <f t="shared" si="110"/>
        <v>0</v>
      </c>
      <c r="H149" s="447"/>
      <c r="I149" s="448">
        <f t="shared" si="102"/>
        <v>0</v>
      </c>
      <c r="J149" s="449">
        <f t="shared" si="111"/>
        <v>4</v>
      </c>
      <c r="K149" s="450">
        <f t="shared" si="104"/>
        <v>0</v>
      </c>
      <c r="L149" s="243"/>
      <c r="M149" s="53"/>
      <c r="N149" s="60">
        <f t="shared" si="101"/>
        <v>0</v>
      </c>
      <c r="O149" s="243"/>
      <c r="P149" s="50"/>
      <c r="Q149" s="35">
        <f t="shared" si="105"/>
        <v>0</v>
      </c>
      <c r="R149" s="243"/>
      <c r="S149" s="53"/>
      <c r="T149" s="35">
        <f t="shared" si="106"/>
        <v>0</v>
      </c>
      <c r="V149" s="34">
        <f t="shared" si="107"/>
        <v>0</v>
      </c>
      <c r="W149" s="35">
        <f t="shared" si="108"/>
        <v>0</v>
      </c>
      <c r="X149" s="206">
        <f t="shared" si="109"/>
        <v>0</v>
      </c>
      <c r="Y149" s="206"/>
      <c r="Z149" s="34"/>
      <c r="AA149" s="75"/>
      <c r="AB149" s="206"/>
    </row>
    <row r="150" spans="1:28" ht="18" customHeight="1" x14ac:dyDescent="0.2">
      <c r="A150" s="465">
        <v>110</v>
      </c>
      <c r="B150" s="441" t="s">
        <v>270</v>
      </c>
      <c r="C150" s="481" t="s">
        <v>271</v>
      </c>
      <c r="D150" s="440" t="s">
        <v>29</v>
      </c>
      <c r="E150" s="456">
        <f>Memorias!D4262</f>
        <v>4</v>
      </c>
      <c r="F150" s="494"/>
      <c r="G150" s="446">
        <f t="shared" si="110"/>
        <v>0</v>
      </c>
      <c r="H150" s="447"/>
      <c r="I150" s="448">
        <f t="shared" si="102"/>
        <v>0</v>
      </c>
      <c r="J150" s="449">
        <f t="shared" si="111"/>
        <v>4</v>
      </c>
      <c r="K150" s="450">
        <f t="shared" si="104"/>
        <v>0</v>
      </c>
      <c r="L150" s="243"/>
      <c r="M150" s="53"/>
      <c r="N150" s="60">
        <f t="shared" si="101"/>
        <v>0</v>
      </c>
      <c r="O150" s="243"/>
      <c r="P150" s="50"/>
      <c r="Q150" s="35">
        <f t="shared" si="105"/>
        <v>0</v>
      </c>
      <c r="R150" s="243"/>
      <c r="S150" s="53"/>
      <c r="T150" s="35">
        <f t="shared" si="106"/>
        <v>0</v>
      </c>
      <c r="V150" s="34">
        <f t="shared" si="107"/>
        <v>0</v>
      </c>
      <c r="W150" s="35">
        <f t="shared" si="108"/>
        <v>0</v>
      </c>
      <c r="X150" s="206">
        <f t="shared" si="109"/>
        <v>0</v>
      </c>
      <c r="Y150" s="206"/>
      <c r="Z150" s="34"/>
      <c r="AA150" s="75"/>
      <c r="AB150" s="206"/>
    </row>
    <row r="151" spans="1:28" ht="36" x14ac:dyDescent="0.2">
      <c r="A151" s="465">
        <v>111</v>
      </c>
      <c r="B151" s="441" t="s">
        <v>272</v>
      </c>
      <c r="C151" s="471" t="s">
        <v>273</v>
      </c>
      <c r="D151" s="443" t="s">
        <v>46</v>
      </c>
      <c r="E151" s="491">
        <f>Memorias!D4284</f>
        <v>4</v>
      </c>
      <c r="F151" s="497"/>
      <c r="G151" s="446">
        <f t="shared" si="110"/>
        <v>0</v>
      </c>
      <c r="H151" s="447"/>
      <c r="I151" s="448">
        <f t="shared" si="102"/>
        <v>0</v>
      </c>
      <c r="J151" s="449">
        <f t="shared" si="111"/>
        <v>4</v>
      </c>
      <c r="K151" s="450">
        <f t="shared" si="104"/>
        <v>0</v>
      </c>
      <c r="L151" s="243"/>
      <c r="M151" s="53"/>
      <c r="N151" s="60">
        <f t="shared" si="101"/>
        <v>0</v>
      </c>
      <c r="O151" s="243"/>
      <c r="P151" s="50"/>
      <c r="Q151" s="35">
        <f t="shared" si="105"/>
        <v>0</v>
      </c>
      <c r="R151" s="243"/>
      <c r="S151" s="53"/>
      <c r="T151" s="35">
        <f t="shared" si="106"/>
        <v>0</v>
      </c>
      <c r="V151" s="34">
        <f t="shared" si="107"/>
        <v>0</v>
      </c>
      <c r="W151" s="35">
        <f t="shared" si="108"/>
        <v>0</v>
      </c>
      <c r="X151" s="206">
        <f t="shared" si="109"/>
        <v>0</v>
      </c>
      <c r="Y151" s="206"/>
      <c r="Z151" s="34"/>
      <c r="AA151" s="75"/>
      <c r="AB151" s="206"/>
    </row>
    <row r="152" spans="1:28" ht="24" x14ac:dyDescent="0.2">
      <c r="A152" s="465">
        <v>112</v>
      </c>
      <c r="B152" s="441" t="s">
        <v>274</v>
      </c>
      <c r="C152" s="481" t="s">
        <v>275</v>
      </c>
      <c r="D152" s="440" t="s">
        <v>51</v>
      </c>
      <c r="E152" s="456">
        <f>Memorias!D4306</f>
        <v>5.2</v>
      </c>
      <c r="F152" s="494"/>
      <c r="G152" s="446">
        <f t="shared" si="110"/>
        <v>0</v>
      </c>
      <c r="H152" s="447"/>
      <c r="I152" s="448">
        <f t="shared" si="102"/>
        <v>0</v>
      </c>
      <c r="J152" s="449">
        <f t="shared" si="111"/>
        <v>5.2</v>
      </c>
      <c r="K152" s="450">
        <f t="shared" si="104"/>
        <v>0</v>
      </c>
      <c r="L152" s="243"/>
      <c r="M152" s="53"/>
      <c r="N152" s="60">
        <f t="shared" si="101"/>
        <v>0</v>
      </c>
      <c r="O152" s="243"/>
      <c r="P152" s="50"/>
      <c r="Q152" s="35">
        <f t="shared" si="105"/>
        <v>0</v>
      </c>
      <c r="R152" s="243"/>
      <c r="S152" s="53"/>
      <c r="T152" s="35">
        <f t="shared" si="106"/>
        <v>0</v>
      </c>
      <c r="V152" s="34">
        <f t="shared" si="107"/>
        <v>0</v>
      </c>
      <c r="W152" s="35">
        <f t="shared" si="108"/>
        <v>0</v>
      </c>
      <c r="X152" s="206">
        <f t="shared" si="109"/>
        <v>0</v>
      </c>
      <c r="Y152" s="206"/>
      <c r="Z152" s="34"/>
      <c r="AA152" s="75"/>
      <c r="AB152" s="206"/>
    </row>
    <row r="153" spans="1:28" ht="35.25" customHeight="1" x14ac:dyDescent="0.2">
      <c r="A153" s="465">
        <v>113</v>
      </c>
      <c r="B153" s="441" t="s">
        <v>276</v>
      </c>
      <c r="C153" s="499" t="s">
        <v>277</v>
      </c>
      <c r="D153" s="440" t="s">
        <v>29</v>
      </c>
      <c r="E153" s="475">
        <f>Memorias!D4328</f>
        <v>2</v>
      </c>
      <c r="F153" s="494"/>
      <c r="G153" s="446">
        <f t="shared" si="110"/>
        <v>0</v>
      </c>
      <c r="H153" s="447"/>
      <c r="I153" s="448">
        <f t="shared" si="102"/>
        <v>0</v>
      </c>
      <c r="J153" s="449">
        <f t="shared" si="111"/>
        <v>2</v>
      </c>
      <c r="K153" s="450">
        <f t="shared" si="104"/>
        <v>0</v>
      </c>
      <c r="L153" s="243"/>
      <c r="M153" s="53"/>
      <c r="N153" s="60">
        <f t="shared" si="101"/>
        <v>0</v>
      </c>
      <c r="O153" s="243"/>
      <c r="P153" s="50"/>
      <c r="Q153" s="35">
        <f t="shared" si="105"/>
        <v>0</v>
      </c>
      <c r="R153" s="243"/>
      <c r="S153" s="53"/>
      <c r="T153" s="35">
        <f t="shared" si="106"/>
        <v>0</v>
      </c>
      <c r="V153" s="34">
        <f t="shared" si="107"/>
        <v>0</v>
      </c>
      <c r="W153" s="35">
        <f t="shared" si="108"/>
        <v>0</v>
      </c>
      <c r="X153" s="206">
        <f t="shared" si="109"/>
        <v>0</v>
      </c>
      <c r="Y153" s="206"/>
      <c r="Z153" s="34"/>
      <c r="AA153" s="75"/>
      <c r="AB153" s="206"/>
    </row>
    <row r="154" spans="1:28" ht="39" customHeight="1" x14ac:dyDescent="0.2">
      <c r="A154" s="465">
        <v>114</v>
      </c>
      <c r="B154" s="441" t="s">
        <v>278</v>
      </c>
      <c r="C154" s="481" t="s">
        <v>279</v>
      </c>
      <c r="D154" s="440" t="s">
        <v>29</v>
      </c>
      <c r="E154" s="456">
        <f>Memorias!$D$4350</f>
        <v>2</v>
      </c>
      <c r="F154" s="445"/>
      <c r="G154" s="446">
        <f t="shared" si="110"/>
        <v>0</v>
      </c>
      <c r="H154" s="447"/>
      <c r="I154" s="448">
        <f t="shared" si="102"/>
        <v>0</v>
      </c>
      <c r="J154" s="449">
        <f t="shared" si="111"/>
        <v>2</v>
      </c>
      <c r="K154" s="450">
        <f t="shared" si="104"/>
        <v>0</v>
      </c>
      <c r="L154" s="243"/>
      <c r="M154" s="53"/>
      <c r="N154" s="60">
        <f t="shared" si="101"/>
        <v>0</v>
      </c>
      <c r="O154" s="243"/>
      <c r="P154" s="50"/>
      <c r="Q154" s="35">
        <f t="shared" ref="Q154:Q175" si="112">ROUND(P154*F154,0)</f>
        <v>0</v>
      </c>
      <c r="R154" s="243"/>
      <c r="S154" s="53"/>
      <c r="T154" s="35">
        <f t="shared" ref="T154:T175" si="113">ROUND(S154*F154,0)</f>
        <v>0</v>
      </c>
      <c r="V154" s="34">
        <f t="shared" ref="V154:V175" si="114">+M154+P154+S154</f>
        <v>0</v>
      </c>
      <c r="W154" s="35">
        <f t="shared" ref="W154:W175" si="115">+T154+Q154+N154</f>
        <v>0</v>
      </c>
      <c r="X154" s="206">
        <f t="shared" ref="X154:X175" si="116">IFERROR(V154/J154,"")</f>
        <v>0</v>
      </c>
      <c r="Y154" s="206"/>
      <c r="Z154" s="34"/>
      <c r="AA154" s="75"/>
      <c r="AB154" s="206"/>
    </row>
    <row r="155" spans="1:28" ht="34.15" customHeight="1" x14ac:dyDescent="0.2">
      <c r="A155" s="465">
        <v>115</v>
      </c>
      <c r="B155" s="441" t="s">
        <v>280</v>
      </c>
      <c r="C155" s="481" t="s">
        <v>281</v>
      </c>
      <c r="D155" s="440" t="s">
        <v>29</v>
      </c>
      <c r="E155" s="456">
        <f>Memorias!$D$4372</f>
        <v>1</v>
      </c>
      <c r="F155" s="445"/>
      <c r="G155" s="446">
        <f t="shared" si="110"/>
        <v>0</v>
      </c>
      <c r="H155" s="447"/>
      <c r="I155" s="448">
        <f t="shared" si="102"/>
        <v>0</v>
      </c>
      <c r="J155" s="449">
        <f t="shared" si="111"/>
        <v>1</v>
      </c>
      <c r="K155" s="450">
        <f t="shared" si="104"/>
        <v>0</v>
      </c>
      <c r="L155" s="243"/>
      <c r="M155" s="53"/>
      <c r="N155" s="60">
        <f t="shared" si="101"/>
        <v>0</v>
      </c>
      <c r="O155" s="243"/>
      <c r="P155" s="50"/>
      <c r="Q155" s="35">
        <f t="shared" si="112"/>
        <v>0</v>
      </c>
      <c r="R155" s="243"/>
      <c r="S155" s="53"/>
      <c r="T155" s="35">
        <f t="shared" si="113"/>
        <v>0</v>
      </c>
      <c r="V155" s="34">
        <f t="shared" si="114"/>
        <v>0</v>
      </c>
      <c r="W155" s="35">
        <f t="shared" si="115"/>
        <v>0</v>
      </c>
      <c r="X155" s="206">
        <f t="shared" si="116"/>
        <v>0</v>
      </c>
      <c r="Y155" s="206"/>
      <c r="Z155" s="34"/>
      <c r="AA155" s="75"/>
      <c r="AB155" s="206"/>
    </row>
    <row r="156" spans="1:28" ht="24" x14ac:dyDescent="0.2">
      <c r="A156" s="465">
        <v>116</v>
      </c>
      <c r="B156" s="441" t="s">
        <v>282</v>
      </c>
      <c r="C156" s="471" t="s">
        <v>283</v>
      </c>
      <c r="D156" s="443" t="s">
        <v>29</v>
      </c>
      <c r="E156" s="456">
        <f>Memorias!$D$4394</f>
        <v>2</v>
      </c>
      <c r="F156" s="476"/>
      <c r="G156" s="446">
        <f t="shared" si="110"/>
        <v>0</v>
      </c>
      <c r="H156" s="447"/>
      <c r="I156" s="448">
        <f t="shared" si="102"/>
        <v>0</v>
      </c>
      <c r="J156" s="449">
        <f t="shared" si="111"/>
        <v>2</v>
      </c>
      <c r="K156" s="450">
        <f t="shared" si="104"/>
        <v>0</v>
      </c>
      <c r="L156" s="243"/>
      <c r="M156" s="53"/>
      <c r="N156" s="60">
        <f t="shared" si="101"/>
        <v>0</v>
      </c>
      <c r="O156" s="243"/>
      <c r="P156" s="50"/>
      <c r="Q156" s="35">
        <f t="shared" si="112"/>
        <v>0</v>
      </c>
      <c r="R156" s="243"/>
      <c r="S156" s="53"/>
      <c r="T156" s="35">
        <f t="shared" si="113"/>
        <v>0</v>
      </c>
      <c r="V156" s="34">
        <f t="shared" si="114"/>
        <v>0</v>
      </c>
      <c r="W156" s="35">
        <f t="shared" si="115"/>
        <v>0</v>
      </c>
      <c r="X156" s="206">
        <f t="shared" si="116"/>
        <v>0</v>
      </c>
      <c r="Y156" s="206"/>
      <c r="Z156" s="34"/>
      <c r="AA156" s="75"/>
      <c r="AB156" s="206"/>
    </row>
    <row r="157" spans="1:28" ht="36" x14ac:dyDescent="0.2">
      <c r="A157" s="465">
        <v>117</v>
      </c>
      <c r="B157" s="441" t="s">
        <v>284</v>
      </c>
      <c r="C157" s="471" t="s">
        <v>285</v>
      </c>
      <c r="D157" s="443" t="s">
        <v>29</v>
      </c>
      <c r="E157" s="491">
        <f>Memorias!$D$4416</f>
        <v>2</v>
      </c>
      <c r="F157" s="476"/>
      <c r="G157" s="446">
        <f t="shared" si="110"/>
        <v>0</v>
      </c>
      <c r="H157" s="447"/>
      <c r="I157" s="448">
        <f t="shared" si="102"/>
        <v>0</v>
      </c>
      <c r="J157" s="449">
        <f t="shared" si="111"/>
        <v>2</v>
      </c>
      <c r="K157" s="450">
        <f t="shared" si="104"/>
        <v>0</v>
      </c>
      <c r="L157" s="243"/>
      <c r="M157" s="53"/>
      <c r="N157" s="60">
        <f t="shared" si="101"/>
        <v>0</v>
      </c>
      <c r="O157" s="243"/>
      <c r="P157" s="50"/>
      <c r="Q157" s="35">
        <f t="shared" si="112"/>
        <v>0</v>
      </c>
      <c r="R157" s="243"/>
      <c r="S157" s="53"/>
      <c r="T157" s="35">
        <f t="shared" si="113"/>
        <v>0</v>
      </c>
      <c r="V157" s="34">
        <f t="shared" si="114"/>
        <v>0</v>
      </c>
      <c r="W157" s="35">
        <f t="shared" si="115"/>
        <v>0</v>
      </c>
      <c r="X157" s="206">
        <f t="shared" si="116"/>
        <v>0</v>
      </c>
      <c r="Y157" s="206"/>
      <c r="Z157" s="34"/>
      <c r="AA157" s="75"/>
      <c r="AB157" s="206"/>
    </row>
    <row r="158" spans="1:28" ht="38.450000000000003" customHeight="1" x14ac:dyDescent="0.2">
      <c r="A158" s="465">
        <v>118</v>
      </c>
      <c r="B158" s="441" t="s">
        <v>280</v>
      </c>
      <c r="C158" s="471" t="s">
        <v>286</v>
      </c>
      <c r="D158" s="443" t="s">
        <v>29</v>
      </c>
      <c r="E158" s="491">
        <f>Memorias!D4438</f>
        <v>4</v>
      </c>
      <c r="F158" s="476"/>
      <c r="G158" s="446">
        <f t="shared" si="110"/>
        <v>0</v>
      </c>
      <c r="H158" s="447"/>
      <c r="I158" s="448">
        <f t="shared" si="102"/>
        <v>0</v>
      </c>
      <c r="J158" s="449">
        <f t="shared" si="111"/>
        <v>4</v>
      </c>
      <c r="K158" s="450">
        <f t="shared" si="104"/>
        <v>0</v>
      </c>
      <c r="L158" s="243"/>
      <c r="M158" s="53"/>
      <c r="N158" s="60">
        <f t="shared" si="101"/>
        <v>0</v>
      </c>
      <c r="O158" s="243"/>
      <c r="P158" s="50"/>
      <c r="Q158" s="35">
        <f t="shared" si="112"/>
        <v>0</v>
      </c>
      <c r="R158" s="243"/>
      <c r="S158" s="53"/>
      <c r="T158" s="35">
        <f t="shared" si="113"/>
        <v>0</v>
      </c>
      <c r="V158" s="34">
        <f t="shared" si="114"/>
        <v>0</v>
      </c>
      <c r="W158" s="35">
        <f t="shared" si="115"/>
        <v>0</v>
      </c>
      <c r="X158" s="206">
        <f t="shared" si="116"/>
        <v>0</v>
      </c>
      <c r="Y158" s="206"/>
      <c r="Z158" s="34"/>
      <c r="AA158" s="75"/>
      <c r="AB158" s="206"/>
    </row>
    <row r="159" spans="1:28" ht="36" x14ac:dyDescent="0.2">
      <c r="A159" s="465">
        <v>119</v>
      </c>
      <c r="B159" s="441" t="s">
        <v>287</v>
      </c>
      <c r="C159" s="471" t="s">
        <v>288</v>
      </c>
      <c r="D159" s="443" t="s">
        <v>29</v>
      </c>
      <c r="E159" s="491">
        <f>Memorias!D4460</f>
        <v>4</v>
      </c>
      <c r="F159" s="476"/>
      <c r="G159" s="446">
        <f t="shared" si="110"/>
        <v>0</v>
      </c>
      <c r="H159" s="447"/>
      <c r="I159" s="448">
        <f t="shared" si="102"/>
        <v>0</v>
      </c>
      <c r="J159" s="449">
        <f t="shared" si="111"/>
        <v>4</v>
      </c>
      <c r="K159" s="450">
        <f t="shared" si="104"/>
        <v>0</v>
      </c>
      <c r="L159" s="243"/>
      <c r="M159" s="53"/>
      <c r="N159" s="60">
        <f t="shared" si="101"/>
        <v>0</v>
      </c>
      <c r="O159" s="243"/>
      <c r="P159" s="50"/>
      <c r="Q159" s="35">
        <f t="shared" si="112"/>
        <v>0</v>
      </c>
      <c r="R159" s="243"/>
      <c r="S159" s="53"/>
      <c r="T159" s="35">
        <f t="shared" si="113"/>
        <v>0</v>
      </c>
      <c r="V159" s="34">
        <f t="shared" si="114"/>
        <v>0</v>
      </c>
      <c r="W159" s="35">
        <f t="shared" si="115"/>
        <v>0</v>
      </c>
      <c r="X159" s="206">
        <f t="shared" si="116"/>
        <v>0</v>
      </c>
      <c r="Y159" s="206"/>
      <c r="Z159" s="34"/>
      <c r="AA159" s="75"/>
      <c r="AB159" s="206"/>
    </row>
    <row r="160" spans="1:28" ht="52.5" customHeight="1" x14ac:dyDescent="0.2">
      <c r="A160" s="465">
        <v>120</v>
      </c>
      <c r="B160" s="441" t="s">
        <v>289</v>
      </c>
      <c r="C160" s="471" t="s">
        <v>290</v>
      </c>
      <c r="D160" s="443" t="s">
        <v>29</v>
      </c>
      <c r="E160" s="491">
        <f>Memorias!D4482</f>
        <v>2</v>
      </c>
      <c r="F160" s="476"/>
      <c r="G160" s="446">
        <f t="shared" si="110"/>
        <v>0</v>
      </c>
      <c r="H160" s="447"/>
      <c r="I160" s="448">
        <f t="shared" si="102"/>
        <v>0</v>
      </c>
      <c r="J160" s="449">
        <f t="shared" si="111"/>
        <v>2</v>
      </c>
      <c r="K160" s="450">
        <f t="shared" si="104"/>
        <v>0</v>
      </c>
      <c r="L160" s="243"/>
      <c r="M160" s="53"/>
      <c r="N160" s="60">
        <f t="shared" si="101"/>
        <v>0</v>
      </c>
      <c r="O160" s="243"/>
      <c r="P160" s="50"/>
      <c r="Q160" s="35">
        <f t="shared" si="112"/>
        <v>0</v>
      </c>
      <c r="R160" s="243"/>
      <c r="S160" s="53"/>
      <c r="T160" s="35">
        <f t="shared" si="113"/>
        <v>0</v>
      </c>
      <c r="V160" s="34">
        <f t="shared" si="114"/>
        <v>0</v>
      </c>
      <c r="W160" s="35">
        <f t="shared" si="115"/>
        <v>0</v>
      </c>
      <c r="X160" s="206">
        <f t="shared" si="116"/>
        <v>0</v>
      </c>
      <c r="Y160" s="206"/>
      <c r="Z160" s="34"/>
      <c r="AA160" s="75"/>
      <c r="AB160" s="206"/>
    </row>
    <row r="161" spans="1:29" ht="37.9" customHeight="1" x14ac:dyDescent="0.2">
      <c r="A161" s="465">
        <v>121</v>
      </c>
      <c r="B161" s="441" t="s">
        <v>291</v>
      </c>
      <c r="C161" s="471" t="s">
        <v>292</v>
      </c>
      <c r="D161" s="500" t="s">
        <v>29</v>
      </c>
      <c r="E161" s="501">
        <f>Memorias!D4504</f>
        <v>1</v>
      </c>
      <c r="F161" s="502"/>
      <c r="G161" s="446">
        <f t="shared" si="110"/>
        <v>0</v>
      </c>
      <c r="H161" s="447"/>
      <c r="I161" s="448">
        <f t="shared" si="102"/>
        <v>0</v>
      </c>
      <c r="J161" s="449">
        <f t="shared" si="111"/>
        <v>1</v>
      </c>
      <c r="K161" s="450">
        <f t="shared" si="104"/>
        <v>0</v>
      </c>
      <c r="L161" s="243"/>
      <c r="M161" s="50"/>
      <c r="N161" s="60">
        <f t="shared" si="101"/>
        <v>0</v>
      </c>
      <c r="O161" s="243"/>
      <c r="P161" s="50"/>
      <c r="Q161" s="35">
        <f t="shared" si="112"/>
        <v>0</v>
      </c>
      <c r="R161" s="243"/>
      <c r="S161" s="53"/>
      <c r="T161" s="35">
        <f t="shared" si="113"/>
        <v>0</v>
      </c>
      <c r="V161" s="34">
        <f t="shared" si="114"/>
        <v>0</v>
      </c>
      <c r="W161" s="35">
        <f t="shared" si="115"/>
        <v>0</v>
      </c>
      <c r="X161" s="206">
        <f t="shared" si="116"/>
        <v>0</v>
      </c>
      <c r="Z161" s="34">
        <f>J161-V161</f>
        <v>1</v>
      </c>
      <c r="AA161" s="75">
        <f>ROUND(Z161*F161,0)</f>
        <v>0</v>
      </c>
      <c r="AB161" s="206" t="str">
        <f>IFERROR(Z161/#REF!,"")</f>
        <v/>
      </c>
      <c r="AC161" s="4"/>
    </row>
    <row r="162" spans="1:29" ht="37.9" customHeight="1" x14ac:dyDescent="0.2">
      <c r="A162" s="465">
        <v>122</v>
      </c>
      <c r="B162" s="441" t="s">
        <v>291</v>
      </c>
      <c r="C162" s="471" t="s">
        <v>293</v>
      </c>
      <c r="D162" s="500" t="s">
        <v>29</v>
      </c>
      <c r="E162" s="501">
        <f>Memorias!D4526</f>
        <v>1</v>
      </c>
      <c r="F162" s="502"/>
      <c r="G162" s="446">
        <f t="shared" si="110"/>
        <v>0</v>
      </c>
      <c r="H162" s="447"/>
      <c r="I162" s="448">
        <f t="shared" si="102"/>
        <v>0</v>
      </c>
      <c r="J162" s="449">
        <f t="shared" si="111"/>
        <v>1</v>
      </c>
      <c r="K162" s="450">
        <f t="shared" si="104"/>
        <v>0</v>
      </c>
      <c r="L162" s="243"/>
      <c r="M162" s="50"/>
      <c r="N162" s="60">
        <f t="shared" si="101"/>
        <v>0</v>
      </c>
      <c r="O162" s="243"/>
      <c r="P162" s="50"/>
      <c r="Q162" s="35">
        <f t="shared" si="112"/>
        <v>0</v>
      </c>
      <c r="R162" s="243"/>
      <c r="S162" s="53"/>
      <c r="T162" s="35">
        <f t="shared" si="113"/>
        <v>0</v>
      </c>
      <c r="V162" s="34">
        <f t="shared" si="114"/>
        <v>0</v>
      </c>
      <c r="W162" s="35">
        <f t="shared" si="115"/>
        <v>0</v>
      </c>
      <c r="X162" s="206">
        <f t="shared" si="116"/>
        <v>0</v>
      </c>
      <c r="Z162" s="34">
        <f>J162-V162</f>
        <v>1</v>
      </c>
      <c r="AA162" s="75">
        <f>ROUND(Z162*F162,0)</f>
        <v>0</v>
      </c>
      <c r="AB162" s="206" t="str">
        <f>IFERROR(Z162/#REF!,"")</f>
        <v/>
      </c>
      <c r="AC162" s="4"/>
    </row>
    <row r="163" spans="1:29" ht="20.45" customHeight="1" x14ac:dyDescent="0.2">
      <c r="A163" s="465">
        <v>123</v>
      </c>
      <c r="B163" s="503" t="s">
        <v>112</v>
      </c>
      <c r="C163" s="504" t="s">
        <v>113</v>
      </c>
      <c r="D163" s="464" t="s">
        <v>51</v>
      </c>
      <c r="E163" s="456">
        <f>Memorias!$D$4577</f>
        <v>24.255000000000003</v>
      </c>
      <c r="F163" s="505"/>
      <c r="G163" s="446">
        <f t="shared" si="110"/>
        <v>0</v>
      </c>
      <c r="H163" s="447"/>
      <c r="I163" s="448">
        <f t="shared" si="102"/>
        <v>0</v>
      </c>
      <c r="J163" s="449">
        <f t="shared" si="111"/>
        <v>24.255000000000003</v>
      </c>
      <c r="K163" s="450">
        <f t="shared" si="104"/>
        <v>0</v>
      </c>
      <c r="L163" s="243"/>
      <c r="M163" s="53"/>
      <c r="N163" s="60">
        <f t="shared" si="101"/>
        <v>0</v>
      </c>
      <c r="O163" s="243"/>
      <c r="P163" s="50"/>
      <c r="Q163" s="35">
        <f t="shared" si="112"/>
        <v>0</v>
      </c>
      <c r="R163" s="243"/>
      <c r="S163" s="53"/>
      <c r="T163" s="35">
        <f t="shared" si="113"/>
        <v>0</v>
      </c>
      <c r="V163" s="34">
        <f t="shared" si="114"/>
        <v>0</v>
      </c>
      <c r="W163" s="35">
        <f t="shared" si="115"/>
        <v>0</v>
      </c>
      <c r="X163" s="206">
        <f t="shared" si="116"/>
        <v>0</v>
      </c>
      <c r="Y163" s="206"/>
      <c r="Z163" s="34"/>
      <c r="AA163" s="75"/>
      <c r="AB163" s="206"/>
    </row>
    <row r="164" spans="1:29" ht="22.5" customHeight="1" x14ac:dyDescent="0.2">
      <c r="A164" s="465">
        <v>124</v>
      </c>
      <c r="B164" s="503" t="s">
        <v>294</v>
      </c>
      <c r="C164" s="506" t="s">
        <v>117</v>
      </c>
      <c r="D164" s="464" t="s">
        <v>51</v>
      </c>
      <c r="E164" s="456">
        <f>Memorias!$D$4599</f>
        <v>60.637500000000003</v>
      </c>
      <c r="F164" s="497"/>
      <c r="G164" s="446">
        <f t="shared" si="110"/>
        <v>0</v>
      </c>
      <c r="H164" s="447"/>
      <c r="I164" s="448">
        <f t="shared" si="102"/>
        <v>0</v>
      </c>
      <c r="J164" s="449">
        <f t="shared" si="111"/>
        <v>60.637500000000003</v>
      </c>
      <c r="K164" s="450">
        <f t="shared" si="104"/>
        <v>0</v>
      </c>
      <c r="L164" s="243"/>
      <c r="M164" s="53"/>
      <c r="N164" s="60">
        <f t="shared" si="101"/>
        <v>0</v>
      </c>
      <c r="O164" s="243"/>
      <c r="P164" s="50"/>
      <c r="Q164" s="35">
        <f t="shared" si="112"/>
        <v>0</v>
      </c>
      <c r="R164" s="243"/>
      <c r="S164" s="53"/>
      <c r="T164" s="35">
        <f t="shared" si="113"/>
        <v>0</v>
      </c>
      <c r="V164" s="34">
        <f t="shared" si="114"/>
        <v>0</v>
      </c>
      <c r="W164" s="35">
        <f t="shared" si="115"/>
        <v>0</v>
      </c>
      <c r="X164" s="206">
        <f t="shared" si="116"/>
        <v>0</v>
      </c>
      <c r="Y164" s="206"/>
      <c r="Z164" s="34"/>
      <c r="AA164" s="75"/>
      <c r="AB164" s="206"/>
    </row>
    <row r="165" spans="1:29" ht="24" customHeight="1" x14ac:dyDescent="0.2">
      <c r="A165" s="465">
        <v>125</v>
      </c>
      <c r="B165" s="503" t="s">
        <v>118</v>
      </c>
      <c r="C165" s="507" t="s">
        <v>119</v>
      </c>
      <c r="D165" s="508" t="s">
        <v>51</v>
      </c>
      <c r="E165" s="456">
        <f>Memorias!$D$4621</f>
        <v>121.27500000000001</v>
      </c>
      <c r="F165" s="497"/>
      <c r="G165" s="446">
        <f t="shared" si="110"/>
        <v>0</v>
      </c>
      <c r="H165" s="447"/>
      <c r="I165" s="448">
        <f t="shared" si="102"/>
        <v>0</v>
      </c>
      <c r="J165" s="449">
        <f t="shared" si="111"/>
        <v>121.27500000000001</v>
      </c>
      <c r="K165" s="450">
        <f t="shared" si="104"/>
        <v>0</v>
      </c>
      <c r="L165" s="243"/>
      <c r="M165" s="53"/>
      <c r="N165" s="60">
        <f t="shared" si="101"/>
        <v>0</v>
      </c>
      <c r="O165" s="243"/>
      <c r="P165" s="50"/>
      <c r="Q165" s="35">
        <f t="shared" si="112"/>
        <v>0</v>
      </c>
      <c r="R165" s="243"/>
      <c r="S165" s="53"/>
      <c r="T165" s="35">
        <f t="shared" si="113"/>
        <v>0</v>
      </c>
      <c r="V165" s="34">
        <f t="shared" si="114"/>
        <v>0</v>
      </c>
      <c r="W165" s="35">
        <f t="shared" si="115"/>
        <v>0</v>
      </c>
      <c r="X165" s="206">
        <f t="shared" si="116"/>
        <v>0</v>
      </c>
      <c r="Y165" s="206"/>
      <c r="Z165" s="34"/>
      <c r="AA165" s="75"/>
      <c r="AB165" s="206"/>
    </row>
    <row r="166" spans="1:29" ht="19.899999999999999" customHeight="1" x14ac:dyDescent="0.2">
      <c r="A166" s="465">
        <v>126</v>
      </c>
      <c r="B166" s="503" t="s">
        <v>122</v>
      </c>
      <c r="C166" s="509" t="s">
        <v>123</v>
      </c>
      <c r="D166" s="510" t="s">
        <v>51</v>
      </c>
      <c r="E166" s="456">
        <f>Memorias!$D$4643</f>
        <v>19.8855</v>
      </c>
      <c r="F166" s="511"/>
      <c r="G166" s="446">
        <f t="shared" si="110"/>
        <v>0</v>
      </c>
      <c r="H166" s="447"/>
      <c r="I166" s="448">
        <f t="shared" ref="I166:I176" si="117">ROUND(H166*F166,0)</f>
        <v>0</v>
      </c>
      <c r="J166" s="449">
        <f t="shared" si="111"/>
        <v>19.8855</v>
      </c>
      <c r="K166" s="450">
        <f t="shared" si="104"/>
        <v>0</v>
      </c>
      <c r="L166" s="243"/>
      <c r="M166" s="53"/>
      <c r="N166" s="60">
        <f t="shared" ref="N166:N230" si="118">ROUND(+(N$94*$F166),0)</f>
        <v>0</v>
      </c>
      <c r="O166" s="243"/>
      <c r="P166" s="50"/>
      <c r="Q166" s="35">
        <f t="shared" si="112"/>
        <v>0</v>
      </c>
      <c r="R166" s="243"/>
      <c r="S166" s="53"/>
      <c r="T166" s="35">
        <f t="shared" si="113"/>
        <v>0</v>
      </c>
      <c r="V166" s="34">
        <f t="shared" si="114"/>
        <v>0</v>
      </c>
      <c r="W166" s="35">
        <f t="shared" si="115"/>
        <v>0</v>
      </c>
      <c r="X166" s="206">
        <f t="shared" si="116"/>
        <v>0</v>
      </c>
      <c r="Y166" s="206"/>
      <c r="Z166" s="34"/>
      <c r="AA166" s="75"/>
      <c r="AB166" s="206"/>
    </row>
    <row r="167" spans="1:29" ht="34.9" customHeight="1" x14ac:dyDescent="0.2">
      <c r="A167" s="465">
        <v>127</v>
      </c>
      <c r="B167" s="503" t="s">
        <v>114</v>
      </c>
      <c r="C167" s="512" t="s">
        <v>115</v>
      </c>
      <c r="D167" s="465" t="s">
        <v>51</v>
      </c>
      <c r="E167" s="466">
        <f>Memorias!$D$4665</f>
        <v>24.255000000000003</v>
      </c>
      <c r="F167" s="502"/>
      <c r="G167" s="446">
        <f t="shared" si="110"/>
        <v>0</v>
      </c>
      <c r="H167" s="447"/>
      <c r="I167" s="448">
        <f t="shared" si="117"/>
        <v>0</v>
      </c>
      <c r="J167" s="449">
        <f t="shared" si="111"/>
        <v>24.255000000000003</v>
      </c>
      <c r="K167" s="450">
        <f t="shared" si="104"/>
        <v>0</v>
      </c>
      <c r="L167" s="243"/>
      <c r="M167" s="53"/>
      <c r="N167" s="60">
        <f t="shared" si="118"/>
        <v>0</v>
      </c>
      <c r="O167" s="243"/>
      <c r="P167" s="50"/>
      <c r="Q167" s="35">
        <f t="shared" si="112"/>
        <v>0</v>
      </c>
      <c r="R167" s="243"/>
      <c r="S167" s="53"/>
      <c r="T167" s="35">
        <f t="shared" si="113"/>
        <v>0</v>
      </c>
      <c r="V167" s="34">
        <f t="shared" si="114"/>
        <v>0</v>
      </c>
      <c r="W167" s="35">
        <f t="shared" si="115"/>
        <v>0</v>
      </c>
      <c r="X167" s="206">
        <f t="shared" si="116"/>
        <v>0</v>
      </c>
      <c r="Y167" s="206"/>
      <c r="Z167" s="34"/>
      <c r="AA167" s="75"/>
      <c r="AB167" s="206"/>
    </row>
    <row r="168" spans="1:29" ht="24.75" customHeight="1" x14ac:dyDescent="0.2">
      <c r="A168" s="465">
        <v>128</v>
      </c>
      <c r="B168" s="503" t="s">
        <v>125</v>
      </c>
      <c r="C168" s="512" t="s">
        <v>126</v>
      </c>
      <c r="D168" s="465" t="s">
        <v>46</v>
      </c>
      <c r="E168" s="466">
        <f>Memorias!$D$4687</f>
        <v>15</v>
      </c>
      <c r="F168" s="502"/>
      <c r="G168" s="446">
        <f t="shared" si="110"/>
        <v>0</v>
      </c>
      <c r="H168" s="447"/>
      <c r="I168" s="448">
        <f t="shared" si="117"/>
        <v>0</v>
      </c>
      <c r="J168" s="449">
        <f t="shared" si="111"/>
        <v>15</v>
      </c>
      <c r="K168" s="450">
        <f t="shared" si="104"/>
        <v>0</v>
      </c>
      <c r="L168" s="243"/>
      <c r="M168" s="53"/>
      <c r="N168" s="60">
        <f t="shared" si="118"/>
        <v>0</v>
      </c>
      <c r="O168" s="243"/>
      <c r="P168" s="50"/>
      <c r="Q168" s="35">
        <f t="shared" si="112"/>
        <v>0</v>
      </c>
      <c r="R168" s="243"/>
      <c r="S168" s="53"/>
      <c r="T168" s="35">
        <f t="shared" si="113"/>
        <v>0</v>
      </c>
      <c r="V168" s="34">
        <f t="shared" si="114"/>
        <v>0</v>
      </c>
      <c r="W168" s="35">
        <f t="shared" si="115"/>
        <v>0</v>
      </c>
      <c r="X168" s="206">
        <f t="shared" si="116"/>
        <v>0</v>
      </c>
      <c r="Y168" s="206"/>
      <c r="Z168" s="34"/>
      <c r="AA168" s="75"/>
      <c r="AB168" s="206"/>
    </row>
    <row r="169" spans="1:29" ht="25.9" customHeight="1" x14ac:dyDescent="0.2">
      <c r="A169" s="465">
        <v>129</v>
      </c>
      <c r="B169" s="503" t="s">
        <v>295</v>
      </c>
      <c r="C169" s="513" t="s">
        <v>296</v>
      </c>
      <c r="D169" s="514" t="s">
        <v>29</v>
      </c>
      <c r="E169" s="515">
        <f>Memorias!D4709</f>
        <v>4</v>
      </c>
      <c r="F169" s="516"/>
      <c r="G169" s="446">
        <f t="shared" si="110"/>
        <v>0</v>
      </c>
      <c r="H169" s="447"/>
      <c r="I169" s="448">
        <f t="shared" si="117"/>
        <v>0</v>
      </c>
      <c r="J169" s="449">
        <f t="shared" si="111"/>
        <v>4</v>
      </c>
      <c r="K169" s="450">
        <f t="shared" si="104"/>
        <v>0</v>
      </c>
      <c r="L169" s="243"/>
      <c r="M169" s="53"/>
      <c r="N169" s="60">
        <f t="shared" si="118"/>
        <v>0</v>
      </c>
      <c r="O169" s="243"/>
      <c r="P169" s="50"/>
      <c r="Q169" s="35">
        <f t="shared" si="112"/>
        <v>0</v>
      </c>
      <c r="R169" s="243"/>
      <c r="S169" s="53"/>
      <c r="T169" s="35">
        <f t="shared" si="113"/>
        <v>0</v>
      </c>
      <c r="V169" s="34">
        <f t="shared" si="114"/>
        <v>0</v>
      </c>
      <c r="W169" s="35">
        <f t="shared" si="115"/>
        <v>0</v>
      </c>
      <c r="X169" s="206">
        <f t="shared" si="116"/>
        <v>0</v>
      </c>
      <c r="Y169" s="206"/>
      <c r="Z169" s="34"/>
      <c r="AA169" s="75"/>
      <c r="AB169" s="206"/>
    </row>
    <row r="170" spans="1:29" ht="46.5" customHeight="1" x14ac:dyDescent="0.2">
      <c r="A170" s="465">
        <v>130</v>
      </c>
      <c r="B170" s="503" t="s">
        <v>297</v>
      </c>
      <c r="C170" s="517" t="s">
        <v>298</v>
      </c>
      <c r="D170" s="518" t="s">
        <v>29</v>
      </c>
      <c r="E170" s="515">
        <f>Memorias!D4731</f>
        <v>4</v>
      </c>
      <c r="F170" s="516"/>
      <c r="G170" s="446">
        <f t="shared" si="110"/>
        <v>0</v>
      </c>
      <c r="H170" s="447"/>
      <c r="I170" s="448">
        <f t="shared" si="117"/>
        <v>0</v>
      </c>
      <c r="J170" s="449">
        <f t="shared" si="111"/>
        <v>4</v>
      </c>
      <c r="K170" s="450">
        <f t="shared" si="104"/>
        <v>0</v>
      </c>
      <c r="L170" s="243"/>
      <c r="M170" s="53"/>
      <c r="N170" s="60">
        <f t="shared" si="118"/>
        <v>0</v>
      </c>
      <c r="O170" s="243"/>
      <c r="P170" s="50"/>
      <c r="Q170" s="35">
        <f t="shared" si="112"/>
        <v>0</v>
      </c>
      <c r="R170" s="243"/>
      <c r="S170" s="53"/>
      <c r="T170" s="35">
        <f t="shared" si="113"/>
        <v>0</v>
      </c>
      <c r="V170" s="34">
        <f t="shared" si="114"/>
        <v>0</v>
      </c>
      <c r="W170" s="35">
        <f t="shared" si="115"/>
        <v>0</v>
      </c>
      <c r="X170" s="206">
        <f t="shared" si="116"/>
        <v>0</v>
      </c>
      <c r="Y170" s="206"/>
      <c r="Z170" s="34"/>
      <c r="AA170" s="75"/>
      <c r="AB170" s="206"/>
    </row>
    <row r="171" spans="1:29" ht="33.75" customHeight="1" x14ac:dyDescent="0.2">
      <c r="A171" s="465">
        <v>131</v>
      </c>
      <c r="B171" s="503" t="s">
        <v>299</v>
      </c>
      <c r="C171" s="519" t="s">
        <v>300</v>
      </c>
      <c r="D171" s="440" t="s">
        <v>29</v>
      </c>
      <c r="E171" s="493">
        <f>Memorias!D4753</f>
        <v>2</v>
      </c>
      <c r="F171" s="520"/>
      <c r="G171" s="446">
        <f t="shared" si="110"/>
        <v>0</v>
      </c>
      <c r="H171" s="447"/>
      <c r="I171" s="448">
        <f t="shared" si="117"/>
        <v>0</v>
      </c>
      <c r="J171" s="449">
        <f t="shared" si="111"/>
        <v>2</v>
      </c>
      <c r="K171" s="450">
        <f t="shared" si="104"/>
        <v>0</v>
      </c>
      <c r="L171" s="243"/>
      <c r="M171" s="53"/>
      <c r="N171" s="60">
        <f t="shared" si="118"/>
        <v>0</v>
      </c>
      <c r="O171" s="243"/>
      <c r="P171" s="50"/>
      <c r="Q171" s="35">
        <f t="shared" si="112"/>
        <v>0</v>
      </c>
      <c r="R171" s="243"/>
      <c r="S171" s="53"/>
      <c r="T171" s="35">
        <f t="shared" si="113"/>
        <v>0</v>
      </c>
      <c r="V171" s="34">
        <f t="shared" si="114"/>
        <v>0</v>
      </c>
      <c r="W171" s="35">
        <f t="shared" si="115"/>
        <v>0</v>
      </c>
      <c r="X171" s="206">
        <f t="shared" si="116"/>
        <v>0</v>
      </c>
      <c r="Y171" s="206"/>
      <c r="Z171" s="34"/>
      <c r="AA171" s="75"/>
      <c r="AB171" s="206"/>
    </row>
    <row r="172" spans="1:29" ht="27.75" customHeight="1" x14ac:dyDescent="0.2">
      <c r="A172" s="465">
        <v>132</v>
      </c>
      <c r="B172" s="441" t="s">
        <v>301</v>
      </c>
      <c r="C172" s="519" t="s">
        <v>302</v>
      </c>
      <c r="D172" s="440" t="s">
        <v>29</v>
      </c>
      <c r="E172" s="493">
        <f>Memorias!D4775</f>
        <v>2</v>
      </c>
      <c r="F172" s="520"/>
      <c r="G172" s="446">
        <f t="shared" si="110"/>
        <v>0</v>
      </c>
      <c r="H172" s="447"/>
      <c r="I172" s="448">
        <f t="shared" si="117"/>
        <v>0</v>
      </c>
      <c r="J172" s="449">
        <f t="shared" si="111"/>
        <v>2</v>
      </c>
      <c r="K172" s="450">
        <f t="shared" si="104"/>
        <v>0</v>
      </c>
      <c r="L172" s="243"/>
      <c r="M172" s="53"/>
      <c r="N172" s="60">
        <f t="shared" si="118"/>
        <v>0</v>
      </c>
      <c r="O172" s="243"/>
      <c r="P172" s="50"/>
      <c r="Q172" s="35">
        <f t="shared" si="112"/>
        <v>0</v>
      </c>
      <c r="R172" s="243"/>
      <c r="S172" s="53"/>
      <c r="T172" s="35">
        <f t="shared" si="113"/>
        <v>0</v>
      </c>
      <c r="V172" s="34">
        <f t="shared" si="114"/>
        <v>0</v>
      </c>
      <c r="W172" s="35">
        <f t="shared" si="115"/>
        <v>0</v>
      </c>
      <c r="X172" s="206">
        <f t="shared" si="116"/>
        <v>0</v>
      </c>
      <c r="Y172" s="206"/>
      <c r="Z172" s="34"/>
      <c r="AA172" s="75"/>
      <c r="AB172" s="206"/>
    </row>
    <row r="173" spans="1:29" ht="41.25" customHeight="1" x14ac:dyDescent="0.2">
      <c r="A173" s="465">
        <v>133</v>
      </c>
      <c r="B173" s="441" t="s">
        <v>146</v>
      </c>
      <c r="C173" s="521" t="s">
        <v>303</v>
      </c>
      <c r="D173" s="461" t="s">
        <v>29</v>
      </c>
      <c r="E173" s="456">
        <f>Memorias!D4797</f>
        <v>2</v>
      </c>
      <c r="F173" s="522"/>
      <c r="G173" s="446">
        <f t="shared" si="110"/>
        <v>0</v>
      </c>
      <c r="H173" s="447"/>
      <c r="I173" s="448">
        <f t="shared" si="117"/>
        <v>0</v>
      </c>
      <c r="J173" s="449">
        <f t="shared" si="111"/>
        <v>2</v>
      </c>
      <c r="K173" s="450">
        <f t="shared" si="104"/>
        <v>0</v>
      </c>
      <c r="L173" s="243"/>
      <c r="M173" s="53"/>
      <c r="N173" s="60">
        <f t="shared" si="118"/>
        <v>0</v>
      </c>
      <c r="O173" s="243"/>
      <c r="P173" s="50"/>
      <c r="Q173" s="35">
        <f t="shared" si="112"/>
        <v>0</v>
      </c>
      <c r="R173" s="243"/>
      <c r="S173" s="53"/>
      <c r="T173" s="35">
        <f t="shared" si="113"/>
        <v>0</v>
      </c>
      <c r="V173" s="34">
        <f t="shared" si="114"/>
        <v>0</v>
      </c>
      <c r="W173" s="35">
        <f t="shared" si="115"/>
        <v>0</v>
      </c>
      <c r="X173" s="206">
        <f t="shared" si="116"/>
        <v>0</v>
      </c>
      <c r="Y173" s="206"/>
      <c r="Z173" s="34"/>
      <c r="AA173" s="75"/>
      <c r="AB173" s="206"/>
    </row>
    <row r="174" spans="1:29" ht="48" x14ac:dyDescent="0.2">
      <c r="A174" s="465">
        <v>134</v>
      </c>
      <c r="B174" s="441" t="s">
        <v>148</v>
      </c>
      <c r="C174" s="521" t="s">
        <v>304</v>
      </c>
      <c r="D174" s="461" t="s">
        <v>29</v>
      </c>
      <c r="E174" s="456">
        <f>Memorias!D4819</f>
        <v>3</v>
      </c>
      <c r="F174" s="522"/>
      <c r="G174" s="446">
        <f t="shared" si="110"/>
        <v>0</v>
      </c>
      <c r="H174" s="447"/>
      <c r="I174" s="448">
        <f t="shared" si="117"/>
        <v>0</v>
      </c>
      <c r="J174" s="449">
        <f t="shared" si="111"/>
        <v>3</v>
      </c>
      <c r="K174" s="450">
        <f t="shared" si="104"/>
        <v>0</v>
      </c>
      <c r="L174" s="243"/>
      <c r="M174" s="53"/>
      <c r="N174" s="60">
        <f t="shared" si="118"/>
        <v>0</v>
      </c>
      <c r="O174" s="243"/>
      <c r="P174" s="50"/>
      <c r="Q174" s="35">
        <f t="shared" si="112"/>
        <v>0</v>
      </c>
      <c r="R174" s="243"/>
      <c r="S174" s="53"/>
      <c r="T174" s="35">
        <f t="shared" si="113"/>
        <v>0</v>
      </c>
      <c r="V174" s="34">
        <f t="shared" si="114"/>
        <v>0</v>
      </c>
      <c r="W174" s="35">
        <f t="shared" si="115"/>
        <v>0</v>
      </c>
      <c r="X174" s="206">
        <f t="shared" si="116"/>
        <v>0</v>
      </c>
      <c r="Y174" s="206"/>
      <c r="Z174" s="34"/>
      <c r="AA174" s="75"/>
      <c r="AB174" s="206"/>
    </row>
    <row r="175" spans="1:29" ht="25.9" customHeight="1" x14ac:dyDescent="0.2">
      <c r="A175" s="465">
        <v>135</v>
      </c>
      <c r="B175" s="441" t="s">
        <v>305</v>
      </c>
      <c r="C175" s="513" t="s">
        <v>306</v>
      </c>
      <c r="D175" s="514" t="s">
        <v>132</v>
      </c>
      <c r="E175" s="515">
        <f>Memorias!D4841</f>
        <v>1</v>
      </c>
      <c r="F175" s="523"/>
      <c r="G175" s="446">
        <f t="shared" si="110"/>
        <v>0</v>
      </c>
      <c r="H175" s="458"/>
      <c r="I175" s="448">
        <f t="shared" si="117"/>
        <v>0</v>
      </c>
      <c r="J175" s="449">
        <f t="shared" si="111"/>
        <v>1</v>
      </c>
      <c r="K175" s="450">
        <f t="shared" si="104"/>
        <v>0</v>
      </c>
      <c r="L175" s="243"/>
      <c r="M175" s="334"/>
      <c r="N175" s="60">
        <f t="shared" si="118"/>
        <v>0</v>
      </c>
      <c r="O175" s="243"/>
      <c r="P175" s="50"/>
      <c r="Q175" s="35">
        <f t="shared" si="112"/>
        <v>0</v>
      </c>
      <c r="R175" s="243"/>
      <c r="S175" s="53"/>
      <c r="T175" s="35">
        <f t="shared" si="113"/>
        <v>0</v>
      </c>
      <c r="V175" s="34">
        <f t="shared" si="114"/>
        <v>0</v>
      </c>
      <c r="W175" s="35">
        <f t="shared" si="115"/>
        <v>0</v>
      </c>
      <c r="X175" s="206">
        <f t="shared" si="116"/>
        <v>0</v>
      </c>
      <c r="Y175" s="207"/>
      <c r="Z175" s="34"/>
      <c r="AA175" s="75"/>
      <c r="AB175" s="206"/>
    </row>
    <row r="176" spans="1:29" ht="25.9" customHeight="1" x14ac:dyDescent="0.2">
      <c r="A176" s="465">
        <v>136</v>
      </c>
      <c r="B176" s="525" t="s">
        <v>307</v>
      </c>
      <c r="C176" s="513" t="s">
        <v>308</v>
      </c>
      <c r="D176" s="461" t="s">
        <v>29</v>
      </c>
      <c r="E176" s="526">
        <f>Memorias!D4863</f>
        <v>1</v>
      </c>
      <c r="F176" s="527"/>
      <c r="G176" s="528"/>
      <c r="H176" s="458"/>
      <c r="I176" s="448">
        <f t="shared" si="117"/>
        <v>0</v>
      </c>
      <c r="J176" s="529"/>
      <c r="K176" s="450">
        <f t="shared" si="104"/>
        <v>0</v>
      </c>
      <c r="L176" s="243"/>
      <c r="M176" s="427"/>
      <c r="N176" s="428"/>
      <c r="O176" s="243"/>
      <c r="P176" s="50"/>
      <c r="Q176" s="35"/>
      <c r="R176" s="243"/>
      <c r="S176" s="53"/>
      <c r="T176" s="35"/>
      <c r="V176" s="34"/>
      <c r="W176" s="405"/>
      <c r="X176" s="206"/>
      <c r="Y176" s="207"/>
      <c r="Z176" s="34"/>
      <c r="AA176" s="75"/>
      <c r="AB176" s="206"/>
    </row>
    <row r="177" spans="1:31" ht="15" customHeight="1" x14ac:dyDescent="0.2">
      <c r="A177" s="613" t="s">
        <v>309</v>
      </c>
      <c r="B177" s="722"/>
      <c r="C177" s="615"/>
      <c r="D177" s="616"/>
      <c r="E177" s="617"/>
      <c r="F177" s="618"/>
      <c r="G177" s="619"/>
      <c r="H177" s="477"/>
      <c r="I177" s="478"/>
      <c r="J177" s="479"/>
      <c r="K177" s="450">
        <f t="shared" si="104"/>
        <v>0</v>
      </c>
      <c r="L177" s="243"/>
      <c r="M177" s="415"/>
      <c r="N177" s="416"/>
      <c r="O177" s="243"/>
      <c r="P177" s="39"/>
      <c r="Q177" s="40"/>
      <c r="R177" s="243"/>
      <c r="S177" s="39"/>
      <c r="T177" s="40"/>
      <c r="V177" s="42"/>
      <c r="W177" s="76"/>
      <c r="X177" s="77"/>
      <c r="Y177" s="217"/>
      <c r="Z177" s="34">
        <f>J177-V177</f>
        <v>0</v>
      </c>
      <c r="AA177" s="76"/>
      <c r="AB177" s="77"/>
      <c r="AC177" s="4"/>
      <c r="AE177" s="28"/>
    </row>
    <row r="178" spans="1:31" ht="27.75" customHeight="1" x14ac:dyDescent="0.2">
      <c r="A178" s="465">
        <v>137</v>
      </c>
      <c r="B178" s="441" t="s">
        <v>310</v>
      </c>
      <c r="C178" s="530" t="s">
        <v>311</v>
      </c>
      <c r="D178" s="440" t="s">
        <v>29</v>
      </c>
      <c r="E178" s="531">
        <f>Memorias!D4888</f>
        <v>1</v>
      </c>
      <c r="F178" s="532">
        <f>L178</f>
        <v>0</v>
      </c>
      <c r="G178" s="446">
        <f>ROUND(F178*E178,0)</f>
        <v>0</v>
      </c>
      <c r="H178" s="447"/>
      <c r="I178" s="448">
        <f t="shared" ref="I178:I206" si="119">ROUND(H178*F178,0)</f>
        <v>0</v>
      </c>
      <c r="J178" s="449">
        <f t="shared" ref="J178" si="120">+H178+E178</f>
        <v>1</v>
      </c>
      <c r="K178" s="450">
        <f t="shared" si="104"/>
        <v>0</v>
      </c>
      <c r="L178" s="243"/>
      <c r="M178" s="53"/>
      <c r="N178" s="406">
        <f t="shared" si="118"/>
        <v>0</v>
      </c>
      <c r="O178" s="243"/>
      <c r="P178" s="50"/>
      <c r="Q178" s="35">
        <f t="shared" ref="Q178:Q196" si="121">ROUND(P178*F178,0)</f>
        <v>0</v>
      </c>
      <c r="R178" s="243"/>
      <c r="S178" s="53"/>
      <c r="T178" s="35">
        <f t="shared" ref="T178:T196" si="122">ROUND(S178*F178,0)</f>
        <v>0</v>
      </c>
      <c r="V178" s="34">
        <f t="shared" ref="V178:V196" si="123">+M178+P178+S178</f>
        <v>0</v>
      </c>
      <c r="W178" s="35">
        <f t="shared" ref="W178:W196" si="124">+T178+Q178+N178</f>
        <v>0</v>
      </c>
      <c r="X178" s="206">
        <f t="shared" ref="X178:X196" si="125">IFERROR(V178/J178,"")</f>
        <v>0</v>
      </c>
      <c r="Y178" s="206"/>
      <c r="Z178" s="34"/>
      <c r="AA178" s="75"/>
      <c r="AB178" s="206"/>
    </row>
    <row r="179" spans="1:31" ht="88.5" customHeight="1" x14ac:dyDescent="0.2">
      <c r="A179" s="465">
        <v>138</v>
      </c>
      <c r="B179" s="441" t="s">
        <v>169</v>
      </c>
      <c r="C179" s="530" t="s">
        <v>170</v>
      </c>
      <c r="D179" s="532" t="s">
        <v>46</v>
      </c>
      <c r="E179" s="444">
        <f>Memorias!D4910</f>
        <v>1.8</v>
      </c>
      <c r="F179" s="532">
        <f>L179</f>
        <v>0</v>
      </c>
      <c r="G179" s="446">
        <f t="shared" ref="G179:G181" si="126">ROUND(F179*E179,0)</f>
        <v>0</v>
      </c>
      <c r="H179" s="447"/>
      <c r="I179" s="448">
        <f t="shared" si="119"/>
        <v>0</v>
      </c>
      <c r="J179" s="449">
        <f t="shared" ref="J179:J196" si="127">+H179+E179</f>
        <v>1.8</v>
      </c>
      <c r="K179" s="450">
        <f t="shared" si="104"/>
        <v>0</v>
      </c>
      <c r="L179" s="243"/>
      <c r="M179" s="53"/>
      <c r="N179" s="60">
        <f t="shared" si="118"/>
        <v>0</v>
      </c>
      <c r="O179" s="243"/>
      <c r="P179" s="50"/>
      <c r="Q179" s="35">
        <f t="shared" si="121"/>
        <v>0</v>
      </c>
      <c r="R179" s="243"/>
      <c r="S179" s="53"/>
      <c r="T179" s="35">
        <f t="shared" si="122"/>
        <v>0</v>
      </c>
      <c r="V179" s="34">
        <f t="shared" si="123"/>
        <v>0</v>
      </c>
      <c r="W179" s="35">
        <f t="shared" si="124"/>
        <v>0</v>
      </c>
      <c r="X179" s="206">
        <f t="shared" si="125"/>
        <v>0</v>
      </c>
      <c r="Y179" s="206"/>
      <c r="Z179" s="34"/>
      <c r="AA179" s="75"/>
      <c r="AB179" s="206"/>
    </row>
    <row r="180" spans="1:31" ht="87.75" customHeight="1" x14ac:dyDescent="0.2">
      <c r="A180" s="465">
        <v>139</v>
      </c>
      <c r="B180" s="441" t="s">
        <v>312</v>
      </c>
      <c r="C180" s="530" t="s">
        <v>313</v>
      </c>
      <c r="D180" s="533" t="s">
        <v>29</v>
      </c>
      <c r="E180" s="444">
        <f>Memorias!D4932</f>
        <v>1</v>
      </c>
      <c r="F180" s="533">
        <f>L180</f>
        <v>0</v>
      </c>
      <c r="G180" s="446">
        <f t="shared" si="126"/>
        <v>0</v>
      </c>
      <c r="H180" s="447"/>
      <c r="I180" s="448">
        <f t="shared" si="119"/>
        <v>0</v>
      </c>
      <c r="J180" s="449">
        <f t="shared" si="127"/>
        <v>1</v>
      </c>
      <c r="K180" s="450">
        <f t="shared" si="104"/>
        <v>0</v>
      </c>
      <c r="L180" s="243"/>
      <c r="M180" s="53"/>
      <c r="N180" s="60">
        <f t="shared" si="118"/>
        <v>0</v>
      </c>
      <c r="O180" s="243"/>
      <c r="P180" s="50"/>
      <c r="Q180" s="35">
        <f t="shared" si="121"/>
        <v>0</v>
      </c>
      <c r="R180" s="243"/>
      <c r="S180" s="53"/>
      <c r="T180" s="35">
        <f t="shared" si="122"/>
        <v>0</v>
      </c>
      <c r="V180" s="34">
        <f t="shared" si="123"/>
        <v>0</v>
      </c>
      <c r="W180" s="35">
        <f t="shared" si="124"/>
        <v>0</v>
      </c>
      <c r="X180" s="206">
        <f t="shared" si="125"/>
        <v>0</v>
      </c>
      <c r="Y180" s="206"/>
      <c r="Z180" s="34"/>
      <c r="AA180" s="75"/>
      <c r="AB180" s="206"/>
    </row>
    <row r="181" spans="1:31" ht="64.5" customHeight="1" x14ac:dyDescent="0.2">
      <c r="A181" s="465">
        <v>140</v>
      </c>
      <c r="B181" s="441" t="s">
        <v>314</v>
      </c>
      <c r="C181" s="530" t="s">
        <v>315</v>
      </c>
      <c r="D181" s="533" t="s">
        <v>29</v>
      </c>
      <c r="E181" s="444">
        <f>Memorias!D4954</f>
        <v>1</v>
      </c>
      <c r="F181" s="445">
        <f>M181</f>
        <v>0</v>
      </c>
      <c r="G181" s="446">
        <f t="shared" si="126"/>
        <v>0</v>
      </c>
      <c r="H181" s="447"/>
      <c r="I181" s="448">
        <f t="shared" si="119"/>
        <v>0</v>
      </c>
      <c r="J181" s="449">
        <f t="shared" si="127"/>
        <v>1</v>
      </c>
      <c r="K181" s="450">
        <f t="shared" si="104"/>
        <v>0</v>
      </c>
      <c r="L181" s="243"/>
      <c r="M181" s="53"/>
      <c r="N181" s="60">
        <f t="shared" si="118"/>
        <v>0</v>
      </c>
      <c r="O181" s="243"/>
      <c r="P181" s="50"/>
      <c r="Q181" s="35">
        <f t="shared" si="121"/>
        <v>0</v>
      </c>
      <c r="R181" s="243"/>
      <c r="S181" s="53"/>
      <c r="T181" s="35">
        <f t="shared" si="122"/>
        <v>0</v>
      </c>
      <c r="V181" s="34">
        <f t="shared" si="123"/>
        <v>0</v>
      </c>
      <c r="W181" s="35">
        <f t="shared" si="124"/>
        <v>0</v>
      </c>
      <c r="X181" s="206">
        <f t="shared" si="125"/>
        <v>0</v>
      </c>
      <c r="Y181" s="206"/>
      <c r="Z181" s="34"/>
      <c r="AA181" s="75"/>
      <c r="AB181" s="206"/>
    </row>
    <row r="182" spans="1:31" ht="42" customHeight="1" x14ac:dyDescent="0.2">
      <c r="A182" s="465">
        <v>141</v>
      </c>
      <c r="B182" s="441" t="s">
        <v>228</v>
      </c>
      <c r="C182" s="471" t="s">
        <v>229</v>
      </c>
      <c r="D182" s="461" t="s">
        <v>51</v>
      </c>
      <c r="E182" s="456">
        <f>Memorias!D4976</f>
        <v>4.6899999999999995</v>
      </c>
      <c r="F182" s="476"/>
      <c r="G182" s="446">
        <f>ROUND(F182*E182,0)</f>
        <v>0</v>
      </c>
      <c r="H182" s="447"/>
      <c r="I182" s="448">
        <f t="shared" si="119"/>
        <v>0</v>
      </c>
      <c r="J182" s="449">
        <f t="shared" si="127"/>
        <v>4.6899999999999995</v>
      </c>
      <c r="K182" s="450">
        <f t="shared" si="104"/>
        <v>0</v>
      </c>
      <c r="L182" s="243"/>
      <c r="M182" s="53"/>
      <c r="N182" s="60">
        <f t="shared" si="118"/>
        <v>0</v>
      </c>
      <c r="O182" s="243"/>
      <c r="P182" s="50"/>
      <c r="Q182" s="35">
        <f t="shared" si="121"/>
        <v>0</v>
      </c>
      <c r="R182" s="243"/>
      <c r="S182" s="53"/>
      <c r="T182" s="35">
        <f t="shared" si="122"/>
        <v>0</v>
      </c>
      <c r="V182" s="34">
        <f t="shared" si="123"/>
        <v>0</v>
      </c>
      <c r="W182" s="35">
        <f t="shared" si="124"/>
        <v>0</v>
      </c>
      <c r="X182" s="206">
        <f t="shared" si="125"/>
        <v>0</v>
      </c>
      <c r="Y182" s="206"/>
      <c r="Z182" s="34"/>
      <c r="AA182" s="75"/>
      <c r="AB182" s="206"/>
    </row>
    <row r="183" spans="1:31" ht="28.9" customHeight="1" x14ac:dyDescent="0.2">
      <c r="A183" s="465">
        <v>142</v>
      </c>
      <c r="B183" s="441" t="s">
        <v>316</v>
      </c>
      <c r="C183" s="471" t="s">
        <v>317</v>
      </c>
      <c r="D183" s="443" t="s">
        <v>51</v>
      </c>
      <c r="E183" s="456">
        <f>Memorias!D4998</f>
        <v>4.6899999999999995</v>
      </c>
      <c r="F183" s="476"/>
      <c r="G183" s="446">
        <f>ROUND(F183*E183,0)</f>
        <v>0</v>
      </c>
      <c r="H183" s="447"/>
      <c r="I183" s="448">
        <f t="shared" si="119"/>
        <v>0</v>
      </c>
      <c r="J183" s="449">
        <f t="shared" si="127"/>
        <v>4.6899999999999995</v>
      </c>
      <c r="K183" s="450">
        <f t="shared" si="104"/>
        <v>0</v>
      </c>
      <c r="L183" s="243"/>
      <c r="M183" s="53"/>
      <c r="N183" s="60">
        <f t="shared" si="118"/>
        <v>0</v>
      </c>
      <c r="O183" s="243"/>
      <c r="P183" s="50"/>
      <c r="Q183" s="35">
        <f t="shared" si="121"/>
        <v>0</v>
      </c>
      <c r="R183" s="243"/>
      <c r="S183" s="53"/>
      <c r="T183" s="35">
        <f t="shared" si="122"/>
        <v>0</v>
      </c>
      <c r="V183" s="34">
        <f t="shared" si="123"/>
        <v>0</v>
      </c>
      <c r="W183" s="35">
        <f t="shared" si="124"/>
        <v>0</v>
      </c>
      <c r="X183" s="206">
        <f t="shared" si="125"/>
        <v>0</v>
      </c>
      <c r="Y183" s="206"/>
      <c r="Z183" s="34"/>
      <c r="AA183" s="75"/>
      <c r="AB183" s="206"/>
    </row>
    <row r="184" spans="1:31" ht="69" customHeight="1" x14ac:dyDescent="0.2">
      <c r="A184" s="465">
        <v>143</v>
      </c>
      <c r="B184" s="441" t="s">
        <v>318</v>
      </c>
      <c r="C184" s="442" t="s">
        <v>319</v>
      </c>
      <c r="D184" s="465" t="s">
        <v>51</v>
      </c>
      <c r="E184" s="515">
        <f>Memorias!D5020</f>
        <v>4.6899999999999995</v>
      </c>
      <c r="F184" s="534"/>
      <c r="G184" s="446">
        <f>ROUND(F184*E184,0)</f>
        <v>0</v>
      </c>
      <c r="H184" s="447"/>
      <c r="I184" s="448">
        <f t="shared" si="119"/>
        <v>0</v>
      </c>
      <c r="J184" s="449">
        <f t="shared" si="127"/>
        <v>4.6899999999999995</v>
      </c>
      <c r="K184" s="450">
        <f t="shared" si="104"/>
        <v>0</v>
      </c>
      <c r="L184" s="243"/>
      <c r="M184" s="53"/>
      <c r="N184" s="60">
        <f t="shared" si="118"/>
        <v>0</v>
      </c>
      <c r="O184" s="243"/>
      <c r="P184" s="50"/>
      <c r="Q184" s="35">
        <f t="shared" si="121"/>
        <v>0</v>
      </c>
      <c r="R184" s="243"/>
      <c r="S184" s="53"/>
      <c r="T184" s="35">
        <f t="shared" si="122"/>
        <v>0</v>
      </c>
      <c r="V184" s="34">
        <f t="shared" si="123"/>
        <v>0</v>
      </c>
      <c r="W184" s="35">
        <f t="shared" si="124"/>
        <v>0</v>
      </c>
      <c r="X184" s="206">
        <f t="shared" si="125"/>
        <v>0</v>
      </c>
      <c r="Y184" s="206"/>
      <c r="Z184" s="34"/>
      <c r="AA184" s="75"/>
      <c r="AB184" s="206"/>
    </row>
    <row r="185" spans="1:31" ht="55.9" customHeight="1" x14ac:dyDescent="0.2">
      <c r="A185" s="465">
        <v>144</v>
      </c>
      <c r="B185" s="451" t="s">
        <v>99</v>
      </c>
      <c r="C185" s="535" t="s">
        <v>204</v>
      </c>
      <c r="D185" s="452" t="s">
        <v>51</v>
      </c>
      <c r="E185" s="453">
        <f>Memorias!D5020</f>
        <v>4.6899999999999995</v>
      </c>
      <c r="F185" s="460"/>
      <c r="G185" s="536">
        <f t="shared" ref="G185:G196" si="128">ROUND(F185*E185,0)</f>
        <v>0</v>
      </c>
      <c r="H185" s="447"/>
      <c r="I185" s="448">
        <f t="shared" si="119"/>
        <v>0</v>
      </c>
      <c r="J185" s="449">
        <f t="shared" si="127"/>
        <v>4.6899999999999995</v>
      </c>
      <c r="K185" s="450">
        <f t="shared" si="104"/>
        <v>0</v>
      </c>
      <c r="L185" s="243"/>
      <c r="M185" s="53"/>
      <c r="N185" s="60">
        <f t="shared" si="118"/>
        <v>0</v>
      </c>
      <c r="O185" s="243"/>
      <c r="P185" s="50"/>
      <c r="Q185" s="35">
        <f t="shared" si="121"/>
        <v>0</v>
      </c>
      <c r="R185" s="243"/>
      <c r="S185" s="53"/>
      <c r="T185" s="35">
        <f t="shared" si="122"/>
        <v>0</v>
      </c>
      <c r="V185" s="34">
        <f t="shared" si="123"/>
        <v>0</v>
      </c>
      <c r="W185" s="35">
        <f t="shared" si="124"/>
        <v>0</v>
      </c>
      <c r="X185" s="206">
        <f t="shared" si="125"/>
        <v>0</v>
      </c>
      <c r="Y185" s="206"/>
      <c r="Z185" s="34"/>
      <c r="AA185" s="75"/>
      <c r="AB185" s="206"/>
    </row>
    <row r="186" spans="1:31" ht="152.25" customHeight="1" x14ac:dyDescent="0.2">
      <c r="A186" s="465">
        <v>145</v>
      </c>
      <c r="B186" s="537" t="s">
        <v>320</v>
      </c>
      <c r="C186" s="442" t="s">
        <v>321</v>
      </c>
      <c r="D186" s="440" t="s">
        <v>29</v>
      </c>
      <c r="E186" s="456">
        <f>Memorias!D5064</f>
        <v>1</v>
      </c>
      <c r="F186" s="457"/>
      <c r="G186" s="536">
        <f t="shared" si="128"/>
        <v>0</v>
      </c>
      <c r="H186" s="447"/>
      <c r="I186" s="448">
        <f t="shared" si="119"/>
        <v>0</v>
      </c>
      <c r="J186" s="449">
        <f t="shared" si="127"/>
        <v>1</v>
      </c>
      <c r="K186" s="450">
        <f t="shared" ref="K186:K196" si="129">G186+I186</f>
        <v>0</v>
      </c>
      <c r="L186" s="243"/>
      <c r="M186" s="53"/>
      <c r="N186" s="60">
        <f t="shared" si="118"/>
        <v>0</v>
      </c>
      <c r="O186" s="243"/>
      <c r="P186" s="50"/>
      <c r="Q186" s="35">
        <f t="shared" si="121"/>
        <v>0</v>
      </c>
      <c r="R186" s="243"/>
      <c r="S186" s="53"/>
      <c r="T186" s="35">
        <f t="shared" si="122"/>
        <v>0</v>
      </c>
      <c r="V186" s="34">
        <f t="shared" si="123"/>
        <v>0</v>
      </c>
      <c r="W186" s="35">
        <f t="shared" si="124"/>
        <v>0</v>
      </c>
      <c r="X186" s="206">
        <f t="shared" si="125"/>
        <v>0</v>
      </c>
      <c r="Y186" s="206"/>
      <c r="Z186" s="34"/>
      <c r="AA186" s="75"/>
      <c r="AB186" s="206"/>
    </row>
    <row r="187" spans="1:31" ht="50.25" customHeight="1" x14ac:dyDescent="0.2">
      <c r="A187" s="465">
        <v>146</v>
      </c>
      <c r="B187" s="537" t="s">
        <v>322</v>
      </c>
      <c r="C187" s="538" t="s">
        <v>323</v>
      </c>
      <c r="D187" s="440" t="s">
        <v>29</v>
      </c>
      <c r="E187" s="456">
        <f>Memorias!D5086</f>
        <v>1</v>
      </c>
      <c r="F187" s="457"/>
      <c r="G187" s="536">
        <f t="shared" si="128"/>
        <v>0</v>
      </c>
      <c r="H187" s="447"/>
      <c r="I187" s="448">
        <f t="shared" si="119"/>
        <v>0</v>
      </c>
      <c r="J187" s="449">
        <f t="shared" si="127"/>
        <v>1</v>
      </c>
      <c r="K187" s="450">
        <f t="shared" si="129"/>
        <v>0</v>
      </c>
      <c r="L187" s="243"/>
      <c r="M187" s="53"/>
      <c r="N187" s="60">
        <f t="shared" si="118"/>
        <v>0</v>
      </c>
      <c r="O187" s="243"/>
      <c r="P187" s="50"/>
      <c r="Q187" s="35">
        <f t="shared" si="121"/>
        <v>0</v>
      </c>
      <c r="R187" s="243"/>
      <c r="S187" s="53"/>
      <c r="T187" s="35">
        <f t="shared" si="122"/>
        <v>0</v>
      </c>
      <c r="V187" s="34">
        <f t="shared" si="123"/>
        <v>0</v>
      </c>
      <c r="W187" s="35">
        <f t="shared" si="124"/>
        <v>0</v>
      </c>
      <c r="X187" s="206">
        <f t="shared" si="125"/>
        <v>0</v>
      </c>
      <c r="Y187" s="206"/>
      <c r="Z187" s="34"/>
      <c r="AA187" s="75"/>
      <c r="AB187" s="206"/>
    </row>
    <row r="188" spans="1:31" ht="60.6" customHeight="1" x14ac:dyDescent="0.2">
      <c r="A188" s="465">
        <v>147</v>
      </c>
      <c r="B188" s="537" t="s">
        <v>324</v>
      </c>
      <c r="C188" s="535" t="s">
        <v>325</v>
      </c>
      <c r="D188" s="440" t="s">
        <v>29</v>
      </c>
      <c r="E188" s="456">
        <f>Memorias!D5108</f>
        <v>1</v>
      </c>
      <c r="F188" s="457"/>
      <c r="G188" s="536">
        <f t="shared" si="128"/>
        <v>0</v>
      </c>
      <c r="H188" s="447"/>
      <c r="I188" s="448">
        <f t="shared" si="119"/>
        <v>0</v>
      </c>
      <c r="J188" s="449">
        <f t="shared" si="127"/>
        <v>1</v>
      </c>
      <c r="K188" s="450">
        <f t="shared" si="129"/>
        <v>0</v>
      </c>
      <c r="L188" s="243"/>
      <c r="M188" s="53"/>
      <c r="N188" s="60">
        <f t="shared" si="118"/>
        <v>0</v>
      </c>
      <c r="O188" s="243"/>
      <c r="P188" s="50"/>
      <c r="Q188" s="35">
        <f t="shared" si="121"/>
        <v>0</v>
      </c>
      <c r="R188" s="243"/>
      <c r="S188" s="53"/>
      <c r="T188" s="35">
        <f t="shared" si="122"/>
        <v>0</v>
      </c>
      <c r="V188" s="34">
        <f t="shared" si="123"/>
        <v>0</v>
      </c>
      <c r="W188" s="35">
        <f t="shared" si="124"/>
        <v>0</v>
      </c>
      <c r="X188" s="206">
        <f t="shared" si="125"/>
        <v>0</v>
      </c>
      <c r="Y188" s="206"/>
      <c r="Z188" s="34"/>
      <c r="AA188" s="75"/>
      <c r="AB188" s="206"/>
    </row>
    <row r="189" spans="1:31" ht="64.150000000000006" customHeight="1" x14ac:dyDescent="0.2">
      <c r="A189" s="465">
        <v>148</v>
      </c>
      <c r="B189" s="537" t="s">
        <v>326</v>
      </c>
      <c r="C189" s="442" t="s">
        <v>327</v>
      </c>
      <c r="D189" s="440" t="s">
        <v>29</v>
      </c>
      <c r="E189" s="456">
        <f>Memorias!D5130</f>
        <v>1</v>
      </c>
      <c r="F189" s="457"/>
      <c r="G189" s="536">
        <f t="shared" si="128"/>
        <v>0</v>
      </c>
      <c r="H189" s="447"/>
      <c r="I189" s="448">
        <f t="shared" si="119"/>
        <v>0</v>
      </c>
      <c r="J189" s="449">
        <f t="shared" si="127"/>
        <v>1</v>
      </c>
      <c r="K189" s="450">
        <f t="shared" si="129"/>
        <v>0</v>
      </c>
      <c r="L189" s="243"/>
      <c r="M189" s="53"/>
      <c r="N189" s="60">
        <f t="shared" si="118"/>
        <v>0</v>
      </c>
      <c r="O189" s="243"/>
      <c r="P189" s="50"/>
      <c r="Q189" s="35">
        <f t="shared" si="121"/>
        <v>0</v>
      </c>
      <c r="R189" s="243"/>
      <c r="S189" s="53"/>
      <c r="T189" s="35">
        <f t="shared" si="122"/>
        <v>0</v>
      </c>
      <c r="V189" s="34">
        <f t="shared" si="123"/>
        <v>0</v>
      </c>
      <c r="W189" s="35">
        <f t="shared" si="124"/>
        <v>0</v>
      </c>
      <c r="X189" s="206">
        <f t="shared" si="125"/>
        <v>0</v>
      </c>
      <c r="Y189" s="206"/>
      <c r="Z189" s="34"/>
      <c r="AA189" s="75"/>
      <c r="AB189" s="206"/>
    </row>
    <row r="190" spans="1:31" ht="66" customHeight="1" x14ac:dyDescent="0.2">
      <c r="A190" s="465">
        <v>149</v>
      </c>
      <c r="B190" s="537" t="s">
        <v>328</v>
      </c>
      <c r="C190" s="535" t="s">
        <v>329</v>
      </c>
      <c r="D190" s="452" t="s">
        <v>29</v>
      </c>
      <c r="E190" s="453">
        <f>Memorias!D5152</f>
        <v>1</v>
      </c>
      <c r="F190" s="539"/>
      <c r="G190" s="536">
        <f t="shared" si="128"/>
        <v>0</v>
      </c>
      <c r="H190" s="447"/>
      <c r="I190" s="448">
        <f t="shared" si="119"/>
        <v>0</v>
      </c>
      <c r="J190" s="449">
        <f t="shared" si="127"/>
        <v>1</v>
      </c>
      <c r="K190" s="450">
        <f t="shared" si="129"/>
        <v>0</v>
      </c>
      <c r="L190" s="243"/>
      <c r="M190" s="53"/>
      <c r="N190" s="60">
        <f t="shared" si="118"/>
        <v>0</v>
      </c>
      <c r="O190" s="243"/>
      <c r="P190" s="50"/>
      <c r="Q190" s="35">
        <f t="shared" si="121"/>
        <v>0</v>
      </c>
      <c r="R190" s="243"/>
      <c r="S190" s="53"/>
      <c r="T190" s="35">
        <f t="shared" si="122"/>
        <v>0</v>
      </c>
      <c r="V190" s="34">
        <f t="shared" si="123"/>
        <v>0</v>
      </c>
      <c r="W190" s="35">
        <f t="shared" si="124"/>
        <v>0</v>
      </c>
      <c r="X190" s="206">
        <f t="shared" si="125"/>
        <v>0</v>
      </c>
      <c r="Y190" s="206"/>
      <c r="Z190" s="34"/>
      <c r="AA190" s="75"/>
      <c r="AB190" s="206"/>
    </row>
    <row r="191" spans="1:31" ht="58.15" customHeight="1" x14ac:dyDescent="0.2">
      <c r="A191" s="465">
        <v>150</v>
      </c>
      <c r="B191" s="537" t="s">
        <v>330</v>
      </c>
      <c r="C191" s="519" t="s">
        <v>331</v>
      </c>
      <c r="D191" s="452" t="s">
        <v>29</v>
      </c>
      <c r="E191" s="475">
        <f>Memorias!D5174</f>
        <v>1</v>
      </c>
      <c r="F191" s="540"/>
      <c r="G191" s="536">
        <f t="shared" si="128"/>
        <v>0</v>
      </c>
      <c r="H191" s="447"/>
      <c r="I191" s="448">
        <f t="shared" si="119"/>
        <v>0</v>
      </c>
      <c r="J191" s="449">
        <f t="shared" si="127"/>
        <v>1</v>
      </c>
      <c r="K191" s="450">
        <f t="shared" si="129"/>
        <v>0</v>
      </c>
      <c r="L191" s="243"/>
      <c r="M191" s="53"/>
      <c r="N191" s="60">
        <f t="shared" si="118"/>
        <v>0</v>
      </c>
      <c r="O191" s="243"/>
      <c r="P191" s="50"/>
      <c r="Q191" s="35">
        <f t="shared" si="121"/>
        <v>0</v>
      </c>
      <c r="R191" s="243"/>
      <c r="S191" s="53"/>
      <c r="T191" s="35">
        <f t="shared" si="122"/>
        <v>0</v>
      </c>
      <c r="V191" s="34">
        <f t="shared" si="123"/>
        <v>0</v>
      </c>
      <c r="W191" s="35">
        <f t="shared" si="124"/>
        <v>0</v>
      </c>
      <c r="X191" s="206">
        <f t="shared" si="125"/>
        <v>0</v>
      </c>
      <c r="Y191" s="206"/>
      <c r="Z191" s="34"/>
      <c r="AA191" s="75"/>
      <c r="AB191" s="206"/>
    </row>
    <row r="192" spans="1:31" ht="69.75" customHeight="1" x14ac:dyDescent="0.2">
      <c r="A192" s="465">
        <v>151</v>
      </c>
      <c r="B192" s="537" t="s">
        <v>332</v>
      </c>
      <c r="C192" s="519" t="s">
        <v>333</v>
      </c>
      <c r="D192" s="452" t="s">
        <v>29</v>
      </c>
      <c r="E192" s="475">
        <f>Memorias!D5196</f>
        <v>1</v>
      </c>
      <c r="F192" s="540"/>
      <c r="G192" s="536">
        <f t="shared" si="128"/>
        <v>0</v>
      </c>
      <c r="H192" s="458"/>
      <c r="I192" s="448">
        <f t="shared" si="119"/>
        <v>0</v>
      </c>
      <c r="J192" s="449">
        <f t="shared" si="127"/>
        <v>1</v>
      </c>
      <c r="K192" s="450">
        <f t="shared" si="129"/>
        <v>0</v>
      </c>
      <c r="L192" s="243"/>
      <c r="M192" s="334"/>
      <c r="N192" s="60">
        <f t="shared" si="118"/>
        <v>0</v>
      </c>
      <c r="O192" s="243"/>
      <c r="P192" s="50"/>
      <c r="Q192" s="35">
        <f t="shared" si="121"/>
        <v>0</v>
      </c>
      <c r="R192" s="243"/>
      <c r="S192" s="53"/>
      <c r="T192" s="35">
        <f t="shared" si="122"/>
        <v>0</v>
      </c>
      <c r="V192" s="34">
        <f t="shared" si="123"/>
        <v>0</v>
      </c>
      <c r="W192" s="35">
        <f t="shared" si="124"/>
        <v>0</v>
      </c>
      <c r="X192" s="206">
        <f t="shared" si="125"/>
        <v>0</v>
      </c>
      <c r="Y192" s="207"/>
      <c r="Z192" s="34"/>
      <c r="AA192" s="75"/>
      <c r="AB192" s="206"/>
    </row>
    <row r="193" spans="1:31" ht="29.45" customHeight="1" x14ac:dyDescent="0.2">
      <c r="A193" s="465">
        <v>152</v>
      </c>
      <c r="B193" s="537" t="s">
        <v>239</v>
      </c>
      <c r="C193" s="519" t="s">
        <v>334</v>
      </c>
      <c r="D193" s="452" t="s">
        <v>46</v>
      </c>
      <c r="E193" s="493">
        <f>Memorias!D5218</f>
        <v>5</v>
      </c>
      <c r="F193" s="520"/>
      <c r="G193" s="536">
        <f t="shared" si="128"/>
        <v>0</v>
      </c>
      <c r="H193" s="458"/>
      <c r="I193" s="448">
        <f t="shared" si="119"/>
        <v>0</v>
      </c>
      <c r="J193" s="449">
        <f t="shared" si="127"/>
        <v>5</v>
      </c>
      <c r="K193" s="450">
        <f t="shared" si="129"/>
        <v>0</v>
      </c>
      <c r="L193" s="243"/>
      <c r="M193" s="334"/>
      <c r="N193" s="60">
        <f t="shared" si="118"/>
        <v>0</v>
      </c>
      <c r="O193" s="243"/>
      <c r="P193" s="50"/>
      <c r="Q193" s="35">
        <f t="shared" si="121"/>
        <v>0</v>
      </c>
      <c r="R193" s="243"/>
      <c r="S193" s="53"/>
      <c r="T193" s="35">
        <f t="shared" si="122"/>
        <v>0</v>
      </c>
      <c r="V193" s="34">
        <f t="shared" si="123"/>
        <v>0</v>
      </c>
      <c r="W193" s="35">
        <f t="shared" si="124"/>
        <v>0</v>
      </c>
      <c r="X193" s="206">
        <f t="shared" si="125"/>
        <v>0</v>
      </c>
      <c r="Y193" s="207"/>
      <c r="Z193" s="34"/>
      <c r="AA193" s="75"/>
      <c r="AB193" s="206"/>
    </row>
    <row r="194" spans="1:31" ht="37.15" customHeight="1" x14ac:dyDescent="0.2">
      <c r="A194" s="465">
        <v>153</v>
      </c>
      <c r="B194" s="537" t="s">
        <v>237</v>
      </c>
      <c r="C194" s="519" t="s">
        <v>335</v>
      </c>
      <c r="D194" s="452" t="s">
        <v>46</v>
      </c>
      <c r="E194" s="493">
        <f>Memorias!D5240</f>
        <v>5</v>
      </c>
      <c r="F194" s="520"/>
      <c r="G194" s="536">
        <f t="shared" si="128"/>
        <v>0</v>
      </c>
      <c r="H194" s="458"/>
      <c r="I194" s="448">
        <f t="shared" si="119"/>
        <v>0</v>
      </c>
      <c r="J194" s="449">
        <f t="shared" si="127"/>
        <v>5</v>
      </c>
      <c r="K194" s="450">
        <f t="shared" si="129"/>
        <v>0</v>
      </c>
      <c r="L194" s="243"/>
      <c r="M194" s="334"/>
      <c r="N194" s="60">
        <f t="shared" si="118"/>
        <v>0</v>
      </c>
      <c r="O194" s="243"/>
      <c r="P194" s="50"/>
      <c r="Q194" s="35">
        <f t="shared" si="121"/>
        <v>0</v>
      </c>
      <c r="R194" s="243"/>
      <c r="S194" s="53"/>
      <c r="T194" s="35">
        <f t="shared" si="122"/>
        <v>0</v>
      </c>
      <c r="V194" s="34">
        <f t="shared" si="123"/>
        <v>0</v>
      </c>
      <c r="W194" s="35">
        <f t="shared" si="124"/>
        <v>0</v>
      </c>
      <c r="X194" s="206">
        <f t="shared" si="125"/>
        <v>0</v>
      </c>
      <c r="Y194" s="207"/>
      <c r="Z194" s="34"/>
      <c r="AA194" s="75"/>
      <c r="AB194" s="206"/>
    </row>
    <row r="195" spans="1:31" ht="37.9" customHeight="1" x14ac:dyDescent="0.2">
      <c r="A195" s="465">
        <v>154</v>
      </c>
      <c r="B195" s="537" t="s">
        <v>336</v>
      </c>
      <c r="C195" s="519" t="s">
        <v>337</v>
      </c>
      <c r="D195" s="452" t="s">
        <v>46</v>
      </c>
      <c r="E195" s="493">
        <f>Memorias!D5262</f>
        <v>5</v>
      </c>
      <c r="F195" s="520"/>
      <c r="G195" s="536">
        <f t="shared" si="128"/>
        <v>0</v>
      </c>
      <c r="H195" s="458"/>
      <c r="I195" s="448">
        <f t="shared" si="119"/>
        <v>0</v>
      </c>
      <c r="J195" s="449">
        <f t="shared" si="127"/>
        <v>5</v>
      </c>
      <c r="K195" s="450">
        <f t="shared" si="129"/>
        <v>0</v>
      </c>
      <c r="L195" s="243"/>
      <c r="M195" s="334"/>
      <c r="N195" s="60">
        <f t="shared" si="118"/>
        <v>0</v>
      </c>
      <c r="O195" s="243"/>
      <c r="P195" s="50"/>
      <c r="Q195" s="35">
        <f t="shared" si="121"/>
        <v>0</v>
      </c>
      <c r="R195" s="243"/>
      <c r="S195" s="53"/>
      <c r="T195" s="35">
        <f t="shared" si="122"/>
        <v>0</v>
      </c>
      <c r="V195" s="34">
        <f t="shared" si="123"/>
        <v>0</v>
      </c>
      <c r="W195" s="35">
        <f t="shared" si="124"/>
        <v>0</v>
      </c>
      <c r="X195" s="206">
        <f t="shared" si="125"/>
        <v>0</v>
      </c>
      <c r="Y195" s="207"/>
      <c r="Z195" s="34"/>
      <c r="AA195" s="75"/>
      <c r="AB195" s="206"/>
    </row>
    <row r="196" spans="1:31" ht="69.599999999999994" customHeight="1" x14ac:dyDescent="0.2">
      <c r="A196" s="465">
        <v>155</v>
      </c>
      <c r="B196" s="537" t="s">
        <v>338</v>
      </c>
      <c r="C196" s="519" t="s">
        <v>339</v>
      </c>
      <c r="D196" s="452" t="s">
        <v>29</v>
      </c>
      <c r="E196" s="493">
        <f>Memorias!D5284</f>
        <v>1</v>
      </c>
      <c r="F196" s="520"/>
      <c r="G196" s="536">
        <f t="shared" si="128"/>
        <v>0</v>
      </c>
      <c r="H196" s="458"/>
      <c r="I196" s="448">
        <f t="shared" si="119"/>
        <v>0</v>
      </c>
      <c r="J196" s="449">
        <f t="shared" si="127"/>
        <v>1</v>
      </c>
      <c r="K196" s="450">
        <f t="shared" si="129"/>
        <v>0</v>
      </c>
      <c r="L196" s="243"/>
      <c r="M196" s="334"/>
      <c r="N196" s="60">
        <f t="shared" si="118"/>
        <v>0</v>
      </c>
      <c r="O196" s="243"/>
      <c r="P196" s="50"/>
      <c r="Q196" s="35">
        <f t="shared" si="121"/>
        <v>0</v>
      </c>
      <c r="R196" s="243"/>
      <c r="S196" s="53"/>
      <c r="T196" s="35">
        <f t="shared" si="122"/>
        <v>0</v>
      </c>
      <c r="V196" s="34">
        <f t="shared" si="123"/>
        <v>0</v>
      </c>
      <c r="W196" s="35">
        <f t="shared" si="124"/>
        <v>0</v>
      </c>
      <c r="X196" s="206">
        <f t="shared" si="125"/>
        <v>0</v>
      </c>
      <c r="Y196" s="207"/>
      <c r="Z196" s="34"/>
      <c r="AA196" s="75"/>
      <c r="AB196" s="206"/>
    </row>
    <row r="197" spans="1:31" ht="13.9" customHeight="1" x14ac:dyDescent="0.2">
      <c r="A197" s="694" t="s">
        <v>340</v>
      </c>
      <c r="B197" s="695"/>
      <c r="C197" s="695"/>
      <c r="D197" s="616"/>
      <c r="E197" s="617"/>
      <c r="F197" s="618"/>
      <c r="G197" s="619"/>
      <c r="H197" s="477"/>
      <c r="I197" s="478"/>
      <c r="J197" s="479"/>
      <c r="K197" s="480"/>
      <c r="L197" s="243"/>
      <c r="M197" s="415"/>
      <c r="N197" s="416"/>
      <c r="O197" s="243"/>
      <c r="P197" s="39"/>
      <c r="Q197" s="40"/>
      <c r="R197" s="243"/>
      <c r="S197" s="39"/>
      <c r="T197" s="40"/>
      <c r="V197" s="42"/>
      <c r="W197" s="76"/>
      <c r="X197" s="77"/>
      <c r="Y197" s="217"/>
      <c r="Z197" s="34">
        <f>J197-V197</f>
        <v>0</v>
      </c>
      <c r="AA197" s="76"/>
      <c r="AB197" s="77"/>
      <c r="AC197" s="4"/>
      <c r="AE197" s="28"/>
    </row>
    <row r="198" spans="1:31" ht="19.5" customHeight="1" x14ac:dyDescent="0.2">
      <c r="A198" s="440">
        <v>156</v>
      </c>
      <c r="B198" s="537" t="s">
        <v>341</v>
      </c>
      <c r="C198" s="519" t="s">
        <v>342</v>
      </c>
      <c r="D198" s="452" t="s">
        <v>29</v>
      </c>
      <c r="E198" s="493">
        <f>Memorias!D5306</f>
        <v>8</v>
      </c>
      <c r="F198" s="520"/>
      <c r="G198" s="536">
        <f>ROUND(F198*E198,0)</f>
        <v>0</v>
      </c>
      <c r="H198" s="458"/>
      <c r="I198" s="448">
        <f t="shared" si="119"/>
        <v>0</v>
      </c>
      <c r="J198" s="449">
        <f t="shared" ref="J198" si="130">+H198+E198</f>
        <v>8</v>
      </c>
      <c r="K198" s="450">
        <f t="shared" ref="K198:K206" si="131">G198+I198</f>
        <v>0</v>
      </c>
      <c r="L198" s="243"/>
      <c r="M198" s="334"/>
      <c r="N198" s="406">
        <f t="shared" si="118"/>
        <v>0</v>
      </c>
      <c r="O198" s="243"/>
      <c r="P198" s="50"/>
      <c r="Q198" s="35">
        <f t="shared" ref="Q198:Q205" si="132">ROUND(P198*F198,0)</f>
        <v>0</v>
      </c>
      <c r="R198" s="243"/>
      <c r="S198" s="53"/>
      <c r="T198" s="35">
        <f t="shared" ref="T198:T205" si="133">ROUND(S198*F198,0)</f>
        <v>0</v>
      </c>
      <c r="V198" s="34">
        <f t="shared" ref="V198:V205" si="134">+M198+P198+S198</f>
        <v>0</v>
      </c>
      <c r="W198" s="35">
        <f t="shared" ref="W198:W205" si="135">+T198+Q198+N198</f>
        <v>0</v>
      </c>
      <c r="X198" s="206">
        <f t="shared" ref="X198:X205" si="136">IFERROR(V198/J198,"")</f>
        <v>0</v>
      </c>
      <c r="Y198" s="207"/>
      <c r="Z198" s="34"/>
      <c r="AA198" s="75"/>
      <c r="AB198" s="206"/>
    </row>
    <row r="199" spans="1:31" ht="23.25" customHeight="1" x14ac:dyDescent="0.2">
      <c r="A199" s="440">
        <v>157</v>
      </c>
      <c r="B199" s="537" t="s">
        <v>343</v>
      </c>
      <c r="C199" s="519" t="s">
        <v>344</v>
      </c>
      <c r="D199" s="452" t="s">
        <v>29</v>
      </c>
      <c r="E199" s="493">
        <f>Memorias!D5328</f>
        <v>7</v>
      </c>
      <c r="F199" s="520"/>
      <c r="G199" s="536">
        <f t="shared" ref="G199:G205" si="137">ROUND(F199*E199,0)</f>
        <v>0</v>
      </c>
      <c r="H199" s="458"/>
      <c r="I199" s="448">
        <f t="shared" si="119"/>
        <v>0</v>
      </c>
      <c r="J199" s="449">
        <f t="shared" ref="J199:J206" si="138">+H199+E199</f>
        <v>7</v>
      </c>
      <c r="K199" s="450">
        <f t="shared" si="131"/>
        <v>0</v>
      </c>
      <c r="L199" s="243"/>
      <c r="M199" s="334"/>
      <c r="N199" s="60">
        <f t="shared" si="118"/>
        <v>0</v>
      </c>
      <c r="O199" s="243"/>
      <c r="P199" s="50"/>
      <c r="Q199" s="35">
        <f t="shared" si="132"/>
        <v>0</v>
      </c>
      <c r="R199" s="243"/>
      <c r="S199" s="53"/>
      <c r="T199" s="35">
        <f t="shared" si="133"/>
        <v>0</v>
      </c>
      <c r="V199" s="34">
        <f t="shared" si="134"/>
        <v>0</v>
      </c>
      <c r="W199" s="35">
        <f t="shared" si="135"/>
        <v>0</v>
      </c>
      <c r="X199" s="206">
        <f t="shared" si="136"/>
        <v>0</v>
      </c>
      <c r="Y199" s="207"/>
      <c r="Z199" s="34"/>
      <c r="AA199" s="75"/>
      <c r="AB199" s="206"/>
    </row>
    <row r="200" spans="1:31" ht="34.5" customHeight="1" x14ac:dyDescent="0.2">
      <c r="A200" s="440">
        <v>158</v>
      </c>
      <c r="B200" s="537" t="s">
        <v>345</v>
      </c>
      <c r="C200" s="519" t="s">
        <v>346</v>
      </c>
      <c r="D200" s="452" t="s">
        <v>29</v>
      </c>
      <c r="E200" s="493">
        <f>Memorias!D5350</f>
        <v>1</v>
      </c>
      <c r="F200" s="520"/>
      <c r="G200" s="536">
        <f t="shared" si="137"/>
        <v>0</v>
      </c>
      <c r="H200" s="458"/>
      <c r="I200" s="448">
        <f t="shared" si="119"/>
        <v>0</v>
      </c>
      <c r="J200" s="449">
        <f t="shared" si="138"/>
        <v>1</v>
      </c>
      <c r="K200" s="450">
        <f t="shared" si="131"/>
        <v>0</v>
      </c>
      <c r="L200" s="243"/>
      <c r="M200" s="334"/>
      <c r="N200" s="60">
        <f t="shared" si="118"/>
        <v>0</v>
      </c>
      <c r="O200" s="243"/>
      <c r="P200" s="50"/>
      <c r="Q200" s="35">
        <f t="shared" si="132"/>
        <v>0</v>
      </c>
      <c r="R200" s="243"/>
      <c r="S200" s="53"/>
      <c r="T200" s="35">
        <f t="shared" si="133"/>
        <v>0</v>
      </c>
      <c r="V200" s="34">
        <f t="shared" si="134"/>
        <v>0</v>
      </c>
      <c r="W200" s="35">
        <f t="shared" si="135"/>
        <v>0</v>
      </c>
      <c r="X200" s="206">
        <f t="shared" si="136"/>
        <v>0</v>
      </c>
      <c r="Y200" s="207"/>
      <c r="Z200" s="34"/>
      <c r="AA200" s="75"/>
      <c r="AB200" s="206"/>
    </row>
    <row r="201" spans="1:31" ht="48" customHeight="1" x14ac:dyDescent="0.2">
      <c r="A201" s="440">
        <v>159</v>
      </c>
      <c r="B201" s="537" t="s">
        <v>347</v>
      </c>
      <c r="C201" s="519" t="s">
        <v>348</v>
      </c>
      <c r="D201" s="452" t="s">
        <v>29</v>
      </c>
      <c r="E201" s="493">
        <f>Memorias!D5372</f>
        <v>2</v>
      </c>
      <c r="F201" s="520"/>
      <c r="G201" s="536">
        <f t="shared" si="137"/>
        <v>0</v>
      </c>
      <c r="H201" s="458"/>
      <c r="I201" s="448">
        <f t="shared" si="119"/>
        <v>0</v>
      </c>
      <c r="J201" s="449">
        <f t="shared" si="138"/>
        <v>2</v>
      </c>
      <c r="K201" s="450">
        <f t="shared" si="131"/>
        <v>0</v>
      </c>
      <c r="L201" s="243"/>
      <c r="M201" s="334"/>
      <c r="N201" s="60">
        <f t="shared" si="118"/>
        <v>0</v>
      </c>
      <c r="O201" s="243"/>
      <c r="P201" s="50"/>
      <c r="Q201" s="35">
        <f t="shared" si="132"/>
        <v>0</v>
      </c>
      <c r="R201" s="243"/>
      <c r="S201" s="53"/>
      <c r="T201" s="35">
        <f t="shared" si="133"/>
        <v>0</v>
      </c>
      <c r="V201" s="34">
        <f t="shared" si="134"/>
        <v>0</v>
      </c>
      <c r="W201" s="35">
        <f t="shared" si="135"/>
        <v>0</v>
      </c>
      <c r="X201" s="206">
        <f t="shared" si="136"/>
        <v>0</v>
      </c>
      <c r="Y201" s="207"/>
      <c r="Z201" s="34"/>
      <c r="AA201" s="75"/>
      <c r="AB201" s="206"/>
    </row>
    <row r="202" spans="1:31" ht="46.9" customHeight="1" x14ac:dyDescent="0.2">
      <c r="A202" s="440">
        <v>160</v>
      </c>
      <c r="B202" s="537" t="s">
        <v>349</v>
      </c>
      <c r="C202" s="519" t="s">
        <v>350</v>
      </c>
      <c r="D202" s="440" t="s">
        <v>29</v>
      </c>
      <c r="E202" s="493">
        <f>Memorias!D5394</f>
        <v>4</v>
      </c>
      <c r="F202" s="520"/>
      <c r="G202" s="536">
        <f t="shared" si="137"/>
        <v>0</v>
      </c>
      <c r="H202" s="458"/>
      <c r="I202" s="448">
        <f t="shared" si="119"/>
        <v>0</v>
      </c>
      <c r="J202" s="449">
        <f t="shared" si="138"/>
        <v>4</v>
      </c>
      <c r="K202" s="450">
        <f t="shared" si="131"/>
        <v>0</v>
      </c>
      <c r="L202" s="243"/>
      <c r="M202" s="334"/>
      <c r="N202" s="60">
        <f t="shared" si="118"/>
        <v>0</v>
      </c>
      <c r="O202" s="243"/>
      <c r="P202" s="50"/>
      <c r="Q202" s="35">
        <f t="shared" si="132"/>
        <v>0</v>
      </c>
      <c r="R202" s="243"/>
      <c r="S202" s="53"/>
      <c r="T202" s="35">
        <f t="shared" si="133"/>
        <v>0</v>
      </c>
      <c r="V202" s="34">
        <f t="shared" si="134"/>
        <v>0</v>
      </c>
      <c r="W202" s="35">
        <f t="shared" si="135"/>
        <v>0</v>
      </c>
      <c r="X202" s="206">
        <f t="shared" si="136"/>
        <v>0</v>
      </c>
      <c r="Y202" s="207"/>
      <c r="Z202" s="34"/>
      <c r="AA202" s="75"/>
      <c r="AB202" s="206"/>
    </row>
    <row r="203" spans="1:31" ht="58.15" customHeight="1" x14ac:dyDescent="0.2">
      <c r="A203" s="440">
        <v>161</v>
      </c>
      <c r="B203" s="537" t="s">
        <v>351</v>
      </c>
      <c r="C203" s="519" t="s">
        <v>352</v>
      </c>
      <c r="D203" s="440" t="s">
        <v>46</v>
      </c>
      <c r="E203" s="493">
        <f>Memorias!D5416</f>
        <v>90</v>
      </c>
      <c r="F203" s="520"/>
      <c r="G203" s="536">
        <f t="shared" si="137"/>
        <v>0</v>
      </c>
      <c r="H203" s="458"/>
      <c r="I203" s="448">
        <f t="shared" si="119"/>
        <v>0</v>
      </c>
      <c r="J203" s="449">
        <f t="shared" si="138"/>
        <v>90</v>
      </c>
      <c r="K203" s="450">
        <f t="shared" si="131"/>
        <v>0</v>
      </c>
      <c r="L203" s="243"/>
      <c r="M203" s="334"/>
      <c r="N203" s="60">
        <f t="shared" si="118"/>
        <v>0</v>
      </c>
      <c r="O203" s="243"/>
      <c r="P203" s="50"/>
      <c r="Q203" s="35">
        <f t="shared" si="132"/>
        <v>0</v>
      </c>
      <c r="R203" s="243"/>
      <c r="S203" s="53"/>
      <c r="T203" s="35">
        <f t="shared" si="133"/>
        <v>0</v>
      </c>
      <c r="V203" s="34">
        <f t="shared" si="134"/>
        <v>0</v>
      </c>
      <c r="W203" s="35">
        <f t="shared" si="135"/>
        <v>0</v>
      </c>
      <c r="X203" s="206">
        <f t="shared" si="136"/>
        <v>0</v>
      </c>
      <c r="Y203" s="207"/>
      <c r="Z203" s="34"/>
      <c r="AA203" s="75"/>
      <c r="AB203" s="206"/>
    </row>
    <row r="204" spans="1:31" ht="65.45" customHeight="1" x14ac:dyDescent="0.2">
      <c r="A204" s="440">
        <v>162</v>
      </c>
      <c r="B204" s="537" t="s">
        <v>353</v>
      </c>
      <c r="C204" s="519" t="s">
        <v>354</v>
      </c>
      <c r="D204" s="440" t="s">
        <v>46</v>
      </c>
      <c r="E204" s="493">
        <f>Memorias!D5438</f>
        <v>90</v>
      </c>
      <c r="F204" s="520"/>
      <c r="G204" s="536">
        <f t="shared" si="137"/>
        <v>0</v>
      </c>
      <c r="H204" s="458"/>
      <c r="I204" s="448">
        <f t="shared" si="119"/>
        <v>0</v>
      </c>
      <c r="J204" s="449">
        <f t="shared" si="138"/>
        <v>90</v>
      </c>
      <c r="K204" s="450">
        <f t="shared" si="131"/>
        <v>0</v>
      </c>
      <c r="L204" s="243"/>
      <c r="M204" s="334"/>
      <c r="N204" s="60">
        <f t="shared" si="118"/>
        <v>0</v>
      </c>
      <c r="O204" s="243"/>
      <c r="P204" s="50"/>
      <c r="Q204" s="35">
        <f t="shared" si="132"/>
        <v>0</v>
      </c>
      <c r="R204" s="243"/>
      <c r="S204" s="53"/>
      <c r="T204" s="35">
        <f t="shared" si="133"/>
        <v>0</v>
      </c>
      <c r="V204" s="34">
        <f t="shared" si="134"/>
        <v>0</v>
      </c>
      <c r="W204" s="35">
        <f t="shared" si="135"/>
        <v>0</v>
      </c>
      <c r="X204" s="206">
        <f t="shared" si="136"/>
        <v>0</v>
      </c>
      <c r="Y204" s="207"/>
      <c r="Z204" s="34"/>
      <c r="AA204" s="75"/>
      <c r="AB204" s="206"/>
    </row>
    <row r="205" spans="1:31" ht="24" customHeight="1" x14ac:dyDescent="0.2">
      <c r="A205" s="440">
        <v>163</v>
      </c>
      <c r="B205" s="541" t="s">
        <v>105</v>
      </c>
      <c r="C205" s="542" t="s">
        <v>355</v>
      </c>
      <c r="D205" s="543" t="s">
        <v>166</v>
      </c>
      <c r="E205" s="493">
        <f>Memorias!D5460</f>
        <v>3</v>
      </c>
      <c r="F205" s="544"/>
      <c r="G205" s="545">
        <f t="shared" si="137"/>
        <v>0</v>
      </c>
      <c r="H205" s="529"/>
      <c r="I205" s="448">
        <f t="shared" si="119"/>
        <v>0</v>
      </c>
      <c r="J205" s="449">
        <f t="shared" si="138"/>
        <v>3</v>
      </c>
      <c r="K205" s="450">
        <f t="shared" si="131"/>
        <v>0</v>
      </c>
      <c r="L205" s="243"/>
      <c r="M205" s="334"/>
      <c r="N205" s="60">
        <f t="shared" si="118"/>
        <v>0</v>
      </c>
      <c r="O205" s="243"/>
      <c r="P205" s="50"/>
      <c r="Q205" s="35">
        <f t="shared" si="132"/>
        <v>0</v>
      </c>
      <c r="R205" s="243"/>
      <c r="S205" s="53"/>
      <c r="T205" s="35">
        <f t="shared" si="133"/>
        <v>0</v>
      </c>
      <c r="V205" s="34">
        <f t="shared" si="134"/>
        <v>0</v>
      </c>
      <c r="W205" s="35">
        <f t="shared" si="135"/>
        <v>0</v>
      </c>
      <c r="X205" s="206">
        <f t="shared" si="136"/>
        <v>0</v>
      </c>
      <c r="Y205" s="207"/>
      <c r="Z205" s="34"/>
      <c r="AA205" s="75"/>
      <c r="AB205" s="206"/>
    </row>
    <row r="206" spans="1:31" ht="24" customHeight="1" x14ac:dyDescent="0.2">
      <c r="A206" s="440">
        <v>164</v>
      </c>
      <c r="B206" s="541" t="s">
        <v>356</v>
      </c>
      <c r="C206" s="542" t="s">
        <v>357</v>
      </c>
      <c r="D206" s="543" t="s">
        <v>166</v>
      </c>
      <c r="E206" s="493">
        <f>Memorias!D5482</f>
        <v>7</v>
      </c>
      <c r="F206" s="544"/>
      <c r="G206" s="545"/>
      <c r="H206" s="529"/>
      <c r="I206" s="448">
        <f t="shared" si="119"/>
        <v>0</v>
      </c>
      <c r="J206" s="449">
        <f t="shared" si="138"/>
        <v>7</v>
      </c>
      <c r="K206" s="450">
        <f t="shared" si="131"/>
        <v>0</v>
      </c>
      <c r="L206" s="243"/>
      <c r="M206" s="334"/>
      <c r="N206" s="60"/>
      <c r="O206" s="243"/>
      <c r="P206" s="50"/>
      <c r="Q206" s="35"/>
      <c r="R206" s="243"/>
      <c r="S206" s="53"/>
      <c r="T206" s="35"/>
      <c r="V206" s="34"/>
      <c r="W206" s="405"/>
      <c r="X206" s="206"/>
      <c r="Y206" s="207"/>
      <c r="Z206" s="34"/>
      <c r="AA206" s="75"/>
      <c r="AB206" s="206"/>
    </row>
    <row r="207" spans="1:31" ht="14.25" customHeight="1" x14ac:dyDescent="0.2">
      <c r="A207" s="694" t="s">
        <v>111</v>
      </c>
      <c r="B207" s="695"/>
      <c r="C207" s="695"/>
      <c r="D207" s="715"/>
      <c r="E207" s="695"/>
      <c r="F207" s="716"/>
      <c r="G207" s="717"/>
      <c r="H207" s="546"/>
      <c r="I207" s="547"/>
      <c r="J207" s="548"/>
      <c r="K207" s="549"/>
      <c r="L207" s="243"/>
      <c r="M207" s="39"/>
      <c r="N207" s="40"/>
      <c r="O207" s="243"/>
      <c r="P207" s="39"/>
      <c r="Q207" s="40"/>
      <c r="R207" s="243"/>
      <c r="S207" s="39"/>
      <c r="T207" s="40"/>
      <c r="V207" s="42"/>
      <c r="W207" s="76"/>
      <c r="X207" s="77"/>
      <c r="Y207" s="217"/>
      <c r="Z207" s="34">
        <f t="shared" ref="Z207:Z212" si="139">J207-V207</f>
        <v>0</v>
      </c>
      <c r="AA207" s="76"/>
      <c r="AB207" s="77"/>
      <c r="AC207" s="4"/>
      <c r="AE207" s="28"/>
    </row>
    <row r="208" spans="1:31" ht="16.149999999999999" customHeight="1" x14ac:dyDescent="0.2">
      <c r="A208" s="465">
        <v>165</v>
      </c>
      <c r="B208" s="550" t="s">
        <v>112</v>
      </c>
      <c r="C208" s="551" t="s">
        <v>113</v>
      </c>
      <c r="D208" s="552" t="s">
        <v>51</v>
      </c>
      <c r="E208" s="837">
        <f>Memorias!D5504</f>
        <v>58.199999999999996</v>
      </c>
      <c r="F208" s="523"/>
      <c r="G208" s="553">
        <f>ROUND(F208*E208,0)</f>
        <v>0</v>
      </c>
      <c r="H208" s="447"/>
      <c r="I208" s="448">
        <f>ROUND(H208*F208,0)</f>
        <v>0</v>
      </c>
      <c r="J208" s="449">
        <f t="shared" ref="J208" si="140">+H208+E208</f>
        <v>58.199999999999996</v>
      </c>
      <c r="K208" s="450">
        <f t="shared" ref="K208:K218" si="141">G208+I208</f>
        <v>0</v>
      </c>
      <c r="L208" s="243"/>
      <c r="M208" s="50"/>
      <c r="N208" s="60">
        <f t="shared" si="118"/>
        <v>0</v>
      </c>
      <c r="O208" s="243"/>
      <c r="P208" s="50"/>
      <c r="Q208" s="35">
        <f t="shared" ref="Q208:Q218" si="142">ROUND(P208*F208,0)</f>
        <v>0</v>
      </c>
      <c r="R208" s="243"/>
      <c r="S208" s="53"/>
      <c r="T208" s="35">
        <f t="shared" ref="T208:T218" si="143">ROUND(S208*F208,0)</f>
        <v>0</v>
      </c>
      <c r="V208" s="34">
        <f t="shared" ref="V208:V218" si="144">+M208+P208+S208</f>
        <v>0</v>
      </c>
      <c r="W208" s="35">
        <f t="shared" ref="W208:W218" si="145">+T208+Q208+N208</f>
        <v>0</v>
      </c>
      <c r="X208" s="206">
        <f t="shared" ref="X208:X218" si="146">IFERROR(V208/J208,"")</f>
        <v>0</v>
      </c>
      <c r="Z208" s="34">
        <f t="shared" si="139"/>
        <v>58.199999999999996</v>
      </c>
      <c r="AA208" s="75">
        <f>ROUND(Z208*F208,0)</f>
        <v>0</v>
      </c>
      <c r="AB208" s="206" t="str">
        <f>IFERROR(Z208/#REF!,"")</f>
        <v/>
      </c>
      <c r="AC208" s="4"/>
    </row>
    <row r="209" spans="1:31" ht="11.25" customHeight="1" x14ac:dyDescent="0.2">
      <c r="A209" s="465">
        <v>166</v>
      </c>
      <c r="B209" s="550" t="s">
        <v>114</v>
      </c>
      <c r="C209" s="512" t="s">
        <v>358</v>
      </c>
      <c r="D209" s="465" t="s">
        <v>51</v>
      </c>
      <c r="E209" s="836">
        <f>Memorias!D5526</f>
        <v>58.199999999999996</v>
      </c>
      <c r="F209" s="502"/>
      <c r="G209" s="553">
        <f t="shared" ref="G209:G218" si="147">ROUND(F209*E209,0)</f>
        <v>0</v>
      </c>
      <c r="H209" s="447"/>
      <c r="I209" s="448">
        <f t="shared" ref="I209:I218" si="148">ROUND(H209*F209,0)</f>
        <v>0</v>
      </c>
      <c r="J209" s="449">
        <f t="shared" ref="J209:J218" si="149">+H209+E209</f>
        <v>58.199999999999996</v>
      </c>
      <c r="K209" s="450">
        <f t="shared" si="141"/>
        <v>0</v>
      </c>
      <c r="L209" s="243"/>
      <c r="M209" s="50"/>
      <c r="N209" s="60">
        <f t="shared" si="118"/>
        <v>0</v>
      </c>
      <c r="O209" s="243"/>
      <c r="P209" s="50"/>
      <c r="Q209" s="35">
        <f t="shared" si="142"/>
        <v>0</v>
      </c>
      <c r="R209" s="243"/>
      <c r="S209" s="53"/>
      <c r="T209" s="35">
        <f t="shared" si="143"/>
        <v>0</v>
      </c>
      <c r="V209" s="34">
        <f t="shared" si="144"/>
        <v>0</v>
      </c>
      <c r="W209" s="35">
        <f t="shared" si="145"/>
        <v>0</v>
      </c>
      <c r="X209" s="206">
        <f t="shared" si="146"/>
        <v>0</v>
      </c>
      <c r="Z209" s="34">
        <f t="shared" si="139"/>
        <v>58.199999999999996</v>
      </c>
      <c r="AA209" s="75">
        <f>ROUND(Z209*F209,0)</f>
        <v>0</v>
      </c>
      <c r="AB209" s="206" t="str">
        <f>IFERROR(Z209/#REF!,"")</f>
        <v/>
      </c>
      <c r="AC209" s="4"/>
    </row>
    <row r="210" spans="1:31" ht="11.25" customHeight="1" x14ac:dyDescent="0.2">
      <c r="A210" s="465">
        <v>167</v>
      </c>
      <c r="B210" s="550" t="s">
        <v>116</v>
      </c>
      <c r="C210" s="512" t="s">
        <v>117</v>
      </c>
      <c r="D210" s="465" t="s">
        <v>51</v>
      </c>
      <c r="E210" s="836">
        <f>Memorias!D5548</f>
        <v>69.839999999999989</v>
      </c>
      <c r="F210" s="502"/>
      <c r="G210" s="553">
        <f t="shared" si="147"/>
        <v>0</v>
      </c>
      <c r="H210" s="447"/>
      <c r="I210" s="448">
        <f t="shared" si="148"/>
        <v>0</v>
      </c>
      <c r="J210" s="449">
        <f t="shared" si="149"/>
        <v>69.839999999999989</v>
      </c>
      <c r="K210" s="450">
        <f t="shared" si="141"/>
        <v>0</v>
      </c>
      <c r="L210" s="243"/>
      <c r="M210" s="50"/>
      <c r="N210" s="60">
        <f t="shared" si="118"/>
        <v>0</v>
      </c>
      <c r="O210" s="243"/>
      <c r="P210" s="50"/>
      <c r="Q210" s="35">
        <f t="shared" si="142"/>
        <v>0</v>
      </c>
      <c r="R210" s="243"/>
      <c r="S210" s="53"/>
      <c r="T210" s="35">
        <f t="shared" si="143"/>
        <v>0</v>
      </c>
      <c r="V210" s="34">
        <f t="shared" si="144"/>
        <v>0</v>
      </c>
      <c r="W210" s="35">
        <f t="shared" si="145"/>
        <v>0</v>
      </c>
      <c r="X210" s="206">
        <f t="shared" si="146"/>
        <v>0</v>
      </c>
      <c r="Z210" s="34">
        <f t="shared" si="139"/>
        <v>69.839999999999989</v>
      </c>
      <c r="AA210" s="75">
        <f>ROUND(Z210*F210,0)</f>
        <v>0</v>
      </c>
      <c r="AB210" s="206" t="str">
        <f>IFERROR(Z210/#REF!,"")</f>
        <v/>
      </c>
      <c r="AC210" s="4"/>
    </row>
    <row r="211" spans="1:31" ht="11.25" customHeight="1" x14ac:dyDescent="0.2">
      <c r="A211" s="465">
        <v>168</v>
      </c>
      <c r="B211" s="550" t="s">
        <v>118</v>
      </c>
      <c r="C211" s="512" t="s">
        <v>119</v>
      </c>
      <c r="D211" s="465" t="s">
        <v>51</v>
      </c>
      <c r="E211" s="836">
        <f>Memorias!D5570</f>
        <v>116.39999999999999</v>
      </c>
      <c r="F211" s="502"/>
      <c r="G211" s="553">
        <f t="shared" si="147"/>
        <v>0</v>
      </c>
      <c r="H211" s="447"/>
      <c r="I211" s="448">
        <f t="shared" si="148"/>
        <v>0</v>
      </c>
      <c r="J211" s="449">
        <f t="shared" si="149"/>
        <v>116.39999999999999</v>
      </c>
      <c r="K211" s="450">
        <f t="shared" si="141"/>
        <v>0</v>
      </c>
      <c r="L211" s="243"/>
      <c r="M211" s="50"/>
      <c r="N211" s="60">
        <f t="shared" si="118"/>
        <v>0</v>
      </c>
      <c r="O211" s="243"/>
      <c r="P211" s="50"/>
      <c r="Q211" s="35">
        <f t="shared" si="142"/>
        <v>0</v>
      </c>
      <c r="R211" s="243"/>
      <c r="S211" s="53"/>
      <c r="T211" s="35">
        <f t="shared" si="143"/>
        <v>0</v>
      </c>
      <c r="V211" s="34">
        <f t="shared" si="144"/>
        <v>0</v>
      </c>
      <c r="W211" s="35">
        <f t="shared" si="145"/>
        <v>0</v>
      </c>
      <c r="X211" s="206">
        <f t="shared" si="146"/>
        <v>0</v>
      </c>
      <c r="Z211" s="34">
        <f t="shared" si="139"/>
        <v>116.39999999999999</v>
      </c>
      <c r="AA211" s="75">
        <f>ROUND(Z211*F211,0)</f>
        <v>0</v>
      </c>
      <c r="AB211" s="206" t="str">
        <f>IFERROR(Z211/#REF!,"")</f>
        <v/>
      </c>
      <c r="AC211" s="4"/>
    </row>
    <row r="212" spans="1:31" ht="11.25" customHeight="1" x14ac:dyDescent="0.2">
      <c r="A212" s="465">
        <v>169</v>
      </c>
      <c r="B212" s="550" t="s">
        <v>122</v>
      </c>
      <c r="C212" s="512" t="s">
        <v>123</v>
      </c>
      <c r="D212" s="510" t="s">
        <v>51</v>
      </c>
      <c r="E212" s="836">
        <f>Memorias!D5592</f>
        <v>36</v>
      </c>
      <c r="F212" s="502"/>
      <c r="G212" s="553">
        <f t="shared" si="147"/>
        <v>0</v>
      </c>
      <c r="H212" s="447"/>
      <c r="I212" s="448">
        <f t="shared" si="148"/>
        <v>0</v>
      </c>
      <c r="J212" s="449">
        <f t="shared" si="149"/>
        <v>36</v>
      </c>
      <c r="K212" s="450">
        <f t="shared" si="141"/>
        <v>0</v>
      </c>
      <c r="L212" s="243"/>
      <c r="M212" s="50"/>
      <c r="N212" s="60">
        <f t="shared" si="118"/>
        <v>0</v>
      </c>
      <c r="O212" s="243"/>
      <c r="P212" s="50"/>
      <c r="Q212" s="35">
        <f t="shared" si="142"/>
        <v>0</v>
      </c>
      <c r="R212" s="243"/>
      <c r="S212" s="53"/>
      <c r="T212" s="35">
        <f t="shared" si="143"/>
        <v>0</v>
      </c>
      <c r="V212" s="34">
        <f t="shared" si="144"/>
        <v>0</v>
      </c>
      <c r="W212" s="35">
        <f t="shared" si="145"/>
        <v>0</v>
      </c>
      <c r="X212" s="206">
        <f t="shared" si="146"/>
        <v>0</v>
      </c>
      <c r="Z212" s="34">
        <f t="shared" si="139"/>
        <v>36</v>
      </c>
      <c r="AA212" s="75">
        <f>ROUND(Z212*F212,0)</f>
        <v>0</v>
      </c>
      <c r="AB212" s="206" t="str">
        <f>IFERROR(Z212/#REF!,"")</f>
        <v/>
      </c>
      <c r="AC212" s="4"/>
    </row>
    <row r="213" spans="1:31" ht="11.25" customHeight="1" x14ac:dyDescent="0.2">
      <c r="A213" s="465">
        <v>170</v>
      </c>
      <c r="B213" s="441" t="s">
        <v>112</v>
      </c>
      <c r="C213" s="512" t="s">
        <v>113</v>
      </c>
      <c r="D213" s="465" t="s">
        <v>46</v>
      </c>
      <c r="E213" s="836">
        <f>Memorias!D5614</f>
        <v>9</v>
      </c>
      <c r="F213" s="502"/>
      <c r="G213" s="553">
        <f t="shared" si="147"/>
        <v>0</v>
      </c>
      <c r="H213" s="458"/>
      <c r="I213" s="448">
        <f t="shared" si="148"/>
        <v>0</v>
      </c>
      <c r="J213" s="449">
        <f t="shared" si="149"/>
        <v>9</v>
      </c>
      <c r="K213" s="450">
        <f t="shared" si="141"/>
        <v>0</v>
      </c>
      <c r="L213" s="243"/>
      <c r="M213" s="335"/>
      <c r="N213" s="60">
        <f t="shared" si="118"/>
        <v>0</v>
      </c>
      <c r="O213" s="243"/>
      <c r="P213" s="50"/>
      <c r="Q213" s="35">
        <f t="shared" si="142"/>
        <v>0</v>
      </c>
      <c r="R213" s="243"/>
      <c r="S213" s="53"/>
      <c r="T213" s="35">
        <f t="shared" si="143"/>
        <v>0</v>
      </c>
      <c r="V213" s="34">
        <f t="shared" si="144"/>
        <v>0</v>
      </c>
      <c r="W213" s="35">
        <f t="shared" si="145"/>
        <v>0</v>
      </c>
      <c r="X213" s="206">
        <f t="shared" si="146"/>
        <v>0</v>
      </c>
      <c r="Z213" s="34"/>
      <c r="AA213" s="75"/>
      <c r="AB213" s="206"/>
      <c r="AC213" s="4"/>
    </row>
    <row r="214" spans="1:31" ht="11.25" customHeight="1" x14ac:dyDescent="0.2">
      <c r="A214" s="465">
        <v>171</v>
      </c>
      <c r="B214" s="441" t="s">
        <v>114</v>
      </c>
      <c r="C214" s="512" t="s">
        <v>115</v>
      </c>
      <c r="D214" s="465" t="s">
        <v>46</v>
      </c>
      <c r="E214" s="836">
        <f>Memorias!D5636</f>
        <v>9</v>
      </c>
      <c r="F214" s="502"/>
      <c r="G214" s="553">
        <f t="shared" si="147"/>
        <v>0</v>
      </c>
      <c r="H214" s="458"/>
      <c r="I214" s="448">
        <f t="shared" si="148"/>
        <v>0</v>
      </c>
      <c r="J214" s="449">
        <f t="shared" si="149"/>
        <v>9</v>
      </c>
      <c r="K214" s="450">
        <f t="shared" si="141"/>
        <v>0</v>
      </c>
      <c r="L214" s="243"/>
      <c r="M214" s="335"/>
      <c r="N214" s="60">
        <f t="shared" si="118"/>
        <v>0</v>
      </c>
      <c r="O214" s="243"/>
      <c r="P214" s="50"/>
      <c r="Q214" s="35">
        <f t="shared" si="142"/>
        <v>0</v>
      </c>
      <c r="R214" s="243"/>
      <c r="S214" s="53"/>
      <c r="T214" s="35">
        <f t="shared" si="143"/>
        <v>0</v>
      </c>
      <c r="V214" s="34">
        <f t="shared" si="144"/>
        <v>0</v>
      </c>
      <c r="W214" s="35">
        <f t="shared" si="145"/>
        <v>0</v>
      </c>
      <c r="X214" s="206">
        <f t="shared" si="146"/>
        <v>0</v>
      </c>
      <c r="Z214" s="34"/>
      <c r="AA214" s="75"/>
      <c r="AB214" s="206"/>
      <c r="AC214" s="4"/>
    </row>
    <row r="215" spans="1:31" ht="11.25" customHeight="1" x14ac:dyDescent="0.2">
      <c r="A215" s="465">
        <v>172</v>
      </c>
      <c r="B215" s="441" t="s">
        <v>116</v>
      </c>
      <c r="C215" s="512" t="s">
        <v>124</v>
      </c>
      <c r="D215" s="465" t="s">
        <v>46</v>
      </c>
      <c r="E215" s="836">
        <f>Memorias!D5658</f>
        <v>9</v>
      </c>
      <c r="F215" s="502"/>
      <c r="G215" s="553">
        <f t="shared" si="147"/>
        <v>0</v>
      </c>
      <c r="H215" s="458"/>
      <c r="I215" s="448">
        <f t="shared" si="148"/>
        <v>0</v>
      </c>
      <c r="J215" s="449">
        <f t="shared" si="149"/>
        <v>9</v>
      </c>
      <c r="K215" s="450">
        <f t="shared" si="141"/>
        <v>0</v>
      </c>
      <c r="L215" s="243"/>
      <c r="M215" s="335"/>
      <c r="N215" s="60">
        <f t="shared" si="118"/>
        <v>0</v>
      </c>
      <c r="O215" s="243"/>
      <c r="P215" s="50"/>
      <c r="Q215" s="35">
        <f t="shared" si="142"/>
        <v>0</v>
      </c>
      <c r="R215" s="243"/>
      <c r="S215" s="53"/>
      <c r="T215" s="35">
        <f t="shared" si="143"/>
        <v>0</v>
      </c>
      <c r="V215" s="34">
        <f t="shared" si="144"/>
        <v>0</v>
      </c>
      <c r="W215" s="35">
        <f t="shared" si="145"/>
        <v>0</v>
      </c>
      <c r="X215" s="206">
        <f t="shared" si="146"/>
        <v>0</v>
      </c>
      <c r="Z215" s="34"/>
      <c r="AA215" s="75"/>
      <c r="AB215" s="206"/>
      <c r="AC215" s="4"/>
    </row>
    <row r="216" spans="1:31" ht="11.25" customHeight="1" x14ac:dyDescent="0.2">
      <c r="A216" s="465">
        <v>173</v>
      </c>
      <c r="B216" s="441" t="s">
        <v>125</v>
      </c>
      <c r="C216" s="512" t="s">
        <v>126</v>
      </c>
      <c r="D216" s="465" t="s">
        <v>46</v>
      </c>
      <c r="E216" s="466">
        <f>Memorias!D5680</f>
        <v>18</v>
      </c>
      <c r="F216" s="502"/>
      <c r="G216" s="553">
        <f t="shared" si="147"/>
        <v>0</v>
      </c>
      <c r="H216" s="458"/>
      <c r="I216" s="448">
        <f t="shared" si="148"/>
        <v>0</v>
      </c>
      <c r="J216" s="449">
        <f t="shared" si="149"/>
        <v>18</v>
      </c>
      <c r="K216" s="450">
        <f t="shared" si="141"/>
        <v>0</v>
      </c>
      <c r="L216" s="243"/>
      <c r="M216" s="335"/>
      <c r="N216" s="60">
        <f t="shared" si="118"/>
        <v>0</v>
      </c>
      <c r="O216" s="243"/>
      <c r="P216" s="50"/>
      <c r="Q216" s="35">
        <f t="shared" si="142"/>
        <v>0</v>
      </c>
      <c r="R216" s="243"/>
      <c r="S216" s="53"/>
      <c r="T216" s="35">
        <f t="shared" si="143"/>
        <v>0</v>
      </c>
      <c r="V216" s="34">
        <f t="shared" si="144"/>
        <v>0</v>
      </c>
      <c r="W216" s="35">
        <f t="shared" si="145"/>
        <v>0</v>
      </c>
      <c r="X216" s="206">
        <f t="shared" si="146"/>
        <v>0</v>
      </c>
      <c r="Z216" s="34"/>
      <c r="AA216" s="75"/>
      <c r="AB216" s="206"/>
      <c r="AC216" s="4"/>
    </row>
    <row r="217" spans="1:31" ht="11.25" customHeight="1" x14ac:dyDescent="0.2">
      <c r="A217" s="465">
        <v>174</v>
      </c>
      <c r="B217" s="441" t="s">
        <v>127</v>
      </c>
      <c r="C217" s="512" t="s">
        <v>128</v>
      </c>
      <c r="D217" s="465" t="s">
        <v>46</v>
      </c>
      <c r="E217" s="466">
        <f>Memorias!D5702</f>
        <v>6</v>
      </c>
      <c r="F217" s="502"/>
      <c r="G217" s="553">
        <f t="shared" si="147"/>
        <v>0</v>
      </c>
      <c r="H217" s="458"/>
      <c r="I217" s="448">
        <f t="shared" si="148"/>
        <v>0</v>
      </c>
      <c r="J217" s="449">
        <f t="shared" si="149"/>
        <v>6</v>
      </c>
      <c r="K217" s="450">
        <f t="shared" si="141"/>
        <v>0</v>
      </c>
      <c r="L217" s="243"/>
      <c r="M217" s="335"/>
      <c r="N217" s="60">
        <f t="shared" si="118"/>
        <v>0</v>
      </c>
      <c r="O217" s="243"/>
      <c r="P217" s="50"/>
      <c r="Q217" s="35">
        <f t="shared" si="142"/>
        <v>0</v>
      </c>
      <c r="R217" s="243"/>
      <c r="S217" s="53"/>
      <c r="T217" s="35">
        <f t="shared" si="143"/>
        <v>0</v>
      </c>
      <c r="V217" s="34">
        <f t="shared" si="144"/>
        <v>0</v>
      </c>
      <c r="W217" s="35">
        <f t="shared" si="145"/>
        <v>0</v>
      </c>
      <c r="X217" s="206">
        <f t="shared" si="146"/>
        <v>0</v>
      </c>
      <c r="Z217" s="34"/>
      <c r="AA217" s="75"/>
      <c r="AB217" s="206"/>
      <c r="AC217" s="4"/>
    </row>
    <row r="218" spans="1:31" ht="11.25" customHeight="1" x14ac:dyDescent="0.2">
      <c r="A218" s="465">
        <v>175</v>
      </c>
      <c r="B218" s="441" t="s">
        <v>359</v>
      </c>
      <c r="C218" s="554" t="s">
        <v>360</v>
      </c>
      <c r="D218" s="514" t="s">
        <v>51</v>
      </c>
      <c r="E218" s="466">
        <f>Memorias!D5724</f>
        <v>18</v>
      </c>
      <c r="F218" s="555"/>
      <c r="G218" s="553">
        <f t="shared" si="147"/>
        <v>0</v>
      </c>
      <c r="H218" s="458"/>
      <c r="I218" s="448">
        <f t="shared" si="148"/>
        <v>0</v>
      </c>
      <c r="J218" s="449">
        <f t="shared" si="149"/>
        <v>18</v>
      </c>
      <c r="K218" s="450">
        <f t="shared" si="141"/>
        <v>0</v>
      </c>
      <c r="L218" s="243"/>
      <c r="M218" s="335"/>
      <c r="N218" s="60">
        <f t="shared" si="118"/>
        <v>0</v>
      </c>
      <c r="O218" s="243"/>
      <c r="P218" s="50"/>
      <c r="Q218" s="35">
        <f t="shared" si="142"/>
        <v>0</v>
      </c>
      <c r="R218" s="243"/>
      <c r="S218" s="53"/>
      <c r="T218" s="35">
        <f t="shared" si="143"/>
        <v>0</v>
      </c>
      <c r="V218" s="34">
        <f t="shared" si="144"/>
        <v>0</v>
      </c>
      <c r="W218" s="35">
        <f t="shared" si="145"/>
        <v>0</v>
      </c>
      <c r="X218" s="206">
        <f t="shared" si="146"/>
        <v>0</v>
      </c>
      <c r="Z218" s="34"/>
      <c r="AA218" s="75"/>
      <c r="AB218" s="206"/>
      <c r="AC218" s="4"/>
    </row>
    <row r="219" spans="1:31" ht="13.9" customHeight="1" x14ac:dyDescent="0.2">
      <c r="A219" s="613" t="s">
        <v>361</v>
      </c>
      <c r="B219" s="723"/>
      <c r="C219" s="615"/>
      <c r="D219" s="616"/>
      <c r="E219" s="617"/>
      <c r="F219" s="618"/>
      <c r="G219" s="619"/>
      <c r="H219" s="477"/>
      <c r="I219" s="478"/>
      <c r="J219" s="478"/>
      <c r="K219" s="480"/>
      <c r="L219" s="243"/>
      <c r="M219" s="415"/>
      <c r="N219" s="416"/>
      <c r="O219" s="243"/>
      <c r="P219" s="39"/>
      <c r="Q219" s="40"/>
      <c r="R219" s="243"/>
      <c r="S219" s="39"/>
      <c r="T219" s="40"/>
      <c r="V219" s="42"/>
      <c r="W219" s="76"/>
      <c r="X219" s="77"/>
      <c r="Y219" s="217"/>
      <c r="Z219" s="34">
        <f>J219-V219</f>
        <v>0</v>
      </c>
      <c r="AA219" s="76"/>
      <c r="AB219" s="77"/>
      <c r="AC219" s="4"/>
      <c r="AE219" s="28"/>
    </row>
    <row r="220" spans="1:31" ht="42.75" customHeight="1" x14ac:dyDescent="0.2">
      <c r="A220" s="556">
        <v>176</v>
      </c>
      <c r="B220" s="441" t="s">
        <v>362</v>
      </c>
      <c r="C220" s="554" t="s">
        <v>363</v>
      </c>
      <c r="D220" s="557" t="s">
        <v>51</v>
      </c>
      <c r="E220" s="838">
        <f>Memorias!D5746</f>
        <v>103.134</v>
      </c>
      <c r="F220" s="558"/>
      <c r="G220" s="553">
        <f>ROUND(F220*E220,0)</f>
        <v>0</v>
      </c>
      <c r="H220" s="458"/>
      <c r="I220" s="448">
        <f t="shared" ref="I220:I236" si="150">ROUND(H220*F220,0)</f>
        <v>0</v>
      </c>
      <c r="J220" s="449">
        <f t="shared" ref="J220" si="151">+H220+E220</f>
        <v>103.134</v>
      </c>
      <c r="K220" s="450">
        <f t="shared" ref="K220:K226" si="152">G220+I220</f>
        <v>0</v>
      </c>
      <c r="L220" s="243"/>
      <c r="M220" s="335"/>
      <c r="N220" s="406">
        <f>ROUND(+(N$94*$F220),0)</f>
        <v>0</v>
      </c>
      <c r="O220" s="243"/>
      <c r="P220" s="50"/>
      <c r="Q220" s="35">
        <f t="shared" ref="Q220:Q226" si="153">ROUND(P220*F220,0)</f>
        <v>0</v>
      </c>
      <c r="R220" s="243"/>
      <c r="S220" s="53"/>
      <c r="T220" s="35">
        <f t="shared" ref="T220:T226" si="154">ROUND(S220*F220,0)</f>
        <v>0</v>
      </c>
      <c r="V220" s="34">
        <f t="shared" ref="V220:V226" si="155">+M220+P220+S220</f>
        <v>0</v>
      </c>
      <c r="W220" s="35">
        <f t="shared" ref="W220:W226" si="156">+T220+Q220+N220</f>
        <v>0</v>
      </c>
      <c r="X220" s="206">
        <f t="shared" ref="X220:X226" si="157">IFERROR(V220/J220,"")</f>
        <v>0</v>
      </c>
      <c r="Z220" s="34"/>
      <c r="AA220" s="75"/>
      <c r="AB220" s="206"/>
      <c r="AC220" s="4"/>
    </row>
    <row r="221" spans="1:31" ht="27.6" customHeight="1" x14ac:dyDescent="0.2">
      <c r="A221" s="524">
        <v>177</v>
      </c>
      <c r="B221" s="441" t="s">
        <v>364</v>
      </c>
      <c r="C221" s="554" t="s">
        <v>365</v>
      </c>
      <c r="D221" s="557" t="s">
        <v>51</v>
      </c>
      <c r="E221" s="838">
        <f>Memorias!D5768</f>
        <v>7.1999999999999993</v>
      </c>
      <c r="F221" s="558"/>
      <c r="G221" s="553">
        <f t="shared" ref="G221:G226" si="158">ROUND(F221*E221,0)</f>
        <v>0</v>
      </c>
      <c r="H221" s="458"/>
      <c r="I221" s="448">
        <f t="shared" si="150"/>
        <v>0</v>
      </c>
      <c r="J221" s="449">
        <f t="shared" ref="J221:J226" si="159">+H221+E221</f>
        <v>7.1999999999999993</v>
      </c>
      <c r="K221" s="450">
        <f t="shared" si="152"/>
        <v>0</v>
      </c>
      <c r="L221" s="243"/>
      <c r="M221" s="335"/>
      <c r="N221" s="60">
        <f t="shared" si="118"/>
        <v>0</v>
      </c>
      <c r="O221" s="243"/>
      <c r="P221" s="50"/>
      <c r="Q221" s="35">
        <f t="shared" si="153"/>
        <v>0</v>
      </c>
      <c r="R221" s="243"/>
      <c r="S221" s="53"/>
      <c r="T221" s="35">
        <f t="shared" si="154"/>
        <v>0</v>
      </c>
      <c r="V221" s="34">
        <f t="shared" si="155"/>
        <v>0</v>
      </c>
      <c r="W221" s="35">
        <f t="shared" si="156"/>
        <v>0</v>
      </c>
      <c r="X221" s="206">
        <f t="shared" si="157"/>
        <v>0</v>
      </c>
      <c r="Z221" s="34"/>
      <c r="AA221" s="75"/>
      <c r="AB221" s="206"/>
      <c r="AC221" s="4"/>
    </row>
    <row r="222" spans="1:31" ht="22.5" customHeight="1" x14ac:dyDescent="0.2">
      <c r="A222" s="556">
        <v>178</v>
      </c>
      <c r="B222" s="441" t="s">
        <v>366</v>
      </c>
      <c r="C222" s="554" t="s">
        <v>367</v>
      </c>
      <c r="D222" s="557" t="s">
        <v>51</v>
      </c>
      <c r="E222" s="838">
        <f>Memorias!D5790</f>
        <v>7.1999999999999993</v>
      </c>
      <c r="F222" s="502"/>
      <c r="G222" s="553">
        <f t="shared" si="158"/>
        <v>0</v>
      </c>
      <c r="H222" s="458"/>
      <c r="I222" s="448">
        <f t="shared" si="150"/>
        <v>0</v>
      </c>
      <c r="J222" s="449">
        <f t="shared" si="159"/>
        <v>7.1999999999999993</v>
      </c>
      <c r="K222" s="450">
        <f t="shared" si="152"/>
        <v>0</v>
      </c>
      <c r="L222" s="243"/>
      <c r="M222" s="335"/>
      <c r="N222" s="60">
        <f t="shared" si="118"/>
        <v>0</v>
      </c>
      <c r="O222" s="243"/>
      <c r="P222" s="50"/>
      <c r="Q222" s="35">
        <f t="shared" si="153"/>
        <v>0</v>
      </c>
      <c r="R222" s="243"/>
      <c r="S222" s="53"/>
      <c r="T222" s="35">
        <f t="shared" si="154"/>
        <v>0</v>
      </c>
      <c r="V222" s="34">
        <f t="shared" si="155"/>
        <v>0</v>
      </c>
      <c r="W222" s="35">
        <f t="shared" si="156"/>
        <v>0</v>
      </c>
      <c r="X222" s="206">
        <f t="shared" si="157"/>
        <v>0</v>
      </c>
      <c r="Z222" s="34"/>
      <c r="AA222" s="75"/>
      <c r="AB222" s="206"/>
      <c r="AC222" s="4"/>
    </row>
    <row r="223" spans="1:31" ht="36.75" customHeight="1" x14ac:dyDescent="0.2">
      <c r="A223" s="524">
        <v>179</v>
      </c>
      <c r="B223" s="441" t="s">
        <v>368</v>
      </c>
      <c r="C223" s="559" t="s">
        <v>369</v>
      </c>
      <c r="D223" s="464" t="s">
        <v>46</v>
      </c>
      <c r="E223" s="838">
        <f>Memorias!D5812</f>
        <v>82.5</v>
      </c>
      <c r="F223" s="560"/>
      <c r="G223" s="553">
        <f t="shared" si="158"/>
        <v>0</v>
      </c>
      <c r="H223" s="458"/>
      <c r="I223" s="448">
        <f t="shared" si="150"/>
        <v>0</v>
      </c>
      <c r="J223" s="449">
        <f t="shared" si="159"/>
        <v>82.5</v>
      </c>
      <c r="K223" s="450">
        <f t="shared" si="152"/>
        <v>0</v>
      </c>
      <c r="L223" s="243"/>
      <c r="M223" s="335"/>
      <c r="N223" s="60">
        <f t="shared" si="118"/>
        <v>0</v>
      </c>
      <c r="O223" s="243"/>
      <c r="P223" s="50"/>
      <c r="Q223" s="35">
        <f t="shared" si="153"/>
        <v>0</v>
      </c>
      <c r="R223" s="243"/>
      <c r="S223" s="53"/>
      <c r="T223" s="35">
        <f t="shared" si="154"/>
        <v>0</v>
      </c>
      <c r="V223" s="34">
        <f t="shared" si="155"/>
        <v>0</v>
      </c>
      <c r="W223" s="35">
        <f t="shared" si="156"/>
        <v>0</v>
      </c>
      <c r="X223" s="206">
        <f t="shared" si="157"/>
        <v>0</v>
      </c>
      <c r="Z223" s="34"/>
      <c r="AA223" s="75"/>
      <c r="AB223" s="206"/>
      <c r="AC223" s="4"/>
    </row>
    <row r="224" spans="1:31" ht="14.25" customHeight="1" x14ac:dyDescent="0.2">
      <c r="A224" s="556">
        <v>180</v>
      </c>
      <c r="B224" s="441" t="s">
        <v>370</v>
      </c>
      <c r="C224" s="559" t="s">
        <v>371</v>
      </c>
      <c r="D224" s="464" t="s">
        <v>46</v>
      </c>
      <c r="E224" s="838">
        <f>Memorias!D5834</f>
        <v>82.5</v>
      </c>
      <c r="F224" s="560"/>
      <c r="G224" s="553">
        <f t="shared" si="158"/>
        <v>0</v>
      </c>
      <c r="H224" s="458"/>
      <c r="I224" s="448">
        <f t="shared" si="150"/>
        <v>0</v>
      </c>
      <c r="J224" s="449">
        <f t="shared" si="159"/>
        <v>82.5</v>
      </c>
      <c r="K224" s="450">
        <f t="shared" si="152"/>
        <v>0</v>
      </c>
      <c r="L224" s="243"/>
      <c r="M224" s="335"/>
      <c r="N224" s="60">
        <f t="shared" si="118"/>
        <v>0</v>
      </c>
      <c r="O224" s="243"/>
      <c r="P224" s="50"/>
      <c r="Q224" s="35">
        <f t="shared" si="153"/>
        <v>0</v>
      </c>
      <c r="R224" s="243"/>
      <c r="S224" s="53"/>
      <c r="T224" s="35">
        <f t="shared" si="154"/>
        <v>0</v>
      </c>
      <c r="V224" s="34">
        <f t="shared" si="155"/>
        <v>0</v>
      </c>
      <c r="W224" s="35">
        <f t="shared" si="156"/>
        <v>0</v>
      </c>
      <c r="X224" s="206">
        <f t="shared" si="157"/>
        <v>0</v>
      </c>
      <c r="Z224" s="34"/>
      <c r="AA224" s="75"/>
      <c r="AB224" s="206"/>
      <c r="AC224" s="4"/>
    </row>
    <row r="225" spans="1:31" ht="17.25" customHeight="1" x14ac:dyDescent="0.2">
      <c r="A225" s="524">
        <v>181</v>
      </c>
      <c r="B225" s="441" t="s">
        <v>372</v>
      </c>
      <c r="C225" s="561" t="s">
        <v>373</v>
      </c>
      <c r="D225" s="464" t="s">
        <v>46</v>
      </c>
      <c r="E225" s="838">
        <f>Memorias!D5856</f>
        <v>53.82</v>
      </c>
      <c r="F225" s="560"/>
      <c r="G225" s="553">
        <f t="shared" si="158"/>
        <v>0</v>
      </c>
      <c r="H225" s="458"/>
      <c r="I225" s="448">
        <f t="shared" si="150"/>
        <v>0</v>
      </c>
      <c r="J225" s="449">
        <f t="shared" si="159"/>
        <v>53.82</v>
      </c>
      <c r="K225" s="450">
        <f t="shared" si="152"/>
        <v>0</v>
      </c>
      <c r="L225" s="243"/>
      <c r="M225" s="335"/>
      <c r="N225" s="60">
        <f t="shared" si="118"/>
        <v>0</v>
      </c>
      <c r="O225" s="243"/>
      <c r="P225" s="50"/>
      <c r="Q225" s="35">
        <f t="shared" si="153"/>
        <v>0</v>
      </c>
      <c r="R225" s="243"/>
      <c r="S225" s="53"/>
      <c r="T225" s="35">
        <f t="shared" si="154"/>
        <v>0</v>
      </c>
      <c r="V225" s="34">
        <f t="shared" si="155"/>
        <v>0</v>
      </c>
      <c r="W225" s="35">
        <f t="shared" si="156"/>
        <v>0</v>
      </c>
      <c r="X225" s="206">
        <f t="shared" si="157"/>
        <v>0</v>
      </c>
      <c r="Z225" s="34"/>
      <c r="AA225" s="75"/>
      <c r="AB225" s="206"/>
      <c r="AC225" s="4"/>
    </row>
    <row r="226" spans="1:31" ht="44.25" customHeight="1" x14ac:dyDescent="0.2">
      <c r="A226" s="556">
        <v>182</v>
      </c>
      <c r="B226" s="537" t="s">
        <v>374</v>
      </c>
      <c r="C226" s="562" t="s">
        <v>375</v>
      </c>
      <c r="D226" s="557" t="s">
        <v>376</v>
      </c>
      <c r="E226" s="838">
        <f>Memorias!D5878</f>
        <v>26.4</v>
      </c>
      <c r="F226" s="502"/>
      <c r="G226" s="553">
        <f t="shared" si="158"/>
        <v>0</v>
      </c>
      <c r="H226" s="458"/>
      <c r="I226" s="448">
        <f t="shared" si="150"/>
        <v>0</v>
      </c>
      <c r="J226" s="449">
        <f t="shared" si="159"/>
        <v>26.4</v>
      </c>
      <c r="K226" s="450">
        <f t="shared" si="152"/>
        <v>0</v>
      </c>
      <c r="L226" s="243"/>
      <c r="M226" s="335"/>
      <c r="N226" s="60">
        <f t="shared" si="118"/>
        <v>0</v>
      </c>
      <c r="O226" s="243"/>
      <c r="P226" s="50"/>
      <c r="Q226" s="35">
        <f t="shared" si="153"/>
        <v>0</v>
      </c>
      <c r="R226" s="243"/>
      <c r="S226" s="53"/>
      <c r="T226" s="35">
        <f t="shared" si="154"/>
        <v>0</v>
      </c>
      <c r="V226" s="34">
        <f t="shared" si="155"/>
        <v>0</v>
      </c>
      <c r="W226" s="35">
        <f t="shared" si="156"/>
        <v>0</v>
      </c>
      <c r="X226" s="206">
        <f t="shared" si="157"/>
        <v>0</v>
      </c>
      <c r="Z226" s="34"/>
      <c r="AA226" s="75"/>
      <c r="AB226" s="206"/>
      <c r="AC226" s="4"/>
    </row>
    <row r="227" spans="1:31" ht="13.9" customHeight="1" x14ac:dyDescent="0.2">
      <c r="A227" s="613" t="s">
        <v>139</v>
      </c>
      <c r="B227" s="614"/>
      <c r="C227" s="615"/>
      <c r="D227" s="616"/>
      <c r="E227" s="617"/>
      <c r="F227" s="618"/>
      <c r="G227" s="619"/>
      <c r="H227" s="477"/>
      <c r="I227" s="478"/>
      <c r="J227" s="479"/>
      <c r="K227" s="480"/>
      <c r="L227" s="243"/>
      <c r="M227" s="415"/>
      <c r="N227" s="416"/>
      <c r="O227" s="243"/>
      <c r="P227" s="39"/>
      <c r="Q227" s="40"/>
      <c r="R227" s="243"/>
      <c r="S227" s="39"/>
      <c r="T227" s="40"/>
      <c r="V227" s="42"/>
      <c r="W227" s="76"/>
      <c r="X227" s="77"/>
      <c r="Y227" s="217"/>
      <c r="Z227" s="34">
        <f>J227-V227</f>
        <v>0</v>
      </c>
      <c r="AA227" s="76"/>
      <c r="AB227" s="77"/>
      <c r="AC227" s="4"/>
      <c r="AE227" s="28"/>
    </row>
    <row r="228" spans="1:31" ht="25.15" customHeight="1" x14ac:dyDescent="0.2">
      <c r="A228" s="465">
        <v>183</v>
      </c>
      <c r="B228" s="441" t="s">
        <v>96</v>
      </c>
      <c r="C228" s="512" t="s">
        <v>377</v>
      </c>
      <c r="D228" s="563" t="s">
        <v>46</v>
      </c>
      <c r="E228" s="563">
        <f>Memorias!D5901</f>
        <v>161</v>
      </c>
      <c r="F228" s="564"/>
      <c r="G228" s="553">
        <f t="shared" ref="G228:G236" si="160">ROUND(F228*E228,0)</f>
        <v>0</v>
      </c>
      <c r="H228" s="447"/>
      <c r="I228" s="448">
        <f t="shared" si="150"/>
        <v>0</v>
      </c>
      <c r="J228" s="449">
        <f t="shared" ref="J228:J236" si="161">+H228+E228</f>
        <v>161</v>
      </c>
      <c r="K228" s="450">
        <f t="shared" ref="K228:K236" si="162">G228+I228</f>
        <v>0</v>
      </c>
      <c r="L228" s="243"/>
      <c r="M228" s="53"/>
      <c r="N228" s="406">
        <f t="shared" si="118"/>
        <v>0</v>
      </c>
      <c r="O228" s="243"/>
      <c r="P228" s="50"/>
      <c r="Q228" s="35">
        <f>ROUND(P228*F228,0)</f>
        <v>0</v>
      </c>
      <c r="R228" s="243"/>
      <c r="S228" s="53"/>
      <c r="T228" s="35"/>
      <c r="V228" s="34">
        <f>+M228+P228+S228</f>
        <v>0</v>
      </c>
      <c r="W228" s="35">
        <f>+T228+Q228+N228</f>
        <v>0</v>
      </c>
      <c r="X228" s="206">
        <f>IFERROR(V228/J228,"")</f>
        <v>0</v>
      </c>
      <c r="Y228" s="206"/>
      <c r="Z228" s="34"/>
      <c r="AA228" s="75"/>
      <c r="AB228" s="206"/>
    </row>
    <row r="229" spans="1:31" ht="37.9" customHeight="1" x14ac:dyDescent="0.2">
      <c r="A229" s="465">
        <v>184</v>
      </c>
      <c r="B229" s="441" t="s">
        <v>378</v>
      </c>
      <c r="C229" s="565" t="s">
        <v>379</v>
      </c>
      <c r="D229" s="474" t="s">
        <v>51</v>
      </c>
      <c r="E229" s="475">
        <f>Memorias!D5923</f>
        <v>60</v>
      </c>
      <c r="F229" s="566"/>
      <c r="G229" s="553">
        <f t="shared" si="160"/>
        <v>0</v>
      </c>
      <c r="H229" s="447"/>
      <c r="I229" s="448">
        <f t="shared" si="150"/>
        <v>0</v>
      </c>
      <c r="J229" s="449">
        <f t="shared" si="161"/>
        <v>60</v>
      </c>
      <c r="K229" s="450">
        <f t="shared" si="162"/>
        <v>0</v>
      </c>
      <c r="L229" s="243"/>
      <c r="M229" s="53"/>
      <c r="N229" s="60">
        <f t="shared" si="118"/>
        <v>0</v>
      </c>
      <c r="O229" s="243"/>
      <c r="P229" s="50"/>
      <c r="Q229" s="35">
        <f>ROUND(P229*F229,0)</f>
        <v>0</v>
      </c>
      <c r="R229" s="243"/>
      <c r="S229" s="53"/>
      <c r="T229" s="35"/>
      <c r="V229" s="34">
        <f>+M229+P229+S229</f>
        <v>0</v>
      </c>
      <c r="W229" s="35">
        <f>+T229+Q229+N229</f>
        <v>0</v>
      </c>
      <c r="X229" s="206">
        <f>IFERROR(V229/J229,"")</f>
        <v>0</v>
      </c>
      <c r="Y229" s="206"/>
      <c r="Z229" s="34"/>
      <c r="AA229" s="75"/>
      <c r="AB229" s="206"/>
    </row>
    <row r="230" spans="1:31" ht="30" customHeight="1" x14ac:dyDescent="0.2">
      <c r="A230" s="465">
        <v>185</v>
      </c>
      <c r="B230" s="441" t="s">
        <v>94</v>
      </c>
      <c r="C230" s="567" t="s">
        <v>95</v>
      </c>
      <c r="D230" s="557" t="s">
        <v>51</v>
      </c>
      <c r="E230" s="557">
        <f>Memorias!D5945</f>
        <v>77.25</v>
      </c>
      <c r="F230" s="568"/>
      <c r="G230" s="553">
        <f t="shared" si="160"/>
        <v>0</v>
      </c>
      <c r="H230" s="447"/>
      <c r="I230" s="448">
        <f t="shared" si="150"/>
        <v>0</v>
      </c>
      <c r="J230" s="449">
        <f t="shared" si="161"/>
        <v>77.25</v>
      </c>
      <c r="K230" s="450">
        <f t="shared" si="162"/>
        <v>0</v>
      </c>
      <c r="L230" s="243"/>
      <c r="M230" s="53"/>
      <c r="N230" s="60">
        <f t="shared" si="118"/>
        <v>0</v>
      </c>
      <c r="O230" s="243"/>
      <c r="P230" s="50"/>
      <c r="Q230" s="35">
        <f>ROUND(P230*F230,0)</f>
        <v>0</v>
      </c>
      <c r="R230" s="243"/>
      <c r="S230" s="53"/>
      <c r="T230" s="35"/>
      <c r="V230" s="34">
        <f>+M230+P230+S230</f>
        <v>0</v>
      </c>
      <c r="W230" s="35">
        <f>+T230+Q230+N230</f>
        <v>0</v>
      </c>
      <c r="X230" s="206">
        <f>IFERROR(V230/J230,"")</f>
        <v>0</v>
      </c>
      <c r="Y230" s="206"/>
      <c r="Z230" s="34"/>
      <c r="AA230" s="75"/>
      <c r="AB230" s="206"/>
    </row>
    <row r="231" spans="1:31" ht="23.45" customHeight="1" x14ac:dyDescent="0.2">
      <c r="A231" s="465">
        <v>186</v>
      </c>
      <c r="B231" s="441" t="s">
        <v>380</v>
      </c>
      <c r="C231" s="512" t="s">
        <v>381</v>
      </c>
      <c r="D231" s="557" t="s">
        <v>46</v>
      </c>
      <c r="E231" s="557">
        <f>Memorias!D5967</f>
        <v>10</v>
      </c>
      <c r="F231" s="568"/>
      <c r="G231" s="553">
        <f t="shared" si="160"/>
        <v>0</v>
      </c>
      <c r="H231" s="447"/>
      <c r="I231" s="448">
        <f t="shared" si="150"/>
        <v>0</v>
      </c>
      <c r="J231" s="449">
        <f t="shared" si="161"/>
        <v>10</v>
      </c>
      <c r="K231" s="450">
        <f t="shared" si="162"/>
        <v>0</v>
      </c>
      <c r="L231" s="243"/>
      <c r="M231" s="53"/>
      <c r="N231" s="60">
        <f t="shared" ref="N231:N236" si="163">ROUND(+(N$94*$F231),0)</f>
        <v>0</v>
      </c>
      <c r="O231" s="243"/>
      <c r="P231" s="50"/>
      <c r="Q231" s="35">
        <f>ROUND(P231*F231,0)</f>
        <v>0</v>
      </c>
      <c r="R231" s="243"/>
      <c r="S231" s="53"/>
      <c r="T231" s="35"/>
      <c r="V231" s="34">
        <f>+M231+P231+S231</f>
        <v>0</v>
      </c>
      <c r="W231" s="35">
        <f>+T231+Q231+N231</f>
        <v>0</v>
      </c>
      <c r="X231" s="206">
        <f>IFERROR(V231/J231,"")</f>
        <v>0</v>
      </c>
      <c r="Y231" s="206"/>
      <c r="Z231" s="34"/>
      <c r="AA231" s="75"/>
      <c r="AB231" s="206"/>
    </row>
    <row r="232" spans="1:31" ht="38.25" customHeight="1" x14ac:dyDescent="0.2">
      <c r="A232" s="465">
        <v>187</v>
      </c>
      <c r="B232" s="441" t="s">
        <v>320</v>
      </c>
      <c r="C232" s="569" t="s">
        <v>382</v>
      </c>
      <c r="D232" s="557" t="s">
        <v>29</v>
      </c>
      <c r="E232" s="557">
        <f>Memorias!D5989</f>
        <v>1</v>
      </c>
      <c r="F232" s="570"/>
      <c r="G232" s="571"/>
      <c r="H232" s="447"/>
      <c r="I232" s="448">
        <f t="shared" si="150"/>
        <v>0</v>
      </c>
      <c r="J232" s="449">
        <f t="shared" si="161"/>
        <v>1</v>
      </c>
      <c r="K232" s="450">
        <f t="shared" si="162"/>
        <v>0</v>
      </c>
      <c r="L232" s="243"/>
      <c r="M232" s="53"/>
      <c r="N232" s="60"/>
      <c r="O232" s="243"/>
      <c r="P232" s="50"/>
      <c r="Q232" s="420"/>
      <c r="R232" s="243"/>
      <c r="S232" s="53"/>
      <c r="T232" s="35"/>
      <c r="V232" s="34"/>
      <c r="W232" s="35"/>
      <c r="X232" s="206"/>
      <c r="Y232" s="206"/>
      <c r="Z232" s="34"/>
      <c r="AA232" s="75"/>
      <c r="AB232" s="206"/>
    </row>
    <row r="233" spans="1:31" ht="22.5" customHeight="1" x14ac:dyDescent="0.2">
      <c r="A233" s="465">
        <v>188</v>
      </c>
      <c r="B233" s="441" t="s">
        <v>378</v>
      </c>
      <c r="C233" s="569" t="s">
        <v>383</v>
      </c>
      <c r="D233" s="557" t="s">
        <v>51</v>
      </c>
      <c r="E233" s="557">
        <f>Memorias!D6011</f>
        <v>30</v>
      </c>
      <c r="F233" s="570"/>
      <c r="G233" s="571"/>
      <c r="H233" s="447"/>
      <c r="I233" s="448">
        <f t="shared" si="150"/>
        <v>0</v>
      </c>
      <c r="J233" s="449">
        <f t="shared" si="161"/>
        <v>30</v>
      </c>
      <c r="K233" s="450">
        <f t="shared" si="162"/>
        <v>0</v>
      </c>
      <c r="L233" s="243"/>
      <c r="M233" s="53"/>
      <c r="N233" s="60"/>
      <c r="O233" s="243"/>
      <c r="P233" s="50"/>
      <c r="Q233" s="420"/>
      <c r="R233" s="243"/>
      <c r="S233" s="53"/>
      <c r="T233" s="35"/>
      <c r="V233" s="34"/>
      <c r="W233" s="35"/>
      <c r="X233" s="206"/>
      <c r="Y233" s="206"/>
      <c r="Z233" s="34"/>
      <c r="AA233" s="75"/>
      <c r="AB233" s="206"/>
    </row>
    <row r="234" spans="1:31" ht="22.5" customHeight="1" x14ac:dyDescent="0.2">
      <c r="A234" s="465">
        <v>189</v>
      </c>
      <c r="B234" s="441" t="s">
        <v>384</v>
      </c>
      <c r="C234" s="569" t="s">
        <v>385</v>
      </c>
      <c r="D234" s="572" t="s">
        <v>29</v>
      </c>
      <c r="E234" s="557">
        <f>Memorias!D6033</f>
        <v>3</v>
      </c>
      <c r="F234" s="570"/>
      <c r="G234" s="571"/>
      <c r="H234" s="447"/>
      <c r="I234" s="448">
        <f t="shared" si="150"/>
        <v>0</v>
      </c>
      <c r="J234" s="449">
        <f t="shared" si="161"/>
        <v>3</v>
      </c>
      <c r="K234" s="450">
        <f t="shared" si="162"/>
        <v>0</v>
      </c>
      <c r="L234" s="243"/>
      <c r="M234" s="53"/>
      <c r="N234" s="60"/>
      <c r="O234" s="243"/>
      <c r="P234" s="50"/>
      <c r="Q234" s="420"/>
      <c r="R234" s="243"/>
      <c r="S234" s="53"/>
      <c r="T234" s="35"/>
      <c r="V234" s="34"/>
      <c r="W234" s="35"/>
      <c r="X234" s="206"/>
      <c r="Y234" s="206"/>
      <c r="Z234" s="34"/>
      <c r="AA234" s="75"/>
      <c r="AB234" s="206"/>
    </row>
    <row r="235" spans="1:31" ht="22.5" customHeight="1" x14ac:dyDescent="0.2">
      <c r="A235" s="465">
        <v>190</v>
      </c>
      <c r="B235" s="441" t="s">
        <v>386</v>
      </c>
      <c r="C235" s="482" t="s">
        <v>387</v>
      </c>
      <c r="D235" s="483" t="s">
        <v>29</v>
      </c>
      <c r="E235" s="557">
        <f>Memorias!D6055</f>
        <v>2</v>
      </c>
      <c r="F235" s="570"/>
      <c r="G235" s="571"/>
      <c r="H235" s="447"/>
      <c r="I235" s="448">
        <f t="shared" si="150"/>
        <v>0</v>
      </c>
      <c r="J235" s="449">
        <f t="shared" si="161"/>
        <v>2</v>
      </c>
      <c r="K235" s="450">
        <f t="shared" si="162"/>
        <v>0</v>
      </c>
      <c r="L235" s="243"/>
      <c r="M235" s="53"/>
      <c r="N235" s="60"/>
      <c r="O235" s="243"/>
      <c r="P235" s="50"/>
      <c r="Q235" s="420"/>
      <c r="R235" s="243"/>
      <c r="S235" s="53"/>
      <c r="T235" s="35"/>
      <c r="V235" s="34"/>
      <c r="W235" s="35"/>
      <c r="X235" s="206"/>
      <c r="Y235" s="206"/>
      <c r="Z235" s="34"/>
      <c r="AA235" s="75"/>
      <c r="AB235" s="206"/>
    </row>
    <row r="236" spans="1:31" ht="30" customHeight="1" x14ac:dyDescent="0.2">
      <c r="A236" s="465">
        <v>191</v>
      </c>
      <c r="B236" s="441" t="s">
        <v>140</v>
      </c>
      <c r="C236" s="512" t="s">
        <v>141</v>
      </c>
      <c r="D236" s="557" t="s">
        <v>51</v>
      </c>
      <c r="E236" s="557">
        <f>Memorias!D6077</f>
        <v>660</v>
      </c>
      <c r="F236" s="573"/>
      <c r="G236" s="571">
        <f t="shared" si="160"/>
        <v>0</v>
      </c>
      <c r="H236" s="447"/>
      <c r="I236" s="448">
        <f t="shared" si="150"/>
        <v>0</v>
      </c>
      <c r="J236" s="449">
        <f t="shared" si="161"/>
        <v>660</v>
      </c>
      <c r="K236" s="450">
        <f t="shared" si="162"/>
        <v>0</v>
      </c>
      <c r="L236" s="243"/>
      <c r="M236" s="53"/>
      <c r="N236" s="60">
        <f t="shared" si="163"/>
        <v>0</v>
      </c>
      <c r="O236" s="243"/>
      <c r="P236" s="50"/>
      <c r="Q236" s="420">
        <f>ROUND(P236*F236,0)</f>
        <v>0</v>
      </c>
      <c r="R236" s="243"/>
      <c r="S236" s="53"/>
      <c r="T236" s="35"/>
      <c r="V236" s="34">
        <f>+M236+P236+S236</f>
        <v>0</v>
      </c>
      <c r="W236" s="35">
        <f>+T236+Q236+N236</f>
        <v>0</v>
      </c>
      <c r="X236" s="206">
        <f>IFERROR(V236/J236,"")</f>
        <v>0</v>
      </c>
      <c r="Y236" s="206"/>
      <c r="Z236" s="34"/>
      <c r="AA236" s="75"/>
      <c r="AB236" s="206"/>
    </row>
    <row r="237" spans="1:31" ht="11.25" customHeight="1" x14ac:dyDescent="0.2">
      <c r="A237" s="585"/>
      <c r="B237" s="586"/>
      <c r="C237" s="586"/>
      <c r="D237" s="586"/>
      <c r="E237" s="586"/>
      <c r="F237" s="587"/>
      <c r="G237" s="574"/>
      <c r="H237" s="575"/>
      <c r="I237" s="576"/>
      <c r="J237" s="548"/>
      <c r="K237" s="577"/>
      <c r="L237" s="243"/>
      <c r="M237" s="417"/>
      <c r="N237" s="419"/>
      <c r="O237" s="243"/>
      <c r="P237" s="417"/>
      <c r="Q237" s="419"/>
      <c r="R237" s="243"/>
      <c r="S237" s="39"/>
      <c r="T237" s="419"/>
      <c r="V237" s="42"/>
      <c r="W237" s="78">
        <f>SUM(W99:W236)</f>
        <v>0</v>
      </c>
      <c r="X237" s="77"/>
      <c r="Y237" s="217"/>
      <c r="Z237" s="42"/>
      <c r="AA237" s="78" t="e">
        <f>SUM(#REF!)</f>
        <v>#REF!</v>
      </c>
      <c r="AB237" s="77"/>
      <c r="AC237" s="4"/>
      <c r="AE237" s="28"/>
    </row>
    <row r="238" spans="1:31" ht="11.25" customHeight="1" x14ac:dyDescent="0.2">
      <c r="A238" s="711" t="s">
        <v>388</v>
      </c>
      <c r="B238" s="712"/>
      <c r="C238" s="712"/>
      <c r="D238" s="712"/>
      <c r="E238" s="713"/>
      <c r="F238" s="578">
        <v>0.28000000000000003</v>
      </c>
      <c r="G238" s="446">
        <f>ROUND($G$237*F238,0)</f>
        <v>0</v>
      </c>
      <c r="H238" s="579"/>
      <c r="I238" s="580">
        <f t="shared" ref="I238:I240" si="164">+ROUND(I$237*$F238,0)</f>
        <v>0</v>
      </c>
      <c r="J238" s="449"/>
      <c r="K238" s="581">
        <f>+I238+G238</f>
        <v>0</v>
      </c>
      <c r="L238" s="243"/>
      <c r="M238" s="53"/>
      <c r="N238" s="418">
        <f>ROUND(N237*F238,0)</f>
        <v>0</v>
      </c>
      <c r="O238" s="243"/>
      <c r="P238" s="53"/>
      <c r="Q238" s="418">
        <f>+ROUND(Q$237*$F238,0)</f>
        <v>0</v>
      </c>
      <c r="R238" s="243"/>
      <c r="S238" s="41"/>
      <c r="T238" s="58">
        <f t="shared" ref="T238:T240" si="165">+ROUND(T$237*$F238,0)</f>
        <v>0</v>
      </c>
      <c r="V238" s="34"/>
      <c r="W238" s="47">
        <f t="shared" ref="W238:W240" si="166">+ROUND(W$237*$F238,0)</f>
        <v>0</v>
      </c>
      <c r="X238" s="79"/>
      <c r="Z238" s="34"/>
      <c r="AA238" s="47" t="e">
        <f>+ROUND(AA$237*$F238,0)</f>
        <v>#REF!</v>
      </c>
      <c r="AB238" s="79"/>
      <c r="AC238" s="4"/>
    </row>
    <row r="239" spans="1:31" ht="11.25" customHeight="1" x14ac:dyDescent="0.2">
      <c r="A239" s="711" t="s">
        <v>389</v>
      </c>
      <c r="B239" s="712"/>
      <c r="C239" s="712"/>
      <c r="D239" s="712"/>
      <c r="E239" s="713"/>
      <c r="F239" s="578">
        <v>0.01</v>
      </c>
      <c r="G239" s="446">
        <f>ROUND($G$237*F239,0)</f>
        <v>0</v>
      </c>
      <c r="H239" s="579"/>
      <c r="I239" s="580">
        <f t="shared" si="164"/>
        <v>0</v>
      </c>
      <c r="J239" s="449"/>
      <c r="K239" s="581">
        <f t="shared" ref="K239:K241" si="167">+I239+G239</f>
        <v>0</v>
      </c>
      <c r="L239" s="243"/>
      <c r="M239" s="53"/>
      <c r="N239" s="58">
        <f>ROUND(N237*F239,0)</f>
        <v>0</v>
      </c>
      <c r="O239" s="243"/>
      <c r="P239" s="53"/>
      <c r="Q239" s="58">
        <f>+ROUND(Q$237*$F239,0)</f>
        <v>0</v>
      </c>
      <c r="R239" s="243"/>
      <c r="S239" s="41"/>
      <c r="T239" s="58">
        <f t="shared" si="165"/>
        <v>0</v>
      </c>
      <c r="V239" s="34"/>
      <c r="W239" s="47">
        <f t="shared" si="166"/>
        <v>0</v>
      </c>
      <c r="X239" s="79"/>
      <c r="Z239" s="34"/>
      <c r="AA239" s="47" t="e">
        <f t="shared" ref="AA239:AA240" si="168">+ROUND(AA$237*$F239,0)</f>
        <v>#REF!</v>
      </c>
      <c r="AB239" s="79"/>
      <c r="AC239" s="4"/>
    </row>
    <row r="240" spans="1:31" ht="11.25" customHeight="1" x14ac:dyDescent="0.2">
      <c r="A240" s="711" t="s">
        <v>390</v>
      </c>
      <c r="B240" s="712"/>
      <c r="C240" s="712"/>
      <c r="D240" s="712"/>
      <c r="E240" s="713"/>
      <c r="F240" s="578">
        <v>0.05</v>
      </c>
      <c r="G240" s="446">
        <f>ROUND($G$237*F240,0)</f>
        <v>0</v>
      </c>
      <c r="H240" s="579"/>
      <c r="I240" s="580">
        <f t="shared" si="164"/>
        <v>0</v>
      </c>
      <c r="J240" s="449"/>
      <c r="K240" s="581">
        <f t="shared" si="167"/>
        <v>0</v>
      </c>
      <c r="L240" s="243"/>
      <c r="M240" s="53"/>
      <c r="N240" s="58">
        <f>ROUND(N237*F240,0)</f>
        <v>0</v>
      </c>
      <c r="O240" s="243"/>
      <c r="P240" s="53"/>
      <c r="Q240" s="58">
        <f>+ROUND(Q$237*$F240,0)</f>
        <v>0</v>
      </c>
      <c r="R240" s="243"/>
      <c r="S240" s="41"/>
      <c r="T240" s="58">
        <f t="shared" si="165"/>
        <v>0</v>
      </c>
      <c r="V240" s="34"/>
      <c r="W240" s="47">
        <f t="shared" si="166"/>
        <v>0</v>
      </c>
      <c r="X240" s="79"/>
      <c r="Z240" s="34"/>
      <c r="AA240" s="47" t="e">
        <f t="shared" si="168"/>
        <v>#REF!</v>
      </c>
      <c r="AB240" s="79"/>
      <c r="AC240" s="4"/>
    </row>
    <row r="241" spans="1:34" ht="11.25" customHeight="1" x14ac:dyDescent="0.2">
      <c r="A241" s="711" t="s">
        <v>391</v>
      </c>
      <c r="B241" s="712"/>
      <c r="C241" s="712"/>
      <c r="D241" s="712"/>
      <c r="E241" s="713"/>
      <c r="F241" s="578">
        <v>0.19</v>
      </c>
      <c r="G241" s="446">
        <f>ROUND($G$240*F241,0)</f>
        <v>0</v>
      </c>
      <c r="H241" s="579"/>
      <c r="I241" s="580">
        <f>+ROUND(I$240*$F241,0)</f>
        <v>0</v>
      </c>
      <c r="J241" s="449"/>
      <c r="K241" s="581">
        <f t="shared" si="167"/>
        <v>0</v>
      </c>
      <c r="L241" s="243"/>
      <c r="M241" s="53"/>
      <c r="N241" s="58">
        <f>ROUND(N240*F241,0)</f>
        <v>0</v>
      </c>
      <c r="O241" s="243"/>
      <c r="P241" s="53"/>
      <c r="Q241" s="58">
        <f>+ROUND(Q$240*$F241,0)</f>
        <v>0</v>
      </c>
      <c r="R241" s="243"/>
      <c r="S241" s="41"/>
      <c r="T241" s="58">
        <f>+ROUND(T$240*$F241,0)</f>
        <v>0</v>
      </c>
      <c r="V241" s="34"/>
      <c r="W241" s="47">
        <f>+ROUND(W$240*$F241,0)</f>
        <v>0</v>
      </c>
      <c r="X241" s="79"/>
      <c r="Z241" s="34"/>
      <c r="AA241" s="47" t="e">
        <f>+ROUND(AA$240*$F241,0)</f>
        <v>#REF!</v>
      </c>
      <c r="AB241" s="79"/>
      <c r="AC241" s="4"/>
    </row>
    <row r="242" spans="1:34" ht="13.5" customHeight="1" x14ac:dyDescent="0.2">
      <c r="A242" s="714" t="s">
        <v>392</v>
      </c>
      <c r="B242" s="712"/>
      <c r="C242" s="712"/>
      <c r="D242" s="712"/>
      <c r="E242" s="712"/>
      <c r="F242" s="713"/>
      <c r="G242" s="582">
        <f>SUM(G237:G241)</f>
        <v>0</v>
      </c>
      <c r="H242" s="546"/>
      <c r="I242" s="576">
        <f>SUM(I237:I241)</f>
        <v>0</v>
      </c>
      <c r="J242" s="548"/>
      <c r="K242" s="577">
        <f>SUM(K237:K241)</f>
        <v>0</v>
      </c>
      <c r="L242" s="243"/>
      <c r="M242" s="39"/>
      <c r="N242" s="55">
        <f>SUM(N237:N241)</f>
        <v>0</v>
      </c>
      <c r="O242" s="243"/>
      <c r="P242" s="39"/>
      <c r="Q242" s="55">
        <f>SUM(Q237:Q241)</f>
        <v>0</v>
      </c>
      <c r="R242" s="243"/>
      <c r="S242" s="41"/>
      <c r="T242" s="56">
        <f>SUM(T237:T241)</f>
        <v>0</v>
      </c>
      <c r="V242" s="42"/>
      <c r="W242" s="78">
        <f>SUM(W237:W241)</f>
        <v>0</v>
      </c>
      <c r="X242" s="77"/>
      <c r="Y242" s="217"/>
      <c r="Z242" s="42"/>
      <c r="AA242" s="78" t="e">
        <f>SUM(AA237:AA241)</f>
        <v>#REF!</v>
      </c>
      <c r="AB242" s="77"/>
      <c r="AC242" s="4"/>
    </row>
    <row r="243" spans="1:34" ht="15.75" customHeight="1" thickBot="1" x14ac:dyDescent="0.25">
      <c r="A243" s="607"/>
      <c r="B243" s="608"/>
      <c r="C243" s="608"/>
      <c r="D243" s="608"/>
      <c r="E243" s="608"/>
      <c r="F243" s="608"/>
      <c r="G243" s="608"/>
      <c r="H243" s="402"/>
      <c r="I243" s="403"/>
      <c r="J243" s="80"/>
      <c r="K243" s="81"/>
      <c r="L243" s="243"/>
      <c r="M243" s="82"/>
      <c r="N243" s="83"/>
      <c r="O243" s="243"/>
      <c r="P243" s="84"/>
      <c r="Q243" s="83"/>
      <c r="R243" s="243"/>
      <c r="S243" s="84"/>
      <c r="T243" s="83"/>
      <c r="V243" s="85"/>
      <c r="W243" s="86"/>
      <c r="X243" s="87"/>
      <c r="Z243" s="85"/>
      <c r="AA243" s="86"/>
      <c r="AB243" s="87"/>
      <c r="AC243" s="4"/>
    </row>
    <row r="244" spans="1:34" ht="11.25" customHeight="1" thickBot="1" x14ac:dyDescent="0.25">
      <c r="G244" s="298"/>
      <c r="H244" s="244"/>
      <c r="I244" s="242"/>
      <c r="J244" s="243"/>
      <c r="K244" s="242"/>
      <c r="M244" s="244"/>
      <c r="N244" s="242"/>
      <c r="P244" s="244"/>
      <c r="Q244" s="242"/>
      <c r="T244" s="3"/>
      <c r="W244" s="3"/>
      <c r="Z244" s="4"/>
      <c r="AA244" s="3"/>
      <c r="AC244" s="4"/>
    </row>
    <row r="245" spans="1:34" ht="11.25" customHeight="1" x14ac:dyDescent="0.2">
      <c r="C245" s="609" t="s">
        <v>171</v>
      </c>
      <c r="D245" s="610"/>
      <c r="E245" s="611"/>
      <c r="G245" s="299">
        <f>+G237+G91</f>
        <v>0</v>
      </c>
      <c r="H245" s="2"/>
      <c r="I245" s="88">
        <f>+I237+I91</f>
        <v>0</v>
      </c>
      <c r="J245" s="7"/>
      <c r="K245" s="88">
        <f>+I245+G245</f>
        <v>0</v>
      </c>
      <c r="L245" s="7"/>
      <c r="M245" s="2"/>
      <c r="N245" s="88">
        <f>+N237+N91</f>
        <v>0</v>
      </c>
      <c r="O245" s="7"/>
      <c r="P245" s="2"/>
      <c r="Q245" s="88">
        <f>+Q237+Q91</f>
        <v>0</v>
      </c>
      <c r="R245" s="7"/>
      <c r="S245" s="7"/>
      <c r="T245" s="89">
        <f>SUM(T20:T244)</f>
        <v>0</v>
      </c>
      <c r="U245" s="7"/>
      <c r="V245" s="7"/>
      <c r="W245" s="90">
        <f>ROUND(+Q245+N245,2)</f>
        <v>0</v>
      </c>
      <c r="X245" s="91"/>
      <c r="Y245" s="7"/>
      <c r="Z245" s="7"/>
      <c r="AA245" s="92">
        <f>+K245-W245</f>
        <v>0</v>
      </c>
      <c r="AC245" s="93"/>
    </row>
    <row r="246" spans="1:34" ht="11.25" customHeight="1" x14ac:dyDescent="0.2">
      <c r="C246" s="583" t="s">
        <v>172</v>
      </c>
      <c r="D246" s="584"/>
      <c r="E246" s="94">
        <v>0.28000000000000003</v>
      </c>
      <c r="G246" s="300">
        <f>+G238+G92</f>
        <v>0</v>
      </c>
      <c r="H246" s="2"/>
      <c r="I246" s="95">
        <f>+I238+I92</f>
        <v>0</v>
      </c>
      <c r="J246" s="7"/>
      <c r="K246" s="95">
        <f t="shared" ref="K246:K249" si="169">+I246+G246</f>
        <v>0</v>
      </c>
      <c r="L246" s="7"/>
      <c r="M246" s="2"/>
      <c r="N246" s="95">
        <f>N238+N92</f>
        <v>0</v>
      </c>
      <c r="O246" s="7"/>
      <c r="P246" s="2"/>
      <c r="Q246" s="95">
        <f>Q238+Q92</f>
        <v>0</v>
      </c>
      <c r="R246" s="7"/>
      <c r="S246" s="7"/>
      <c r="T246" s="95">
        <f>ROUND($E$246*T245,0)</f>
        <v>0</v>
      </c>
      <c r="U246" s="7"/>
      <c r="V246" s="7"/>
      <c r="W246" s="95">
        <f>ROUND(+N246+Q246,2)</f>
        <v>0</v>
      </c>
      <c r="X246" s="91"/>
      <c r="Y246" s="7"/>
      <c r="Z246" s="7"/>
      <c r="AA246" s="95">
        <f>+K246-W246</f>
        <v>0</v>
      </c>
      <c r="AC246" s="93"/>
    </row>
    <row r="247" spans="1:34" ht="11.25" customHeight="1" x14ac:dyDescent="0.2">
      <c r="C247" s="583" t="s">
        <v>389</v>
      </c>
      <c r="D247" s="584"/>
      <c r="E247" s="94">
        <v>0.01</v>
      </c>
      <c r="G247" s="300">
        <f>+G239+G93</f>
        <v>0</v>
      </c>
      <c r="H247" s="2"/>
      <c r="I247" s="95">
        <f>+I239+I93</f>
        <v>0</v>
      </c>
      <c r="J247" s="7"/>
      <c r="K247" s="95">
        <f t="shared" si="169"/>
        <v>0</v>
      </c>
      <c r="L247" s="7"/>
      <c r="M247" s="2"/>
      <c r="N247" s="95">
        <f>N239+N93</f>
        <v>0</v>
      </c>
      <c r="O247" s="7"/>
      <c r="P247" s="2"/>
      <c r="Q247" s="95">
        <f>Q239+Q93</f>
        <v>0</v>
      </c>
      <c r="R247" s="7"/>
      <c r="S247" s="7"/>
      <c r="T247" s="95">
        <f>ROUND(T245*$E$247,0)</f>
        <v>0</v>
      </c>
      <c r="U247" s="7"/>
      <c r="V247" s="7"/>
      <c r="W247" s="95">
        <f>ROUND(+N247+Q247,2)</f>
        <v>0</v>
      </c>
      <c r="X247" s="91"/>
      <c r="Y247" s="7"/>
      <c r="Z247" s="7"/>
      <c r="AA247" s="95">
        <f>+K247-W247</f>
        <v>0</v>
      </c>
      <c r="AC247" s="93"/>
    </row>
    <row r="248" spans="1:34" ht="11.25" customHeight="1" x14ac:dyDescent="0.2">
      <c r="C248" s="583" t="s">
        <v>174</v>
      </c>
      <c r="D248" s="584"/>
      <c r="E248" s="94">
        <v>0.05</v>
      </c>
      <c r="G248" s="300">
        <f>+G240+G94</f>
        <v>0</v>
      </c>
      <c r="H248" s="2"/>
      <c r="I248" s="95">
        <f>+I240+I94</f>
        <v>0</v>
      </c>
      <c r="J248" s="7"/>
      <c r="K248" s="95">
        <f t="shared" si="169"/>
        <v>0</v>
      </c>
      <c r="L248" s="7"/>
      <c r="M248" s="2"/>
      <c r="N248" s="95">
        <f>ROUND(N240+N94,0)</f>
        <v>0</v>
      </c>
      <c r="O248" s="7"/>
      <c r="P248" s="2"/>
      <c r="Q248" s="95">
        <f>ROUND(Q240+Q94,0)</f>
        <v>0</v>
      </c>
      <c r="R248" s="7"/>
      <c r="S248" s="7"/>
      <c r="T248" s="95">
        <f>ROUND(T245*$E$248,0)</f>
        <v>0</v>
      </c>
      <c r="U248" s="7"/>
      <c r="V248" s="7"/>
      <c r="W248" s="95">
        <f>ROUND(+N248+Q248,2)</f>
        <v>0</v>
      </c>
      <c r="X248" s="91"/>
      <c r="Y248" s="7"/>
      <c r="Z248" s="7"/>
      <c r="AA248" s="95">
        <f>+K248-W248</f>
        <v>0</v>
      </c>
      <c r="AC248" s="93"/>
    </row>
    <row r="249" spans="1:34" ht="11.25" customHeight="1" x14ac:dyDescent="0.2">
      <c r="C249" s="583" t="s">
        <v>175</v>
      </c>
      <c r="D249" s="584"/>
      <c r="E249" s="94">
        <v>0.19</v>
      </c>
      <c r="G249" s="300">
        <f>+G241+G95</f>
        <v>0</v>
      </c>
      <c r="H249" s="2"/>
      <c r="I249" s="95">
        <f>+I241+I95</f>
        <v>0</v>
      </c>
      <c r="J249" s="7"/>
      <c r="K249" s="95">
        <f t="shared" si="169"/>
        <v>0</v>
      </c>
      <c r="L249" s="7"/>
      <c r="M249" s="2"/>
      <c r="N249" s="95">
        <f>N241+N95</f>
        <v>0</v>
      </c>
      <c r="O249" s="7"/>
      <c r="P249" s="2"/>
      <c r="Q249" s="95">
        <f>Q241+Q95</f>
        <v>0</v>
      </c>
      <c r="R249" s="7"/>
      <c r="S249" s="7"/>
      <c r="T249" s="95">
        <f>ROUND(T248*$E$249,0)</f>
        <v>0</v>
      </c>
      <c r="U249" s="7"/>
      <c r="V249" s="7"/>
      <c r="W249" s="95">
        <f>ROUND(+N249+Q249,2)</f>
        <v>0</v>
      </c>
      <c r="X249" s="91"/>
      <c r="Y249" s="7"/>
      <c r="Z249" s="7"/>
      <c r="AA249" s="95">
        <f>+K249-W249</f>
        <v>0</v>
      </c>
      <c r="AC249" s="93"/>
    </row>
    <row r="250" spans="1:34" ht="15.6" customHeight="1" thickBot="1" x14ac:dyDescent="0.25">
      <c r="C250" s="710" t="s">
        <v>176</v>
      </c>
      <c r="D250" s="608"/>
      <c r="E250" s="662"/>
      <c r="G250" s="301">
        <f>SUM(G245:G249)</f>
        <v>0</v>
      </c>
      <c r="H250" s="2"/>
      <c r="I250" s="96">
        <f>SUM(I245:I249)</f>
        <v>0</v>
      </c>
      <c r="J250" s="7"/>
      <c r="K250" s="97">
        <f>SUM(K245:K249)</f>
        <v>0</v>
      </c>
      <c r="L250" s="7"/>
      <c r="M250" s="2"/>
      <c r="N250" s="96">
        <f>N242+N96</f>
        <v>0</v>
      </c>
      <c r="O250" s="7"/>
      <c r="P250" s="2"/>
      <c r="Q250" s="96">
        <f>Q242+Q96</f>
        <v>0</v>
      </c>
      <c r="R250" s="7"/>
      <c r="S250" s="7"/>
      <c r="T250" s="97">
        <f>SUM(T245:T249)</f>
        <v>0</v>
      </c>
      <c r="U250" s="7"/>
      <c r="V250" s="7"/>
      <c r="W250" s="98">
        <f>SUM(W245:W249)</f>
        <v>0</v>
      </c>
      <c r="X250" s="91"/>
      <c r="Y250" s="7"/>
      <c r="Z250" s="7"/>
      <c r="AA250" s="99">
        <f>SUM(AA245:AA249)</f>
        <v>0</v>
      </c>
      <c r="AC250" s="100"/>
    </row>
    <row r="251" spans="1:34" ht="13.9" customHeight="1" thickBot="1" x14ac:dyDescent="0.25">
      <c r="A251" s="101"/>
      <c r="B251" s="101"/>
      <c r="C251" s="102"/>
      <c r="D251" s="103"/>
      <c r="E251" s="8"/>
      <c r="G251" s="302"/>
      <c r="H251" s="2"/>
      <c r="I251" s="104" t="e">
        <f>+I250/G250</f>
        <v>#DIV/0!</v>
      </c>
      <c r="J251" s="105"/>
      <c r="K251" s="104" t="e">
        <f>+K250/$K$250</f>
        <v>#DIV/0!</v>
      </c>
      <c r="L251" s="106"/>
      <c r="M251" s="106"/>
      <c r="N251" s="104" t="e">
        <f>+N250/F10</f>
        <v>#DIV/0!</v>
      </c>
      <c r="O251" s="106"/>
      <c r="P251" s="106"/>
      <c r="Q251" s="104" t="e">
        <f>+Q250/F10</f>
        <v>#DIV/0!</v>
      </c>
      <c r="R251" s="106"/>
      <c r="S251" s="106"/>
      <c r="T251" s="104" t="e">
        <f>+T250/$K$250</f>
        <v>#DIV/0!</v>
      </c>
      <c r="U251" s="106"/>
      <c r="V251" s="105"/>
      <c r="W251" s="240" t="e">
        <f>+W250/F10</f>
        <v>#DIV/0!</v>
      </c>
      <c r="X251" s="107"/>
      <c r="Y251" s="105"/>
      <c r="Z251" s="100"/>
      <c r="AA251" s="241" t="e">
        <f>AA250/F10</f>
        <v>#DIV/0!</v>
      </c>
      <c r="AB251" s="108"/>
      <c r="AC251" s="4"/>
      <c r="AD251" s="105"/>
      <c r="AE251" s="105"/>
      <c r="AF251" s="105"/>
      <c r="AG251" s="105"/>
      <c r="AH251" s="105"/>
    </row>
    <row r="252" spans="1:34" ht="11.25" customHeight="1" x14ac:dyDescent="0.2">
      <c r="C252" s="407"/>
      <c r="D252" s="407"/>
      <c r="E252" s="407"/>
      <c r="F252" s="407"/>
      <c r="G252" s="407"/>
      <c r="H252" s="114"/>
      <c r="I252" s="115"/>
      <c r="J252" s="115"/>
      <c r="K252" s="115"/>
      <c r="L252" s="116"/>
      <c r="M252" s="2"/>
      <c r="N252" s="3"/>
      <c r="P252" s="2"/>
      <c r="Q252" s="3"/>
      <c r="T252" s="3"/>
      <c r="W252" s="3"/>
      <c r="Z252" s="4"/>
      <c r="AA252" s="3"/>
      <c r="AC252" s="4"/>
    </row>
    <row r="253" spans="1:34" ht="11.25" customHeight="1" x14ac:dyDescent="0.2">
      <c r="E253" s="66"/>
      <c r="F253" s="111"/>
      <c r="G253" s="303"/>
      <c r="H253" s="114"/>
      <c r="I253" s="115"/>
      <c r="J253" s="116"/>
      <c r="K253" s="115"/>
      <c r="L253" s="116"/>
      <c r="M253" s="2"/>
      <c r="N253" s="3"/>
      <c r="P253" s="2"/>
      <c r="Q253" s="3"/>
      <c r="T253" s="3"/>
      <c r="W253" s="3"/>
      <c r="Z253" s="4"/>
      <c r="AA253" s="3"/>
      <c r="AC253" s="4"/>
    </row>
    <row r="254" spans="1:34" ht="11.25" customHeight="1" x14ac:dyDescent="0.2">
      <c r="E254" s="66"/>
      <c r="F254" s="111"/>
      <c r="G254" s="303"/>
      <c r="H254" s="114"/>
      <c r="I254" s="115"/>
      <c r="J254" s="116"/>
      <c r="K254" s="115"/>
      <c r="L254" s="116"/>
      <c r="M254" s="2"/>
      <c r="N254" s="3"/>
      <c r="P254" s="2"/>
      <c r="Q254" s="3"/>
      <c r="T254" s="3"/>
      <c r="W254" s="3"/>
      <c r="Z254" s="4"/>
      <c r="AA254" s="3"/>
      <c r="AC254" s="4"/>
    </row>
    <row r="255" spans="1:34" ht="11.25" customHeight="1" x14ac:dyDescent="0.2">
      <c r="E255" s="66"/>
      <c r="F255" s="111"/>
      <c r="G255" s="303"/>
      <c r="H255" s="112"/>
      <c r="I255" s="109"/>
      <c r="J255" s="111"/>
      <c r="K255" s="109"/>
      <c r="L255" s="111"/>
      <c r="M255" s="2"/>
      <c r="N255" s="3"/>
      <c r="P255" s="2"/>
      <c r="Q255" s="3"/>
      <c r="T255" s="3"/>
      <c r="W255" s="3"/>
      <c r="Z255" s="4"/>
      <c r="AA255" s="3"/>
      <c r="AC255" s="4"/>
    </row>
    <row r="256" spans="1:34" ht="11.25" customHeight="1" x14ac:dyDescent="0.2">
      <c r="C256" s="117"/>
      <c r="E256" s="66"/>
      <c r="F256" s="111"/>
      <c r="G256" s="303"/>
      <c r="H256" s="112"/>
      <c r="I256" s="109"/>
      <c r="J256" s="111"/>
      <c r="K256" s="109"/>
      <c r="L256" s="111"/>
      <c r="M256" s="2"/>
      <c r="N256" s="3"/>
      <c r="P256" s="2"/>
      <c r="Q256" s="3"/>
      <c r="T256" s="3"/>
      <c r="W256" s="3"/>
      <c r="Z256" s="4"/>
      <c r="AA256" s="3"/>
      <c r="AC256" s="4"/>
    </row>
    <row r="257" spans="3:29" ht="11.25" customHeight="1" x14ac:dyDescent="0.2">
      <c r="C257" s="224"/>
      <c r="D257" s="4"/>
      <c r="E257" s="4"/>
      <c r="F257" s="4"/>
      <c r="G257" s="304"/>
      <c r="H257" s="110"/>
      <c r="I257" s="109"/>
      <c r="J257" s="111"/>
      <c r="K257" s="109"/>
      <c r="L257" s="111"/>
      <c r="M257" s="2"/>
      <c r="N257" s="3"/>
      <c r="P257" s="2"/>
      <c r="Q257" s="3"/>
      <c r="T257" s="3"/>
      <c r="W257" s="3"/>
      <c r="Z257" s="4"/>
      <c r="AA257" s="3"/>
      <c r="AC257" s="4"/>
    </row>
    <row r="258" spans="3:29" ht="11.25" customHeight="1" x14ac:dyDescent="0.2">
      <c r="C258" s="113"/>
      <c r="D258" s="4"/>
      <c r="E258" s="4"/>
      <c r="F258" s="4"/>
      <c r="G258" s="304"/>
      <c r="H258" s="110"/>
      <c r="I258" s="109"/>
      <c r="J258" s="111"/>
      <c r="K258" s="109"/>
      <c r="L258" s="111"/>
      <c r="M258" s="2"/>
      <c r="N258" s="3"/>
      <c r="P258" s="2"/>
      <c r="Q258" s="3"/>
      <c r="T258" s="3"/>
      <c r="W258" s="3"/>
      <c r="Z258" s="4"/>
      <c r="AA258" s="3"/>
      <c r="AC258" s="4"/>
    </row>
    <row r="259" spans="3:29" ht="11.25" customHeight="1" x14ac:dyDescent="0.2">
      <c r="C259" s="111"/>
      <c r="D259" s="111"/>
      <c r="E259" s="111"/>
      <c r="F259" s="111"/>
      <c r="G259" s="303"/>
      <c r="H259" s="2"/>
      <c r="I259" s="109"/>
      <c r="J259" s="111"/>
      <c r="K259" s="109"/>
      <c r="L259" s="111"/>
      <c r="M259" s="2"/>
      <c r="N259" s="3"/>
      <c r="P259" s="2"/>
      <c r="Q259" s="3"/>
      <c r="T259" s="3"/>
      <c r="W259" s="3"/>
      <c r="Z259" s="4"/>
      <c r="AA259" s="3"/>
      <c r="AC259" s="4"/>
    </row>
    <row r="260" spans="3:29" ht="11.25" customHeight="1" x14ac:dyDescent="0.2">
      <c r="E260" s="66"/>
      <c r="F260" s="111"/>
      <c r="G260" s="303"/>
      <c r="H260" s="112"/>
      <c r="I260" s="109"/>
      <c r="J260" s="111"/>
      <c r="K260" s="109"/>
      <c r="L260" s="111"/>
      <c r="M260" s="2"/>
      <c r="N260" s="3"/>
      <c r="P260" s="2"/>
      <c r="Q260" s="3"/>
      <c r="T260" s="3"/>
      <c r="W260" s="3"/>
      <c r="Z260" s="4"/>
      <c r="AA260" s="3"/>
      <c r="AC260" s="4"/>
    </row>
    <row r="261" spans="3:29" ht="11.25" customHeight="1" x14ac:dyDescent="0.2">
      <c r="E261" s="66"/>
      <c r="F261" s="111"/>
      <c r="G261" s="303"/>
      <c r="H261" s="112"/>
      <c r="I261" s="109"/>
      <c r="J261" s="111"/>
      <c r="K261" s="109"/>
      <c r="L261" s="111"/>
      <c r="M261" s="2"/>
      <c r="N261" s="3"/>
      <c r="P261" s="2"/>
      <c r="Q261" s="3"/>
      <c r="T261" s="3"/>
      <c r="W261" s="3"/>
      <c r="Z261" s="4"/>
      <c r="AA261" s="3"/>
      <c r="AC261" s="4"/>
    </row>
    <row r="262" spans="3:29" ht="11.25" customHeight="1" x14ac:dyDescent="0.2">
      <c r="E262" s="66"/>
      <c r="F262" s="111"/>
      <c r="G262" s="303"/>
      <c r="H262" s="112"/>
      <c r="I262" s="109"/>
      <c r="J262" s="111"/>
      <c r="K262" s="109"/>
      <c r="L262" s="111"/>
      <c r="M262" s="2"/>
      <c r="N262" s="3"/>
      <c r="P262" s="2"/>
      <c r="Q262" s="3"/>
      <c r="T262" s="3"/>
      <c r="W262" s="3"/>
      <c r="Z262" s="4"/>
      <c r="AA262" s="3"/>
      <c r="AC262" s="4"/>
    </row>
    <row r="263" spans="3:29" ht="11.25" customHeight="1" x14ac:dyDescent="0.2">
      <c r="E263" s="66"/>
      <c r="F263" s="111"/>
      <c r="G263" s="303"/>
      <c r="H263" s="112"/>
      <c r="I263" s="109"/>
      <c r="J263" s="111"/>
      <c r="K263" s="109"/>
      <c r="L263" s="111"/>
      <c r="M263" s="2"/>
      <c r="N263" s="3"/>
      <c r="P263" s="2"/>
      <c r="Q263" s="3"/>
      <c r="T263" s="3"/>
      <c r="W263" s="3"/>
      <c r="Z263" s="4"/>
      <c r="AA263" s="3"/>
      <c r="AC263" s="4"/>
    </row>
    <row r="264" spans="3:29" ht="11.25" customHeight="1" x14ac:dyDescent="0.2">
      <c r="E264" s="66"/>
      <c r="F264" s="111"/>
      <c r="G264" s="303"/>
      <c r="H264" s="112"/>
      <c r="I264" s="109"/>
      <c r="J264" s="111"/>
      <c r="K264" s="109"/>
      <c r="L264" s="111"/>
      <c r="M264" s="2"/>
      <c r="N264" s="3"/>
      <c r="P264" s="2"/>
      <c r="Q264" s="3"/>
      <c r="T264" s="3"/>
      <c r="W264" s="3"/>
      <c r="Z264" s="4"/>
      <c r="AA264" s="3"/>
      <c r="AC264" s="4"/>
    </row>
    <row r="265" spans="3:29" ht="11.25" customHeight="1" x14ac:dyDescent="0.2">
      <c r="E265" s="66"/>
      <c r="F265" s="111"/>
      <c r="G265" s="303"/>
      <c r="H265" s="112"/>
      <c r="I265" s="109"/>
      <c r="J265" s="111"/>
      <c r="K265" s="109"/>
      <c r="L265" s="111"/>
      <c r="M265" s="2"/>
      <c r="N265" s="3"/>
      <c r="P265" s="2"/>
      <c r="Q265" s="3"/>
      <c r="T265" s="3"/>
      <c r="W265" s="3"/>
      <c r="Z265" s="4"/>
      <c r="AA265" s="3"/>
      <c r="AC265" s="4"/>
    </row>
    <row r="266" spans="3:29" ht="11.25" customHeight="1" x14ac:dyDescent="0.2">
      <c r="E266" s="66"/>
      <c r="F266" s="111"/>
      <c r="G266" s="303"/>
      <c r="H266" s="112"/>
      <c r="I266" s="109"/>
      <c r="J266" s="111"/>
      <c r="K266" s="109"/>
      <c r="L266" s="111"/>
      <c r="M266" s="2"/>
      <c r="N266" s="3"/>
      <c r="P266" s="2"/>
      <c r="Q266" s="3"/>
      <c r="T266" s="3"/>
      <c r="W266" s="3"/>
      <c r="Z266" s="4"/>
      <c r="AA266" s="3"/>
      <c r="AC266" s="4"/>
    </row>
    <row r="267" spans="3:29" ht="11.25" customHeight="1" x14ac:dyDescent="0.2">
      <c r="E267" s="66"/>
      <c r="F267" s="111"/>
      <c r="G267" s="303"/>
      <c r="H267" s="112"/>
      <c r="I267" s="109"/>
      <c r="J267" s="111"/>
      <c r="K267" s="109"/>
      <c r="L267" s="111"/>
      <c r="M267" s="2"/>
      <c r="N267" s="3"/>
      <c r="P267" s="2"/>
      <c r="Q267" s="3"/>
      <c r="T267" s="3"/>
      <c r="W267" s="3"/>
      <c r="Z267" s="4"/>
      <c r="AA267" s="3"/>
      <c r="AC267" s="4"/>
    </row>
    <row r="268" spans="3:29" ht="11.25" customHeight="1" x14ac:dyDescent="0.2">
      <c r="E268" s="66"/>
      <c r="F268" s="111"/>
      <c r="G268" s="303"/>
      <c r="H268" s="112"/>
      <c r="I268" s="109"/>
      <c r="J268" s="111"/>
      <c r="K268" s="109"/>
      <c r="L268" s="111"/>
      <c r="M268" s="2"/>
      <c r="N268" s="3"/>
      <c r="P268" s="2"/>
      <c r="Q268" s="3"/>
      <c r="T268" s="3"/>
      <c r="W268" s="3"/>
      <c r="Z268" s="4"/>
      <c r="AA268" s="3"/>
      <c r="AC268" s="4"/>
    </row>
    <row r="269" spans="3:29" ht="11.25" customHeight="1" x14ac:dyDescent="0.2">
      <c r="E269" s="66"/>
      <c r="F269" s="111"/>
      <c r="G269" s="303"/>
      <c r="H269" s="112"/>
      <c r="I269" s="109"/>
      <c r="J269" s="111"/>
      <c r="K269" s="109"/>
      <c r="L269" s="111"/>
      <c r="M269" s="2"/>
      <c r="N269" s="3"/>
      <c r="P269" s="2"/>
      <c r="Q269" s="3"/>
      <c r="T269" s="3"/>
      <c r="W269" s="3"/>
      <c r="Z269" s="4"/>
      <c r="AA269" s="3"/>
      <c r="AC269" s="4"/>
    </row>
    <row r="270" spans="3:29" ht="11.25" customHeight="1" x14ac:dyDescent="0.2">
      <c r="E270" s="66"/>
      <c r="F270" s="111"/>
      <c r="G270" s="303"/>
      <c r="H270" s="112"/>
      <c r="I270" s="109"/>
      <c r="J270" s="111"/>
      <c r="K270" s="109"/>
      <c r="L270" s="111"/>
      <c r="M270" s="2"/>
      <c r="N270" s="3"/>
      <c r="P270" s="2"/>
      <c r="Q270" s="3"/>
      <c r="T270" s="3"/>
      <c r="W270" s="3"/>
      <c r="Z270" s="4"/>
      <c r="AA270" s="3"/>
      <c r="AC270" s="4"/>
    </row>
    <row r="271" spans="3:29" ht="11.25" customHeight="1" x14ac:dyDescent="0.2">
      <c r="E271" s="66"/>
      <c r="F271" s="111"/>
      <c r="G271" s="303"/>
      <c r="H271" s="112"/>
      <c r="I271" s="109"/>
      <c r="J271" s="111"/>
      <c r="K271" s="109"/>
      <c r="L271" s="111"/>
      <c r="M271" s="2"/>
      <c r="N271" s="3"/>
      <c r="P271" s="2"/>
      <c r="Q271" s="3"/>
      <c r="T271" s="3"/>
      <c r="W271" s="3"/>
      <c r="Z271" s="4"/>
      <c r="AA271" s="3"/>
      <c r="AC271" s="4"/>
    </row>
    <row r="272" spans="3:29" ht="11.25" customHeight="1" x14ac:dyDescent="0.2">
      <c r="E272" s="66"/>
      <c r="F272" s="111"/>
      <c r="G272" s="303"/>
      <c r="H272" s="112"/>
      <c r="I272" s="109"/>
      <c r="J272" s="111"/>
      <c r="K272" s="109"/>
      <c r="L272" s="111"/>
      <c r="M272" s="2"/>
      <c r="N272" s="3"/>
      <c r="P272" s="2"/>
      <c r="Q272" s="3"/>
      <c r="T272" s="3"/>
      <c r="W272" s="3"/>
      <c r="Z272" s="4"/>
      <c r="AA272" s="3"/>
      <c r="AC272" s="4"/>
    </row>
    <row r="273" spans="5:29" ht="11.25" customHeight="1" x14ac:dyDescent="0.2">
      <c r="E273" s="66"/>
      <c r="F273" s="111"/>
      <c r="G273" s="303"/>
      <c r="H273" s="112"/>
      <c r="I273" s="109"/>
      <c r="J273" s="111"/>
      <c r="K273" s="109"/>
      <c r="L273" s="111"/>
      <c r="M273" s="2"/>
      <c r="N273" s="3"/>
      <c r="P273" s="2"/>
      <c r="Q273" s="3"/>
      <c r="T273" s="3"/>
      <c r="W273" s="3"/>
      <c r="Z273" s="4"/>
      <c r="AA273" s="3"/>
      <c r="AC273" s="4"/>
    </row>
    <row r="274" spans="5:29" ht="11.25" customHeight="1" x14ac:dyDescent="0.2">
      <c r="E274" s="66"/>
      <c r="F274" s="111"/>
      <c r="G274" s="303"/>
      <c r="H274" s="112"/>
      <c r="I274" s="109"/>
      <c r="J274" s="111"/>
      <c r="K274" s="109"/>
      <c r="L274" s="111"/>
      <c r="M274" s="2"/>
      <c r="N274" s="3"/>
      <c r="P274" s="2"/>
      <c r="Q274" s="3"/>
      <c r="T274" s="3"/>
      <c r="W274" s="3"/>
      <c r="Z274" s="4"/>
      <c r="AA274" s="3"/>
      <c r="AC274" s="4"/>
    </row>
    <row r="275" spans="5:29" ht="11.25" customHeight="1" x14ac:dyDescent="0.2">
      <c r="E275" s="66"/>
      <c r="F275" s="111"/>
      <c r="G275" s="303"/>
      <c r="H275" s="112"/>
      <c r="I275" s="109"/>
      <c r="J275" s="111"/>
      <c r="K275" s="109"/>
      <c r="L275" s="111"/>
      <c r="M275" s="2"/>
      <c r="N275" s="3"/>
      <c r="P275" s="2"/>
      <c r="Q275" s="3"/>
      <c r="T275" s="3"/>
      <c r="W275" s="3"/>
      <c r="Z275" s="4"/>
      <c r="AA275" s="3"/>
      <c r="AC275" s="4"/>
    </row>
    <row r="276" spans="5:29" ht="11.25" customHeight="1" x14ac:dyDescent="0.2">
      <c r="E276" s="66"/>
      <c r="F276" s="111"/>
      <c r="G276" s="303"/>
      <c r="H276" s="112"/>
      <c r="I276" s="109"/>
      <c r="J276" s="111"/>
      <c r="K276" s="109"/>
      <c r="L276" s="111"/>
      <c r="M276" s="2"/>
      <c r="N276" s="3"/>
      <c r="P276" s="2"/>
      <c r="Q276" s="3"/>
      <c r="T276" s="3"/>
      <c r="W276" s="3"/>
      <c r="Z276" s="4"/>
      <c r="AA276" s="3"/>
      <c r="AC276" s="4"/>
    </row>
    <row r="277" spans="5:29" ht="11.25" customHeight="1" x14ac:dyDescent="0.2">
      <c r="E277" s="66"/>
      <c r="F277" s="111"/>
      <c r="G277" s="303"/>
      <c r="H277" s="112"/>
      <c r="I277" s="109"/>
      <c r="J277" s="111"/>
      <c r="K277" s="109"/>
      <c r="L277" s="111"/>
      <c r="M277" s="2"/>
      <c r="N277" s="3"/>
      <c r="P277" s="2"/>
      <c r="Q277" s="3"/>
      <c r="T277" s="3"/>
      <c r="W277" s="3"/>
      <c r="Z277" s="4"/>
      <c r="AA277" s="3"/>
      <c r="AC277" s="4"/>
    </row>
    <row r="278" spans="5:29" ht="11.25" customHeight="1" x14ac:dyDescent="0.2">
      <c r="E278" s="66"/>
      <c r="F278" s="111"/>
      <c r="G278" s="303"/>
      <c r="H278" s="112"/>
      <c r="I278" s="109"/>
      <c r="J278" s="111"/>
      <c r="K278" s="109"/>
      <c r="L278" s="111"/>
      <c r="M278" s="2"/>
      <c r="N278" s="3"/>
      <c r="P278" s="2"/>
      <c r="Q278" s="3"/>
      <c r="T278" s="3"/>
      <c r="W278" s="3"/>
      <c r="Z278" s="4"/>
      <c r="AA278" s="3"/>
      <c r="AC278" s="4"/>
    </row>
    <row r="279" spans="5:29" ht="11.25" customHeight="1" x14ac:dyDescent="0.2">
      <c r="E279" s="66"/>
      <c r="F279" s="111"/>
      <c r="G279" s="303"/>
      <c r="H279" s="112"/>
      <c r="I279" s="109"/>
      <c r="J279" s="111"/>
      <c r="K279" s="109"/>
      <c r="L279" s="111"/>
      <c r="M279" s="2"/>
      <c r="N279" s="3"/>
      <c r="P279" s="2"/>
      <c r="Q279" s="3"/>
      <c r="T279" s="3"/>
      <c r="W279" s="3"/>
      <c r="Z279" s="4"/>
      <c r="AA279" s="3"/>
      <c r="AC279" s="4"/>
    </row>
    <row r="280" spans="5:29" ht="11.25" customHeight="1" x14ac:dyDescent="0.2">
      <c r="E280" s="66"/>
      <c r="F280" s="111"/>
      <c r="G280" s="303"/>
      <c r="H280" s="112"/>
      <c r="I280" s="109"/>
      <c r="J280" s="111"/>
      <c r="K280" s="109"/>
      <c r="L280" s="111"/>
      <c r="M280" s="2"/>
      <c r="N280" s="3"/>
      <c r="P280" s="2"/>
      <c r="Q280" s="3"/>
      <c r="T280" s="3"/>
      <c r="W280" s="3"/>
      <c r="Z280" s="4"/>
      <c r="AA280" s="3"/>
      <c r="AC280" s="4"/>
    </row>
    <row r="281" spans="5:29" ht="11.25" customHeight="1" x14ac:dyDescent="0.2">
      <c r="E281" s="66"/>
      <c r="F281" s="111"/>
      <c r="G281" s="303"/>
      <c r="H281" s="112"/>
      <c r="I281" s="109"/>
      <c r="J281" s="111"/>
      <c r="K281" s="109"/>
      <c r="L281" s="111"/>
      <c r="M281" s="2"/>
      <c r="N281" s="3"/>
      <c r="P281" s="2"/>
      <c r="Q281" s="3"/>
      <c r="T281" s="3"/>
      <c r="W281" s="3"/>
      <c r="Z281" s="4"/>
      <c r="AA281" s="3"/>
      <c r="AC281" s="4"/>
    </row>
    <row r="282" spans="5:29" ht="11.25" customHeight="1" x14ac:dyDescent="0.2">
      <c r="E282" s="66"/>
      <c r="F282" s="111"/>
      <c r="G282" s="303"/>
      <c r="H282" s="112"/>
      <c r="I282" s="109"/>
      <c r="J282" s="111"/>
      <c r="K282" s="109"/>
      <c r="L282" s="111"/>
      <c r="M282" s="2"/>
      <c r="N282" s="3"/>
      <c r="P282" s="2"/>
      <c r="Q282" s="3"/>
      <c r="T282" s="3"/>
      <c r="W282" s="3"/>
      <c r="Z282" s="4"/>
      <c r="AA282" s="3"/>
      <c r="AC282" s="4"/>
    </row>
    <row r="283" spans="5:29" ht="11.25" customHeight="1" x14ac:dyDescent="0.2">
      <c r="E283" s="66"/>
      <c r="F283" s="111"/>
      <c r="G283" s="303"/>
      <c r="H283" s="112"/>
      <c r="I283" s="109"/>
      <c r="J283" s="111"/>
      <c r="K283" s="109"/>
      <c r="L283" s="111"/>
      <c r="M283" s="2"/>
      <c r="N283" s="3"/>
      <c r="P283" s="2"/>
      <c r="Q283" s="3"/>
      <c r="T283" s="3"/>
      <c r="W283" s="3"/>
      <c r="Z283" s="4"/>
      <c r="AA283" s="3"/>
      <c r="AC283" s="4"/>
    </row>
    <row r="284" spans="5:29" ht="11.25" customHeight="1" x14ac:dyDescent="0.2">
      <c r="E284" s="66"/>
      <c r="F284" s="111"/>
      <c r="G284" s="303"/>
      <c r="H284" s="112"/>
      <c r="I284" s="109"/>
      <c r="J284" s="111"/>
      <c r="K284" s="109"/>
      <c r="L284" s="111"/>
      <c r="M284" s="2"/>
      <c r="N284" s="3"/>
      <c r="P284" s="2"/>
      <c r="Q284" s="3"/>
      <c r="T284" s="3"/>
      <c r="W284" s="3"/>
      <c r="Z284" s="4"/>
      <c r="AA284" s="3"/>
      <c r="AC284" s="4"/>
    </row>
    <row r="285" spans="5:29" ht="11.25" customHeight="1" x14ac:dyDescent="0.2">
      <c r="E285" s="66"/>
      <c r="F285" s="111"/>
      <c r="G285" s="303"/>
      <c r="H285" s="112"/>
      <c r="I285" s="109"/>
      <c r="J285" s="111"/>
      <c r="K285" s="109"/>
      <c r="L285" s="111"/>
      <c r="M285" s="2"/>
      <c r="N285" s="3"/>
      <c r="P285" s="2"/>
      <c r="Q285" s="3"/>
      <c r="T285" s="3"/>
      <c r="W285" s="3"/>
      <c r="Z285" s="4"/>
      <c r="AA285" s="3"/>
      <c r="AC285" s="4"/>
    </row>
    <row r="286" spans="5:29" ht="11.25" customHeight="1" x14ac:dyDescent="0.2">
      <c r="E286" s="66"/>
      <c r="F286" s="111"/>
      <c r="G286" s="303"/>
      <c r="H286" s="112"/>
      <c r="I286" s="109"/>
      <c r="J286" s="111"/>
      <c r="K286" s="109"/>
      <c r="L286" s="111"/>
      <c r="M286" s="2"/>
      <c r="N286" s="3"/>
      <c r="P286" s="2"/>
      <c r="Q286" s="3"/>
      <c r="T286" s="3"/>
      <c r="W286" s="3"/>
      <c r="Z286" s="4"/>
      <c r="AA286" s="3"/>
      <c r="AC286" s="4"/>
    </row>
    <row r="287" spans="5:29" ht="11.25" customHeight="1" x14ac:dyDescent="0.2">
      <c r="E287" s="66"/>
      <c r="F287" s="111"/>
      <c r="G287" s="303"/>
      <c r="H287" s="112"/>
      <c r="I287" s="109"/>
      <c r="J287" s="111"/>
      <c r="K287" s="109"/>
      <c r="L287" s="111"/>
      <c r="M287" s="2"/>
      <c r="N287" s="3"/>
      <c r="P287" s="2"/>
      <c r="Q287" s="3"/>
      <c r="T287" s="3"/>
      <c r="W287" s="3"/>
      <c r="Z287" s="4"/>
      <c r="AA287" s="3"/>
      <c r="AC287" s="4"/>
    </row>
    <row r="288" spans="5:29" ht="11.25" customHeight="1" x14ac:dyDescent="0.2">
      <c r="E288" s="66"/>
      <c r="F288" s="111"/>
      <c r="G288" s="303"/>
      <c r="H288" s="112"/>
      <c r="I288" s="109"/>
      <c r="J288" s="111"/>
      <c r="K288" s="109"/>
      <c r="L288" s="111"/>
      <c r="M288" s="2"/>
      <c r="N288" s="3"/>
      <c r="P288" s="2"/>
      <c r="Q288" s="3"/>
      <c r="T288" s="3"/>
      <c r="W288" s="3"/>
      <c r="Z288" s="4"/>
      <c r="AA288" s="3"/>
      <c r="AC288" s="4"/>
    </row>
    <row r="289" spans="5:29" ht="11.25" customHeight="1" x14ac:dyDescent="0.2">
      <c r="E289" s="66"/>
      <c r="F289" s="111"/>
      <c r="G289" s="303"/>
      <c r="H289" s="112"/>
      <c r="I289" s="109"/>
      <c r="J289" s="111"/>
      <c r="K289" s="109"/>
      <c r="L289" s="111"/>
      <c r="M289" s="2"/>
      <c r="N289" s="3"/>
      <c r="P289" s="2"/>
      <c r="Q289" s="3"/>
      <c r="T289" s="3"/>
      <c r="W289" s="3"/>
      <c r="Z289" s="4"/>
      <c r="AA289" s="3"/>
      <c r="AC289" s="4"/>
    </row>
    <row r="290" spans="5:29" ht="11.25" customHeight="1" x14ac:dyDescent="0.2">
      <c r="E290" s="66"/>
      <c r="F290" s="111"/>
      <c r="G290" s="303"/>
      <c r="H290" s="112"/>
      <c r="I290" s="109"/>
      <c r="J290" s="111"/>
      <c r="K290" s="109"/>
      <c r="L290" s="111"/>
      <c r="M290" s="2"/>
      <c r="N290" s="3"/>
      <c r="P290" s="2"/>
      <c r="Q290" s="3"/>
      <c r="T290" s="3"/>
      <c r="W290" s="3"/>
      <c r="Z290" s="4"/>
      <c r="AA290" s="3"/>
      <c r="AC290" s="4"/>
    </row>
    <row r="291" spans="5:29" ht="11.25" customHeight="1" x14ac:dyDescent="0.2">
      <c r="E291" s="66"/>
      <c r="F291" s="111"/>
      <c r="G291" s="303"/>
      <c r="H291" s="112"/>
      <c r="I291" s="109"/>
      <c r="J291" s="111"/>
      <c r="K291" s="109"/>
      <c r="L291" s="111"/>
      <c r="M291" s="2"/>
      <c r="N291" s="3"/>
      <c r="P291" s="2"/>
      <c r="Q291" s="3"/>
      <c r="T291" s="3"/>
      <c r="W291" s="3"/>
      <c r="Z291" s="4"/>
      <c r="AA291" s="3"/>
      <c r="AC291" s="4"/>
    </row>
    <row r="292" spans="5:29" ht="11.25" customHeight="1" x14ac:dyDescent="0.2">
      <c r="E292" s="66"/>
      <c r="F292" s="111"/>
      <c r="G292" s="303"/>
      <c r="H292" s="112"/>
      <c r="I292" s="109"/>
      <c r="J292" s="111"/>
      <c r="K292" s="109"/>
      <c r="L292" s="111"/>
      <c r="M292" s="2"/>
      <c r="N292" s="3"/>
      <c r="P292" s="2"/>
      <c r="Q292" s="3"/>
      <c r="T292" s="3"/>
      <c r="W292" s="3"/>
      <c r="Z292" s="4"/>
      <c r="AA292" s="3"/>
      <c r="AC292" s="4"/>
    </row>
    <row r="293" spans="5:29" ht="11.25" customHeight="1" x14ac:dyDescent="0.2">
      <c r="E293" s="66"/>
      <c r="F293" s="111"/>
      <c r="G293" s="303"/>
      <c r="H293" s="112"/>
      <c r="I293" s="109"/>
      <c r="J293" s="111"/>
      <c r="K293" s="109"/>
      <c r="L293" s="111"/>
      <c r="M293" s="2"/>
      <c r="N293" s="3"/>
      <c r="P293" s="2"/>
      <c r="Q293" s="3"/>
      <c r="T293" s="3"/>
      <c r="W293" s="3"/>
      <c r="Z293" s="4"/>
      <c r="AA293" s="3"/>
      <c r="AC293" s="4"/>
    </row>
    <row r="294" spans="5:29" ht="11.25" customHeight="1" x14ac:dyDescent="0.2">
      <c r="E294" s="66"/>
      <c r="F294" s="111"/>
      <c r="G294" s="303"/>
      <c r="H294" s="112"/>
      <c r="I294" s="109"/>
      <c r="J294" s="111"/>
      <c r="K294" s="109"/>
      <c r="L294" s="111"/>
      <c r="M294" s="2"/>
      <c r="N294" s="3"/>
      <c r="P294" s="2"/>
      <c r="Q294" s="3"/>
      <c r="T294" s="3"/>
      <c r="W294" s="3"/>
      <c r="Z294" s="4"/>
      <c r="AA294" s="3"/>
      <c r="AC294" s="4"/>
    </row>
    <row r="295" spans="5:29" ht="11.25" customHeight="1" x14ac:dyDescent="0.2">
      <c r="E295" s="66"/>
      <c r="F295" s="111"/>
      <c r="G295" s="303"/>
      <c r="H295" s="112"/>
      <c r="I295" s="109"/>
      <c r="J295" s="111"/>
      <c r="K295" s="109"/>
      <c r="L295" s="111"/>
      <c r="M295" s="2"/>
      <c r="N295" s="3"/>
      <c r="P295" s="2"/>
      <c r="Q295" s="3"/>
      <c r="T295" s="3"/>
      <c r="W295" s="3"/>
      <c r="Z295" s="4"/>
      <c r="AA295" s="3"/>
      <c r="AC295" s="4"/>
    </row>
    <row r="296" spans="5:29" ht="11.25" customHeight="1" x14ac:dyDescent="0.2">
      <c r="E296" s="66"/>
      <c r="F296" s="111"/>
      <c r="G296" s="303"/>
      <c r="H296" s="112"/>
      <c r="I296" s="109"/>
      <c r="J296" s="111"/>
      <c r="K296" s="109"/>
      <c r="L296" s="111"/>
      <c r="M296" s="2"/>
      <c r="N296" s="3"/>
      <c r="P296" s="2"/>
      <c r="Q296" s="3"/>
      <c r="T296" s="3"/>
      <c r="W296" s="3"/>
      <c r="Z296" s="4"/>
      <c r="AA296" s="3"/>
      <c r="AC296" s="4"/>
    </row>
    <row r="297" spans="5:29" ht="11.25" customHeight="1" x14ac:dyDescent="0.2">
      <c r="E297" s="66"/>
      <c r="F297" s="111"/>
      <c r="G297" s="303"/>
      <c r="H297" s="112"/>
      <c r="I297" s="109"/>
      <c r="J297" s="111"/>
      <c r="K297" s="109"/>
      <c r="L297" s="111"/>
      <c r="M297" s="2"/>
      <c r="N297" s="3"/>
      <c r="P297" s="2"/>
      <c r="Q297" s="3"/>
      <c r="T297" s="3"/>
      <c r="W297" s="3"/>
      <c r="Z297" s="4"/>
      <c r="AA297" s="3"/>
      <c r="AC297" s="4"/>
    </row>
    <row r="298" spans="5:29" ht="11.25" customHeight="1" x14ac:dyDescent="0.2">
      <c r="E298" s="66"/>
      <c r="F298" s="111"/>
      <c r="G298" s="303"/>
      <c r="H298" s="112"/>
      <c r="I298" s="109"/>
      <c r="J298" s="111"/>
      <c r="K298" s="109"/>
      <c r="L298" s="111"/>
      <c r="M298" s="2"/>
      <c r="N298" s="3"/>
      <c r="P298" s="2"/>
      <c r="Q298" s="3"/>
      <c r="T298" s="3"/>
      <c r="W298" s="3"/>
      <c r="Z298" s="4"/>
      <c r="AA298" s="3"/>
      <c r="AC298" s="4"/>
    </row>
    <row r="299" spans="5:29" ht="11.25" customHeight="1" x14ac:dyDescent="0.2">
      <c r="E299" s="66"/>
      <c r="F299" s="111"/>
      <c r="G299" s="303"/>
      <c r="H299" s="112"/>
      <c r="I299" s="109"/>
      <c r="J299" s="111"/>
      <c r="K299" s="109"/>
      <c r="L299" s="111"/>
      <c r="M299" s="2"/>
      <c r="N299" s="3"/>
      <c r="P299" s="2"/>
      <c r="Q299" s="3"/>
      <c r="T299" s="3"/>
      <c r="W299" s="3"/>
      <c r="Z299" s="4"/>
      <c r="AA299" s="3"/>
      <c r="AC299" s="4"/>
    </row>
    <row r="300" spans="5:29" ht="11.25" customHeight="1" x14ac:dyDescent="0.2">
      <c r="E300" s="66"/>
      <c r="F300" s="111"/>
      <c r="G300" s="303"/>
      <c r="H300" s="112"/>
      <c r="I300" s="109"/>
      <c r="J300" s="111"/>
      <c r="K300" s="109"/>
      <c r="L300" s="111"/>
      <c r="M300" s="2"/>
      <c r="N300" s="3"/>
      <c r="P300" s="2"/>
      <c r="Q300" s="3"/>
      <c r="T300" s="3"/>
      <c r="W300" s="3"/>
      <c r="Z300" s="4"/>
      <c r="AA300" s="3"/>
      <c r="AC300" s="4"/>
    </row>
    <row r="301" spans="5:29" ht="11.25" customHeight="1" x14ac:dyDescent="0.2">
      <c r="E301" s="66"/>
      <c r="F301" s="111"/>
      <c r="G301" s="303"/>
      <c r="H301" s="112"/>
      <c r="I301" s="109"/>
      <c r="J301" s="111"/>
      <c r="K301" s="109"/>
      <c r="L301" s="111"/>
      <c r="M301" s="2"/>
      <c r="N301" s="3"/>
      <c r="P301" s="2"/>
      <c r="Q301" s="3"/>
      <c r="T301" s="3"/>
      <c r="W301" s="3"/>
      <c r="Z301" s="4"/>
      <c r="AA301" s="3"/>
      <c r="AC301" s="4"/>
    </row>
    <row r="302" spans="5:29" ht="11.25" customHeight="1" x14ac:dyDescent="0.2">
      <c r="E302" s="66"/>
      <c r="F302" s="111"/>
      <c r="G302" s="303"/>
      <c r="H302" s="112"/>
      <c r="I302" s="109"/>
      <c r="J302" s="111"/>
      <c r="K302" s="109"/>
      <c r="L302" s="111"/>
      <c r="M302" s="2"/>
      <c r="N302" s="3"/>
      <c r="P302" s="2"/>
      <c r="Q302" s="3"/>
      <c r="T302" s="3"/>
      <c r="W302" s="3"/>
      <c r="Z302" s="4"/>
      <c r="AA302" s="3"/>
      <c r="AC302" s="4"/>
    </row>
    <row r="303" spans="5:29" ht="11.25" customHeight="1" x14ac:dyDescent="0.2">
      <c r="E303" s="66"/>
      <c r="F303" s="111"/>
      <c r="G303" s="303"/>
      <c r="H303" s="112"/>
      <c r="I303" s="109"/>
      <c r="J303" s="111"/>
      <c r="K303" s="109"/>
      <c r="L303" s="111"/>
      <c r="M303" s="2"/>
      <c r="N303" s="3"/>
      <c r="P303" s="2"/>
      <c r="Q303" s="3"/>
      <c r="T303" s="3"/>
      <c r="W303" s="3"/>
      <c r="Z303" s="4"/>
      <c r="AA303" s="3"/>
      <c r="AC303" s="4"/>
    </row>
    <row r="304" spans="5:29" ht="11.25" customHeight="1" x14ac:dyDescent="0.2">
      <c r="E304" s="66"/>
      <c r="F304" s="111"/>
      <c r="G304" s="303"/>
      <c r="H304" s="112"/>
      <c r="I304" s="109"/>
      <c r="J304" s="111"/>
      <c r="K304" s="109"/>
      <c r="L304" s="111"/>
      <c r="M304" s="2"/>
      <c r="N304" s="3"/>
      <c r="P304" s="2"/>
      <c r="Q304" s="3"/>
      <c r="T304" s="3"/>
      <c r="W304" s="3"/>
      <c r="Z304" s="4"/>
      <c r="AA304" s="3"/>
      <c r="AC304" s="4"/>
    </row>
    <row r="305" spans="5:29" ht="11.25" customHeight="1" x14ac:dyDescent="0.2">
      <c r="E305" s="66"/>
      <c r="F305" s="111"/>
      <c r="G305" s="303"/>
      <c r="H305" s="112"/>
      <c r="I305" s="109"/>
      <c r="J305" s="111"/>
      <c r="K305" s="109"/>
      <c r="L305" s="111"/>
      <c r="M305" s="2"/>
      <c r="N305" s="3"/>
      <c r="P305" s="2"/>
      <c r="Q305" s="3"/>
      <c r="T305" s="3"/>
      <c r="W305" s="3"/>
      <c r="Z305" s="4"/>
      <c r="AA305" s="3"/>
      <c r="AC305" s="4"/>
    </row>
    <row r="306" spans="5:29" ht="11.25" customHeight="1" x14ac:dyDescent="0.2">
      <c r="E306" s="66"/>
      <c r="F306" s="111"/>
      <c r="G306" s="303"/>
      <c r="H306" s="112"/>
      <c r="I306" s="109"/>
      <c r="J306" s="111"/>
      <c r="K306" s="109"/>
      <c r="L306" s="111"/>
      <c r="M306" s="2"/>
      <c r="N306" s="3"/>
      <c r="P306" s="2"/>
      <c r="Q306" s="3"/>
      <c r="T306" s="3"/>
      <c r="W306" s="3"/>
      <c r="Z306" s="4"/>
      <c r="AA306" s="3"/>
      <c r="AC306" s="4"/>
    </row>
    <row r="307" spans="5:29" ht="11.25" customHeight="1" x14ac:dyDescent="0.2">
      <c r="E307" s="66"/>
      <c r="F307" s="111"/>
      <c r="G307" s="303"/>
      <c r="H307" s="112"/>
      <c r="I307" s="109"/>
      <c r="J307" s="111"/>
      <c r="K307" s="109"/>
      <c r="L307" s="111"/>
      <c r="M307" s="2"/>
      <c r="N307" s="3"/>
      <c r="P307" s="2"/>
      <c r="Q307" s="3"/>
      <c r="T307" s="3"/>
      <c r="W307" s="3"/>
      <c r="Z307" s="4"/>
      <c r="AA307" s="3"/>
      <c r="AC307" s="4"/>
    </row>
    <row r="308" spans="5:29" ht="11.25" customHeight="1" x14ac:dyDescent="0.2">
      <c r="E308" s="66"/>
      <c r="F308" s="111"/>
      <c r="G308" s="303"/>
      <c r="H308" s="112"/>
      <c r="I308" s="109"/>
      <c r="J308" s="111"/>
      <c r="K308" s="109"/>
      <c r="L308" s="111"/>
      <c r="M308" s="2"/>
      <c r="N308" s="3"/>
      <c r="P308" s="2"/>
      <c r="Q308" s="3"/>
      <c r="T308" s="3"/>
      <c r="W308" s="3"/>
      <c r="Z308" s="4"/>
      <c r="AA308" s="3"/>
      <c r="AC308" s="4"/>
    </row>
    <row r="309" spans="5:29" ht="11.25" customHeight="1" x14ac:dyDescent="0.2">
      <c r="E309" s="66"/>
      <c r="F309" s="111"/>
      <c r="G309" s="303"/>
      <c r="H309" s="112"/>
      <c r="I309" s="109"/>
      <c r="J309" s="111"/>
      <c r="K309" s="109"/>
      <c r="L309" s="111"/>
      <c r="M309" s="2"/>
      <c r="N309" s="3"/>
      <c r="P309" s="2"/>
      <c r="Q309" s="3"/>
      <c r="T309" s="3"/>
      <c r="W309" s="3"/>
      <c r="Z309" s="4"/>
      <c r="AA309" s="3"/>
      <c r="AC309" s="4"/>
    </row>
    <row r="310" spans="5:29" ht="11.25" customHeight="1" x14ac:dyDescent="0.2">
      <c r="E310" s="66"/>
      <c r="F310" s="111"/>
      <c r="G310" s="303"/>
      <c r="H310" s="112"/>
      <c r="I310" s="109"/>
      <c r="J310" s="111"/>
      <c r="K310" s="109"/>
      <c r="L310" s="111"/>
      <c r="M310" s="2"/>
      <c r="N310" s="3"/>
      <c r="P310" s="2"/>
      <c r="Q310" s="3"/>
      <c r="T310" s="3"/>
      <c r="W310" s="3"/>
      <c r="Z310" s="4"/>
      <c r="AA310" s="3"/>
      <c r="AC310" s="4"/>
    </row>
    <row r="311" spans="5:29" ht="11.25" customHeight="1" x14ac:dyDescent="0.2">
      <c r="E311" s="66"/>
      <c r="F311" s="111"/>
      <c r="G311" s="303"/>
      <c r="H311" s="112"/>
      <c r="I311" s="109"/>
      <c r="J311" s="111"/>
      <c r="K311" s="109"/>
      <c r="L311" s="111"/>
      <c r="M311" s="2"/>
      <c r="N311" s="3"/>
      <c r="P311" s="2"/>
      <c r="Q311" s="3"/>
      <c r="T311" s="3"/>
      <c r="W311" s="3"/>
      <c r="Z311" s="4"/>
      <c r="AA311" s="3"/>
      <c r="AC311" s="4"/>
    </row>
    <row r="312" spans="5:29" ht="11.25" customHeight="1" x14ac:dyDescent="0.2">
      <c r="E312" s="66"/>
      <c r="F312" s="111"/>
      <c r="G312" s="303"/>
      <c r="H312" s="112"/>
      <c r="I312" s="109"/>
      <c r="J312" s="111"/>
      <c r="K312" s="109"/>
      <c r="L312" s="111"/>
      <c r="M312" s="2"/>
      <c r="N312" s="3"/>
      <c r="P312" s="2"/>
      <c r="Q312" s="3"/>
      <c r="T312" s="3"/>
      <c r="W312" s="3"/>
      <c r="Z312" s="4"/>
      <c r="AA312" s="3"/>
      <c r="AC312" s="4"/>
    </row>
    <row r="313" spans="5:29" ht="11.25" customHeight="1" x14ac:dyDescent="0.2">
      <c r="E313" s="66"/>
      <c r="F313" s="111"/>
      <c r="G313" s="303"/>
      <c r="H313" s="112"/>
      <c r="I313" s="109"/>
      <c r="J313" s="111"/>
      <c r="K313" s="109"/>
      <c r="L313" s="111"/>
      <c r="M313" s="2"/>
      <c r="N313" s="3"/>
      <c r="P313" s="2"/>
      <c r="Q313" s="3"/>
      <c r="T313" s="3"/>
      <c r="W313" s="3"/>
      <c r="Z313" s="4"/>
      <c r="AA313" s="3"/>
      <c r="AC313" s="4"/>
    </row>
    <row r="314" spans="5:29" ht="11.25" customHeight="1" x14ac:dyDescent="0.2">
      <c r="E314" s="66"/>
      <c r="F314" s="111"/>
      <c r="G314" s="303"/>
      <c r="H314" s="112"/>
      <c r="I314" s="109"/>
      <c r="J314" s="111"/>
      <c r="K314" s="109"/>
      <c r="L314" s="111"/>
      <c r="M314" s="2"/>
      <c r="N314" s="3"/>
      <c r="P314" s="2"/>
      <c r="Q314" s="3"/>
      <c r="T314" s="3"/>
      <c r="W314" s="3"/>
      <c r="Z314" s="4"/>
      <c r="AA314" s="3"/>
      <c r="AC314" s="4"/>
    </row>
    <row r="315" spans="5:29" ht="11.25" customHeight="1" x14ac:dyDescent="0.2">
      <c r="E315" s="66"/>
      <c r="F315" s="111"/>
      <c r="G315" s="303"/>
      <c r="H315" s="112"/>
      <c r="I315" s="109"/>
      <c r="J315" s="111"/>
      <c r="K315" s="109"/>
      <c r="L315" s="111"/>
      <c r="M315" s="2"/>
      <c r="N315" s="3"/>
      <c r="P315" s="2"/>
      <c r="Q315" s="3"/>
      <c r="T315" s="3"/>
      <c r="W315" s="3"/>
      <c r="Z315" s="4"/>
      <c r="AA315" s="3"/>
      <c r="AC315" s="4"/>
    </row>
    <row r="316" spans="5:29" ht="11.25" customHeight="1" x14ac:dyDescent="0.2">
      <c r="E316" s="66"/>
      <c r="F316" s="111"/>
      <c r="G316" s="303"/>
      <c r="H316" s="112"/>
      <c r="I316" s="109"/>
      <c r="J316" s="111"/>
      <c r="K316" s="109"/>
      <c r="L316" s="111"/>
      <c r="M316" s="2"/>
      <c r="N316" s="3"/>
      <c r="P316" s="2"/>
      <c r="Q316" s="3"/>
      <c r="T316" s="3"/>
      <c r="W316" s="3"/>
      <c r="Z316" s="4"/>
      <c r="AA316" s="3"/>
      <c r="AC316" s="4"/>
    </row>
    <row r="317" spans="5:29" ht="11.25" customHeight="1" x14ac:dyDescent="0.2">
      <c r="E317" s="66"/>
      <c r="F317" s="111"/>
      <c r="G317" s="303"/>
      <c r="H317" s="112"/>
      <c r="I317" s="109"/>
      <c r="J317" s="111"/>
      <c r="K317" s="109"/>
      <c r="L317" s="111"/>
      <c r="M317" s="2"/>
      <c r="N317" s="3"/>
      <c r="P317" s="2"/>
      <c r="Q317" s="3"/>
      <c r="T317" s="3"/>
      <c r="W317" s="3"/>
      <c r="Z317" s="4"/>
      <c r="AA317" s="3"/>
      <c r="AC317" s="4"/>
    </row>
    <row r="318" spans="5:29" ht="11.25" customHeight="1" x14ac:dyDescent="0.2">
      <c r="E318" s="66"/>
      <c r="F318" s="111"/>
      <c r="G318" s="303"/>
      <c r="H318" s="112"/>
      <c r="I318" s="109"/>
      <c r="J318" s="111"/>
      <c r="K318" s="109"/>
      <c r="L318" s="111"/>
      <c r="M318" s="2"/>
      <c r="N318" s="3"/>
      <c r="P318" s="2"/>
      <c r="Q318" s="3"/>
      <c r="T318" s="3"/>
      <c r="W318" s="3"/>
      <c r="Z318" s="4"/>
      <c r="AA318" s="3"/>
      <c r="AC318" s="4"/>
    </row>
    <row r="319" spans="5:29" ht="11.25" customHeight="1" x14ac:dyDescent="0.2">
      <c r="E319" s="66"/>
      <c r="F319" s="111"/>
      <c r="G319" s="303"/>
      <c r="H319" s="112"/>
      <c r="I319" s="109"/>
      <c r="J319" s="111"/>
      <c r="K319" s="109"/>
      <c r="L319" s="111"/>
      <c r="M319" s="2"/>
      <c r="N319" s="3"/>
      <c r="P319" s="2"/>
      <c r="Q319" s="3"/>
      <c r="T319" s="3"/>
      <c r="W319" s="3"/>
      <c r="Z319" s="4"/>
      <c r="AA319" s="3"/>
      <c r="AC319" s="4"/>
    </row>
    <row r="320" spans="5:29" ht="11.25" customHeight="1" x14ac:dyDescent="0.2">
      <c r="E320" s="66"/>
      <c r="F320" s="111"/>
      <c r="G320" s="303"/>
      <c r="H320" s="112"/>
      <c r="I320" s="109"/>
      <c r="J320" s="111"/>
      <c r="K320" s="109"/>
      <c r="L320" s="111"/>
      <c r="M320" s="2"/>
      <c r="N320" s="3"/>
      <c r="P320" s="2"/>
      <c r="Q320" s="3"/>
      <c r="T320" s="3"/>
      <c r="W320" s="3"/>
      <c r="Z320" s="4"/>
      <c r="AA320" s="3"/>
      <c r="AC320" s="4"/>
    </row>
    <row r="321" spans="5:29" ht="11.25" customHeight="1" x14ac:dyDescent="0.2">
      <c r="E321" s="66"/>
      <c r="F321" s="111"/>
      <c r="G321" s="303"/>
      <c r="H321" s="112"/>
      <c r="I321" s="109"/>
      <c r="J321" s="111"/>
      <c r="K321" s="109"/>
      <c r="L321" s="111"/>
      <c r="M321" s="2"/>
      <c r="N321" s="3"/>
      <c r="P321" s="2"/>
      <c r="Q321" s="3"/>
      <c r="T321" s="3"/>
      <c r="W321" s="3"/>
      <c r="Z321" s="4"/>
      <c r="AA321" s="3"/>
      <c r="AC321" s="4"/>
    </row>
    <row r="322" spans="5:29" ht="11.25" customHeight="1" x14ac:dyDescent="0.2">
      <c r="E322" s="66"/>
      <c r="F322" s="111"/>
      <c r="G322" s="303"/>
      <c r="H322" s="112"/>
      <c r="I322" s="109"/>
      <c r="J322" s="111"/>
      <c r="K322" s="109"/>
      <c r="L322" s="111"/>
      <c r="M322" s="2"/>
      <c r="N322" s="3"/>
      <c r="P322" s="2"/>
      <c r="Q322" s="3"/>
      <c r="T322" s="3"/>
      <c r="W322" s="3"/>
      <c r="Z322" s="4"/>
      <c r="AA322" s="3"/>
      <c r="AC322" s="4"/>
    </row>
    <row r="323" spans="5:29" ht="11.25" customHeight="1" x14ac:dyDescent="0.2">
      <c r="E323" s="66"/>
      <c r="F323" s="111"/>
      <c r="G323" s="303"/>
      <c r="H323" s="112"/>
      <c r="I323" s="109"/>
      <c r="J323" s="111"/>
      <c r="K323" s="109"/>
      <c r="L323" s="111"/>
      <c r="M323" s="2"/>
      <c r="N323" s="3"/>
      <c r="P323" s="2"/>
      <c r="Q323" s="3"/>
      <c r="T323" s="3"/>
      <c r="W323" s="3"/>
      <c r="Z323" s="4"/>
      <c r="AA323" s="3"/>
      <c r="AC323" s="4"/>
    </row>
    <row r="324" spans="5:29" ht="11.25" customHeight="1" x14ac:dyDescent="0.2">
      <c r="E324" s="66"/>
      <c r="F324" s="111"/>
      <c r="G324" s="303"/>
      <c r="H324" s="112"/>
      <c r="I324" s="109"/>
      <c r="J324" s="111"/>
      <c r="K324" s="109"/>
      <c r="L324" s="111"/>
      <c r="M324" s="2"/>
      <c r="N324" s="3"/>
      <c r="P324" s="2"/>
      <c r="Q324" s="3"/>
      <c r="T324" s="3"/>
      <c r="W324" s="3"/>
      <c r="Z324" s="4"/>
      <c r="AA324" s="3"/>
      <c r="AC324" s="4"/>
    </row>
    <row r="325" spans="5:29" ht="11.25" customHeight="1" x14ac:dyDescent="0.2">
      <c r="E325" s="66"/>
      <c r="F325" s="111"/>
      <c r="G325" s="303"/>
      <c r="H325" s="112"/>
      <c r="I325" s="109"/>
      <c r="J325" s="111"/>
      <c r="K325" s="109"/>
      <c r="L325" s="111"/>
      <c r="M325" s="2"/>
      <c r="N325" s="3"/>
      <c r="P325" s="2"/>
      <c r="Q325" s="3"/>
      <c r="T325" s="3"/>
      <c r="W325" s="3"/>
      <c r="Z325" s="4"/>
      <c r="AA325" s="3"/>
      <c r="AC325" s="4"/>
    </row>
    <row r="326" spans="5:29" ht="11.25" customHeight="1" x14ac:dyDescent="0.2">
      <c r="E326" s="66"/>
      <c r="F326" s="111"/>
      <c r="G326" s="303"/>
      <c r="H326" s="112"/>
      <c r="I326" s="109"/>
      <c r="J326" s="111"/>
      <c r="K326" s="109"/>
      <c r="L326" s="111"/>
      <c r="M326" s="2"/>
      <c r="N326" s="3"/>
      <c r="P326" s="2"/>
      <c r="Q326" s="3"/>
      <c r="T326" s="3"/>
      <c r="W326" s="3"/>
      <c r="Z326" s="4"/>
      <c r="AA326" s="3"/>
      <c r="AC326" s="4"/>
    </row>
    <row r="327" spans="5:29" ht="11.25" customHeight="1" x14ac:dyDescent="0.2">
      <c r="E327" s="66"/>
      <c r="F327" s="111"/>
      <c r="G327" s="303"/>
      <c r="H327" s="112"/>
      <c r="I327" s="109"/>
      <c r="J327" s="111"/>
      <c r="K327" s="109"/>
      <c r="L327" s="111"/>
      <c r="M327" s="2"/>
      <c r="N327" s="3"/>
      <c r="P327" s="2"/>
      <c r="Q327" s="3"/>
      <c r="T327" s="3"/>
      <c r="W327" s="3"/>
      <c r="Z327" s="4"/>
      <c r="AA327" s="3"/>
      <c r="AC327" s="4"/>
    </row>
    <row r="328" spans="5:29" ht="11.25" customHeight="1" x14ac:dyDescent="0.2">
      <c r="E328" s="66"/>
      <c r="F328" s="111"/>
      <c r="G328" s="303"/>
      <c r="H328" s="112"/>
      <c r="I328" s="109"/>
      <c r="J328" s="111"/>
      <c r="K328" s="109"/>
      <c r="L328" s="111"/>
      <c r="M328" s="2"/>
      <c r="N328" s="3"/>
      <c r="P328" s="2"/>
      <c r="Q328" s="3"/>
      <c r="T328" s="3"/>
      <c r="W328" s="3"/>
      <c r="Z328" s="4"/>
      <c r="AA328" s="3"/>
      <c r="AC328" s="4"/>
    </row>
    <row r="329" spans="5:29" ht="11.25" customHeight="1" x14ac:dyDescent="0.2">
      <c r="E329" s="66"/>
      <c r="F329" s="111"/>
      <c r="G329" s="303"/>
      <c r="H329" s="112"/>
      <c r="I329" s="109"/>
      <c r="J329" s="111"/>
      <c r="K329" s="109"/>
      <c r="L329" s="111"/>
      <c r="M329" s="2"/>
      <c r="N329" s="3"/>
      <c r="P329" s="2"/>
      <c r="Q329" s="3"/>
      <c r="T329" s="3"/>
      <c r="W329" s="3"/>
      <c r="Z329" s="4"/>
      <c r="AA329" s="3"/>
      <c r="AC329" s="4"/>
    </row>
    <row r="330" spans="5:29" ht="11.25" customHeight="1" x14ac:dyDescent="0.2">
      <c r="E330" s="66"/>
      <c r="F330" s="111"/>
      <c r="G330" s="303"/>
      <c r="H330" s="112"/>
      <c r="I330" s="109"/>
      <c r="J330" s="111"/>
      <c r="K330" s="109"/>
      <c r="L330" s="111"/>
      <c r="M330" s="2"/>
      <c r="N330" s="3"/>
      <c r="P330" s="2"/>
      <c r="Q330" s="3"/>
      <c r="T330" s="3"/>
      <c r="W330" s="3"/>
      <c r="Z330" s="4"/>
      <c r="AA330" s="3"/>
      <c r="AC330" s="4"/>
    </row>
    <row r="331" spans="5:29" ht="11.25" customHeight="1" x14ac:dyDescent="0.2">
      <c r="E331" s="66"/>
      <c r="F331" s="111"/>
      <c r="G331" s="303"/>
      <c r="H331" s="112"/>
      <c r="I331" s="109"/>
      <c r="J331" s="111"/>
      <c r="K331" s="109"/>
      <c r="L331" s="111"/>
      <c r="M331" s="2"/>
      <c r="N331" s="3"/>
      <c r="P331" s="2"/>
      <c r="Q331" s="3"/>
      <c r="T331" s="3"/>
      <c r="W331" s="3"/>
      <c r="Z331" s="4"/>
      <c r="AA331" s="3"/>
      <c r="AC331" s="4"/>
    </row>
    <row r="332" spans="5:29" ht="11.25" customHeight="1" x14ac:dyDescent="0.2">
      <c r="E332" s="66"/>
      <c r="F332" s="111"/>
      <c r="G332" s="303"/>
      <c r="H332" s="112"/>
      <c r="I332" s="109"/>
      <c r="J332" s="111"/>
      <c r="K332" s="109"/>
      <c r="L332" s="111"/>
      <c r="M332" s="2"/>
      <c r="N332" s="3"/>
      <c r="P332" s="2"/>
      <c r="Q332" s="3"/>
      <c r="T332" s="3"/>
      <c r="W332" s="3"/>
      <c r="Z332" s="4"/>
      <c r="AA332" s="3"/>
      <c r="AC332" s="4"/>
    </row>
    <row r="333" spans="5:29" ht="11.25" customHeight="1" x14ac:dyDescent="0.2">
      <c r="E333" s="66"/>
      <c r="F333" s="111"/>
      <c r="G333" s="303"/>
      <c r="H333" s="112"/>
      <c r="I333" s="109"/>
      <c r="J333" s="111"/>
      <c r="K333" s="109"/>
      <c r="L333" s="111"/>
      <c r="M333" s="2"/>
      <c r="N333" s="3"/>
      <c r="P333" s="2"/>
      <c r="Q333" s="3"/>
      <c r="T333" s="3"/>
      <c r="W333" s="3"/>
      <c r="Z333" s="4"/>
      <c r="AA333" s="3"/>
      <c r="AC333" s="4"/>
    </row>
    <row r="334" spans="5:29" ht="11.25" customHeight="1" x14ac:dyDescent="0.2">
      <c r="E334" s="66"/>
      <c r="F334" s="111"/>
      <c r="G334" s="303"/>
      <c r="H334" s="112"/>
      <c r="I334" s="109"/>
      <c r="J334" s="111"/>
      <c r="K334" s="109"/>
      <c r="L334" s="111"/>
      <c r="M334" s="2"/>
      <c r="N334" s="3"/>
      <c r="P334" s="2"/>
      <c r="Q334" s="3"/>
      <c r="T334" s="3"/>
      <c r="W334" s="3"/>
      <c r="Z334" s="4"/>
      <c r="AA334" s="3"/>
      <c r="AC334" s="4"/>
    </row>
    <row r="335" spans="5:29" ht="11.25" customHeight="1" x14ac:dyDescent="0.2">
      <c r="E335" s="66"/>
      <c r="F335" s="111"/>
      <c r="G335" s="303"/>
      <c r="H335" s="112"/>
      <c r="I335" s="109"/>
      <c r="J335" s="111"/>
      <c r="K335" s="109"/>
      <c r="L335" s="111"/>
      <c r="M335" s="2"/>
      <c r="N335" s="3"/>
      <c r="P335" s="2"/>
      <c r="Q335" s="3"/>
      <c r="T335" s="3"/>
      <c r="W335" s="3"/>
      <c r="Z335" s="4"/>
      <c r="AA335" s="3"/>
      <c r="AC335" s="4"/>
    </row>
    <row r="336" spans="5:29" ht="11.25" customHeight="1" x14ac:dyDescent="0.2">
      <c r="E336" s="66"/>
      <c r="F336" s="111"/>
      <c r="G336" s="303"/>
      <c r="H336" s="112"/>
      <c r="I336" s="109"/>
      <c r="J336" s="111"/>
      <c r="K336" s="109"/>
      <c r="L336" s="111"/>
      <c r="M336" s="2"/>
      <c r="N336" s="3"/>
      <c r="P336" s="2"/>
      <c r="Q336" s="3"/>
      <c r="T336" s="3"/>
      <c r="W336" s="3"/>
      <c r="Z336" s="4"/>
      <c r="AA336" s="3"/>
      <c r="AC336" s="4"/>
    </row>
    <row r="337" spans="5:29" ht="11.25" customHeight="1" x14ac:dyDescent="0.2">
      <c r="E337" s="66"/>
      <c r="F337" s="111"/>
      <c r="G337" s="303"/>
      <c r="H337" s="112"/>
      <c r="I337" s="109"/>
      <c r="J337" s="111"/>
      <c r="K337" s="109"/>
      <c r="L337" s="111"/>
      <c r="M337" s="2"/>
      <c r="N337" s="3"/>
      <c r="P337" s="2"/>
      <c r="Q337" s="3"/>
      <c r="T337" s="3"/>
      <c r="W337" s="3"/>
      <c r="Z337" s="4"/>
      <c r="AA337" s="3"/>
      <c r="AC337" s="4"/>
    </row>
    <row r="338" spans="5:29" ht="11.25" customHeight="1" x14ac:dyDescent="0.2">
      <c r="E338" s="66"/>
      <c r="F338" s="111"/>
      <c r="G338" s="303"/>
      <c r="H338" s="112"/>
      <c r="I338" s="109"/>
      <c r="J338" s="111"/>
      <c r="K338" s="109"/>
      <c r="L338" s="111"/>
      <c r="M338" s="2"/>
      <c r="N338" s="3"/>
      <c r="P338" s="2"/>
      <c r="Q338" s="3"/>
      <c r="T338" s="3"/>
      <c r="W338" s="3"/>
      <c r="Z338" s="4"/>
      <c r="AA338" s="3"/>
      <c r="AC338" s="4"/>
    </row>
    <row r="339" spans="5:29" ht="11.25" customHeight="1" x14ac:dyDescent="0.2">
      <c r="E339" s="66"/>
      <c r="F339" s="111"/>
      <c r="G339" s="303"/>
      <c r="H339" s="112"/>
      <c r="I339" s="109"/>
      <c r="J339" s="111"/>
      <c r="K339" s="109"/>
      <c r="L339" s="111"/>
      <c r="M339" s="2"/>
      <c r="N339" s="3"/>
      <c r="P339" s="2"/>
      <c r="Q339" s="3"/>
      <c r="T339" s="3"/>
      <c r="W339" s="3"/>
      <c r="Z339" s="4"/>
      <c r="AA339" s="3"/>
      <c r="AC339" s="4"/>
    </row>
    <row r="340" spans="5:29" ht="11.25" customHeight="1" x14ac:dyDescent="0.2">
      <c r="E340" s="66"/>
      <c r="F340" s="111"/>
      <c r="G340" s="303"/>
      <c r="H340" s="112"/>
      <c r="I340" s="109"/>
      <c r="J340" s="111"/>
      <c r="K340" s="109"/>
      <c r="L340" s="111"/>
      <c r="M340" s="2"/>
      <c r="N340" s="3"/>
      <c r="P340" s="2"/>
      <c r="Q340" s="3"/>
      <c r="T340" s="3"/>
      <c r="W340" s="3"/>
      <c r="Z340" s="4"/>
      <c r="AA340" s="3"/>
      <c r="AC340" s="4"/>
    </row>
    <row r="341" spans="5:29" ht="11.25" customHeight="1" x14ac:dyDescent="0.2">
      <c r="E341" s="66"/>
      <c r="F341" s="111"/>
      <c r="G341" s="303"/>
      <c r="H341" s="112"/>
      <c r="I341" s="109"/>
      <c r="J341" s="111"/>
      <c r="K341" s="109"/>
      <c r="L341" s="111"/>
      <c r="M341" s="2"/>
      <c r="N341" s="3"/>
      <c r="P341" s="2"/>
      <c r="Q341" s="3"/>
      <c r="T341" s="3"/>
      <c r="W341" s="3"/>
      <c r="Z341" s="4"/>
      <c r="AA341" s="3"/>
      <c r="AC341" s="4"/>
    </row>
    <row r="342" spans="5:29" ht="11.25" customHeight="1" x14ac:dyDescent="0.2">
      <c r="E342" s="66"/>
      <c r="F342" s="111"/>
      <c r="G342" s="303"/>
      <c r="H342" s="112"/>
      <c r="I342" s="109"/>
      <c r="J342" s="111"/>
      <c r="K342" s="109"/>
      <c r="L342" s="111"/>
      <c r="M342" s="2"/>
      <c r="N342" s="3"/>
      <c r="P342" s="2"/>
      <c r="Q342" s="3"/>
      <c r="T342" s="3"/>
      <c r="W342" s="3"/>
      <c r="Z342" s="4"/>
      <c r="AA342" s="3"/>
      <c r="AC342" s="4"/>
    </row>
    <row r="343" spans="5:29" ht="11.25" customHeight="1" x14ac:dyDescent="0.2">
      <c r="E343" s="66"/>
      <c r="F343" s="111"/>
      <c r="G343" s="303"/>
      <c r="H343" s="112"/>
      <c r="I343" s="109"/>
      <c r="J343" s="111"/>
      <c r="K343" s="109"/>
      <c r="L343" s="111"/>
      <c r="M343" s="2"/>
      <c r="N343" s="3"/>
      <c r="P343" s="2"/>
      <c r="Q343" s="3"/>
      <c r="T343" s="3"/>
      <c r="W343" s="3"/>
      <c r="Z343" s="4"/>
      <c r="AA343" s="3"/>
      <c r="AC343" s="4"/>
    </row>
    <row r="344" spans="5:29" ht="11.25" customHeight="1" x14ac:dyDescent="0.2">
      <c r="E344" s="66"/>
      <c r="F344" s="111"/>
      <c r="G344" s="303"/>
      <c r="H344" s="112"/>
      <c r="I344" s="109"/>
      <c r="J344" s="111"/>
      <c r="K344" s="109"/>
      <c r="L344" s="111"/>
      <c r="M344" s="2"/>
      <c r="N344" s="3"/>
      <c r="P344" s="2"/>
      <c r="Q344" s="3"/>
      <c r="T344" s="3"/>
      <c r="W344" s="3"/>
      <c r="Z344" s="4"/>
      <c r="AA344" s="3"/>
      <c r="AC344" s="4"/>
    </row>
    <row r="345" spans="5:29" ht="11.25" customHeight="1" x14ac:dyDescent="0.2">
      <c r="E345" s="66"/>
      <c r="F345" s="111"/>
      <c r="G345" s="303"/>
      <c r="H345" s="112"/>
      <c r="I345" s="109"/>
      <c r="J345" s="111"/>
      <c r="K345" s="109"/>
      <c r="L345" s="111"/>
      <c r="M345" s="2"/>
      <c r="N345" s="3"/>
      <c r="P345" s="2"/>
      <c r="Q345" s="3"/>
      <c r="T345" s="3"/>
      <c r="W345" s="3"/>
      <c r="Z345" s="4"/>
      <c r="AA345" s="3"/>
      <c r="AC345" s="4"/>
    </row>
    <row r="346" spans="5:29" ht="11.25" customHeight="1" x14ac:dyDescent="0.2">
      <c r="E346" s="66"/>
      <c r="F346" s="111"/>
      <c r="G346" s="303"/>
      <c r="H346" s="112"/>
      <c r="I346" s="109"/>
      <c r="J346" s="111"/>
      <c r="K346" s="109"/>
      <c r="L346" s="111"/>
      <c r="M346" s="2"/>
      <c r="N346" s="3"/>
      <c r="P346" s="2"/>
      <c r="Q346" s="3"/>
      <c r="T346" s="3"/>
      <c r="W346" s="3"/>
      <c r="Z346" s="4"/>
      <c r="AA346" s="3"/>
      <c r="AC346" s="4"/>
    </row>
    <row r="347" spans="5:29" ht="11.25" customHeight="1" x14ac:dyDescent="0.2">
      <c r="E347" s="66"/>
      <c r="F347" s="111"/>
      <c r="G347" s="303"/>
      <c r="H347" s="112"/>
      <c r="I347" s="109"/>
      <c r="J347" s="111"/>
      <c r="K347" s="109"/>
      <c r="L347" s="111"/>
      <c r="M347" s="2"/>
      <c r="N347" s="3"/>
      <c r="P347" s="2"/>
      <c r="Q347" s="3"/>
      <c r="T347" s="3"/>
      <c r="W347" s="3"/>
      <c r="Z347" s="4"/>
      <c r="AA347" s="3"/>
      <c r="AC347" s="4"/>
    </row>
    <row r="348" spans="5:29" ht="11.25" customHeight="1" x14ac:dyDescent="0.2">
      <c r="E348" s="66"/>
      <c r="F348" s="111"/>
      <c r="G348" s="303"/>
      <c r="H348" s="112"/>
      <c r="I348" s="109"/>
      <c r="J348" s="111"/>
      <c r="K348" s="109"/>
      <c r="L348" s="111"/>
      <c r="M348" s="2"/>
      <c r="N348" s="3"/>
      <c r="P348" s="2"/>
      <c r="Q348" s="3"/>
      <c r="T348" s="3"/>
      <c r="W348" s="3"/>
      <c r="Z348" s="4"/>
      <c r="AA348" s="3"/>
      <c r="AC348" s="4"/>
    </row>
    <row r="349" spans="5:29" ht="11.25" customHeight="1" x14ac:dyDescent="0.2">
      <c r="E349" s="66"/>
      <c r="F349" s="111"/>
      <c r="G349" s="303"/>
      <c r="H349" s="112"/>
      <c r="I349" s="109"/>
      <c r="J349" s="111"/>
      <c r="K349" s="109"/>
      <c r="L349" s="111"/>
      <c r="M349" s="2"/>
      <c r="N349" s="3"/>
      <c r="P349" s="2"/>
      <c r="Q349" s="3"/>
      <c r="T349" s="3"/>
      <c r="W349" s="3"/>
      <c r="Z349" s="4"/>
      <c r="AA349" s="3"/>
      <c r="AC349" s="4"/>
    </row>
    <row r="350" spans="5:29" ht="11.25" customHeight="1" x14ac:dyDescent="0.2">
      <c r="E350" s="66"/>
      <c r="F350" s="111"/>
      <c r="G350" s="303"/>
      <c r="H350" s="112"/>
      <c r="I350" s="109"/>
      <c r="J350" s="111"/>
      <c r="K350" s="109"/>
      <c r="L350" s="111"/>
      <c r="M350" s="2"/>
      <c r="N350" s="3"/>
      <c r="P350" s="2"/>
      <c r="Q350" s="3"/>
      <c r="T350" s="3"/>
      <c r="W350" s="3"/>
      <c r="Z350" s="4"/>
      <c r="AA350" s="3"/>
      <c r="AC350" s="4"/>
    </row>
    <row r="351" spans="5:29" ht="11.25" customHeight="1" x14ac:dyDescent="0.2">
      <c r="E351" s="66"/>
      <c r="F351" s="111"/>
      <c r="G351" s="303"/>
      <c r="H351" s="112"/>
      <c r="I351" s="109"/>
      <c r="J351" s="111"/>
      <c r="K351" s="109"/>
      <c r="L351" s="111"/>
      <c r="M351" s="2"/>
      <c r="N351" s="3"/>
      <c r="P351" s="2"/>
      <c r="Q351" s="3"/>
      <c r="T351" s="3"/>
      <c r="W351" s="3"/>
      <c r="Z351" s="4"/>
      <c r="AA351" s="3"/>
      <c r="AC351" s="4"/>
    </row>
    <row r="352" spans="5:29" ht="11.25" customHeight="1" x14ac:dyDescent="0.2">
      <c r="E352" s="66"/>
      <c r="F352" s="111"/>
      <c r="G352" s="303"/>
      <c r="H352" s="112"/>
      <c r="I352" s="109"/>
      <c r="J352" s="111"/>
      <c r="K352" s="109"/>
      <c r="L352" s="111"/>
      <c r="M352" s="2"/>
      <c r="N352" s="3"/>
      <c r="P352" s="2"/>
      <c r="Q352" s="3"/>
      <c r="T352" s="3"/>
      <c r="W352" s="3"/>
      <c r="Z352" s="4"/>
      <c r="AA352" s="3"/>
      <c r="AC352" s="4"/>
    </row>
    <row r="353" spans="5:29" ht="11.25" customHeight="1" x14ac:dyDescent="0.2">
      <c r="E353" s="66"/>
      <c r="F353" s="111"/>
      <c r="G353" s="303"/>
      <c r="H353" s="112"/>
      <c r="I353" s="109"/>
      <c r="J353" s="111"/>
      <c r="K353" s="109"/>
      <c r="L353" s="111"/>
      <c r="M353" s="2"/>
      <c r="N353" s="3"/>
      <c r="P353" s="2"/>
      <c r="Q353" s="3"/>
      <c r="T353" s="3"/>
      <c r="W353" s="3"/>
      <c r="Z353" s="4"/>
      <c r="AA353" s="3"/>
      <c r="AC353" s="4"/>
    </row>
    <row r="354" spans="5:29" ht="11.25" customHeight="1" x14ac:dyDescent="0.2">
      <c r="E354" s="66"/>
      <c r="F354" s="111"/>
      <c r="G354" s="303"/>
      <c r="H354" s="112"/>
      <c r="I354" s="109"/>
      <c r="J354" s="111"/>
      <c r="K354" s="109"/>
      <c r="L354" s="111"/>
      <c r="M354" s="2"/>
      <c r="N354" s="3"/>
      <c r="P354" s="2"/>
      <c r="Q354" s="3"/>
      <c r="T354" s="3"/>
      <c r="W354" s="3"/>
      <c r="Z354" s="4"/>
      <c r="AA354" s="3"/>
      <c r="AC354" s="4"/>
    </row>
    <row r="355" spans="5:29" ht="11.25" customHeight="1" x14ac:dyDescent="0.2">
      <c r="E355" s="66"/>
      <c r="F355" s="111"/>
      <c r="G355" s="303"/>
      <c r="H355" s="112"/>
      <c r="I355" s="109"/>
      <c r="J355" s="111"/>
      <c r="K355" s="109"/>
      <c r="L355" s="111"/>
      <c r="M355" s="2"/>
      <c r="N355" s="3"/>
      <c r="P355" s="2"/>
      <c r="Q355" s="3"/>
      <c r="T355" s="3"/>
      <c r="W355" s="3"/>
      <c r="Z355" s="4"/>
      <c r="AA355" s="3"/>
      <c r="AC355" s="4"/>
    </row>
    <row r="356" spans="5:29" ht="11.25" customHeight="1" x14ac:dyDescent="0.2">
      <c r="E356" s="66"/>
      <c r="F356" s="111"/>
      <c r="G356" s="303"/>
      <c r="H356" s="112"/>
      <c r="I356" s="109"/>
      <c r="J356" s="111"/>
      <c r="K356" s="109"/>
      <c r="L356" s="111"/>
      <c r="M356" s="2"/>
      <c r="N356" s="3"/>
      <c r="P356" s="2"/>
      <c r="Q356" s="3"/>
      <c r="T356" s="3"/>
      <c r="W356" s="3"/>
      <c r="Z356" s="4"/>
      <c r="AA356" s="3"/>
      <c r="AC356" s="4"/>
    </row>
    <row r="357" spans="5:29" ht="11.25" customHeight="1" x14ac:dyDescent="0.2">
      <c r="E357" s="66"/>
      <c r="F357" s="111"/>
      <c r="G357" s="303"/>
      <c r="H357" s="112"/>
      <c r="I357" s="109"/>
      <c r="J357" s="111"/>
      <c r="K357" s="109"/>
      <c r="L357" s="111"/>
      <c r="M357" s="2"/>
      <c r="N357" s="3"/>
      <c r="P357" s="2"/>
      <c r="Q357" s="3"/>
      <c r="T357" s="3"/>
      <c r="W357" s="3"/>
      <c r="Z357" s="4"/>
      <c r="AA357" s="3"/>
      <c r="AC357" s="4"/>
    </row>
    <row r="358" spans="5:29" ht="11.25" customHeight="1" x14ac:dyDescent="0.2">
      <c r="E358" s="66"/>
      <c r="F358" s="111"/>
      <c r="G358" s="303"/>
      <c r="H358" s="112"/>
      <c r="I358" s="109"/>
      <c r="J358" s="111"/>
      <c r="K358" s="109"/>
      <c r="L358" s="111"/>
      <c r="M358" s="2"/>
      <c r="N358" s="3"/>
      <c r="P358" s="2"/>
      <c r="Q358" s="3"/>
      <c r="T358" s="3"/>
      <c r="W358" s="3"/>
      <c r="Z358" s="4"/>
      <c r="AA358" s="3"/>
      <c r="AC358" s="4"/>
    </row>
    <row r="359" spans="5:29" ht="11.25" customHeight="1" x14ac:dyDescent="0.2">
      <c r="E359" s="66"/>
      <c r="F359" s="111"/>
      <c r="G359" s="303"/>
      <c r="H359" s="112"/>
      <c r="I359" s="109"/>
      <c r="J359" s="111"/>
      <c r="K359" s="109"/>
      <c r="L359" s="111"/>
      <c r="M359" s="2"/>
      <c r="N359" s="3"/>
      <c r="P359" s="2"/>
      <c r="Q359" s="3"/>
      <c r="T359" s="3"/>
      <c r="W359" s="3"/>
      <c r="Z359" s="4"/>
      <c r="AA359" s="3"/>
      <c r="AC359" s="4"/>
    </row>
    <row r="360" spans="5:29" ht="11.25" customHeight="1" x14ac:dyDescent="0.2">
      <c r="E360" s="66"/>
      <c r="F360" s="111"/>
      <c r="G360" s="303"/>
      <c r="H360" s="112"/>
      <c r="I360" s="109"/>
      <c r="J360" s="111"/>
      <c r="K360" s="109"/>
      <c r="L360" s="111"/>
      <c r="M360" s="2"/>
      <c r="N360" s="3"/>
      <c r="P360" s="2"/>
      <c r="Q360" s="3"/>
      <c r="T360" s="3"/>
      <c r="W360" s="3"/>
      <c r="Z360" s="4"/>
      <c r="AA360" s="3"/>
      <c r="AC360" s="4"/>
    </row>
    <row r="361" spans="5:29" ht="11.25" customHeight="1" x14ac:dyDescent="0.2">
      <c r="E361" s="66"/>
      <c r="F361" s="111"/>
      <c r="G361" s="303"/>
      <c r="H361" s="112"/>
      <c r="I361" s="109"/>
      <c r="J361" s="111"/>
      <c r="K361" s="109"/>
      <c r="L361" s="111"/>
      <c r="M361" s="2"/>
      <c r="N361" s="3"/>
      <c r="P361" s="2"/>
      <c r="Q361" s="3"/>
      <c r="T361" s="3"/>
      <c r="W361" s="3"/>
      <c r="Z361" s="4"/>
      <c r="AA361" s="3"/>
      <c r="AC361" s="4"/>
    </row>
    <row r="362" spans="5:29" ht="11.25" customHeight="1" x14ac:dyDescent="0.2">
      <c r="E362" s="66"/>
      <c r="F362" s="111"/>
      <c r="G362" s="303"/>
      <c r="H362" s="112"/>
      <c r="I362" s="109"/>
      <c r="J362" s="111"/>
      <c r="K362" s="109"/>
      <c r="L362" s="111"/>
      <c r="M362" s="2"/>
      <c r="N362" s="3"/>
      <c r="P362" s="2"/>
      <c r="Q362" s="3"/>
      <c r="T362" s="3"/>
      <c r="W362" s="3"/>
      <c r="Z362" s="4"/>
      <c r="AA362" s="3"/>
      <c r="AC362" s="4"/>
    </row>
    <row r="363" spans="5:29" ht="11.25" customHeight="1" x14ac:dyDescent="0.2">
      <c r="E363" s="66"/>
      <c r="F363" s="111"/>
      <c r="G363" s="303"/>
      <c r="H363" s="112"/>
      <c r="I363" s="109"/>
      <c r="J363" s="111"/>
      <c r="K363" s="109"/>
      <c r="L363" s="111"/>
      <c r="M363" s="2"/>
      <c r="N363" s="3"/>
      <c r="P363" s="2"/>
      <c r="Q363" s="3"/>
      <c r="T363" s="3"/>
      <c r="W363" s="3"/>
      <c r="Z363" s="4"/>
      <c r="AA363" s="3"/>
      <c r="AC363" s="4"/>
    </row>
    <row r="364" spans="5:29" ht="11.25" customHeight="1" x14ac:dyDescent="0.2">
      <c r="E364" s="66"/>
      <c r="F364" s="111"/>
      <c r="G364" s="303"/>
      <c r="H364" s="112"/>
      <c r="I364" s="109"/>
      <c r="J364" s="111"/>
      <c r="K364" s="109"/>
      <c r="L364" s="111"/>
      <c r="M364" s="2"/>
      <c r="N364" s="3"/>
      <c r="P364" s="2"/>
      <c r="Q364" s="3"/>
      <c r="T364" s="3"/>
      <c r="W364" s="3"/>
      <c r="Z364" s="4"/>
      <c r="AA364" s="3"/>
      <c r="AC364" s="4"/>
    </row>
    <row r="365" spans="5:29" ht="11.25" customHeight="1" x14ac:dyDescent="0.2">
      <c r="E365" s="66"/>
      <c r="F365" s="111"/>
      <c r="G365" s="303"/>
      <c r="H365" s="112"/>
      <c r="I365" s="109"/>
      <c r="J365" s="111"/>
      <c r="K365" s="109"/>
      <c r="L365" s="111"/>
      <c r="M365" s="2"/>
      <c r="N365" s="3"/>
      <c r="P365" s="2"/>
      <c r="Q365" s="3"/>
      <c r="T365" s="3"/>
      <c r="W365" s="3"/>
      <c r="Z365" s="4"/>
      <c r="AA365" s="3"/>
      <c r="AC365" s="4"/>
    </row>
    <row r="366" spans="5:29" ht="11.25" customHeight="1" x14ac:dyDescent="0.2">
      <c r="E366" s="66"/>
      <c r="F366" s="111"/>
      <c r="G366" s="303"/>
      <c r="H366" s="112"/>
      <c r="I366" s="109"/>
      <c r="J366" s="111"/>
      <c r="K366" s="109"/>
      <c r="L366" s="111"/>
      <c r="M366" s="2"/>
      <c r="N366" s="3"/>
      <c r="P366" s="2"/>
      <c r="Q366" s="3"/>
      <c r="T366" s="3"/>
      <c r="W366" s="3"/>
      <c r="Z366" s="4"/>
      <c r="AA366" s="3"/>
      <c r="AC366" s="4"/>
    </row>
    <row r="367" spans="5:29" ht="11.25" customHeight="1" x14ac:dyDescent="0.2">
      <c r="E367" s="66"/>
      <c r="F367" s="111"/>
      <c r="G367" s="303"/>
      <c r="H367" s="112"/>
      <c r="I367" s="109"/>
      <c r="J367" s="111"/>
      <c r="K367" s="109"/>
      <c r="L367" s="111"/>
      <c r="M367" s="2"/>
      <c r="N367" s="3"/>
      <c r="P367" s="2"/>
      <c r="Q367" s="3"/>
      <c r="T367" s="3"/>
      <c r="W367" s="3"/>
      <c r="Z367" s="4"/>
      <c r="AA367" s="3"/>
      <c r="AC367" s="4"/>
    </row>
    <row r="368" spans="5:29" ht="11.25" customHeight="1" x14ac:dyDescent="0.2">
      <c r="E368" s="66"/>
      <c r="F368" s="111"/>
      <c r="G368" s="303"/>
      <c r="H368" s="112"/>
      <c r="I368" s="109"/>
      <c r="J368" s="111"/>
      <c r="K368" s="109"/>
      <c r="L368" s="111"/>
      <c r="M368" s="2"/>
      <c r="N368" s="3"/>
      <c r="P368" s="2"/>
      <c r="Q368" s="3"/>
      <c r="T368" s="3"/>
      <c r="W368" s="3"/>
      <c r="Z368" s="4"/>
      <c r="AA368" s="3"/>
      <c r="AC368" s="4"/>
    </row>
    <row r="369" spans="5:29" ht="11.25" customHeight="1" x14ac:dyDescent="0.2">
      <c r="E369" s="66"/>
      <c r="F369" s="111"/>
      <c r="G369" s="303"/>
      <c r="H369" s="112"/>
      <c r="I369" s="109"/>
      <c r="J369" s="111"/>
      <c r="K369" s="109"/>
      <c r="L369" s="111"/>
      <c r="M369" s="2"/>
      <c r="N369" s="3"/>
      <c r="P369" s="2"/>
      <c r="Q369" s="3"/>
      <c r="T369" s="3"/>
      <c r="W369" s="3"/>
      <c r="Z369" s="4"/>
      <c r="AA369" s="3"/>
      <c r="AC369" s="4"/>
    </row>
    <row r="370" spans="5:29" ht="11.25" customHeight="1" x14ac:dyDescent="0.2">
      <c r="E370" s="66"/>
      <c r="F370" s="111"/>
      <c r="G370" s="303"/>
      <c r="H370" s="112"/>
      <c r="I370" s="109"/>
      <c r="J370" s="111"/>
      <c r="K370" s="109"/>
      <c r="L370" s="111"/>
      <c r="M370" s="2"/>
      <c r="N370" s="3"/>
      <c r="P370" s="2"/>
      <c r="Q370" s="3"/>
      <c r="T370" s="3"/>
      <c r="W370" s="3"/>
      <c r="Z370" s="4"/>
      <c r="AA370" s="3"/>
      <c r="AC370" s="4"/>
    </row>
    <row r="371" spans="5:29" ht="11.25" customHeight="1" x14ac:dyDescent="0.2">
      <c r="E371" s="66"/>
      <c r="F371" s="111"/>
      <c r="G371" s="303"/>
      <c r="H371" s="112"/>
      <c r="I371" s="109"/>
      <c r="J371" s="111"/>
      <c r="K371" s="109"/>
      <c r="L371" s="111"/>
      <c r="M371" s="2"/>
      <c r="N371" s="3"/>
      <c r="P371" s="2"/>
      <c r="Q371" s="3"/>
      <c r="T371" s="3"/>
      <c r="W371" s="3"/>
      <c r="Z371" s="4"/>
      <c r="AA371" s="3"/>
      <c r="AC371" s="4"/>
    </row>
    <row r="372" spans="5:29" ht="11.25" customHeight="1" x14ac:dyDescent="0.2">
      <c r="E372" s="66"/>
      <c r="F372" s="111"/>
      <c r="G372" s="303"/>
      <c r="H372" s="112"/>
      <c r="I372" s="109"/>
      <c r="J372" s="111"/>
      <c r="K372" s="109"/>
      <c r="L372" s="111"/>
      <c r="M372" s="2"/>
      <c r="N372" s="3"/>
      <c r="P372" s="2"/>
      <c r="Q372" s="3"/>
      <c r="T372" s="3"/>
      <c r="W372" s="3"/>
      <c r="Z372" s="4"/>
      <c r="AA372" s="3"/>
      <c r="AC372" s="4"/>
    </row>
    <row r="373" spans="5:29" ht="11.25" customHeight="1" x14ac:dyDescent="0.2">
      <c r="E373" s="66"/>
      <c r="F373" s="111"/>
      <c r="G373" s="303"/>
      <c r="H373" s="112"/>
      <c r="I373" s="109"/>
      <c r="J373" s="111"/>
      <c r="K373" s="109"/>
      <c r="L373" s="111"/>
      <c r="M373" s="2"/>
      <c r="N373" s="3"/>
      <c r="P373" s="2"/>
      <c r="Q373" s="3"/>
      <c r="T373" s="3"/>
      <c r="W373" s="3"/>
      <c r="Z373" s="4"/>
      <c r="AA373" s="3"/>
      <c r="AC373" s="4"/>
    </row>
    <row r="374" spans="5:29" ht="11.25" customHeight="1" x14ac:dyDescent="0.2">
      <c r="E374" s="66"/>
      <c r="F374" s="111"/>
      <c r="G374" s="303"/>
      <c r="H374" s="112"/>
      <c r="I374" s="109"/>
      <c r="J374" s="111"/>
      <c r="K374" s="109"/>
      <c r="L374" s="111"/>
      <c r="M374" s="2"/>
      <c r="N374" s="3"/>
      <c r="P374" s="2"/>
      <c r="Q374" s="3"/>
      <c r="T374" s="3"/>
      <c r="W374" s="3"/>
      <c r="Z374" s="4"/>
      <c r="AA374" s="3"/>
      <c r="AC374" s="4"/>
    </row>
    <row r="375" spans="5:29" ht="11.25" customHeight="1" x14ac:dyDescent="0.2">
      <c r="E375" s="66"/>
      <c r="F375" s="111"/>
      <c r="G375" s="303"/>
      <c r="H375" s="112"/>
      <c r="I375" s="109"/>
      <c r="J375" s="111"/>
      <c r="K375" s="109"/>
      <c r="L375" s="111"/>
      <c r="M375" s="2"/>
      <c r="N375" s="3"/>
      <c r="P375" s="2"/>
      <c r="Q375" s="3"/>
      <c r="T375" s="3"/>
      <c r="W375" s="3"/>
      <c r="Z375" s="4"/>
      <c r="AA375" s="3"/>
      <c r="AC375" s="4"/>
    </row>
    <row r="376" spans="5:29" ht="11.25" customHeight="1" x14ac:dyDescent="0.2">
      <c r="E376" s="66"/>
      <c r="F376" s="111"/>
      <c r="G376" s="303"/>
      <c r="H376" s="112"/>
      <c r="I376" s="109"/>
      <c r="J376" s="111"/>
      <c r="K376" s="109"/>
      <c r="L376" s="111"/>
      <c r="M376" s="2"/>
      <c r="N376" s="3"/>
      <c r="P376" s="2"/>
      <c r="Q376" s="3"/>
      <c r="T376" s="3"/>
      <c r="W376" s="3"/>
      <c r="Z376" s="4"/>
      <c r="AA376" s="3"/>
      <c r="AC376" s="4"/>
    </row>
    <row r="377" spans="5:29" ht="11.25" customHeight="1" x14ac:dyDescent="0.2">
      <c r="E377" s="66"/>
      <c r="F377" s="111"/>
      <c r="G377" s="303"/>
      <c r="H377" s="112"/>
      <c r="I377" s="109"/>
      <c r="J377" s="111"/>
      <c r="K377" s="109"/>
      <c r="L377" s="111"/>
      <c r="M377" s="2"/>
      <c r="N377" s="3"/>
      <c r="P377" s="2"/>
      <c r="Q377" s="3"/>
      <c r="T377" s="3"/>
      <c r="W377" s="3"/>
      <c r="Z377" s="4"/>
      <c r="AA377" s="3"/>
      <c r="AC377" s="4"/>
    </row>
    <row r="378" spans="5:29" ht="11.25" customHeight="1" x14ac:dyDescent="0.2">
      <c r="E378" s="66"/>
      <c r="F378" s="111"/>
      <c r="G378" s="303"/>
      <c r="H378" s="112"/>
      <c r="I378" s="109"/>
      <c r="J378" s="111"/>
      <c r="K378" s="109"/>
      <c r="L378" s="111"/>
      <c r="M378" s="2"/>
      <c r="N378" s="3"/>
      <c r="P378" s="2"/>
      <c r="Q378" s="3"/>
      <c r="T378" s="3"/>
      <c r="W378" s="3"/>
      <c r="Z378" s="4"/>
      <c r="AA378" s="3"/>
      <c r="AC378" s="4"/>
    </row>
    <row r="379" spans="5:29" ht="11.25" customHeight="1" x14ac:dyDescent="0.2">
      <c r="E379" s="66"/>
      <c r="F379" s="111"/>
      <c r="G379" s="303"/>
      <c r="H379" s="112"/>
      <c r="I379" s="109"/>
      <c r="J379" s="111"/>
      <c r="K379" s="109"/>
      <c r="L379" s="111"/>
      <c r="M379" s="2"/>
      <c r="N379" s="3"/>
      <c r="P379" s="2"/>
      <c r="Q379" s="3"/>
      <c r="T379" s="3"/>
      <c r="W379" s="3"/>
      <c r="Z379" s="4"/>
      <c r="AA379" s="3"/>
      <c r="AC379" s="4"/>
    </row>
    <row r="380" spans="5:29" ht="11.25" customHeight="1" x14ac:dyDescent="0.2">
      <c r="E380" s="66"/>
      <c r="F380" s="111"/>
      <c r="G380" s="303"/>
      <c r="H380" s="112"/>
      <c r="I380" s="109"/>
      <c r="J380" s="111"/>
      <c r="K380" s="109"/>
      <c r="L380" s="111"/>
      <c r="M380" s="2"/>
      <c r="N380" s="3"/>
      <c r="P380" s="2"/>
      <c r="Q380" s="3"/>
      <c r="T380" s="3"/>
      <c r="W380" s="3"/>
      <c r="Z380" s="4"/>
      <c r="AA380" s="3"/>
      <c r="AC380" s="4"/>
    </row>
    <row r="381" spans="5:29" ht="11.25" customHeight="1" x14ac:dyDescent="0.2">
      <c r="E381" s="66"/>
      <c r="F381" s="111"/>
      <c r="G381" s="303"/>
      <c r="H381" s="112"/>
      <c r="I381" s="109"/>
      <c r="J381" s="111"/>
      <c r="K381" s="109"/>
      <c r="L381" s="111"/>
      <c r="M381" s="2"/>
      <c r="N381" s="3"/>
      <c r="P381" s="2"/>
      <c r="Q381" s="3"/>
      <c r="T381" s="3"/>
      <c r="W381" s="3"/>
      <c r="Z381" s="4"/>
      <c r="AA381" s="3"/>
      <c r="AC381" s="4"/>
    </row>
    <row r="382" spans="5:29" ht="11.25" customHeight="1" x14ac:dyDescent="0.2">
      <c r="E382" s="66"/>
      <c r="F382" s="111"/>
      <c r="G382" s="303"/>
      <c r="H382" s="112"/>
      <c r="I382" s="109"/>
      <c r="J382" s="111"/>
      <c r="K382" s="109"/>
      <c r="L382" s="111"/>
      <c r="M382" s="2"/>
      <c r="N382" s="3"/>
      <c r="P382" s="2"/>
      <c r="Q382" s="3"/>
      <c r="T382" s="3"/>
      <c r="W382" s="3"/>
      <c r="Z382" s="4"/>
      <c r="AA382" s="3"/>
      <c r="AC382" s="4"/>
    </row>
    <row r="383" spans="5:29" ht="11.25" customHeight="1" x14ac:dyDescent="0.2">
      <c r="E383" s="66"/>
      <c r="F383" s="111"/>
      <c r="G383" s="303"/>
      <c r="H383" s="112"/>
      <c r="I383" s="109"/>
      <c r="J383" s="111"/>
      <c r="K383" s="109"/>
      <c r="L383" s="111"/>
      <c r="M383" s="2"/>
      <c r="N383" s="3"/>
      <c r="P383" s="2"/>
      <c r="Q383" s="3"/>
      <c r="T383" s="3"/>
      <c r="W383" s="3"/>
      <c r="Z383" s="4"/>
      <c r="AA383" s="3"/>
      <c r="AC383" s="4"/>
    </row>
    <row r="384" spans="5:29" ht="11.25" customHeight="1" x14ac:dyDescent="0.2">
      <c r="E384" s="66"/>
      <c r="F384" s="111"/>
      <c r="G384" s="303"/>
      <c r="H384" s="112"/>
      <c r="I384" s="109"/>
      <c r="J384" s="111"/>
      <c r="K384" s="109"/>
      <c r="L384" s="111"/>
      <c r="M384" s="2"/>
      <c r="N384" s="3"/>
      <c r="P384" s="2"/>
      <c r="Q384" s="3"/>
      <c r="T384" s="3"/>
      <c r="W384" s="3"/>
      <c r="Z384" s="4"/>
      <c r="AA384" s="3"/>
      <c r="AC384" s="4"/>
    </row>
    <row r="385" spans="5:29" ht="11.25" customHeight="1" x14ac:dyDescent="0.2">
      <c r="E385" s="66"/>
      <c r="F385" s="111"/>
      <c r="G385" s="303"/>
      <c r="H385" s="112"/>
      <c r="I385" s="109"/>
      <c r="J385" s="111"/>
      <c r="K385" s="109"/>
      <c r="L385" s="111"/>
      <c r="M385" s="2"/>
      <c r="N385" s="3"/>
      <c r="P385" s="2"/>
      <c r="Q385" s="3"/>
      <c r="T385" s="3"/>
      <c r="W385" s="3"/>
      <c r="Z385" s="4"/>
      <c r="AA385" s="3"/>
      <c r="AC385" s="4"/>
    </row>
    <row r="386" spans="5:29" ht="11.25" customHeight="1" x14ac:dyDescent="0.2">
      <c r="E386" s="66"/>
      <c r="F386" s="111"/>
      <c r="G386" s="303"/>
      <c r="H386" s="112"/>
      <c r="I386" s="109"/>
      <c r="J386" s="111"/>
      <c r="K386" s="109"/>
      <c r="L386" s="111"/>
      <c r="M386" s="2"/>
      <c r="N386" s="3"/>
      <c r="P386" s="2"/>
      <c r="Q386" s="3"/>
      <c r="T386" s="3"/>
      <c r="W386" s="3"/>
      <c r="Z386" s="4"/>
      <c r="AA386" s="3"/>
      <c r="AC386" s="4"/>
    </row>
    <row r="387" spans="5:29" ht="11.25" customHeight="1" x14ac:dyDescent="0.2">
      <c r="E387" s="66"/>
      <c r="F387" s="111"/>
      <c r="G387" s="303"/>
      <c r="H387" s="112"/>
      <c r="I387" s="109"/>
      <c r="J387" s="111"/>
      <c r="K387" s="109"/>
      <c r="L387" s="111"/>
      <c r="M387" s="2"/>
      <c r="N387" s="3"/>
      <c r="P387" s="2"/>
      <c r="Q387" s="3"/>
      <c r="T387" s="3"/>
      <c r="W387" s="3"/>
      <c r="Z387" s="4"/>
      <c r="AA387" s="3"/>
      <c r="AC387" s="4"/>
    </row>
    <row r="388" spans="5:29" ht="11.25" customHeight="1" x14ac:dyDescent="0.2">
      <c r="E388" s="66"/>
      <c r="F388" s="111"/>
      <c r="G388" s="303"/>
      <c r="H388" s="112"/>
      <c r="I388" s="109"/>
      <c r="J388" s="111"/>
      <c r="K388" s="109"/>
      <c r="L388" s="111"/>
      <c r="M388" s="2"/>
      <c r="N388" s="3"/>
      <c r="P388" s="2"/>
      <c r="Q388" s="3"/>
      <c r="T388" s="3"/>
      <c r="W388" s="3"/>
      <c r="Z388" s="4"/>
      <c r="AA388" s="3"/>
      <c r="AC388" s="4"/>
    </row>
    <row r="389" spans="5:29" ht="11.25" customHeight="1" x14ac:dyDescent="0.2">
      <c r="E389" s="66"/>
      <c r="F389" s="111"/>
      <c r="G389" s="303"/>
      <c r="H389" s="112"/>
      <c r="I389" s="109"/>
      <c r="J389" s="111"/>
      <c r="K389" s="109"/>
      <c r="L389" s="111"/>
      <c r="M389" s="2"/>
      <c r="N389" s="3"/>
      <c r="P389" s="2"/>
      <c r="Q389" s="3"/>
      <c r="T389" s="3"/>
      <c r="W389" s="3"/>
      <c r="Z389" s="4"/>
      <c r="AA389" s="3"/>
      <c r="AC389" s="4"/>
    </row>
    <row r="390" spans="5:29" ht="11.25" customHeight="1" x14ac:dyDescent="0.2">
      <c r="E390" s="66"/>
      <c r="F390" s="111"/>
      <c r="G390" s="303"/>
      <c r="H390" s="112"/>
      <c r="I390" s="109"/>
      <c r="J390" s="111"/>
      <c r="K390" s="109"/>
      <c r="L390" s="111"/>
      <c r="M390" s="2"/>
      <c r="N390" s="3"/>
      <c r="P390" s="2"/>
      <c r="Q390" s="3"/>
      <c r="T390" s="3"/>
      <c r="W390" s="3"/>
      <c r="Z390" s="4"/>
      <c r="AA390" s="3"/>
      <c r="AC390" s="4"/>
    </row>
    <row r="391" spans="5:29" ht="11.25" customHeight="1" x14ac:dyDescent="0.2">
      <c r="E391" s="66"/>
      <c r="F391" s="111"/>
      <c r="G391" s="303"/>
      <c r="H391" s="112"/>
      <c r="I391" s="109"/>
      <c r="J391" s="111"/>
      <c r="K391" s="109"/>
      <c r="L391" s="111"/>
      <c r="M391" s="2"/>
      <c r="N391" s="3"/>
      <c r="P391" s="2"/>
      <c r="Q391" s="3"/>
      <c r="T391" s="3"/>
      <c r="W391" s="3"/>
      <c r="Z391" s="4"/>
      <c r="AA391" s="3"/>
      <c r="AC391" s="4"/>
    </row>
    <row r="392" spans="5:29" ht="11.25" customHeight="1" x14ac:dyDescent="0.2">
      <c r="E392" s="66"/>
      <c r="F392" s="111"/>
      <c r="G392" s="303"/>
      <c r="H392" s="112"/>
      <c r="I392" s="109"/>
      <c r="J392" s="111"/>
      <c r="K392" s="109"/>
      <c r="L392" s="111"/>
      <c r="M392" s="2"/>
      <c r="N392" s="3"/>
      <c r="P392" s="2"/>
      <c r="Q392" s="3"/>
      <c r="T392" s="3"/>
      <c r="W392" s="3"/>
      <c r="Z392" s="4"/>
      <c r="AA392" s="3"/>
      <c r="AC392" s="4"/>
    </row>
    <row r="393" spans="5:29" ht="11.25" customHeight="1" x14ac:dyDescent="0.2">
      <c r="E393" s="66"/>
      <c r="F393" s="111"/>
      <c r="G393" s="303"/>
      <c r="H393" s="112"/>
      <c r="I393" s="109"/>
      <c r="J393" s="111"/>
      <c r="K393" s="109"/>
      <c r="L393" s="111"/>
      <c r="M393" s="2"/>
      <c r="N393" s="3"/>
      <c r="P393" s="2"/>
      <c r="Q393" s="3"/>
      <c r="T393" s="3"/>
      <c r="W393" s="3"/>
      <c r="Z393" s="4"/>
      <c r="AA393" s="3"/>
      <c r="AC393" s="4"/>
    </row>
    <row r="394" spans="5:29" ht="11.25" customHeight="1" x14ac:dyDescent="0.2">
      <c r="E394" s="66"/>
      <c r="F394" s="111"/>
      <c r="G394" s="303"/>
      <c r="H394" s="112"/>
      <c r="I394" s="109"/>
      <c r="J394" s="111"/>
      <c r="K394" s="109"/>
      <c r="L394" s="111"/>
      <c r="M394" s="2"/>
      <c r="N394" s="3"/>
      <c r="P394" s="2"/>
      <c r="Q394" s="3"/>
      <c r="T394" s="3"/>
      <c r="W394" s="3"/>
      <c r="Z394" s="4"/>
      <c r="AA394" s="3"/>
      <c r="AC394" s="4"/>
    </row>
    <row r="395" spans="5:29" ht="11.25" customHeight="1" x14ac:dyDescent="0.2">
      <c r="E395" s="66"/>
      <c r="F395" s="111"/>
      <c r="G395" s="303"/>
      <c r="H395" s="112"/>
      <c r="I395" s="109"/>
      <c r="J395" s="111"/>
      <c r="K395" s="109"/>
      <c r="L395" s="111"/>
      <c r="M395" s="2"/>
      <c r="N395" s="3"/>
      <c r="P395" s="2"/>
      <c r="Q395" s="3"/>
      <c r="T395" s="3"/>
      <c r="W395" s="3"/>
      <c r="Z395" s="4"/>
      <c r="AA395" s="3"/>
      <c r="AC395" s="4"/>
    </row>
    <row r="396" spans="5:29" ht="11.25" customHeight="1" x14ac:dyDescent="0.2">
      <c r="E396" s="66"/>
      <c r="F396" s="111"/>
      <c r="G396" s="303"/>
      <c r="H396" s="112"/>
      <c r="I396" s="109"/>
      <c r="J396" s="111"/>
      <c r="K396" s="109"/>
      <c r="L396" s="111"/>
      <c r="M396" s="2"/>
      <c r="N396" s="3"/>
      <c r="P396" s="2"/>
      <c r="Q396" s="3"/>
      <c r="T396" s="3"/>
      <c r="W396" s="3"/>
      <c r="Z396" s="4"/>
      <c r="AA396" s="3"/>
      <c r="AC396" s="4"/>
    </row>
    <row r="397" spans="5:29" ht="11.25" customHeight="1" x14ac:dyDescent="0.2">
      <c r="E397" s="66"/>
      <c r="F397" s="111"/>
      <c r="G397" s="303"/>
      <c r="H397" s="112"/>
      <c r="I397" s="109"/>
      <c r="J397" s="111"/>
      <c r="K397" s="109"/>
      <c r="L397" s="111"/>
      <c r="M397" s="2"/>
      <c r="N397" s="3"/>
      <c r="P397" s="2"/>
      <c r="Q397" s="3"/>
      <c r="T397" s="3"/>
      <c r="W397" s="3"/>
      <c r="Z397" s="4"/>
      <c r="AA397" s="3"/>
      <c r="AC397" s="4"/>
    </row>
    <row r="398" spans="5:29" ht="11.25" customHeight="1" x14ac:dyDescent="0.2">
      <c r="E398" s="66"/>
      <c r="F398" s="111"/>
      <c r="G398" s="303"/>
      <c r="H398" s="112"/>
      <c r="I398" s="109"/>
      <c r="J398" s="111"/>
      <c r="K398" s="109"/>
      <c r="L398" s="111"/>
      <c r="M398" s="2"/>
      <c r="N398" s="3"/>
      <c r="P398" s="2"/>
      <c r="Q398" s="3"/>
      <c r="T398" s="3"/>
      <c r="W398" s="3"/>
      <c r="Z398" s="4"/>
      <c r="AA398" s="3"/>
      <c r="AC398" s="4"/>
    </row>
    <row r="399" spans="5:29" ht="11.25" customHeight="1" x14ac:dyDescent="0.2">
      <c r="E399" s="66"/>
      <c r="F399" s="111"/>
      <c r="G399" s="303"/>
      <c r="H399" s="112"/>
      <c r="I399" s="109"/>
      <c r="J399" s="111"/>
      <c r="K399" s="109"/>
      <c r="L399" s="111"/>
      <c r="M399" s="2"/>
      <c r="N399" s="3"/>
      <c r="P399" s="2"/>
      <c r="Q399" s="3"/>
      <c r="T399" s="3"/>
      <c r="W399" s="3"/>
      <c r="Z399" s="4"/>
      <c r="AA399" s="3"/>
      <c r="AC399" s="4"/>
    </row>
    <row r="400" spans="5:29" ht="11.25" customHeight="1" x14ac:dyDescent="0.2">
      <c r="E400" s="66"/>
      <c r="F400" s="111"/>
      <c r="G400" s="303"/>
      <c r="H400" s="112"/>
      <c r="I400" s="109"/>
      <c r="J400" s="111"/>
      <c r="K400" s="109"/>
      <c r="L400" s="111"/>
      <c r="M400" s="2"/>
      <c r="N400" s="3"/>
      <c r="P400" s="2"/>
      <c r="Q400" s="3"/>
      <c r="T400" s="3"/>
      <c r="W400" s="3"/>
      <c r="Z400" s="4"/>
      <c r="AA400" s="3"/>
      <c r="AC400" s="4"/>
    </row>
    <row r="401" spans="5:29" ht="11.25" customHeight="1" x14ac:dyDescent="0.2">
      <c r="E401" s="66"/>
      <c r="F401" s="111"/>
      <c r="G401" s="303"/>
      <c r="H401" s="112"/>
      <c r="I401" s="109"/>
      <c r="J401" s="111"/>
      <c r="K401" s="109"/>
      <c r="L401" s="111"/>
      <c r="M401" s="2"/>
      <c r="N401" s="3"/>
      <c r="P401" s="2"/>
      <c r="Q401" s="3"/>
      <c r="T401" s="3"/>
      <c r="W401" s="3"/>
      <c r="Z401" s="4"/>
      <c r="AA401" s="3"/>
      <c r="AC401" s="4"/>
    </row>
    <row r="402" spans="5:29" ht="11.25" customHeight="1" x14ac:dyDescent="0.2">
      <c r="E402" s="66"/>
      <c r="F402" s="111"/>
      <c r="G402" s="303"/>
      <c r="H402" s="112"/>
      <c r="I402" s="109"/>
      <c r="J402" s="111"/>
      <c r="K402" s="109"/>
      <c r="L402" s="111"/>
      <c r="M402" s="2"/>
      <c r="N402" s="3"/>
      <c r="P402" s="2"/>
      <c r="Q402" s="3"/>
      <c r="T402" s="3"/>
      <c r="W402" s="3"/>
      <c r="Z402" s="4"/>
      <c r="AA402" s="3"/>
      <c r="AC402" s="4"/>
    </row>
    <row r="403" spans="5:29" ht="11.25" customHeight="1" x14ac:dyDescent="0.2">
      <c r="E403" s="66"/>
      <c r="F403" s="111"/>
      <c r="G403" s="303"/>
      <c r="H403" s="112"/>
      <c r="I403" s="109"/>
      <c r="J403" s="111"/>
      <c r="K403" s="109"/>
      <c r="L403" s="111"/>
      <c r="M403" s="2"/>
      <c r="N403" s="3"/>
      <c r="P403" s="2"/>
      <c r="Q403" s="3"/>
      <c r="T403" s="3"/>
      <c r="W403" s="3"/>
      <c r="Z403" s="4"/>
      <c r="AA403" s="3"/>
      <c r="AC403" s="4"/>
    </row>
    <row r="404" spans="5:29" ht="11.25" customHeight="1" x14ac:dyDescent="0.2">
      <c r="E404" s="66"/>
      <c r="F404" s="111"/>
      <c r="G404" s="303"/>
      <c r="H404" s="112"/>
      <c r="I404" s="109"/>
      <c r="J404" s="111"/>
      <c r="K404" s="109"/>
      <c r="L404" s="111"/>
      <c r="M404" s="2"/>
      <c r="N404" s="3"/>
      <c r="P404" s="2"/>
      <c r="Q404" s="3"/>
      <c r="T404" s="3"/>
      <c r="W404" s="3"/>
      <c r="Z404" s="4"/>
      <c r="AA404" s="3"/>
      <c r="AC404" s="4"/>
    </row>
    <row r="405" spans="5:29" ht="11.25" customHeight="1" x14ac:dyDescent="0.2">
      <c r="E405" s="66"/>
      <c r="F405" s="111"/>
      <c r="G405" s="303"/>
      <c r="H405" s="112"/>
      <c r="I405" s="109"/>
      <c r="J405" s="111"/>
      <c r="K405" s="109"/>
      <c r="L405" s="111"/>
      <c r="M405" s="2"/>
      <c r="N405" s="3"/>
      <c r="P405" s="2"/>
      <c r="Q405" s="3"/>
      <c r="T405" s="3"/>
      <c r="W405" s="3"/>
      <c r="Z405" s="4"/>
      <c r="AA405" s="3"/>
      <c r="AC405" s="4"/>
    </row>
    <row r="406" spans="5:29" ht="11.25" customHeight="1" x14ac:dyDescent="0.2">
      <c r="E406" s="66"/>
      <c r="F406" s="111"/>
      <c r="G406" s="303"/>
      <c r="H406" s="112"/>
      <c r="I406" s="109"/>
      <c r="J406" s="111"/>
      <c r="K406" s="109"/>
      <c r="L406" s="111"/>
      <c r="M406" s="2"/>
      <c r="N406" s="3"/>
      <c r="P406" s="2"/>
      <c r="Q406" s="3"/>
      <c r="T406" s="3"/>
      <c r="W406" s="3"/>
      <c r="Z406" s="4"/>
      <c r="AA406" s="3"/>
      <c r="AC406" s="4"/>
    </row>
    <row r="407" spans="5:29" ht="11.25" customHeight="1" x14ac:dyDescent="0.2">
      <c r="E407" s="66"/>
      <c r="F407" s="111"/>
      <c r="G407" s="303"/>
      <c r="H407" s="112"/>
      <c r="I407" s="109"/>
      <c r="J407" s="111"/>
      <c r="K407" s="109"/>
      <c r="L407" s="111"/>
      <c r="M407" s="2"/>
      <c r="N407" s="3"/>
      <c r="P407" s="2"/>
      <c r="Q407" s="3"/>
      <c r="T407" s="3"/>
      <c r="W407" s="3"/>
      <c r="Z407" s="4"/>
      <c r="AA407" s="3"/>
      <c r="AC407" s="4"/>
    </row>
    <row r="408" spans="5:29" ht="11.25" customHeight="1" x14ac:dyDescent="0.2">
      <c r="E408" s="66"/>
      <c r="F408" s="111"/>
      <c r="G408" s="303"/>
      <c r="H408" s="112"/>
      <c r="I408" s="109"/>
      <c r="J408" s="111"/>
      <c r="K408" s="109"/>
      <c r="L408" s="111"/>
      <c r="M408" s="2"/>
      <c r="N408" s="3"/>
      <c r="P408" s="2"/>
      <c r="Q408" s="3"/>
      <c r="T408" s="3"/>
      <c r="W408" s="3"/>
      <c r="Z408" s="4"/>
      <c r="AA408" s="3"/>
      <c r="AC408" s="4"/>
    </row>
    <row r="409" spans="5:29" ht="11.25" customHeight="1" x14ac:dyDescent="0.2">
      <c r="E409" s="66"/>
      <c r="F409" s="111"/>
      <c r="G409" s="303"/>
      <c r="H409" s="112"/>
      <c r="I409" s="109"/>
      <c r="J409" s="111"/>
      <c r="K409" s="109"/>
      <c r="L409" s="111"/>
      <c r="M409" s="2"/>
      <c r="N409" s="3"/>
      <c r="P409" s="2"/>
      <c r="Q409" s="3"/>
      <c r="T409" s="3"/>
      <c r="W409" s="3"/>
      <c r="Z409" s="4"/>
      <c r="AA409" s="3"/>
      <c r="AC409" s="4"/>
    </row>
    <row r="410" spans="5:29" ht="11.25" customHeight="1" x14ac:dyDescent="0.2">
      <c r="E410" s="66"/>
      <c r="F410" s="111"/>
      <c r="G410" s="303"/>
      <c r="H410" s="112"/>
      <c r="I410" s="109"/>
      <c r="J410" s="111"/>
      <c r="K410" s="109"/>
      <c r="L410" s="111"/>
      <c r="M410" s="2"/>
      <c r="N410" s="3"/>
      <c r="P410" s="2"/>
      <c r="Q410" s="3"/>
      <c r="T410" s="3"/>
      <c r="W410" s="3"/>
      <c r="Z410" s="4"/>
      <c r="AA410" s="3"/>
      <c r="AC410" s="4"/>
    </row>
    <row r="411" spans="5:29" ht="11.25" customHeight="1" x14ac:dyDescent="0.2">
      <c r="E411" s="66"/>
      <c r="F411" s="111"/>
      <c r="G411" s="303"/>
      <c r="H411" s="112"/>
      <c r="I411" s="109"/>
      <c r="J411" s="111"/>
      <c r="K411" s="109"/>
      <c r="L411" s="111"/>
      <c r="M411" s="2"/>
      <c r="N411" s="3"/>
      <c r="P411" s="2"/>
      <c r="Q411" s="3"/>
      <c r="T411" s="3"/>
      <c r="W411" s="3"/>
      <c r="Z411" s="4"/>
      <c r="AA411" s="3"/>
      <c r="AC411" s="4"/>
    </row>
    <row r="412" spans="5:29" ht="11.25" customHeight="1" x14ac:dyDescent="0.2">
      <c r="E412" s="66"/>
      <c r="F412" s="111"/>
      <c r="G412" s="303"/>
      <c r="H412" s="112"/>
      <c r="I412" s="109"/>
      <c r="J412" s="111"/>
      <c r="K412" s="109"/>
      <c r="L412" s="111"/>
      <c r="M412" s="2"/>
      <c r="N412" s="3"/>
      <c r="P412" s="2"/>
      <c r="Q412" s="3"/>
      <c r="T412" s="3"/>
      <c r="W412" s="3"/>
      <c r="Z412" s="4"/>
      <c r="AA412" s="3"/>
      <c r="AC412" s="4"/>
    </row>
    <row r="413" spans="5:29" ht="11.25" customHeight="1" x14ac:dyDescent="0.2">
      <c r="E413" s="66"/>
      <c r="F413" s="111"/>
      <c r="G413" s="303"/>
      <c r="H413" s="112"/>
      <c r="I413" s="109"/>
      <c r="J413" s="111"/>
      <c r="K413" s="109"/>
      <c r="L413" s="111"/>
      <c r="M413" s="2"/>
      <c r="N413" s="3"/>
      <c r="P413" s="2"/>
      <c r="Q413" s="3"/>
      <c r="T413" s="3"/>
      <c r="W413" s="3"/>
      <c r="Z413" s="4"/>
      <c r="AA413" s="3"/>
      <c r="AC413" s="4"/>
    </row>
    <row r="414" spans="5:29" ht="11.25" customHeight="1" x14ac:dyDescent="0.2">
      <c r="E414" s="66"/>
      <c r="F414" s="111"/>
      <c r="G414" s="303"/>
      <c r="H414" s="112"/>
      <c r="I414" s="109"/>
      <c r="J414" s="111"/>
      <c r="K414" s="109"/>
      <c r="L414" s="111"/>
      <c r="M414" s="2"/>
      <c r="N414" s="3"/>
      <c r="P414" s="2"/>
      <c r="Q414" s="3"/>
      <c r="T414" s="3"/>
      <c r="W414" s="3"/>
      <c r="Z414" s="4"/>
      <c r="AA414" s="3"/>
      <c r="AC414" s="4"/>
    </row>
    <row r="415" spans="5:29" ht="11.25" customHeight="1" x14ac:dyDescent="0.2">
      <c r="E415" s="66"/>
      <c r="F415" s="111"/>
      <c r="G415" s="303"/>
      <c r="H415" s="112"/>
      <c r="I415" s="109"/>
      <c r="J415" s="111"/>
      <c r="K415" s="109"/>
      <c r="L415" s="111"/>
      <c r="M415" s="2"/>
      <c r="N415" s="3"/>
      <c r="P415" s="2"/>
      <c r="Q415" s="3"/>
      <c r="T415" s="3"/>
      <c r="W415" s="3"/>
      <c r="Z415" s="4"/>
      <c r="AA415" s="3"/>
      <c r="AC415" s="4"/>
    </row>
    <row r="416" spans="5:29" ht="11.25" customHeight="1" x14ac:dyDescent="0.2">
      <c r="E416" s="66"/>
      <c r="F416" s="111"/>
      <c r="G416" s="303"/>
      <c r="H416" s="112"/>
      <c r="I416" s="109"/>
      <c r="J416" s="111"/>
      <c r="K416" s="109"/>
      <c r="L416" s="111"/>
      <c r="M416" s="2"/>
      <c r="N416" s="3"/>
      <c r="P416" s="2"/>
      <c r="Q416" s="3"/>
      <c r="T416" s="3"/>
      <c r="W416" s="3"/>
      <c r="Z416" s="4"/>
      <c r="AA416" s="3"/>
      <c r="AC416" s="4"/>
    </row>
    <row r="417" spans="5:29" ht="11.25" customHeight="1" x14ac:dyDescent="0.2">
      <c r="E417" s="66"/>
      <c r="F417" s="111"/>
      <c r="G417" s="303"/>
      <c r="H417" s="112"/>
      <c r="I417" s="109"/>
      <c r="J417" s="111"/>
      <c r="K417" s="109"/>
      <c r="L417" s="111"/>
      <c r="M417" s="2"/>
      <c r="N417" s="3"/>
      <c r="P417" s="2"/>
      <c r="Q417" s="3"/>
      <c r="T417" s="3"/>
      <c r="W417" s="3"/>
      <c r="Z417" s="4"/>
      <c r="AA417" s="3"/>
      <c r="AC417" s="4"/>
    </row>
    <row r="418" spans="5:29" ht="11.25" customHeight="1" x14ac:dyDescent="0.2">
      <c r="E418" s="66"/>
      <c r="F418" s="111"/>
      <c r="G418" s="303"/>
      <c r="H418" s="112"/>
      <c r="I418" s="109"/>
      <c r="J418" s="111"/>
      <c r="K418" s="109"/>
      <c r="L418" s="111"/>
      <c r="M418" s="2"/>
      <c r="N418" s="3"/>
      <c r="P418" s="2"/>
      <c r="Q418" s="3"/>
      <c r="T418" s="3"/>
      <c r="W418" s="3"/>
      <c r="Z418" s="4"/>
      <c r="AA418" s="3"/>
      <c r="AC418" s="4"/>
    </row>
    <row r="419" spans="5:29" ht="11.25" customHeight="1" x14ac:dyDescent="0.2">
      <c r="E419" s="66"/>
      <c r="F419" s="111"/>
      <c r="G419" s="303"/>
      <c r="H419" s="112"/>
      <c r="I419" s="109"/>
      <c r="J419" s="111"/>
      <c r="K419" s="109"/>
      <c r="L419" s="111"/>
      <c r="M419" s="2"/>
      <c r="N419" s="3"/>
      <c r="P419" s="2"/>
      <c r="Q419" s="3"/>
      <c r="T419" s="3"/>
      <c r="W419" s="3"/>
      <c r="Z419" s="4"/>
      <c r="AA419" s="3"/>
      <c r="AC419" s="4"/>
    </row>
    <row r="420" spans="5:29" ht="11.25" customHeight="1" x14ac:dyDescent="0.2">
      <c r="E420" s="66"/>
      <c r="F420" s="111"/>
      <c r="G420" s="303"/>
      <c r="H420" s="112"/>
      <c r="I420" s="109"/>
      <c r="J420" s="111"/>
      <c r="K420" s="109"/>
      <c r="L420" s="111"/>
      <c r="M420" s="2"/>
      <c r="N420" s="3"/>
      <c r="P420" s="2"/>
      <c r="Q420" s="3"/>
      <c r="T420" s="3"/>
      <c r="W420" s="3"/>
      <c r="Z420" s="4"/>
      <c r="AA420" s="3"/>
      <c r="AC420" s="4"/>
    </row>
    <row r="421" spans="5:29" ht="11.25" customHeight="1" x14ac:dyDescent="0.2">
      <c r="E421" s="66"/>
      <c r="F421" s="111"/>
      <c r="G421" s="303"/>
      <c r="H421" s="112"/>
      <c r="I421" s="109"/>
      <c r="J421" s="111"/>
      <c r="K421" s="109"/>
      <c r="L421" s="111"/>
      <c r="M421" s="2"/>
      <c r="N421" s="3"/>
      <c r="P421" s="2"/>
      <c r="Q421" s="3"/>
      <c r="T421" s="3"/>
      <c r="W421" s="3"/>
      <c r="Z421" s="4"/>
      <c r="AA421" s="3"/>
      <c r="AC421" s="4"/>
    </row>
    <row r="422" spans="5:29" ht="11.25" customHeight="1" x14ac:dyDescent="0.2">
      <c r="E422" s="66"/>
      <c r="F422" s="111"/>
      <c r="G422" s="303"/>
      <c r="H422" s="112"/>
      <c r="I422" s="109"/>
      <c r="J422" s="111"/>
      <c r="K422" s="109"/>
      <c r="L422" s="111"/>
      <c r="M422" s="2"/>
      <c r="N422" s="3"/>
      <c r="P422" s="2"/>
      <c r="Q422" s="3"/>
      <c r="T422" s="3"/>
      <c r="W422" s="3"/>
      <c r="Z422" s="4"/>
      <c r="AA422" s="3"/>
      <c r="AC422" s="4"/>
    </row>
    <row r="423" spans="5:29" ht="11.25" customHeight="1" x14ac:dyDescent="0.2">
      <c r="E423" s="66"/>
      <c r="F423" s="111"/>
      <c r="G423" s="303"/>
      <c r="H423" s="112"/>
      <c r="I423" s="109"/>
      <c r="J423" s="111"/>
      <c r="K423" s="109"/>
      <c r="L423" s="111"/>
      <c r="M423" s="2"/>
      <c r="N423" s="3"/>
      <c r="P423" s="2"/>
      <c r="Q423" s="3"/>
      <c r="T423" s="3"/>
      <c r="W423" s="3"/>
      <c r="Z423" s="4"/>
      <c r="AA423" s="3"/>
      <c r="AC423" s="4"/>
    </row>
    <row r="424" spans="5:29" ht="11.25" customHeight="1" x14ac:dyDescent="0.2">
      <c r="E424" s="66"/>
      <c r="F424" s="111"/>
      <c r="G424" s="303"/>
      <c r="H424" s="112"/>
      <c r="I424" s="109"/>
      <c r="J424" s="111"/>
      <c r="K424" s="109"/>
      <c r="L424" s="111"/>
      <c r="M424" s="2"/>
      <c r="N424" s="3"/>
      <c r="P424" s="2"/>
      <c r="Q424" s="3"/>
      <c r="T424" s="3"/>
      <c r="W424" s="3"/>
      <c r="Z424" s="4"/>
      <c r="AA424" s="3"/>
      <c r="AC424" s="4"/>
    </row>
    <row r="425" spans="5:29" ht="11.25" customHeight="1" x14ac:dyDescent="0.2">
      <c r="E425" s="66"/>
      <c r="F425" s="111"/>
      <c r="G425" s="303"/>
      <c r="H425" s="112"/>
      <c r="I425" s="109"/>
      <c r="J425" s="111"/>
      <c r="K425" s="109"/>
      <c r="L425" s="111"/>
      <c r="M425" s="2"/>
      <c r="N425" s="3"/>
      <c r="P425" s="2"/>
      <c r="Q425" s="3"/>
      <c r="T425" s="3"/>
      <c r="W425" s="3"/>
      <c r="Z425" s="4"/>
      <c r="AA425" s="3"/>
      <c r="AC425" s="4"/>
    </row>
    <row r="426" spans="5:29" ht="11.25" customHeight="1" x14ac:dyDescent="0.2">
      <c r="E426" s="66"/>
      <c r="F426" s="111"/>
      <c r="G426" s="303"/>
      <c r="H426" s="112"/>
      <c r="I426" s="109"/>
      <c r="J426" s="111"/>
      <c r="K426" s="109"/>
      <c r="L426" s="111"/>
      <c r="M426" s="2"/>
      <c r="N426" s="3"/>
      <c r="P426" s="2"/>
      <c r="Q426" s="3"/>
      <c r="T426" s="3"/>
      <c r="W426" s="3"/>
      <c r="Z426" s="4"/>
      <c r="AA426" s="3"/>
      <c r="AC426" s="4"/>
    </row>
    <row r="427" spans="5:29" ht="11.25" customHeight="1" x14ac:dyDescent="0.2">
      <c r="E427" s="66"/>
      <c r="F427" s="111"/>
      <c r="G427" s="303"/>
      <c r="H427" s="112"/>
      <c r="I427" s="109"/>
      <c r="J427" s="111"/>
      <c r="K427" s="109"/>
      <c r="L427" s="111"/>
      <c r="M427" s="2"/>
      <c r="N427" s="3"/>
      <c r="P427" s="2"/>
      <c r="Q427" s="3"/>
      <c r="T427" s="3"/>
      <c r="W427" s="3"/>
      <c r="Z427" s="4"/>
      <c r="AA427" s="3"/>
      <c r="AC427" s="4"/>
    </row>
    <row r="428" spans="5:29" ht="11.25" customHeight="1" x14ac:dyDescent="0.2">
      <c r="E428" s="66"/>
      <c r="F428" s="111"/>
      <c r="G428" s="303"/>
      <c r="H428" s="112"/>
      <c r="I428" s="109"/>
      <c r="J428" s="111"/>
      <c r="K428" s="109"/>
      <c r="L428" s="111"/>
      <c r="M428" s="2"/>
      <c r="N428" s="3"/>
      <c r="P428" s="2"/>
      <c r="Q428" s="3"/>
      <c r="T428" s="3"/>
      <c r="W428" s="3"/>
      <c r="Z428" s="4"/>
      <c r="AA428" s="3"/>
      <c r="AC428" s="4"/>
    </row>
    <row r="429" spans="5:29" ht="11.25" customHeight="1" x14ac:dyDescent="0.2">
      <c r="E429" s="66"/>
      <c r="F429" s="111"/>
      <c r="G429" s="303"/>
      <c r="H429" s="112"/>
      <c r="I429" s="109"/>
      <c r="J429" s="111"/>
      <c r="K429" s="109"/>
      <c r="L429" s="111"/>
      <c r="M429" s="2"/>
      <c r="N429" s="3"/>
      <c r="P429" s="2"/>
      <c r="Q429" s="3"/>
      <c r="T429" s="3"/>
      <c r="W429" s="3"/>
      <c r="Z429" s="4"/>
      <c r="AA429" s="3"/>
      <c r="AC429" s="4"/>
    </row>
    <row r="430" spans="5:29" ht="11.25" customHeight="1" x14ac:dyDescent="0.2">
      <c r="E430" s="66"/>
      <c r="F430" s="111"/>
      <c r="G430" s="303"/>
      <c r="H430" s="112"/>
      <c r="I430" s="109"/>
      <c r="J430" s="111"/>
      <c r="K430" s="109"/>
      <c r="L430" s="111"/>
      <c r="M430" s="2"/>
      <c r="N430" s="3"/>
      <c r="P430" s="2"/>
      <c r="Q430" s="3"/>
      <c r="T430" s="3"/>
      <c r="W430" s="3"/>
      <c r="Z430" s="4"/>
      <c r="AA430" s="3"/>
      <c r="AC430" s="4"/>
    </row>
    <row r="431" spans="5:29" ht="11.25" customHeight="1" x14ac:dyDescent="0.2">
      <c r="E431" s="66"/>
      <c r="F431" s="111"/>
      <c r="G431" s="303"/>
      <c r="H431" s="112"/>
      <c r="I431" s="109"/>
      <c r="J431" s="111"/>
      <c r="K431" s="109"/>
      <c r="L431" s="111"/>
      <c r="M431" s="2"/>
      <c r="N431" s="3"/>
      <c r="P431" s="2"/>
      <c r="Q431" s="3"/>
      <c r="T431" s="3"/>
      <c r="W431" s="3"/>
      <c r="Z431" s="4"/>
      <c r="AA431" s="3"/>
      <c r="AC431" s="4"/>
    </row>
    <row r="432" spans="5:29" ht="11.25" customHeight="1" x14ac:dyDescent="0.2">
      <c r="E432" s="66"/>
      <c r="F432" s="111"/>
      <c r="G432" s="303"/>
      <c r="H432" s="112"/>
      <c r="I432" s="109"/>
      <c r="J432" s="111"/>
      <c r="K432" s="109"/>
      <c r="L432" s="111"/>
      <c r="M432" s="2"/>
      <c r="N432" s="3"/>
      <c r="P432" s="2"/>
      <c r="Q432" s="3"/>
      <c r="T432" s="3"/>
      <c r="W432" s="3"/>
      <c r="Z432" s="4"/>
      <c r="AA432" s="3"/>
      <c r="AC432" s="4"/>
    </row>
    <row r="433" spans="5:29" ht="11.25" customHeight="1" x14ac:dyDescent="0.2">
      <c r="E433" s="66"/>
      <c r="F433" s="111"/>
      <c r="G433" s="303"/>
      <c r="H433" s="112"/>
      <c r="I433" s="109"/>
      <c r="J433" s="111"/>
      <c r="K433" s="109"/>
      <c r="L433" s="111"/>
      <c r="M433" s="2"/>
      <c r="N433" s="3"/>
      <c r="P433" s="2"/>
      <c r="Q433" s="3"/>
      <c r="T433" s="3"/>
      <c r="W433" s="3"/>
      <c r="Z433" s="4"/>
      <c r="AA433" s="3"/>
      <c r="AC433" s="4"/>
    </row>
    <row r="434" spans="5:29" ht="11.25" customHeight="1" x14ac:dyDescent="0.2">
      <c r="E434" s="66"/>
      <c r="F434" s="111"/>
      <c r="G434" s="303"/>
      <c r="H434" s="112"/>
      <c r="I434" s="109"/>
      <c r="J434" s="111"/>
      <c r="K434" s="109"/>
      <c r="L434" s="111"/>
      <c r="M434" s="2"/>
      <c r="N434" s="3"/>
      <c r="P434" s="2"/>
      <c r="Q434" s="3"/>
      <c r="T434" s="3"/>
      <c r="W434" s="3"/>
      <c r="Z434" s="4"/>
      <c r="AA434" s="3"/>
      <c r="AC434" s="4"/>
    </row>
    <row r="435" spans="5:29" ht="11.25" customHeight="1" x14ac:dyDescent="0.2">
      <c r="E435" s="66"/>
      <c r="F435" s="111"/>
      <c r="G435" s="303"/>
      <c r="H435" s="112"/>
      <c r="I435" s="109"/>
      <c r="J435" s="111"/>
      <c r="K435" s="109"/>
      <c r="L435" s="111"/>
      <c r="M435" s="2"/>
      <c r="N435" s="3"/>
      <c r="P435" s="2"/>
      <c r="Q435" s="3"/>
      <c r="T435" s="3"/>
      <c r="W435" s="3"/>
      <c r="Z435" s="4"/>
      <c r="AA435" s="3"/>
      <c r="AC435" s="4"/>
    </row>
    <row r="436" spans="5:29" ht="11.25" customHeight="1" x14ac:dyDescent="0.2">
      <c r="E436" s="66"/>
      <c r="F436" s="111"/>
      <c r="G436" s="303"/>
      <c r="H436" s="112"/>
      <c r="I436" s="109"/>
      <c r="J436" s="111"/>
      <c r="K436" s="109"/>
      <c r="L436" s="111"/>
      <c r="M436" s="2"/>
      <c r="N436" s="3"/>
      <c r="P436" s="2"/>
      <c r="Q436" s="3"/>
      <c r="T436" s="3"/>
      <c r="W436" s="3"/>
      <c r="Z436" s="4"/>
      <c r="AA436" s="3"/>
      <c r="AC436" s="4"/>
    </row>
    <row r="437" spans="5:29" ht="11.25" customHeight="1" x14ac:dyDescent="0.2">
      <c r="E437" s="66"/>
      <c r="F437" s="111"/>
      <c r="G437" s="303"/>
      <c r="H437" s="112"/>
      <c r="I437" s="109"/>
      <c r="J437" s="111"/>
      <c r="K437" s="109"/>
      <c r="L437" s="111"/>
      <c r="M437" s="2"/>
      <c r="N437" s="3"/>
      <c r="P437" s="2"/>
      <c r="Q437" s="3"/>
      <c r="T437" s="3"/>
      <c r="W437" s="3"/>
      <c r="Z437" s="4"/>
      <c r="AA437" s="3"/>
      <c r="AC437" s="4"/>
    </row>
    <row r="438" spans="5:29" ht="11.25" customHeight="1" x14ac:dyDescent="0.2">
      <c r="E438" s="66"/>
      <c r="F438" s="111"/>
      <c r="G438" s="303"/>
      <c r="H438" s="112"/>
      <c r="I438" s="109"/>
      <c r="J438" s="111"/>
      <c r="K438" s="109"/>
      <c r="L438" s="111"/>
      <c r="M438" s="2"/>
      <c r="N438" s="3"/>
      <c r="P438" s="2"/>
      <c r="Q438" s="3"/>
      <c r="T438" s="3"/>
      <c r="W438" s="3"/>
      <c r="Z438" s="4"/>
      <c r="AA438" s="3"/>
      <c r="AC438" s="4"/>
    </row>
    <row r="439" spans="5:29" ht="11.25" customHeight="1" x14ac:dyDescent="0.2">
      <c r="E439" s="66"/>
      <c r="F439" s="111"/>
      <c r="G439" s="303"/>
      <c r="H439" s="112"/>
      <c r="I439" s="109"/>
      <c r="J439" s="111"/>
      <c r="K439" s="109"/>
      <c r="L439" s="111"/>
      <c r="M439" s="2"/>
      <c r="N439" s="3"/>
      <c r="P439" s="2"/>
      <c r="Q439" s="3"/>
      <c r="T439" s="3"/>
      <c r="W439" s="3"/>
      <c r="Z439" s="4"/>
      <c r="AA439" s="3"/>
      <c r="AC439" s="4"/>
    </row>
    <row r="440" spans="5:29" ht="11.25" customHeight="1" x14ac:dyDescent="0.2">
      <c r="E440" s="66"/>
      <c r="F440" s="111"/>
      <c r="G440" s="303"/>
      <c r="H440" s="112"/>
      <c r="I440" s="109"/>
      <c r="J440" s="111"/>
      <c r="K440" s="109"/>
      <c r="L440" s="111"/>
      <c r="M440" s="2"/>
      <c r="N440" s="3"/>
      <c r="P440" s="2"/>
      <c r="Q440" s="3"/>
      <c r="T440" s="3"/>
      <c r="W440" s="3"/>
      <c r="Z440" s="4"/>
      <c r="AA440" s="3"/>
      <c r="AC440" s="4"/>
    </row>
    <row r="441" spans="5:29" ht="11.25" customHeight="1" x14ac:dyDescent="0.2">
      <c r="E441" s="66"/>
      <c r="F441" s="111"/>
      <c r="G441" s="303"/>
      <c r="H441" s="112"/>
      <c r="I441" s="109"/>
      <c r="J441" s="111"/>
      <c r="K441" s="109"/>
      <c r="L441" s="111"/>
      <c r="M441" s="2"/>
      <c r="N441" s="3"/>
      <c r="P441" s="2"/>
      <c r="Q441" s="3"/>
      <c r="T441" s="3"/>
      <c r="W441" s="3"/>
      <c r="Z441" s="4"/>
      <c r="AA441" s="3"/>
      <c r="AC441" s="4"/>
    </row>
    <row r="442" spans="5:29" ht="11.25" customHeight="1" x14ac:dyDescent="0.2">
      <c r="E442" s="66"/>
      <c r="F442" s="111"/>
      <c r="G442" s="303"/>
      <c r="H442" s="112"/>
      <c r="I442" s="109"/>
      <c r="J442" s="111"/>
      <c r="K442" s="109"/>
      <c r="L442" s="111"/>
      <c r="M442" s="2"/>
      <c r="N442" s="3"/>
      <c r="P442" s="2"/>
      <c r="Q442" s="3"/>
      <c r="T442" s="3"/>
      <c r="W442" s="3"/>
      <c r="Z442" s="4"/>
      <c r="AA442" s="3"/>
      <c r="AC442" s="4"/>
    </row>
    <row r="443" spans="5:29" ht="11.25" customHeight="1" x14ac:dyDescent="0.2">
      <c r="E443" s="66"/>
      <c r="F443" s="111"/>
      <c r="G443" s="303"/>
      <c r="H443" s="112"/>
      <c r="I443" s="109"/>
      <c r="J443" s="111"/>
      <c r="K443" s="109"/>
      <c r="L443" s="111"/>
      <c r="M443" s="2"/>
      <c r="N443" s="3"/>
      <c r="P443" s="2"/>
      <c r="Q443" s="3"/>
      <c r="T443" s="3"/>
      <c r="W443" s="3"/>
      <c r="Z443" s="4"/>
      <c r="AA443" s="3"/>
      <c r="AC443" s="4"/>
    </row>
    <row r="444" spans="5:29" ht="11.25" customHeight="1" x14ac:dyDescent="0.2">
      <c r="E444" s="66"/>
      <c r="F444" s="111"/>
      <c r="G444" s="303"/>
      <c r="H444" s="112"/>
      <c r="I444" s="109"/>
      <c r="J444" s="111"/>
      <c r="K444" s="109"/>
      <c r="L444" s="111"/>
      <c r="M444" s="2"/>
      <c r="N444" s="3"/>
      <c r="P444" s="2"/>
      <c r="Q444" s="3"/>
      <c r="T444" s="3"/>
      <c r="W444" s="3"/>
      <c r="Z444" s="4"/>
      <c r="AA444" s="3"/>
      <c r="AC444" s="4"/>
    </row>
    <row r="445" spans="5:29" ht="11.25" customHeight="1" x14ac:dyDescent="0.2">
      <c r="E445" s="66"/>
      <c r="F445" s="111"/>
      <c r="G445" s="303"/>
      <c r="H445" s="112"/>
      <c r="I445" s="109"/>
      <c r="J445" s="111"/>
      <c r="K445" s="109"/>
      <c r="L445" s="111"/>
      <c r="M445" s="2"/>
      <c r="N445" s="3"/>
      <c r="P445" s="2"/>
      <c r="Q445" s="3"/>
      <c r="T445" s="3"/>
      <c r="W445" s="3"/>
      <c r="Z445" s="4"/>
      <c r="AA445" s="3"/>
      <c r="AC445" s="4"/>
    </row>
  </sheetData>
  <autoFilter ref="A18:K243" xr:uid="{00000000-0009-0000-0000-000001000000}"/>
  <mergeCells count="134">
    <mergeCell ref="P100:Q100"/>
    <mergeCell ref="V100:W100"/>
    <mergeCell ref="S98:T98"/>
    <mergeCell ref="S100:T100"/>
    <mergeCell ref="C250:E250"/>
    <mergeCell ref="A238:E238"/>
    <mergeCell ref="A239:E239"/>
    <mergeCell ref="A240:E240"/>
    <mergeCell ref="A242:F242"/>
    <mergeCell ref="D207:E207"/>
    <mergeCell ref="F207:G207"/>
    <mergeCell ref="F98:G98"/>
    <mergeCell ref="A98:E98"/>
    <mergeCell ref="A241:E241"/>
    <mergeCell ref="A207:C207"/>
    <mergeCell ref="A100:C100"/>
    <mergeCell ref="D100:F100"/>
    <mergeCell ref="A177:C177"/>
    <mergeCell ref="D177:E177"/>
    <mergeCell ref="F177:G177"/>
    <mergeCell ref="A219:C219"/>
    <mergeCell ref="D219:E219"/>
    <mergeCell ref="V98:X98"/>
    <mergeCell ref="C247:D247"/>
    <mergeCell ref="F219:G219"/>
    <mergeCell ref="A197:C197"/>
    <mergeCell ref="D197:E197"/>
    <mergeCell ref="F197:G197"/>
    <mergeCell ref="A9:C9"/>
    <mergeCell ref="D9:E9"/>
    <mergeCell ref="G9:H9"/>
    <mergeCell ref="A69:C69"/>
    <mergeCell ref="A28:C28"/>
    <mergeCell ref="D28:E28"/>
    <mergeCell ref="F28:G28"/>
    <mergeCell ref="A96:F96"/>
    <mergeCell ref="A74:C74"/>
    <mergeCell ref="D74:E74"/>
    <mergeCell ref="F74:G74"/>
    <mergeCell ref="A81:C81"/>
    <mergeCell ref="A50:C50"/>
    <mergeCell ref="D50:E50"/>
    <mergeCell ref="D11:E11"/>
    <mergeCell ref="D13:F13"/>
    <mergeCell ref="D14:F14"/>
    <mergeCell ref="G13:I13"/>
    <mergeCell ref="G14:I14"/>
    <mergeCell ref="A13:C13"/>
    <mergeCell ref="J14:L14"/>
    <mergeCell ref="M14:N14"/>
    <mergeCell ref="C1:N1"/>
    <mergeCell ref="A3:C3"/>
    <mergeCell ref="D3:G3"/>
    <mergeCell ref="H3:N3"/>
    <mergeCell ref="A4:C5"/>
    <mergeCell ref="D4:G6"/>
    <mergeCell ref="H4:N8"/>
    <mergeCell ref="F8:G8"/>
    <mergeCell ref="A8:C8"/>
    <mergeCell ref="D8:E8"/>
    <mergeCell ref="D7:E7"/>
    <mergeCell ref="F7:G7"/>
    <mergeCell ref="A6:C6"/>
    <mergeCell ref="A7:C7"/>
    <mergeCell ref="A10:C10"/>
    <mergeCell ref="D10:E10"/>
    <mergeCell ref="P98:Q98"/>
    <mergeCell ref="H98:I98"/>
    <mergeCell ref="J98:K98"/>
    <mergeCell ref="M17:N17"/>
    <mergeCell ref="F19:G19"/>
    <mergeCell ref="F21:G21"/>
    <mergeCell ref="F57:G57"/>
    <mergeCell ref="J9:K9"/>
    <mergeCell ref="J10:K10"/>
    <mergeCell ref="G11:H11"/>
    <mergeCell ref="J11:K11"/>
    <mergeCell ref="L11:N11"/>
    <mergeCell ref="J13:L13"/>
    <mergeCell ref="M13:N13"/>
    <mergeCell ref="L9:N9"/>
    <mergeCell ref="G10:H10"/>
    <mergeCell ref="L10:N10"/>
    <mergeCell ref="F69:G69"/>
    <mergeCell ref="F81:G81"/>
    <mergeCell ref="A91:F91"/>
    <mergeCell ref="A92:E92"/>
    <mergeCell ref="A11:C11"/>
    <mergeCell ref="M98:N98"/>
    <mergeCell ref="A14:C14"/>
    <mergeCell ref="M100:N100"/>
    <mergeCell ref="D16:G17"/>
    <mergeCell ref="H16:I17"/>
    <mergeCell ref="J16:K17"/>
    <mergeCell ref="M16:N16"/>
    <mergeCell ref="A93:E93"/>
    <mergeCell ref="A94:E94"/>
    <mergeCell ref="A95:E95"/>
    <mergeCell ref="F50:G50"/>
    <mergeCell ref="A19:E19"/>
    <mergeCell ref="A21:C21"/>
    <mergeCell ref="D21:E21"/>
    <mergeCell ref="A37:C37"/>
    <mergeCell ref="A57:C57"/>
    <mergeCell ref="D57:E57"/>
    <mergeCell ref="D37:E37"/>
    <mergeCell ref="F37:G37"/>
    <mergeCell ref="A16:C17"/>
    <mergeCell ref="D87:E87"/>
    <mergeCell ref="F87:G87"/>
    <mergeCell ref="C248:D248"/>
    <mergeCell ref="C249:D249"/>
    <mergeCell ref="A237:F237"/>
    <mergeCell ref="A87:C87"/>
    <mergeCell ref="V16:X16"/>
    <mergeCell ref="Z16:AB16"/>
    <mergeCell ref="S16:T16"/>
    <mergeCell ref="S17:T17"/>
    <mergeCell ref="V17:X17"/>
    <mergeCell ref="Z17:AB17"/>
    <mergeCell ref="P16:Q16"/>
    <mergeCell ref="P17:Q17"/>
    <mergeCell ref="D121:E121"/>
    <mergeCell ref="F121:G121"/>
    <mergeCell ref="D69:E69"/>
    <mergeCell ref="A121:C121"/>
    <mergeCell ref="A243:G243"/>
    <mergeCell ref="C245:E245"/>
    <mergeCell ref="C246:D246"/>
    <mergeCell ref="D81:E81"/>
    <mergeCell ref="A227:C227"/>
    <mergeCell ref="D227:E227"/>
    <mergeCell ref="F227:G227"/>
    <mergeCell ref="Z98:AB98"/>
  </mergeCells>
  <conditionalFormatting sqref="Y45:Y47">
    <cfRule type="colorScale" priority="9">
      <colorScale>
        <cfvo type="min"/>
        <cfvo type="percentile" val="50"/>
        <cfvo type="max"/>
        <color rgb="FF63BE7B"/>
        <color rgb="FFFFEB84"/>
        <color rgb="FFF8696B"/>
      </colorScale>
    </cfRule>
  </conditionalFormatting>
  <conditionalFormatting sqref="Y48:Y49">
    <cfRule type="colorScale" priority="8">
      <colorScale>
        <cfvo type="min"/>
        <cfvo type="percentile" val="50"/>
        <cfvo type="max"/>
        <color rgb="FF63BE7B"/>
        <color rgb="FFFFEB84"/>
        <color rgb="FFF8696B"/>
      </colorScale>
    </cfRule>
  </conditionalFormatting>
  <conditionalFormatting sqref="Y54:Y56">
    <cfRule type="colorScale" priority="13">
      <colorScale>
        <cfvo type="min"/>
        <cfvo type="percentile" val="50"/>
        <cfvo type="max"/>
        <color rgb="FF63BE7B"/>
        <color rgb="FFFFEB84"/>
        <color rgb="FFF8696B"/>
      </colorScale>
    </cfRule>
  </conditionalFormatting>
  <conditionalFormatting sqref="Y101">
    <cfRule type="colorScale" priority="27">
      <colorScale>
        <cfvo type="min"/>
        <cfvo type="percentile" val="50"/>
        <cfvo type="max"/>
        <color rgb="FF63BE7B"/>
        <color rgb="FFFFEB84"/>
        <color rgb="FFF8696B"/>
      </colorScale>
    </cfRule>
  </conditionalFormatting>
  <conditionalFormatting sqref="Y106">
    <cfRule type="colorScale" priority="28">
      <colorScale>
        <cfvo type="min"/>
        <cfvo type="percentile" val="50"/>
        <cfvo type="max"/>
        <color rgb="FF63BE7B"/>
        <color rgb="FFFFEB84"/>
        <color rgb="FFF8696B"/>
      </colorScale>
    </cfRule>
  </conditionalFormatting>
  <conditionalFormatting sqref="Y111:Y120">
    <cfRule type="colorScale" priority="67">
      <colorScale>
        <cfvo type="min"/>
        <cfvo type="percentile" val="50"/>
        <cfvo type="max"/>
        <color rgb="FF63BE7B"/>
        <color rgb="FFFFEB84"/>
        <color rgb="FFF8696B"/>
      </colorScale>
    </cfRule>
  </conditionalFormatting>
  <conditionalFormatting sqref="Y228:Y236 Y122:Y160 Y163:Y176 Y107:Y110 Y102:Y105 Y178:Y196 Y198:Y206">
    <cfRule type="colorScale" priority="72">
      <colorScale>
        <cfvo type="min"/>
        <cfvo type="percentile" val="50"/>
        <cfvo type="max"/>
        <color rgb="FF63BE7B"/>
        <color rgb="FFFFEB84"/>
        <color rgb="FFF8696B"/>
      </colorScale>
    </cfRule>
  </conditionalFormatting>
  <dataValidations count="4">
    <dataValidation type="list" allowBlank="1" showErrorMessage="1" sqref="F11" xr:uid="{00000000-0002-0000-0100-000001000000}">
      <formula1>"1,2,3,4,5,6,7,8,9,10,11,12,13"</formula1>
    </dataValidation>
    <dataValidation type="list" allowBlank="1" showErrorMessage="1" sqref="A16" xr:uid="{00000000-0002-0000-0100-000000000000}">
      <formula1>#REF!</formula1>
    </dataValidation>
    <dataValidation allowBlank="1" showInputMessage="1" showErrorMessage="1" sqref="C178" xr:uid="{7F98E18F-DDD9-4C1C-AA77-37CB7DC0CC26}"/>
    <dataValidation type="list" allowBlank="1" showErrorMessage="1" sqref="L9" xr:uid="{00000000-0002-0000-0100-000002000000}">
      <formula1>$N$250:$V$250</formula1>
    </dataValidation>
  </dataValidations>
  <pageMargins left="7.874015748031496E-2" right="0" top="0" bottom="0" header="0" footer="0"/>
  <pageSetup paperSize="5" scale="50" orientation="landscape" r:id="rId1"/>
  <colBreaks count="1" manualBreakCount="1">
    <brk id="29" man="1"/>
  </colBreaks>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92F2C2-588C-4E93-91C9-52D6B8ACE17B}">
  <sheetPr>
    <tabColor rgb="FFFF9900"/>
  </sheetPr>
  <dimension ref="A4:Q6093"/>
  <sheetViews>
    <sheetView topLeftCell="A5983" zoomScale="96" zoomScaleNormal="96" workbookViewId="0">
      <selection activeCell="D5992" sqref="D5992"/>
    </sheetView>
  </sheetViews>
  <sheetFormatPr baseColWidth="10" defaultColWidth="14.42578125" defaultRowHeight="15" customHeight="1" x14ac:dyDescent="0.25"/>
  <cols>
    <col min="1" max="1" width="4.85546875" customWidth="1"/>
    <col min="2" max="2" width="23.7109375" customWidth="1"/>
    <col min="3" max="3" width="45.42578125" customWidth="1"/>
    <col min="4" max="4" width="11.28515625" customWidth="1"/>
    <col min="5" max="5" width="6.42578125" customWidth="1"/>
    <col min="6" max="6" width="7.5703125" customWidth="1"/>
    <col min="7" max="7" width="6.42578125" customWidth="1"/>
    <col min="8" max="8" width="9.7109375" customWidth="1"/>
    <col min="9" max="10" width="10.7109375" customWidth="1"/>
    <col min="11" max="11" width="11.5703125" customWidth="1"/>
    <col min="12" max="21" width="10.7109375" customWidth="1"/>
  </cols>
  <sheetData>
    <row r="4" spans="1:15" ht="14.25" customHeight="1" thickBot="1" x14ac:dyDescent="0.3">
      <c r="A4" s="118"/>
      <c r="B4" s="118"/>
      <c r="C4" s="118"/>
      <c r="D4" s="118"/>
      <c r="E4" s="118"/>
      <c r="F4" s="118"/>
      <c r="G4" s="118"/>
      <c r="H4" s="118"/>
      <c r="I4" s="118"/>
      <c r="J4" s="118"/>
      <c r="K4" s="118"/>
      <c r="L4" s="118"/>
      <c r="M4" s="118"/>
      <c r="N4" s="118"/>
      <c r="O4" s="118"/>
    </row>
    <row r="5" spans="1:15" ht="35.25" customHeight="1" x14ac:dyDescent="0.25">
      <c r="A5" s="1"/>
      <c r="B5" s="728"/>
      <c r="C5" s="729"/>
      <c r="D5" s="730" t="s">
        <v>393</v>
      </c>
      <c r="E5" s="729"/>
      <c r="F5" s="729"/>
      <c r="G5" s="729"/>
      <c r="H5" s="729"/>
      <c r="I5" s="729"/>
      <c r="J5" s="729"/>
      <c r="K5" s="729"/>
      <c r="L5" s="729"/>
      <c r="M5" s="729"/>
      <c r="N5" s="731"/>
      <c r="O5" s="1"/>
    </row>
    <row r="6" spans="1:15" ht="14.25" customHeight="1" x14ac:dyDescent="0.25">
      <c r="A6" s="1"/>
      <c r="B6" s="732" t="s">
        <v>394</v>
      </c>
      <c r="C6" s="733"/>
      <c r="D6" s="733"/>
      <c r="E6" s="733"/>
      <c r="F6" s="733"/>
      <c r="G6" s="733"/>
      <c r="H6" s="733"/>
      <c r="I6" s="733"/>
      <c r="J6" s="733"/>
      <c r="K6" s="733"/>
      <c r="L6" s="733"/>
      <c r="M6" s="733"/>
      <c r="N6" s="734"/>
      <c r="O6" s="1"/>
    </row>
    <row r="7" spans="1:15" ht="27" customHeight="1" x14ac:dyDescent="0.25">
      <c r="A7" s="118"/>
      <c r="B7" s="735" t="s">
        <v>395</v>
      </c>
      <c r="C7" s="736"/>
      <c r="D7" s="737" t="str">
        <f>VLOOKUP(B9,Buenaventura!A22:G242,3,FALSE)</f>
        <v>Desmonte de acabado superior en madera del Pasamanos, incluye disposición final en centro de acopio certificado</v>
      </c>
      <c r="E7" s="738"/>
      <c r="F7" s="738"/>
      <c r="G7" s="738"/>
      <c r="H7" s="738"/>
      <c r="I7" s="738"/>
      <c r="J7" s="738"/>
      <c r="K7" s="738"/>
      <c r="L7" s="738"/>
      <c r="M7" s="738"/>
      <c r="N7" s="739"/>
      <c r="O7" s="118"/>
    </row>
    <row r="8" spans="1:15" ht="14.25" customHeight="1" x14ac:dyDescent="0.25">
      <c r="A8" s="118"/>
      <c r="B8" s="740" t="s">
        <v>26</v>
      </c>
      <c r="C8" s="741"/>
      <c r="D8" s="119" t="s">
        <v>396</v>
      </c>
      <c r="E8" s="742" t="s">
        <v>397</v>
      </c>
      <c r="F8" s="733"/>
      <c r="G8" s="733"/>
      <c r="H8" s="736"/>
      <c r="I8" s="742" t="s">
        <v>398</v>
      </c>
      <c r="J8" s="733"/>
      <c r="K8" s="736"/>
      <c r="L8" s="742" t="s">
        <v>399</v>
      </c>
      <c r="M8" s="733"/>
      <c r="N8" s="734"/>
      <c r="O8" s="118"/>
    </row>
    <row r="9" spans="1:15" ht="22.5" customHeight="1" x14ac:dyDescent="0.25">
      <c r="A9" s="118"/>
      <c r="B9" s="275">
        <v>1</v>
      </c>
      <c r="C9" s="276" t="str">
        <f>VLOOKUP(B9,Buenaventura!A22:G242,2,FALSE)</f>
        <v>PR-36</v>
      </c>
      <c r="D9" s="277">
        <f>SUM(H12:H28)</f>
        <v>55.100000000000016</v>
      </c>
      <c r="E9" s="743" t="str">
        <f>VLOOKUP(B9,Buenaventura!A22:G241,4,FALSE)</f>
        <v>ML</v>
      </c>
      <c r="F9" s="743"/>
      <c r="G9" s="743"/>
      <c r="H9" s="743"/>
      <c r="I9" s="744"/>
      <c r="J9" s="745"/>
      <c r="K9" s="741"/>
      <c r="L9" s="744"/>
      <c r="M9" s="745"/>
      <c r="N9" s="752"/>
      <c r="O9" s="118"/>
    </row>
    <row r="10" spans="1:15" ht="14.25" customHeight="1" x14ac:dyDescent="0.25">
      <c r="A10" s="118"/>
      <c r="B10" s="755"/>
      <c r="C10" s="733"/>
      <c r="D10" s="733"/>
      <c r="E10" s="733"/>
      <c r="F10" s="733"/>
      <c r="G10" s="733"/>
      <c r="H10" s="736"/>
      <c r="I10" s="746"/>
      <c r="J10" s="747"/>
      <c r="K10" s="748"/>
      <c r="L10" s="746"/>
      <c r="M10" s="747"/>
      <c r="N10" s="753"/>
      <c r="O10" s="118"/>
    </row>
    <row r="11" spans="1:15" ht="14.25" customHeight="1" x14ac:dyDescent="0.25">
      <c r="A11" s="118"/>
      <c r="B11" s="121" t="s">
        <v>400</v>
      </c>
      <c r="C11" s="211" t="s">
        <v>401</v>
      </c>
      <c r="D11" s="123" t="s">
        <v>402</v>
      </c>
      <c r="E11" s="123" t="s">
        <v>403</v>
      </c>
      <c r="F11" s="123" t="s">
        <v>404</v>
      </c>
      <c r="G11" s="123" t="s">
        <v>405</v>
      </c>
      <c r="H11" s="123" t="s">
        <v>406</v>
      </c>
      <c r="I11" s="746"/>
      <c r="J11" s="747"/>
      <c r="K11" s="748"/>
      <c r="L11" s="746"/>
      <c r="M11" s="747"/>
      <c r="N11" s="753"/>
      <c r="O11" s="118"/>
    </row>
    <row r="12" spans="1:15" ht="14.25" customHeight="1" x14ac:dyDescent="0.25">
      <c r="A12" s="118"/>
      <c r="B12" s="136" t="s">
        <v>407</v>
      </c>
      <c r="C12" s="759" t="s">
        <v>408</v>
      </c>
      <c r="D12" s="168">
        <v>2</v>
      </c>
      <c r="E12" s="125"/>
      <c r="F12" s="125">
        <f>1.36*1.6</f>
        <v>2.1760000000000002</v>
      </c>
      <c r="G12" s="125"/>
      <c r="H12" s="126">
        <f>D12*F12</f>
        <v>4.3520000000000003</v>
      </c>
      <c r="I12" s="746"/>
      <c r="J12" s="747"/>
      <c r="K12" s="748"/>
      <c r="L12" s="746"/>
      <c r="M12" s="747"/>
      <c r="N12" s="753"/>
      <c r="O12" s="118"/>
    </row>
    <row r="13" spans="1:15" ht="14.25" customHeight="1" x14ac:dyDescent="0.25">
      <c r="A13" s="118"/>
      <c r="B13" s="136"/>
      <c r="C13" s="759"/>
      <c r="D13" s="168">
        <v>1</v>
      </c>
      <c r="E13" s="125"/>
      <c r="F13" s="125">
        <v>4</v>
      </c>
      <c r="G13" s="125"/>
      <c r="H13" s="126">
        <f t="shared" ref="H13:H27" si="0">D13*F13</f>
        <v>4</v>
      </c>
      <c r="I13" s="746"/>
      <c r="J13" s="747"/>
      <c r="K13" s="748"/>
      <c r="L13" s="746"/>
      <c r="M13" s="747"/>
      <c r="N13" s="753"/>
      <c r="O13" s="118"/>
    </row>
    <row r="14" spans="1:15" ht="14.25" customHeight="1" x14ac:dyDescent="0.25">
      <c r="A14" s="118"/>
      <c r="B14" s="136"/>
      <c r="C14" s="759"/>
      <c r="D14" s="168">
        <v>2</v>
      </c>
      <c r="E14" s="125"/>
      <c r="F14" s="125">
        <f>3*1.6</f>
        <v>4.8000000000000007</v>
      </c>
      <c r="G14" s="125"/>
      <c r="H14" s="126">
        <f t="shared" si="0"/>
        <v>9.6000000000000014</v>
      </c>
      <c r="I14" s="746"/>
      <c r="J14" s="747"/>
      <c r="K14" s="748"/>
      <c r="L14" s="746"/>
      <c r="M14" s="747"/>
      <c r="N14" s="753"/>
      <c r="O14" s="118"/>
    </row>
    <row r="15" spans="1:15" ht="14.25" customHeight="1" x14ac:dyDescent="0.25">
      <c r="A15" s="118"/>
      <c r="B15" s="124"/>
      <c r="C15" s="756" t="s">
        <v>409</v>
      </c>
      <c r="D15" s="168">
        <v>1</v>
      </c>
      <c r="E15" s="125"/>
      <c r="F15" s="125">
        <f>1.53*1.6</f>
        <v>2.4480000000000004</v>
      </c>
      <c r="G15" s="125"/>
      <c r="H15" s="126">
        <f t="shared" si="0"/>
        <v>2.4480000000000004</v>
      </c>
      <c r="I15" s="746"/>
      <c r="J15" s="747"/>
      <c r="K15" s="748"/>
      <c r="L15" s="746"/>
      <c r="M15" s="747"/>
      <c r="N15" s="753"/>
      <c r="O15" s="118"/>
    </row>
    <row r="16" spans="1:15" ht="14.25" customHeight="1" x14ac:dyDescent="0.25">
      <c r="A16" s="118"/>
      <c r="B16" s="124"/>
      <c r="C16" s="757"/>
      <c r="D16" s="168">
        <v>1</v>
      </c>
      <c r="E16" s="125"/>
      <c r="F16" s="125">
        <f>1.58*1.6</f>
        <v>2.5280000000000005</v>
      </c>
      <c r="G16" s="125"/>
      <c r="H16" s="126">
        <f t="shared" si="0"/>
        <v>2.5280000000000005</v>
      </c>
      <c r="I16" s="746"/>
      <c r="J16" s="747"/>
      <c r="K16" s="748"/>
      <c r="L16" s="746"/>
      <c r="M16" s="747"/>
      <c r="N16" s="753"/>
      <c r="O16" s="118"/>
    </row>
    <row r="17" spans="1:15" ht="14.25" customHeight="1" x14ac:dyDescent="0.25">
      <c r="A17" s="118"/>
      <c r="B17" s="124"/>
      <c r="C17" s="758"/>
      <c r="D17" s="168">
        <v>1</v>
      </c>
      <c r="E17" s="125"/>
      <c r="F17" s="125">
        <f>1.2*1.6</f>
        <v>1.92</v>
      </c>
      <c r="G17" s="125"/>
      <c r="H17" s="126">
        <f t="shared" si="0"/>
        <v>1.92</v>
      </c>
      <c r="I17" s="746"/>
      <c r="J17" s="747"/>
      <c r="K17" s="748"/>
      <c r="L17" s="746"/>
      <c r="M17" s="747"/>
      <c r="N17" s="753"/>
      <c r="O17" s="118"/>
    </row>
    <row r="18" spans="1:15" ht="14.25" customHeight="1" x14ac:dyDescent="0.25">
      <c r="A18" s="118"/>
      <c r="B18" s="124"/>
      <c r="C18" s="756" t="s">
        <v>410</v>
      </c>
      <c r="D18" s="168">
        <v>1</v>
      </c>
      <c r="E18" s="125"/>
      <c r="F18" s="125">
        <f>1.53*1.6</f>
        <v>2.4480000000000004</v>
      </c>
      <c r="G18" s="125"/>
      <c r="H18" s="126">
        <f t="shared" ref="H18:H20" si="1">D18*F18</f>
        <v>2.4480000000000004</v>
      </c>
      <c r="I18" s="746"/>
      <c r="J18" s="747"/>
      <c r="K18" s="748"/>
      <c r="L18" s="746"/>
      <c r="M18" s="747"/>
      <c r="N18" s="753"/>
      <c r="O18" s="118"/>
    </row>
    <row r="19" spans="1:15" ht="14.25" customHeight="1" x14ac:dyDescent="0.25">
      <c r="A19" s="118"/>
      <c r="B19" s="124"/>
      <c r="C19" s="757"/>
      <c r="D19" s="168">
        <v>1</v>
      </c>
      <c r="E19" s="125"/>
      <c r="F19" s="125">
        <f>1.58*1.6</f>
        <v>2.5280000000000005</v>
      </c>
      <c r="G19" s="125"/>
      <c r="H19" s="126">
        <f t="shared" si="1"/>
        <v>2.5280000000000005</v>
      </c>
      <c r="I19" s="746"/>
      <c r="J19" s="747"/>
      <c r="K19" s="748"/>
      <c r="L19" s="746"/>
      <c r="M19" s="747"/>
      <c r="N19" s="753"/>
      <c r="O19" s="118"/>
    </row>
    <row r="20" spans="1:15" ht="14.25" customHeight="1" x14ac:dyDescent="0.25">
      <c r="A20" s="118"/>
      <c r="B20" s="124"/>
      <c r="C20" s="758"/>
      <c r="D20" s="168">
        <v>1</v>
      </c>
      <c r="E20" s="125"/>
      <c r="F20" s="125">
        <f>1.2*1.6</f>
        <v>1.92</v>
      </c>
      <c r="G20" s="125"/>
      <c r="H20" s="126">
        <f t="shared" si="1"/>
        <v>1.92</v>
      </c>
      <c r="I20" s="746"/>
      <c r="J20" s="747"/>
      <c r="K20" s="748"/>
      <c r="L20" s="746"/>
      <c r="M20" s="747"/>
      <c r="N20" s="753"/>
      <c r="O20" s="118"/>
    </row>
    <row r="21" spans="1:15" ht="17.25" customHeight="1" x14ac:dyDescent="0.25">
      <c r="A21" s="118"/>
      <c r="B21" s="124"/>
      <c r="C21" s="760" t="s">
        <v>411</v>
      </c>
      <c r="D21" s="125">
        <v>1</v>
      </c>
      <c r="E21" s="125"/>
      <c r="F21" s="125">
        <v>1.1399999999999999</v>
      </c>
      <c r="G21" s="125"/>
      <c r="H21" s="126">
        <f t="shared" si="0"/>
        <v>1.1399999999999999</v>
      </c>
      <c r="I21" s="746"/>
      <c r="J21" s="747"/>
      <c r="K21" s="748"/>
      <c r="L21" s="746"/>
      <c r="M21" s="747"/>
      <c r="N21" s="753"/>
      <c r="O21" s="118"/>
    </row>
    <row r="22" spans="1:15" ht="18" customHeight="1" x14ac:dyDescent="0.25">
      <c r="A22" s="118"/>
      <c r="B22" s="124"/>
      <c r="C22" s="761"/>
      <c r="D22" s="168">
        <v>1</v>
      </c>
      <c r="E22" s="125"/>
      <c r="F22" s="125">
        <f>2.2*1.6</f>
        <v>3.5200000000000005</v>
      </c>
      <c r="G22" s="125"/>
      <c r="H22" s="126">
        <f t="shared" si="0"/>
        <v>3.5200000000000005</v>
      </c>
      <c r="I22" s="746"/>
      <c r="J22" s="747"/>
      <c r="K22" s="748"/>
      <c r="L22" s="746"/>
      <c r="M22" s="747"/>
      <c r="N22" s="753"/>
      <c r="O22" s="118"/>
    </row>
    <row r="23" spans="1:15" ht="14.25" customHeight="1" x14ac:dyDescent="0.25">
      <c r="A23" s="118"/>
      <c r="B23" s="124"/>
      <c r="C23" s="756" t="s">
        <v>412</v>
      </c>
      <c r="D23" s="168">
        <v>1</v>
      </c>
      <c r="E23" s="125"/>
      <c r="F23" s="125">
        <f>1.53*1.6</f>
        <v>2.4480000000000004</v>
      </c>
      <c r="G23" s="125"/>
      <c r="H23" s="126">
        <f t="shared" si="0"/>
        <v>2.4480000000000004</v>
      </c>
      <c r="I23" s="746"/>
      <c r="J23" s="747"/>
      <c r="K23" s="748"/>
      <c r="L23" s="746"/>
      <c r="M23" s="747"/>
      <c r="N23" s="753"/>
      <c r="O23" s="118"/>
    </row>
    <row r="24" spans="1:15" ht="14.25" customHeight="1" x14ac:dyDescent="0.25">
      <c r="A24" s="118"/>
      <c r="B24" s="124"/>
      <c r="C24" s="757"/>
      <c r="D24" s="168">
        <v>1</v>
      </c>
      <c r="E24" s="125"/>
      <c r="F24" s="125">
        <f>1.58*1.6</f>
        <v>2.5280000000000005</v>
      </c>
      <c r="G24" s="125"/>
      <c r="H24" s="126">
        <f t="shared" si="0"/>
        <v>2.5280000000000005</v>
      </c>
      <c r="I24" s="746"/>
      <c r="J24" s="747"/>
      <c r="K24" s="748"/>
      <c r="L24" s="746"/>
      <c r="M24" s="747"/>
      <c r="N24" s="753"/>
      <c r="O24" s="118"/>
    </row>
    <row r="25" spans="1:15" ht="14.25" customHeight="1" x14ac:dyDescent="0.25">
      <c r="A25" s="118"/>
      <c r="B25" s="124"/>
      <c r="C25" s="758"/>
      <c r="D25" s="168">
        <v>1</v>
      </c>
      <c r="E25" s="125"/>
      <c r="F25" s="125">
        <f>1.2*1.6</f>
        <v>1.92</v>
      </c>
      <c r="G25" s="125"/>
      <c r="H25" s="126">
        <f t="shared" si="0"/>
        <v>1.92</v>
      </c>
      <c r="I25" s="746"/>
      <c r="J25" s="747"/>
      <c r="K25" s="748"/>
      <c r="L25" s="746"/>
      <c r="M25" s="747"/>
      <c r="N25" s="753"/>
      <c r="O25" s="118"/>
    </row>
    <row r="26" spans="1:15" ht="14.25" customHeight="1" x14ac:dyDescent="0.25">
      <c r="A26" s="118"/>
      <c r="B26" s="124"/>
      <c r="C26" s="151" t="s">
        <v>413</v>
      </c>
      <c r="D26" s="125">
        <v>2</v>
      </c>
      <c r="E26" s="125"/>
      <c r="F26" s="125">
        <f>3*1.6</f>
        <v>4.8000000000000007</v>
      </c>
      <c r="G26" s="125"/>
      <c r="H26" s="126">
        <f t="shared" si="0"/>
        <v>9.6000000000000014</v>
      </c>
      <c r="I26" s="746"/>
      <c r="J26" s="747"/>
      <c r="K26" s="748"/>
      <c r="L26" s="746"/>
      <c r="M26" s="747"/>
      <c r="N26" s="753"/>
      <c r="O26" s="118"/>
    </row>
    <row r="27" spans="1:15" ht="14.25" customHeight="1" x14ac:dyDescent="0.25">
      <c r="A27" s="118"/>
      <c r="B27" s="124"/>
      <c r="C27" s="125"/>
      <c r="D27" s="125">
        <v>1</v>
      </c>
      <c r="E27" s="125"/>
      <c r="F27" s="125">
        <v>2.2000000000000002</v>
      </c>
      <c r="G27" s="125"/>
      <c r="H27" s="126">
        <f t="shared" si="0"/>
        <v>2.2000000000000002</v>
      </c>
      <c r="I27" s="746"/>
      <c r="J27" s="747"/>
      <c r="K27" s="748"/>
      <c r="L27" s="746"/>
      <c r="M27" s="747"/>
      <c r="N27" s="753"/>
      <c r="O27" s="118"/>
    </row>
    <row r="28" spans="1:15" ht="14.25" customHeight="1" x14ac:dyDescent="0.25">
      <c r="A28" s="118"/>
      <c r="B28" s="124"/>
      <c r="C28" s="125"/>
      <c r="D28" s="125"/>
      <c r="E28" s="125"/>
      <c r="F28" s="125"/>
      <c r="G28" s="125"/>
      <c r="H28" s="126"/>
      <c r="I28" s="746"/>
      <c r="J28" s="747"/>
      <c r="K28" s="748"/>
      <c r="L28" s="746"/>
      <c r="M28" s="747"/>
      <c r="N28" s="753"/>
      <c r="O28" s="118"/>
    </row>
    <row r="29" spans="1:15" ht="14.25" customHeight="1" x14ac:dyDescent="0.25">
      <c r="A29" s="118"/>
      <c r="B29" s="124"/>
      <c r="C29" s="125"/>
      <c r="D29" s="125"/>
      <c r="E29" s="125"/>
      <c r="F29" s="125"/>
      <c r="G29" s="125"/>
      <c r="H29" s="126"/>
      <c r="I29" s="746"/>
      <c r="J29" s="747"/>
      <c r="K29" s="748"/>
      <c r="L29" s="746"/>
      <c r="M29" s="747"/>
      <c r="N29" s="753"/>
      <c r="O29" s="118"/>
    </row>
    <row r="30" spans="1:15" ht="14.25" customHeight="1" x14ac:dyDescent="0.25">
      <c r="A30" s="118"/>
      <c r="B30" s="124"/>
      <c r="C30" s="125"/>
      <c r="D30" s="125"/>
      <c r="E30" s="125"/>
      <c r="F30" s="125"/>
      <c r="G30" s="125"/>
      <c r="H30" s="126"/>
      <c r="I30" s="746"/>
      <c r="J30" s="747"/>
      <c r="K30" s="748"/>
      <c r="L30" s="746"/>
      <c r="M30" s="747"/>
      <c r="N30" s="753"/>
      <c r="O30" s="118"/>
    </row>
    <row r="31" spans="1:15" ht="14.25" customHeight="1" x14ac:dyDescent="0.25">
      <c r="A31" s="118"/>
      <c r="B31" s="124"/>
      <c r="C31" s="125"/>
      <c r="D31" s="125"/>
      <c r="E31" s="125"/>
      <c r="F31" s="125"/>
      <c r="G31" s="125"/>
      <c r="H31" s="126"/>
      <c r="I31" s="746"/>
      <c r="J31" s="747"/>
      <c r="K31" s="748"/>
      <c r="L31" s="746"/>
      <c r="M31" s="747"/>
      <c r="N31" s="753"/>
      <c r="O31" s="118"/>
    </row>
    <row r="32" spans="1:15" ht="14.25" customHeight="1" x14ac:dyDescent="0.25">
      <c r="A32" s="118"/>
      <c r="B32" s="209"/>
      <c r="C32" s="118"/>
      <c r="D32" s="118"/>
      <c r="E32" s="118"/>
      <c r="F32" s="118"/>
      <c r="G32" s="118"/>
      <c r="H32" s="118"/>
      <c r="I32" s="118"/>
      <c r="J32" s="118"/>
      <c r="K32" s="118"/>
      <c r="L32" s="118"/>
      <c r="M32" s="118"/>
      <c r="N32" s="210"/>
      <c r="O32" s="118"/>
    </row>
    <row r="33" spans="1:15" ht="14.25" customHeight="1" x14ac:dyDescent="0.25">
      <c r="A33" s="118"/>
      <c r="B33" s="209"/>
      <c r="C33" s="118"/>
      <c r="D33" s="118"/>
      <c r="E33" s="118"/>
      <c r="F33" s="118"/>
      <c r="G33" s="118"/>
      <c r="H33" s="118"/>
      <c r="I33" s="118"/>
      <c r="J33" s="118"/>
      <c r="K33" s="118"/>
      <c r="L33" s="118"/>
      <c r="M33" s="118"/>
      <c r="N33" s="210"/>
      <c r="O33" s="118"/>
    </row>
    <row r="34" spans="1:15" ht="14.25" customHeight="1" x14ac:dyDescent="0.25">
      <c r="A34" s="118"/>
      <c r="B34" s="209"/>
      <c r="C34" s="118"/>
      <c r="D34" s="118"/>
      <c r="E34" s="118"/>
      <c r="F34" s="118"/>
      <c r="G34" s="118"/>
      <c r="H34" s="118"/>
      <c r="I34" s="118"/>
      <c r="J34" s="118"/>
      <c r="K34" s="118"/>
      <c r="L34" s="118"/>
      <c r="M34" s="118"/>
      <c r="N34" s="210"/>
      <c r="O34" s="118"/>
    </row>
    <row r="35" spans="1:15" ht="14.25" customHeight="1" x14ac:dyDescent="0.25">
      <c r="A35" s="118"/>
      <c r="B35" s="209"/>
      <c r="C35" s="118"/>
      <c r="D35" s="118"/>
      <c r="E35" s="118"/>
      <c r="F35" s="118"/>
      <c r="G35" s="118"/>
      <c r="H35" s="118"/>
      <c r="I35" s="118"/>
      <c r="J35" s="118"/>
      <c r="K35" s="118"/>
      <c r="L35" s="118"/>
      <c r="M35" s="118"/>
      <c r="N35" s="210"/>
      <c r="O35" s="118"/>
    </row>
    <row r="36" spans="1:15" ht="14.25" customHeight="1" x14ac:dyDescent="0.25">
      <c r="A36" s="118"/>
      <c r="B36" s="775" t="s">
        <v>414</v>
      </c>
      <c r="C36" s="747"/>
      <c r="D36" s="747"/>
      <c r="E36" s="128"/>
      <c r="F36" s="128"/>
      <c r="G36" s="128"/>
      <c r="H36" s="128"/>
      <c r="I36" s="776"/>
      <c r="J36" s="747"/>
      <c r="K36" s="747"/>
      <c r="L36" s="118"/>
      <c r="M36" s="118"/>
      <c r="N36" s="210"/>
      <c r="O36" s="118"/>
    </row>
    <row r="37" spans="1:15" ht="14.25" customHeight="1" thickBot="1" x14ac:dyDescent="0.3">
      <c r="A37" s="118"/>
      <c r="B37" s="129"/>
      <c r="C37" s="130"/>
      <c r="D37" s="130"/>
      <c r="E37" s="130"/>
      <c r="F37" s="130"/>
      <c r="G37" s="130"/>
      <c r="H37" s="130"/>
      <c r="I37" s="130"/>
      <c r="J37" s="130"/>
      <c r="K37" s="130"/>
      <c r="L37" s="130"/>
      <c r="M37" s="130"/>
      <c r="N37" s="131"/>
      <c r="O37" s="118"/>
    </row>
    <row r="38" spans="1:15" ht="14.25" customHeight="1" x14ac:dyDescent="0.25">
      <c r="A38" s="118"/>
      <c r="B38" s="232"/>
      <c r="C38" s="232"/>
      <c r="D38" s="232"/>
      <c r="E38" s="232"/>
      <c r="F38" s="232"/>
      <c r="G38" s="232"/>
      <c r="H38" s="232"/>
      <c r="I38" s="232"/>
      <c r="J38" s="232"/>
      <c r="K38" s="232"/>
      <c r="L38" s="232"/>
      <c r="M38" s="232"/>
      <c r="N38" s="232"/>
      <c r="O38" s="118"/>
    </row>
    <row r="39" spans="1:15" ht="14.25" customHeight="1" thickBot="1" x14ac:dyDescent="0.3">
      <c r="A39" s="132"/>
      <c r="B39" s="132"/>
      <c r="C39" s="132"/>
      <c r="D39" s="132"/>
      <c r="E39" s="132"/>
      <c r="F39" s="132"/>
      <c r="G39" s="132"/>
      <c r="H39" s="132"/>
      <c r="I39" s="132"/>
      <c r="J39" s="132"/>
      <c r="K39" s="132"/>
      <c r="L39" s="132"/>
      <c r="M39" s="132"/>
      <c r="N39" s="132"/>
      <c r="O39" s="132"/>
    </row>
    <row r="40" spans="1:15" ht="48" customHeight="1" x14ac:dyDescent="0.25">
      <c r="B40" s="728"/>
      <c r="C40" s="729"/>
      <c r="D40" s="730" t="s">
        <v>393</v>
      </c>
      <c r="E40" s="729"/>
      <c r="F40" s="729"/>
      <c r="G40" s="729"/>
      <c r="H40" s="729"/>
      <c r="I40" s="729"/>
      <c r="J40" s="729"/>
      <c r="K40" s="729"/>
      <c r="L40" s="729"/>
      <c r="M40" s="729"/>
      <c r="N40" s="731"/>
    </row>
    <row r="41" spans="1:15" ht="14.25" customHeight="1" x14ac:dyDescent="0.25">
      <c r="B41" s="732" t="s">
        <v>394</v>
      </c>
      <c r="C41" s="733"/>
      <c r="D41" s="733"/>
      <c r="E41" s="733"/>
      <c r="F41" s="733"/>
      <c r="G41" s="733"/>
      <c r="H41" s="733"/>
      <c r="I41" s="733"/>
      <c r="J41" s="733"/>
      <c r="K41" s="733"/>
      <c r="L41" s="733"/>
      <c r="M41" s="733"/>
      <c r="N41" s="734"/>
    </row>
    <row r="42" spans="1:15" ht="54" customHeight="1" x14ac:dyDescent="0.25">
      <c r="B42" s="735" t="s">
        <v>395</v>
      </c>
      <c r="C42" s="736"/>
      <c r="D42" s="737" t="str">
        <f>VLOOKUP(B44,Buenaventura!A9:G264,3,FALSE)</f>
        <v>Suministro e Instalación acabado superior  para  Pasamanos en Madera Chanul o choibá maciza inmunizada, con sección semitubular  0,08 x 0,10 con barniz y pintura poliuretano diseño y color similar al existente ,   incluye tornillería y todo lo necesario para su correcta instalación</v>
      </c>
      <c r="E42" s="738"/>
      <c r="F42" s="738"/>
      <c r="G42" s="738"/>
      <c r="H42" s="738"/>
      <c r="I42" s="738"/>
      <c r="J42" s="738"/>
      <c r="K42" s="738"/>
      <c r="L42" s="738"/>
      <c r="M42" s="738"/>
      <c r="N42" s="739"/>
    </row>
    <row r="43" spans="1:15" ht="14.25" customHeight="1" x14ac:dyDescent="0.25">
      <c r="B43" s="740" t="s">
        <v>26</v>
      </c>
      <c r="C43" s="741"/>
      <c r="D43" s="119" t="s">
        <v>396</v>
      </c>
      <c r="E43" s="742" t="s">
        <v>397</v>
      </c>
      <c r="F43" s="733"/>
      <c r="G43" s="733"/>
      <c r="H43" s="736"/>
      <c r="I43" s="742" t="s">
        <v>398</v>
      </c>
      <c r="J43" s="733"/>
      <c r="K43" s="736"/>
      <c r="L43" s="742" t="s">
        <v>399</v>
      </c>
      <c r="M43" s="733"/>
      <c r="N43" s="734"/>
    </row>
    <row r="44" spans="1:15" ht="14.25" customHeight="1" x14ac:dyDescent="0.25">
      <c r="B44" s="275">
        <v>2</v>
      </c>
      <c r="C44" s="276" t="str">
        <f>VLOOKUP(B44,Buenaventura!A9:G264,2,FALSE)</f>
        <v>CA-41</v>
      </c>
      <c r="D44" s="277">
        <f>SUM(H47:H62)</f>
        <v>55.100000000000016</v>
      </c>
      <c r="E44" s="743" t="str">
        <f>VLOOKUP(B44,Buenaventura!A9:G263,4,FALSE)</f>
        <v>ML</v>
      </c>
      <c r="F44" s="743"/>
      <c r="G44" s="743"/>
      <c r="H44" s="743"/>
      <c r="I44" s="744"/>
      <c r="J44" s="745"/>
      <c r="K44" s="741"/>
      <c r="L44" s="744"/>
      <c r="M44" s="745"/>
      <c r="N44" s="752"/>
    </row>
    <row r="45" spans="1:15" ht="14.25" customHeight="1" x14ac:dyDescent="0.25">
      <c r="B45" s="755"/>
      <c r="C45" s="733"/>
      <c r="D45" s="733"/>
      <c r="E45" s="733"/>
      <c r="F45" s="733"/>
      <c r="G45" s="733"/>
      <c r="H45" s="736"/>
      <c r="I45" s="746"/>
      <c r="J45" s="747"/>
      <c r="K45" s="748"/>
      <c r="L45" s="746"/>
      <c r="M45" s="747"/>
      <c r="N45" s="753"/>
    </row>
    <row r="46" spans="1:15" ht="14.25" customHeight="1" x14ac:dyDescent="0.25">
      <c r="B46" s="121"/>
      <c r="C46" s="122"/>
      <c r="D46" s="123"/>
      <c r="E46" s="123"/>
      <c r="F46" s="123"/>
      <c r="G46" s="123"/>
      <c r="H46" s="123"/>
      <c r="I46" s="746"/>
      <c r="J46" s="747"/>
      <c r="K46" s="748"/>
      <c r="L46" s="746"/>
      <c r="M46" s="747"/>
      <c r="N46" s="753"/>
    </row>
    <row r="47" spans="1:15" ht="19.5" customHeight="1" x14ac:dyDescent="0.25">
      <c r="B47" s="805" t="s">
        <v>415</v>
      </c>
      <c r="C47" s="759" t="s">
        <v>408</v>
      </c>
      <c r="D47" s="168">
        <v>2</v>
      </c>
      <c r="E47" s="125"/>
      <c r="F47" s="125">
        <f>1.36*1.6</f>
        <v>2.1760000000000002</v>
      </c>
      <c r="G47" s="125"/>
      <c r="H47" s="126">
        <f>D47*F47</f>
        <v>4.3520000000000003</v>
      </c>
      <c r="I47" s="746"/>
      <c r="J47" s="747"/>
      <c r="K47" s="748"/>
      <c r="L47" s="746"/>
      <c r="M47" s="747"/>
      <c r="N47" s="753"/>
      <c r="O47" s="133"/>
    </row>
    <row r="48" spans="1:15" ht="19.5" customHeight="1" x14ac:dyDescent="0.25">
      <c r="B48" s="806"/>
      <c r="C48" s="759"/>
      <c r="D48" s="168">
        <v>1</v>
      </c>
      <c r="E48" s="125"/>
      <c r="F48" s="125">
        <v>4</v>
      </c>
      <c r="G48" s="125"/>
      <c r="H48" s="126">
        <f t="shared" ref="H48:H62" si="2">D48*F48</f>
        <v>4</v>
      </c>
      <c r="I48" s="746"/>
      <c r="J48" s="747"/>
      <c r="K48" s="748"/>
      <c r="L48" s="746"/>
      <c r="M48" s="747"/>
      <c r="N48" s="753"/>
      <c r="O48" s="133"/>
    </row>
    <row r="49" spans="2:15" ht="19.5" customHeight="1" x14ac:dyDescent="0.25">
      <c r="B49" s="806"/>
      <c r="C49" s="759"/>
      <c r="D49" s="168">
        <v>2</v>
      </c>
      <c r="E49" s="125"/>
      <c r="F49" s="125">
        <f>3*1.6</f>
        <v>4.8000000000000007</v>
      </c>
      <c r="G49" s="125"/>
      <c r="H49" s="126">
        <f t="shared" si="2"/>
        <v>9.6000000000000014</v>
      </c>
      <c r="I49" s="746"/>
      <c r="J49" s="747"/>
      <c r="K49" s="748"/>
      <c r="L49" s="746"/>
      <c r="M49" s="747"/>
      <c r="N49" s="753"/>
      <c r="O49" s="133"/>
    </row>
    <row r="50" spans="2:15" ht="19.5" customHeight="1" x14ac:dyDescent="0.25">
      <c r="B50" s="806"/>
      <c r="C50" s="756" t="s">
        <v>409</v>
      </c>
      <c r="D50" s="168">
        <v>1</v>
      </c>
      <c r="E50" s="125"/>
      <c r="F50" s="125">
        <f>1.53*1.6</f>
        <v>2.4480000000000004</v>
      </c>
      <c r="G50" s="125"/>
      <c r="H50" s="126">
        <f t="shared" si="2"/>
        <v>2.4480000000000004</v>
      </c>
      <c r="I50" s="746"/>
      <c r="J50" s="747"/>
      <c r="K50" s="748"/>
      <c r="L50" s="746"/>
      <c r="M50" s="747"/>
      <c r="N50" s="753"/>
      <c r="O50" s="133"/>
    </row>
    <row r="51" spans="2:15" ht="19.5" customHeight="1" x14ac:dyDescent="0.25">
      <c r="B51" s="806"/>
      <c r="C51" s="757"/>
      <c r="D51" s="168">
        <v>1</v>
      </c>
      <c r="E51" s="125"/>
      <c r="F51" s="125">
        <f>1.58*1.6</f>
        <v>2.5280000000000005</v>
      </c>
      <c r="G51" s="125"/>
      <c r="H51" s="126">
        <f t="shared" si="2"/>
        <v>2.5280000000000005</v>
      </c>
      <c r="I51" s="746"/>
      <c r="J51" s="747"/>
      <c r="K51" s="748"/>
      <c r="L51" s="746"/>
      <c r="M51" s="747"/>
      <c r="N51" s="753"/>
    </row>
    <row r="52" spans="2:15" ht="19.5" customHeight="1" x14ac:dyDescent="0.25">
      <c r="B52" s="806"/>
      <c r="C52" s="758"/>
      <c r="D52" s="168">
        <v>1</v>
      </c>
      <c r="E52" s="125"/>
      <c r="F52" s="125">
        <f>1.2*1.6</f>
        <v>1.92</v>
      </c>
      <c r="G52" s="125"/>
      <c r="H52" s="126">
        <f t="shared" si="2"/>
        <v>1.92</v>
      </c>
      <c r="I52" s="746"/>
      <c r="J52" s="747"/>
      <c r="K52" s="748"/>
      <c r="L52" s="746"/>
      <c r="M52" s="747"/>
      <c r="N52" s="753"/>
    </row>
    <row r="53" spans="2:15" ht="19.5" customHeight="1" x14ac:dyDescent="0.25">
      <c r="B53" s="806"/>
      <c r="C53" s="756" t="s">
        <v>410</v>
      </c>
      <c r="D53" s="168">
        <v>1</v>
      </c>
      <c r="E53" s="125"/>
      <c r="F53" s="125">
        <f>1.53*1.6</f>
        <v>2.4480000000000004</v>
      </c>
      <c r="G53" s="125"/>
      <c r="H53" s="126">
        <f t="shared" si="2"/>
        <v>2.4480000000000004</v>
      </c>
      <c r="I53" s="746"/>
      <c r="J53" s="747"/>
      <c r="K53" s="748"/>
      <c r="L53" s="746"/>
      <c r="M53" s="747"/>
      <c r="N53" s="753"/>
    </row>
    <row r="54" spans="2:15" ht="19.5" customHeight="1" x14ac:dyDescent="0.25">
      <c r="B54" s="806"/>
      <c r="C54" s="757"/>
      <c r="D54" s="168">
        <v>1</v>
      </c>
      <c r="E54" s="125"/>
      <c r="F54" s="125">
        <f>1.58*1.6</f>
        <v>2.5280000000000005</v>
      </c>
      <c r="G54" s="125"/>
      <c r="H54" s="126">
        <f t="shared" si="2"/>
        <v>2.5280000000000005</v>
      </c>
      <c r="I54" s="746"/>
      <c r="J54" s="747"/>
      <c r="K54" s="748"/>
      <c r="L54" s="746"/>
      <c r="M54" s="747"/>
      <c r="N54" s="753"/>
    </row>
    <row r="55" spans="2:15" ht="20.25" customHeight="1" x14ac:dyDescent="0.25">
      <c r="B55" s="806"/>
      <c r="C55" s="758"/>
      <c r="D55" s="168">
        <v>1</v>
      </c>
      <c r="E55" s="125"/>
      <c r="F55" s="125">
        <f>1.2*1.6</f>
        <v>1.92</v>
      </c>
      <c r="G55" s="125"/>
      <c r="H55" s="126">
        <f t="shared" si="2"/>
        <v>1.92</v>
      </c>
      <c r="I55" s="746"/>
      <c r="J55" s="747"/>
      <c r="K55" s="748"/>
      <c r="L55" s="746"/>
      <c r="M55" s="747"/>
      <c r="N55" s="753"/>
    </row>
    <row r="56" spans="2:15" ht="21" customHeight="1" x14ac:dyDescent="0.25">
      <c r="B56" s="806"/>
      <c r="C56" s="760" t="s">
        <v>411</v>
      </c>
      <c r="D56" s="125">
        <v>1</v>
      </c>
      <c r="E56" s="125"/>
      <c r="F56" s="125">
        <v>1.1399999999999999</v>
      </c>
      <c r="G56" s="125"/>
      <c r="H56" s="126">
        <f t="shared" si="2"/>
        <v>1.1399999999999999</v>
      </c>
      <c r="I56" s="746"/>
      <c r="J56" s="747"/>
      <c r="K56" s="748"/>
      <c r="L56" s="746"/>
      <c r="M56" s="747"/>
      <c r="N56" s="753"/>
    </row>
    <row r="57" spans="2:15" ht="21" customHeight="1" x14ac:dyDescent="0.25">
      <c r="B57" s="806"/>
      <c r="C57" s="761"/>
      <c r="D57" s="168">
        <v>1</v>
      </c>
      <c r="E57" s="125"/>
      <c r="F57" s="125">
        <f>2.2*1.6</f>
        <v>3.5200000000000005</v>
      </c>
      <c r="G57" s="125"/>
      <c r="H57" s="126">
        <f t="shared" si="2"/>
        <v>3.5200000000000005</v>
      </c>
      <c r="I57" s="746"/>
      <c r="J57" s="747"/>
      <c r="K57" s="748"/>
      <c r="L57" s="746"/>
      <c r="M57" s="747"/>
      <c r="N57" s="753"/>
    </row>
    <row r="58" spans="2:15" ht="21" customHeight="1" x14ac:dyDescent="0.25">
      <c r="B58" s="806"/>
      <c r="C58" s="756" t="s">
        <v>412</v>
      </c>
      <c r="D58" s="168">
        <v>1</v>
      </c>
      <c r="E58" s="125"/>
      <c r="F58" s="125">
        <f>1.53*1.6</f>
        <v>2.4480000000000004</v>
      </c>
      <c r="G58" s="125"/>
      <c r="H58" s="126">
        <f t="shared" si="2"/>
        <v>2.4480000000000004</v>
      </c>
      <c r="I58" s="746"/>
      <c r="J58" s="747"/>
      <c r="K58" s="748"/>
      <c r="L58" s="746"/>
      <c r="M58" s="747"/>
      <c r="N58" s="753"/>
    </row>
    <row r="59" spans="2:15" ht="19.5" customHeight="1" x14ac:dyDescent="0.25">
      <c r="B59" s="806"/>
      <c r="C59" s="757"/>
      <c r="D59" s="168">
        <v>1</v>
      </c>
      <c r="E59" s="125"/>
      <c r="F59" s="125">
        <f>1.58*1.6</f>
        <v>2.5280000000000005</v>
      </c>
      <c r="G59" s="125"/>
      <c r="H59" s="126">
        <f t="shared" si="2"/>
        <v>2.5280000000000005</v>
      </c>
      <c r="I59" s="746"/>
      <c r="J59" s="747"/>
      <c r="K59" s="748"/>
      <c r="L59" s="746"/>
      <c r="M59" s="747"/>
      <c r="N59" s="753"/>
    </row>
    <row r="60" spans="2:15" ht="19.5" customHeight="1" x14ac:dyDescent="0.25">
      <c r="B60" s="806"/>
      <c r="C60" s="758"/>
      <c r="D60" s="168">
        <v>1</v>
      </c>
      <c r="E60" s="125"/>
      <c r="F60" s="125">
        <f>1.2*1.6</f>
        <v>1.92</v>
      </c>
      <c r="G60" s="125"/>
      <c r="H60" s="126">
        <f t="shared" si="2"/>
        <v>1.92</v>
      </c>
      <c r="I60" s="746"/>
      <c r="J60" s="747"/>
      <c r="K60" s="748"/>
      <c r="L60" s="746"/>
      <c r="M60" s="747"/>
      <c r="N60" s="753"/>
    </row>
    <row r="61" spans="2:15" ht="19.5" customHeight="1" x14ac:dyDescent="0.25">
      <c r="B61" s="806"/>
      <c r="C61" s="151" t="s">
        <v>413</v>
      </c>
      <c r="D61" s="125">
        <v>2</v>
      </c>
      <c r="E61" s="125"/>
      <c r="F61" s="125">
        <f>3*1.6</f>
        <v>4.8000000000000007</v>
      </c>
      <c r="G61" s="125"/>
      <c r="H61" s="126">
        <f t="shared" si="2"/>
        <v>9.6000000000000014</v>
      </c>
      <c r="I61" s="746"/>
      <c r="J61" s="747"/>
      <c r="K61" s="748"/>
      <c r="L61" s="746"/>
      <c r="M61" s="747"/>
      <c r="N61" s="753"/>
    </row>
    <row r="62" spans="2:15" ht="19.5" customHeight="1" x14ac:dyDescent="0.25">
      <c r="B62" s="806"/>
      <c r="C62" s="125"/>
      <c r="D62" s="125">
        <v>1</v>
      </c>
      <c r="E62" s="125"/>
      <c r="F62" s="125">
        <v>2.2000000000000002</v>
      </c>
      <c r="G62" s="125"/>
      <c r="H62" s="126">
        <f t="shared" si="2"/>
        <v>2.2000000000000002</v>
      </c>
      <c r="I62" s="746"/>
      <c r="J62" s="747"/>
      <c r="K62" s="748"/>
      <c r="L62" s="746"/>
      <c r="M62" s="747"/>
      <c r="N62" s="753"/>
    </row>
    <row r="63" spans="2:15" ht="14.25" customHeight="1" x14ac:dyDescent="0.25">
      <c r="B63" s="209"/>
      <c r="C63" s="118"/>
      <c r="D63" s="125"/>
      <c r="E63" s="118"/>
      <c r="F63" s="118"/>
      <c r="G63" s="118"/>
      <c r="H63" s="118"/>
      <c r="I63" s="118"/>
      <c r="J63" s="118"/>
      <c r="K63" s="118"/>
      <c r="L63" s="118"/>
      <c r="M63" s="118"/>
      <c r="N63" s="210"/>
    </row>
    <row r="64" spans="2:15" ht="14.25" customHeight="1" x14ac:dyDescent="0.25">
      <c r="B64" s="209"/>
      <c r="C64" s="118"/>
      <c r="D64" s="118"/>
      <c r="E64" s="118"/>
      <c r="F64" s="118"/>
      <c r="G64" s="118"/>
      <c r="H64" s="118"/>
      <c r="I64" s="118"/>
      <c r="J64" s="118"/>
      <c r="K64" s="118"/>
      <c r="L64" s="118"/>
      <c r="M64" s="118"/>
      <c r="N64" s="210"/>
    </row>
    <row r="65" spans="2:15" ht="14.25" customHeight="1" x14ac:dyDescent="0.25">
      <c r="B65" s="209"/>
      <c r="C65" s="118"/>
      <c r="D65" s="118"/>
      <c r="E65" s="118"/>
      <c r="F65" s="118"/>
      <c r="G65" s="118"/>
      <c r="H65" s="118"/>
      <c r="I65" s="118"/>
      <c r="J65" s="118"/>
      <c r="K65" s="118"/>
      <c r="L65" s="118"/>
      <c r="M65" s="118"/>
      <c r="N65" s="210"/>
    </row>
    <row r="66" spans="2:15" ht="14.25" customHeight="1" x14ac:dyDescent="0.25">
      <c r="B66" s="209"/>
      <c r="C66" s="118"/>
      <c r="D66" s="118"/>
      <c r="E66" s="118"/>
      <c r="F66" s="118"/>
      <c r="G66" s="118"/>
      <c r="H66" s="118"/>
      <c r="I66" s="118"/>
      <c r="J66" s="118"/>
      <c r="K66" s="118"/>
      <c r="L66" s="118"/>
      <c r="M66" s="118"/>
      <c r="N66" s="210"/>
    </row>
    <row r="67" spans="2:15" ht="14.25" customHeight="1" x14ac:dyDescent="0.25">
      <c r="B67" s="775" t="s">
        <v>414</v>
      </c>
      <c r="C67" s="747"/>
      <c r="D67" s="747"/>
      <c r="E67" s="128"/>
      <c r="F67" s="128"/>
      <c r="G67" s="128"/>
      <c r="H67" s="128"/>
      <c r="I67" s="776"/>
      <c r="J67" s="747"/>
      <c r="K67" s="747"/>
      <c r="L67" s="118"/>
      <c r="M67" s="118"/>
      <c r="N67" s="210"/>
    </row>
    <row r="68" spans="2:15" ht="14.25" customHeight="1" thickBot="1" x14ac:dyDescent="0.3">
      <c r="B68" s="129"/>
      <c r="C68" s="130"/>
      <c r="D68" s="130"/>
      <c r="E68" s="130"/>
      <c r="F68" s="130"/>
      <c r="G68" s="130"/>
      <c r="H68" s="130"/>
      <c r="I68" s="130"/>
      <c r="J68" s="130"/>
      <c r="K68" s="130"/>
      <c r="L68" s="130"/>
      <c r="M68" s="130"/>
      <c r="N68" s="131"/>
    </row>
    <row r="69" spans="2:15" ht="14.25" customHeight="1" thickBot="1" x14ac:dyDescent="0.3">
      <c r="B69" s="132"/>
      <c r="C69" s="132"/>
      <c r="D69" s="132"/>
      <c r="E69" s="132"/>
      <c r="F69" s="132"/>
      <c r="G69" s="132"/>
      <c r="H69" s="132"/>
      <c r="I69" s="132"/>
      <c r="J69" s="132"/>
      <c r="K69" s="132"/>
      <c r="L69" s="132"/>
      <c r="M69" s="132"/>
      <c r="N69" s="132"/>
    </row>
    <row r="70" spans="2:15" ht="36.75" customHeight="1" x14ac:dyDescent="0.25">
      <c r="B70" s="728"/>
      <c r="C70" s="729"/>
      <c r="D70" s="730" t="s">
        <v>393</v>
      </c>
      <c r="E70" s="729"/>
      <c r="F70" s="729"/>
      <c r="G70" s="729"/>
      <c r="H70" s="729"/>
      <c r="I70" s="729"/>
      <c r="J70" s="729"/>
      <c r="K70" s="729"/>
      <c r="L70" s="729"/>
      <c r="M70" s="729"/>
      <c r="N70" s="731"/>
    </row>
    <row r="71" spans="2:15" ht="14.25" customHeight="1" x14ac:dyDescent="0.25">
      <c r="B71" s="732" t="s">
        <v>394</v>
      </c>
      <c r="C71" s="733"/>
      <c r="D71" s="733"/>
      <c r="E71" s="733"/>
      <c r="F71" s="733"/>
      <c r="G71" s="733"/>
      <c r="H71" s="733"/>
      <c r="I71" s="733"/>
      <c r="J71" s="733"/>
      <c r="K71" s="733"/>
      <c r="L71" s="733"/>
      <c r="M71" s="733"/>
      <c r="N71" s="734"/>
    </row>
    <row r="72" spans="2:15" ht="72" customHeight="1" x14ac:dyDescent="0.25">
      <c r="B72" s="735" t="s">
        <v>395</v>
      </c>
      <c r="C72" s="736"/>
      <c r="D72" s="737" t="str">
        <f>VLOOKUP(B74,Buenaventura!A9:G294,3,FALSE)</f>
        <v>Mantenimiento de reja metalica (cuerpo baranda),  incluye desmonte si es necesario, cepillado, limpieza del elemento,eliminación total del óxido superficial, cambio de partes afectadas, Reforzar o rehacer soldaduras defectuosas, Aplicación de Imprimante anticorrosivo, Aplicación de Acabado (esmalte o pintura industrial mate ) y todo lo necesario para su correcta instalación</v>
      </c>
      <c r="E72" s="738"/>
      <c r="F72" s="738"/>
      <c r="G72" s="738"/>
      <c r="H72" s="738"/>
      <c r="I72" s="738"/>
      <c r="J72" s="738"/>
      <c r="K72" s="738"/>
      <c r="L72" s="738"/>
      <c r="M72" s="738"/>
      <c r="N72" s="739"/>
    </row>
    <row r="73" spans="2:15" ht="14.25" customHeight="1" x14ac:dyDescent="0.25">
      <c r="B73" s="740" t="s">
        <v>26</v>
      </c>
      <c r="C73" s="741"/>
      <c r="D73" s="119" t="s">
        <v>396</v>
      </c>
      <c r="E73" s="742" t="s">
        <v>397</v>
      </c>
      <c r="F73" s="733"/>
      <c r="G73" s="733"/>
      <c r="H73" s="736"/>
      <c r="I73" s="742" t="s">
        <v>398</v>
      </c>
      <c r="J73" s="733"/>
      <c r="K73" s="736"/>
      <c r="L73" s="742" t="s">
        <v>399</v>
      </c>
      <c r="M73" s="733"/>
      <c r="N73" s="734"/>
    </row>
    <row r="74" spans="2:15" ht="14.25" customHeight="1" x14ac:dyDescent="0.25">
      <c r="B74" s="275">
        <v>3</v>
      </c>
      <c r="C74" s="276" t="str">
        <f>VLOOKUP(B74,Buenaventura!A9:G294,2,FALSE)</f>
        <v>CA-19</v>
      </c>
      <c r="D74" s="277">
        <f>SUM(H77:H92)</f>
        <v>39.810600000000008</v>
      </c>
      <c r="E74" s="743" t="str">
        <f>VLOOKUP(B74,Buenaventura!A9:G293,4,FALSE)</f>
        <v>M2</v>
      </c>
      <c r="F74" s="743"/>
      <c r="G74" s="743"/>
      <c r="H74" s="743"/>
      <c r="I74" s="744"/>
      <c r="J74" s="745"/>
      <c r="K74" s="741"/>
      <c r="L74" s="744"/>
      <c r="M74" s="745"/>
      <c r="N74" s="752"/>
    </row>
    <row r="75" spans="2:15" ht="14.25" customHeight="1" x14ac:dyDescent="0.25">
      <c r="B75" s="755" t="s">
        <v>416</v>
      </c>
      <c r="C75" s="733"/>
      <c r="D75" s="733"/>
      <c r="E75" s="733"/>
      <c r="F75" s="733"/>
      <c r="G75" s="733"/>
      <c r="H75" s="736"/>
      <c r="I75" s="746"/>
      <c r="J75" s="747"/>
      <c r="K75" s="748"/>
      <c r="L75" s="746"/>
      <c r="M75" s="747"/>
      <c r="N75" s="753"/>
    </row>
    <row r="76" spans="2:15" ht="14.25" customHeight="1" x14ac:dyDescent="0.25">
      <c r="B76" s="121" t="s">
        <v>400</v>
      </c>
      <c r="C76" s="122" t="s">
        <v>401</v>
      </c>
      <c r="D76" s="123" t="s">
        <v>402</v>
      </c>
      <c r="E76" s="123" t="s">
        <v>403</v>
      </c>
      <c r="F76" s="123" t="s">
        <v>404</v>
      </c>
      <c r="G76" s="123" t="s">
        <v>405</v>
      </c>
      <c r="H76" s="123" t="s">
        <v>406</v>
      </c>
      <c r="I76" s="746"/>
      <c r="J76" s="747"/>
      <c r="K76" s="748"/>
      <c r="L76" s="746"/>
      <c r="M76" s="747"/>
      <c r="N76" s="753"/>
    </row>
    <row r="77" spans="2:15" ht="14.25" customHeight="1" x14ac:dyDescent="0.25">
      <c r="B77" s="802" t="s">
        <v>407</v>
      </c>
      <c r="C77" s="759" t="s">
        <v>408</v>
      </c>
      <c r="D77" s="168">
        <v>2</v>
      </c>
      <c r="E77" s="125"/>
      <c r="F77" s="125">
        <f>1.36*1.6</f>
        <v>2.1760000000000002</v>
      </c>
      <c r="G77" s="125">
        <v>0.85</v>
      </c>
      <c r="H77" s="126">
        <f>D77*F77*G77</f>
        <v>3.6992000000000003</v>
      </c>
      <c r="I77" s="746"/>
      <c r="J77" s="747"/>
      <c r="K77" s="748"/>
      <c r="L77" s="746"/>
      <c r="M77" s="747"/>
      <c r="N77" s="753"/>
      <c r="O77" s="133"/>
    </row>
    <row r="78" spans="2:15" ht="14.25" customHeight="1" x14ac:dyDescent="0.25">
      <c r="B78" s="803"/>
      <c r="C78" s="759"/>
      <c r="D78" s="168">
        <v>1</v>
      </c>
      <c r="E78" s="125"/>
      <c r="F78" s="125">
        <v>3</v>
      </c>
      <c r="G78" s="125">
        <v>0.85</v>
      </c>
      <c r="H78" s="126">
        <f t="shared" ref="H78:H92" si="3">D78*F78*G78</f>
        <v>2.5499999999999998</v>
      </c>
      <c r="I78" s="746"/>
      <c r="J78" s="747"/>
      <c r="K78" s="748"/>
      <c r="L78" s="746"/>
      <c r="M78" s="747"/>
      <c r="N78" s="753"/>
    </row>
    <row r="79" spans="2:15" ht="14.25" customHeight="1" x14ac:dyDescent="0.25">
      <c r="B79" s="803"/>
      <c r="C79" s="759"/>
      <c r="D79" s="168">
        <v>2</v>
      </c>
      <c r="E79" s="125"/>
      <c r="F79" s="125">
        <f>0.73*1.6</f>
        <v>1.1679999999999999</v>
      </c>
      <c r="G79" s="125">
        <v>0.85</v>
      </c>
      <c r="H79" s="126">
        <f t="shared" si="3"/>
        <v>1.9855999999999998</v>
      </c>
      <c r="I79" s="746"/>
      <c r="J79" s="747"/>
      <c r="K79" s="748"/>
      <c r="L79" s="746"/>
      <c r="M79" s="747"/>
      <c r="N79" s="753"/>
    </row>
    <row r="80" spans="2:15" ht="14.25" customHeight="1" x14ac:dyDescent="0.25">
      <c r="B80" s="803"/>
      <c r="C80" s="756" t="s">
        <v>409</v>
      </c>
      <c r="D80" s="168">
        <v>1</v>
      </c>
      <c r="E80" s="125"/>
      <c r="F80" s="125">
        <f>1.53*1.6</f>
        <v>2.4480000000000004</v>
      </c>
      <c r="G80" s="125">
        <v>0.85</v>
      </c>
      <c r="H80" s="126">
        <f t="shared" si="3"/>
        <v>2.0808000000000004</v>
      </c>
      <c r="I80" s="746"/>
      <c r="J80" s="747"/>
      <c r="K80" s="748"/>
      <c r="L80" s="746"/>
      <c r="M80" s="747"/>
      <c r="N80" s="753"/>
    </row>
    <row r="81" spans="2:14" ht="14.25" customHeight="1" x14ac:dyDescent="0.25">
      <c r="B81" s="803"/>
      <c r="C81" s="757"/>
      <c r="D81" s="168">
        <v>1</v>
      </c>
      <c r="E81" s="125"/>
      <c r="F81" s="125">
        <f>1.58*1.6</f>
        <v>2.5280000000000005</v>
      </c>
      <c r="G81" s="125">
        <v>0.85</v>
      </c>
      <c r="H81" s="126">
        <f t="shared" si="3"/>
        <v>2.1488000000000005</v>
      </c>
      <c r="I81" s="746"/>
      <c r="J81" s="747"/>
      <c r="K81" s="748"/>
      <c r="L81" s="746"/>
      <c r="M81" s="747"/>
      <c r="N81" s="753"/>
    </row>
    <row r="82" spans="2:14" ht="14.25" customHeight="1" x14ac:dyDescent="0.25">
      <c r="B82" s="803"/>
      <c r="C82" s="758"/>
      <c r="D82" s="168">
        <v>1</v>
      </c>
      <c r="E82" s="125"/>
      <c r="F82" s="125">
        <f>1.2*1.6</f>
        <v>1.92</v>
      </c>
      <c r="G82" s="125">
        <v>0.85</v>
      </c>
      <c r="H82" s="126">
        <f t="shared" si="3"/>
        <v>1.6319999999999999</v>
      </c>
      <c r="I82" s="746"/>
      <c r="J82" s="747"/>
      <c r="K82" s="748"/>
      <c r="L82" s="746"/>
      <c r="M82" s="747"/>
      <c r="N82" s="753"/>
    </row>
    <row r="83" spans="2:14" ht="14.25" customHeight="1" x14ac:dyDescent="0.25">
      <c r="B83" s="803"/>
      <c r="C83" s="756" t="s">
        <v>410</v>
      </c>
      <c r="D83" s="168">
        <v>1</v>
      </c>
      <c r="E83" s="125"/>
      <c r="F83" s="125">
        <f>1.53*1.6</f>
        <v>2.4480000000000004</v>
      </c>
      <c r="G83" s="125">
        <v>0.85</v>
      </c>
      <c r="H83" s="126">
        <f t="shared" si="3"/>
        <v>2.0808000000000004</v>
      </c>
      <c r="I83" s="746"/>
      <c r="J83" s="747"/>
      <c r="K83" s="748"/>
      <c r="L83" s="746"/>
      <c r="M83" s="747"/>
      <c r="N83" s="753"/>
    </row>
    <row r="84" spans="2:14" ht="14.25" customHeight="1" x14ac:dyDescent="0.25">
      <c r="B84" s="803"/>
      <c r="C84" s="757"/>
      <c r="D84" s="168">
        <v>1</v>
      </c>
      <c r="E84" s="125"/>
      <c r="F84" s="125">
        <f>1.58*1.6</f>
        <v>2.5280000000000005</v>
      </c>
      <c r="G84" s="125">
        <v>0.85</v>
      </c>
      <c r="H84" s="126">
        <f t="shared" si="3"/>
        <v>2.1488000000000005</v>
      </c>
      <c r="I84" s="746"/>
      <c r="J84" s="747"/>
      <c r="K84" s="748"/>
      <c r="L84" s="746"/>
      <c r="M84" s="747"/>
      <c r="N84" s="753"/>
    </row>
    <row r="85" spans="2:14" ht="14.25" customHeight="1" x14ac:dyDescent="0.25">
      <c r="B85" s="803"/>
      <c r="C85" s="758"/>
      <c r="D85" s="168">
        <v>1</v>
      </c>
      <c r="E85" s="125"/>
      <c r="F85" s="125">
        <f>1.2*1.6</f>
        <v>1.92</v>
      </c>
      <c r="G85" s="125">
        <v>0.85</v>
      </c>
      <c r="H85" s="126">
        <f t="shared" si="3"/>
        <v>1.6319999999999999</v>
      </c>
      <c r="I85" s="746"/>
      <c r="J85" s="747"/>
      <c r="K85" s="748"/>
      <c r="L85" s="746"/>
      <c r="M85" s="747"/>
      <c r="N85" s="753"/>
    </row>
    <row r="86" spans="2:14" ht="14.25" customHeight="1" x14ac:dyDescent="0.25">
      <c r="B86" s="803"/>
      <c r="C86" s="760" t="s">
        <v>411</v>
      </c>
      <c r="D86" s="125">
        <v>1</v>
      </c>
      <c r="E86" s="125"/>
      <c r="F86" s="125">
        <v>1.1399999999999999</v>
      </c>
      <c r="G86" s="125">
        <v>0.85</v>
      </c>
      <c r="H86" s="126">
        <f t="shared" si="3"/>
        <v>0.96899999999999986</v>
      </c>
      <c r="I86" s="746"/>
      <c r="J86" s="747"/>
      <c r="K86" s="748"/>
      <c r="L86" s="746"/>
      <c r="M86" s="747"/>
      <c r="N86" s="753"/>
    </row>
    <row r="87" spans="2:14" ht="14.25" customHeight="1" x14ac:dyDescent="0.25">
      <c r="B87" s="803"/>
      <c r="C87" s="761"/>
      <c r="D87" s="168">
        <v>1</v>
      </c>
      <c r="E87" s="125"/>
      <c r="F87" s="125">
        <f>2.2*1.6</f>
        <v>3.5200000000000005</v>
      </c>
      <c r="G87" s="125">
        <v>0.85</v>
      </c>
      <c r="H87" s="126">
        <f t="shared" si="3"/>
        <v>2.9920000000000004</v>
      </c>
      <c r="I87" s="746"/>
      <c r="J87" s="747"/>
      <c r="K87" s="748"/>
      <c r="L87" s="746"/>
      <c r="M87" s="747"/>
      <c r="N87" s="753"/>
    </row>
    <row r="88" spans="2:14" ht="14.25" customHeight="1" x14ac:dyDescent="0.25">
      <c r="B88" s="803"/>
      <c r="C88" s="756" t="s">
        <v>412</v>
      </c>
      <c r="D88" s="168">
        <v>1</v>
      </c>
      <c r="E88" s="125"/>
      <c r="F88" s="125">
        <f>1.53*1.6</f>
        <v>2.4480000000000004</v>
      </c>
      <c r="G88" s="125">
        <v>0.85</v>
      </c>
      <c r="H88" s="126">
        <f t="shared" si="3"/>
        <v>2.0808000000000004</v>
      </c>
      <c r="I88" s="746"/>
      <c r="J88" s="747"/>
      <c r="K88" s="748"/>
      <c r="L88" s="746"/>
      <c r="M88" s="747"/>
      <c r="N88" s="753"/>
    </row>
    <row r="89" spans="2:14" ht="14.25" customHeight="1" x14ac:dyDescent="0.25">
      <c r="B89" s="803"/>
      <c r="C89" s="757"/>
      <c r="D89" s="168">
        <v>1</v>
      </c>
      <c r="E89" s="125"/>
      <c r="F89" s="125">
        <f>1.58*1.6</f>
        <v>2.5280000000000005</v>
      </c>
      <c r="G89" s="125">
        <v>0.85</v>
      </c>
      <c r="H89" s="126">
        <f t="shared" si="3"/>
        <v>2.1488000000000005</v>
      </c>
      <c r="I89" s="746"/>
      <c r="J89" s="747"/>
      <c r="K89" s="748"/>
      <c r="L89" s="746"/>
      <c r="M89" s="747"/>
      <c r="N89" s="753"/>
    </row>
    <row r="90" spans="2:14" ht="14.25" customHeight="1" x14ac:dyDescent="0.25">
      <c r="B90" s="803"/>
      <c r="C90" s="758"/>
      <c r="D90" s="168">
        <v>1</v>
      </c>
      <c r="E90" s="125"/>
      <c r="F90" s="125">
        <f>1.2*1.6</f>
        <v>1.92</v>
      </c>
      <c r="G90" s="125">
        <v>0.85</v>
      </c>
      <c r="H90" s="126">
        <f t="shared" si="3"/>
        <v>1.6319999999999999</v>
      </c>
      <c r="I90" s="746"/>
      <c r="J90" s="747"/>
      <c r="K90" s="748"/>
      <c r="L90" s="746"/>
      <c r="M90" s="747"/>
      <c r="N90" s="753"/>
    </row>
    <row r="91" spans="2:14" ht="23.25" customHeight="1" x14ac:dyDescent="0.25">
      <c r="B91" s="803"/>
      <c r="C91" s="760" t="s">
        <v>413</v>
      </c>
      <c r="D91" s="125">
        <v>2</v>
      </c>
      <c r="E91" s="125"/>
      <c r="F91" s="125">
        <f>3*1.6</f>
        <v>4.8000000000000007</v>
      </c>
      <c r="G91" s="125">
        <v>0.85</v>
      </c>
      <c r="H91" s="126">
        <f t="shared" si="3"/>
        <v>8.16</v>
      </c>
      <c r="I91" s="746"/>
      <c r="J91" s="747"/>
      <c r="K91" s="748"/>
      <c r="L91" s="746"/>
      <c r="M91" s="747"/>
      <c r="N91" s="753"/>
    </row>
    <row r="92" spans="2:14" ht="14.25" customHeight="1" x14ac:dyDescent="0.25">
      <c r="B92" s="804"/>
      <c r="C92" s="801"/>
      <c r="D92" s="125">
        <v>1</v>
      </c>
      <c r="E92" s="125"/>
      <c r="F92" s="125">
        <v>2.2000000000000002</v>
      </c>
      <c r="G92" s="125">
        <v>0.85</v>
      </c>
      <c r="H92" s="126">
        <f t="shared" si="3"/>
        <v>1.87</v>
      </c>
      <c r="I92" s="746"/>
      <c r="J92" s="747"/>
      <c r="K92" s="748"/>
      <c r="L92" s="746"/>
      <c r="M92" s="747"/>
      <c r="N92" s="753"/>
    </row>
    <row r="93" spans="2:14" ht="14.25" customHeight="1" x14ac:dyDescent="0.25">
      <c r="B93" s="264"/>
      <c r="C93" s="126"/>
      <c r="D93" s="126"/>
      <c r="E93" s="126"/>
      <c r="F93" s="126"/>
      <c r="G93" s="126"/>
      <c r="H93" s="126"/>
      <c r="I93" s="746"/>
      <c r="J93" s="747"/>
      <c r="K93" s="748"/>
      <c r="L93" s="746"/>
      <c r="M93" s="747"/>
      <c r="N93" s="753"/>
    </row>
    <row r="94" spans="2:14" ht="14.25" customHeight="1" x14ac:dyDescent="0.25">
      <c r="B94" s="136"/>
      <c r="C94" s="126"/>
      <c r="D94" s="126"/>
      <c r="E94" s="126"/>
      <c r="F94" s="126"/>
      <c r="G94" s="126"/>
      <c r="H94" s="126"/>
      <c r="I94" s="746"/>
      <c r="J94" s="747"/>
      <c r="K94" s="748"/>
      <c r="L94" s="746"/>
      <c r="M94" s="747"/>
      <c r="N94" s="753"/>
    </row>
    <row r="95" spans="2:14" ht="14.25" customHeight="1" x14ac:dyDescent="0.25">
      <c r="B95" s="209"/>
      <c r="C95" s="118"/>
      <c r="D95" s="118"/>
      <c r="E95" s="118"/>
      <c r="F95" s="118"/>
      <c r="G95" s="118"/>
      <c r="H95" s="118"/>
      <c r="I95" s="118"/>
      <c r="J95" s="118"/>
      <c r="K95" s="118"/>
      <c r="L95" s="118"/>
      <c r="M95" s="118"/>
      <c r="N95" s="210"/>
    </row>
    <row r="96" spans="2:14" ht="14.25" customHeight="1" x14ac:dyDescent="0.25">
      <c r="B96" s="209"/>
      <c r="C96" s="118"/>
      <c r="D96" s="118"/>
      <c r="E96" s="118"/>
      <c r="F96" s="118"/>
      <c r="G96" s="118"/>
      <c r="H96" s="118"/>
      <c r="I96" s="118"/>
      <c r="J96" s="118"/>
      <c r="K96" s="118"/>
      <c r="L96" s="118"/>
      <c r="M96" s="118"/>
      <c r="N96" s="210"/>
    </row>
    <row r="97" spans="2:14" ht="14.25" customHeight="1" x14ac:dyDescent="0.25">
      <c r="B97" s="209"/>
      <c r="C97" s="118"/>
      <c r="D97" s="118"/>
      <c r="E97" s="118"/>
      <c r="F97" s="118"/>
      <c r="G97" s="118"/>
      <c r="H97" s="118"/>
      <c r="I97" s="118"/>
      <c r="J97" s="118"/>
      <c r="K97" s="118"/>
      <c r="L97" s="118"/>
      <c r="M97" s="118"/>
      <c r="N97" s="210"/>
    </row>
    <row r="98" spans="2:14" ht="14.25" customHeight="1" x14ac:dyDescent="0.25">
      <c r="B98" s="775" t="s">
        <v>414</v>
      </c>
      <c r="C98" s="747"/>
      <c r="D98" s="747"/>
      <c r="E98" s="128"/>
      <c r="F98" s="128"/>
      <c r="G98" s="128"/>
      <c r="H98" s="128"/>
      <c r="I98" s="776"/>
      <c r="J98" s="747"/>
      <c r="K98" s="747"/>
      <c r="L98" s="118"/>
      <c r="M98" s="118"/>
      <c r="N98" s="210"/>
    </row>
    <row r="99" spans="2:14" ht="14.25" customHeight="1" thickBot="1" x14ac:dyDescent="0.3">
      <c r="B99" s="129"/>
      <c r="C99" s="130"/>
      <c r="D99" s="130"/>
      <c r="E99" s="130"/>
      <c r="F99" s="130"/>
      <c r="G99" s="130"/>
      <c r="H99" s="130"/>
      <c r="I99" s="130"/>
      <c r="J99" s="130"/>
      <c r="K99" s="130"/>
      <c r="L99" s="130"/>
      <c r="M99" s="130"/>
      <c r="N99" s="131"/>
    </row>
    <row r="100" spans="2:14" ht="14.25" customHeight="1" thickBot="1" x14ac:dyDescent="0.3">
      <c r="B100" s="132"/>
      <c r="C100" s="132"/>
      <c r="D100" s="132"/>
      <c r="E100" s="132"/>
      <c r="F100" s="132"/>
      <c r="G100" s="132"/>
      <c r="H100" s="132"/>
      <c r="I100" s="132"/>
      <c r="J100" s="132"/>
      <c r="K100" s="132"/>
      <c r="L100" s="132"/>
      <c r="M100" s="132"/>
      <c r="N100" s="132"/>
    </row>
    <row r="101" spans="2:14" ht="42" customHeight="1" x14ac:dyDescent="0.25">
      <c r="B101" s="728"/>
      <c r="C101" s="729"/>
      <c r="D101" s="730" t="s">
        <v>393</v>
      </c>
      <c r="E101" s="729"/>
      <c r="F101" s="729"/>
      <c r="G101" s="729"/>
      <c r="H101" s="729"/>
      <c r="I101" s="729"/>
      <c r="J101" s="729"/>
      <c r="K101" s="729"/>
      <c r="L101" s="729"/>
      <c r="M101" s="729"/>
      <c r="N101" s="731"/>
    </row>
    <row r="102" spans="2:14" ht="14.25" customHeight="1" x14ac:dyDescent="0.25">
      <c r="B102" s="732" t="s">
        <v>394</v>
      </c>
      <c r="C102" s="733"/>
      <c r="D102" s="733"/>
      <c r="E102" s="733"/>
      <c r="F102" s="733"/>
      <c r="G102" s="733"/>
      <c r="H102" s="733"/>
      <c r="I102" s="733"/>
      <c r="J102" s="733"/>
      <c r="K102" s="733"/>
      <c r="L102" s="733"/>
      <c r="M102" s="733"/>
      <c r="N102" s="734"/>
    </row>
    <row r="103" spans="2:14" ht="29.25" customHeight="1" x14ac:dyDescent="0.25">
      <c r="B103" s="735" t="s">
        <v>395</v>
      </c>
      <c r="C103" s="736"/>
      <c r="D103" s="737" t="str">
        <f>VLOOKUP(B105,Buenaventura!A9:G325,3,FALSE)</f>
        <v>Desmonte de reja metálica incluye retiro y disposicion final en centro de acopio certificado</v>
      </c>
      <c r="E103" s="738"/>
      <c r="F103" s="738"/>
      <c r="G103" s="738"/>
      <c r="H103" s="738"/>
      <c r="I103" s="738"/>
      <c r="J103" s="738"/>
      <c r="K103" s="738"/>
      <c r="L103" s="738"/>
      <c r="M103" s="738"/>
      <c r="N103" s="739"/>
    </row>
    <row r="104" spans="2:14" ht="14.25" customHeight="1" x14ac:dyDescent="0.25">
      <c r="B104" s="740" t="s">
        <v>26</v>
      </c>
      <c r="C104" s="741"/>
      <c r="D104" s="119" t="s">
        <v>396</v>
      </c>
      <c r="E104" s="742" t="s">
        <v>397</v>
      </c>
      <c r="F104" s="733"/>
      <c r="G104" s="733"/>
      <c r="H104" s="736"/>
      <c r="I104" s="742" t="s">
        <v>398</v>
      </c>
      <c r="J104" s="733"/>
      <c r="K104" s="736"/>
      <c r="L104" s="742" t="s">
        <v>399</v>
      </c>
      <c r="M104" s="733"/>
      <c r="N104" s="734"/>
    </row>
    <row r="105" spans="2:14" ht="14.25" customHeight="1" x14ac:dyDescent="0.25">
      <c r="B105" s="275">
        <v>4</v>
      </c>
      <c r="C105" s="276" t="str">
        <f>VLOOKUP(B105,Buenaventura!A9:G325,2,FALSE)</f>
        <v>PR-48</v>
      </c>
      <c r="D105" s="277">
        <f>SUM(H108:H111)</f>
        <v>12.892800000000003</v>
      </c>
      <c r="E105" s="743" t="str">
        <f>VLOOKUP(B105,Buenaventura!A9:G324,4,FALSE)</f>
        <v>M2</v>
      </c>
      <c r="F105" s="743"/>
      <c r="G105" s="743"/>
      <c r="H105" s="743"/>
      <c r="I105" s="744"/>
      <c r="J105" s="745"/>
      <c r="K105" s="741"/>
      <c r="L105" s="744"/>
      <c r="M105" s="745"/>
      <c r="N105" s="752"/>
    </row>
    <row r="106" spans="2:14" ht="14.25" customHeight="1" x14ac:dyDescent="0.25">
      <c r="B106" s="755" t="s">
        <v>416</v>
      </c>
      <c r="C106" s="733"/>
      <c r="D106" s="733"/>
      <c r="E106" s="733"/>
      <c r="F106" s="733"/>
      <c r="G106" s="733"/>
      <c r="H106" s="736"/>
      <c r="I106" s="746"/>
      <c r="J106" s="747"/>
      <c r="K106" s="748"/>
      <c r="L106" s="746"/>
      <c r="M106" s="747"/>
      <c r="N106" s="753"/>
    </row>
    <row r="107" spans="2:14" ht="14.25" customHeight="1" x14ac:dyDescent="0.25">
      <c r="B107" s="121" t="s">
        <v>400</v>
      </c>
      <c r="C107" s="122" t="s">
        <v>401</v>
      </c>
      <c r="D107" s="123" t="s">
        <v>402</v>
      </c>
      <c r="E107" s="123" t="s">
        <v>403</v>
      </c>
      <c r="F107" s="123" t="s">
        <v>404</v>
      </c>
      <c r="G107" s="123" t="s">
        <v>405</v>
      </c>
      <c r="H107" s="123" t="s">
        <v>406</v>
      </c>
      <c r="I107" s="746"/>
      <c r="J107" s="747"/>
      <c r="K107" s="748"/>
      <c r="L107" s="746"/>
      <c r="M107" s="747"/>
      <c r="N107" s="753"/>
    </row>
    <row r="108" spans="2:14" ht="14.25" customHeight="1" x14ac:dyDescent="0.25">
      <c r="B108" s="266"/>
      <c r="C108" s="125" t="s">
        <v>417</v>
      </c>
      <c r="D108" s="168">
        <v>6</v>
      </c>
      <c r="E108" s="125"/>
      <c r="F108" s="125">
        <f>1.58*1.6</f>
        <v>2.5280000000000005</v>
      </c>
      <c r="G108" s="125">
        <v>0.85</v>
      </c>
      <c r="H108" s="126">
        <f t="shared" ref="H108" si="4">D108*F108*G108</f>
        <v>12.892800000000003</v>
      </c>
      <c r="I108" s="746"/>
      <c r="J108" s="747"/>
      <c r="K108" s="748"/>
      <c r="L108" s="746"/>
      <c r="M108" s="747"/>
      <c r="N108" s="753"/>
    </row>
    <row r="109" spans="2:14" ht="14.25" customHeight="1" x14ac:dyDescent="0.25">
      <c r="B109" s="264"/>
      <c r="C109" s="125"/>
      <c r="D109" s="125"/>
      <c r="E109" s="125"/>
      <c r="F109" s="138"/>
      <c r="G109" s="138"/>
      <c r="H109" s="125"/>
      <c r="I109" s="746"/>
      <c r="J109" s="747"/>
      <c r="K109" s="748"/>
      <c r="L109" s="746"/>
      <c r="M109" s="747"/>
      <c r="N109" s="753"/>
    </row>
    <row r="110" spans="2:14" ht="14.25" customHeight="1" x14ac:dyDescent="0.25">
      <c r="B110" s="264"/>
      <c r="C110" s="125"/>
      <c r="D110" s="125"/>
      <c r="E110" s="125"/>
      <c r="F110" s="125"/>
      <c r="G110" s="125"/>
      <c r="H110" s="125"/>
      <c r="I110" s="746"/>
      <c r="J110" s="747"/>
      <c r="K110" s="748"/>
      <c r="L110" s="746"/>
      <c r="M110" s="747"/>
      <c r="N110" s="753"/>
    </row>
    <row r="111" spans="2:14" ht="14.25" customHeight="1" x14ac:dyDescent="0.25">
      <c r="B111" s="264"/>
      <c r="C111" s="125"/>
      <c r="D111" s="125"/>
      <c r="E111" s="125"/>
      <c r="F111" s="125"/>
      <c r="G111" s="125"/>
      <c r="H111" s="125"/>
      <c r="I111" s="746"/>
      <c r="J111" s="747"/>
      <c r="K111" s="748"/>
      <c r="L111" s="746"/>
      <c r="M111" s="747"/>
      <c r="N111" s="753"/>
    </row>
    <row r="112" spans="2:14" ht="14.25" customHeight="1" x14ac:dyDescent="0.25">
      <c r="B112" s="265"/>
      <c r="C112" s="125"/>
      <c r="D112" s="134"/>
      <c r="E112" s="134"/>
      <c r="F112" s="134"/>
      <c r="G112" s="135"/>
      <c r="H112" s="134"/>
      <c r="I112" s="746"/>
      <c r="J112" s="747"/>
      <c r="K112" s="748"/>
      <c r="L112" s="746"/>
      <c r="M112" s="747"/>
      <c r="N112" s="753"/>
    </row>
    <row r="113" spans="2:14" ht="14.25" customHeight="1" x14ac:dyDescent="0.25">
      <c r="B113" s="266"/>
      <c r="C113" s="125"/>
      <c r="D113" s="125"/>
      <c r="E113" s="125"/>
      <c r="F113" s="125"/>
      <c r="G113" s="125"/>
      <c r="H113" s="125"/>
      <c r="I113" s="746"/>
      <c r="J113" s="747"/>
      <c r="K113" s="748"/>
      <c r="L113" s="746"/>
      <c r="M113" s="747"/>
      <c r="N113" s="753"/>
    </row>
    <row r="114" spans="2:14" ht="14.25" customHeight="1" x14ac:dyDescent="0.25">
      <c r="B114" s="264"/>
      <c r="C114" s="125"/>
      <c r="D114" s="125"/>
      <c r="E114" s="125"/>
      <c r="F114" s="125"/>
      <c r="G114" s="125"/>
      <c r="H114" s="125"/>
      <c r="I114" s="746"/>
      <c r="J114" s="747"/>
      <c r="K114" s="748"/>
      <c r="L114" s="746"/>
      <c r="M114" s="747"/>
      <c r="N114" s="753"/>
    </row>
    <row r="115" spans="2:14" ht="14.25" customHeight="1" x14ac:dyDescent="0.25">
      <c r="B115" s="264"/>
      <c r="C115" s="125"/>
      <c r="D115" s="125"/>
      <c r="E115" s="125"/>
      <c r="F115" s="125"/>
      <c r="G115" s="125"/>
      <c r="H115" s="125"/>
      <c r="I115" s="746"/>
      <c r="J115" s="747"/>
      <c r="K115" s="748"/>
      <c r="L115" s="746"/>
      <c r="M115" s="747"/>
      <c r="N115" s="753"/>
    </row>
    <row r="116" spans="2:14" ht="14.25" customHeight="1" x14ac:dyDescent="0.25">
      <c r="B116" s="264"/>
      <c r="C116" s="125"/>
      <c r="D116" s="125"/>
      <c r="E116" s="125"/>
      <c r="F116" s="125"/>
      <c r="G116" s="125"/>
      <c r="H116" s="125"/>
      <c r="I116" s="746"/>
      <c r="J116" s="747"/>
      <c r="K116" s="748"/>
      <c r="L116" s="746"/>
      <c r="M116" s="747"/>
      <c r="N116" s="753"/>
    </row>
    <row r="117" spans="2:14" ht="14.25" customHeight="1" x14ac:dyDescent="0.25">
      <c r="B117" s="264"/>
      <c r="C117" s="125"/>
      <c r="D117" s="134"/>
      <c r="E117" s="134"/>
      <c r="F117" s="134"/>
      <c r="G117" s="134"/>
      <c r="H117" s="134"/>
      <c r="I117" s="746"/>
      <c r="J117" s="747"/>
      <c r="K117" s="748"/>
      <c r="L117" s="746"/>
      <c r="M117" s="747"/>
      <c r="N117" s="753"/>
    </row>
    <row r="118" spans="2:14" ht="14.25" customHeight="1" x14ac:dyDescent="0.25">
      <c r="B118" s="264"/>
      <c r="C118" s="125"/>
      <c r="D118" s="134"/>
      <c r="E118" s="134"/>
      <c r="F118" s="134"/>
      <c r="G118" s="134"/>
      <c r="H118" s="134"/>
      <c r="I118" s="746"/>
      <c r="J118" s="747"/>
      <c r="K118" s="748"/>
      <c r="L118" s="746"/>
      <c r="M118" s="747"/>
      <c r="N118" s="753"/>
    </row>
    <row r="119" spans="2:14" ht="14.25" customHeight="1" x14ac:dyDescent="0.25">
      <c r="B119" s="264"/>
      <c r="C119" s="125"/>
      <c r="D119" s="134"/>
      <c r="E119" s="134"/>
      <c r="F119" s="134"/>
      <c r="G119" s="134"/>
      <c r="H119" s="134"/>
      <c r="I119" s="746"/>
      <c r="J119" s="747"/>
      <c r="K119" s="748"/>
      <c r="L119" s="746"/>
      <c r="M119" s="747"/>
      <c r="N119" s="753"/>
    </row>
    <row r="120" spans="2:14" ht="14.25" customHeight="1" x14ac:dyDescent="0.25">
      <c r="B120" s="265"/>
      <c r="C120" s="125"/>
      <c r="D120" s="134"/>
      <c r="E120" s="134"/>
      <c r="F120" s="134"/>
      <c r="G120" s="134"/>
      <c r="H120" s="134"/>
      <c r="I120" s="746"/>
      <c r="J120" s="747"/>
      <c r="K120" s="748"/>
      <c r="L120" s="746"/>
      <c r="M120" s="747"/>
      <c r="N120" s="753"/>
    </row>
    <row r="121" spans="2:14" ht="14.25" customHeight="1" x14ac:dyDescent="0.25">
      <c r="B121" s="124"/>
      <c r="C121" s="125"/>
      <c r="D121" s="125"/>
      <c r="E121" s="125"/>
      <c r="F121" s="125"/>
      <c r="G121" s="125"/>
      <c r="H121" s="125"/>
      <c r="I121" s="746"/>
      <c r="J121" s="747"/>
      <c r="K121" s="748"/>
      <c r="L121" s="746"/>
      <c r="M121" s="747"/>
      <c r="N121" s="753"/>
    </row>
    <row r="122" spans="2:14" ht="14.25" customHeight="1" x14ac:dyDescent="0.25">
      <c r="B122" s="124"/>
      <c r="C122" s="125"/>
      <c r="D122" s="125"/>
      <c r="E122" s="125"/>
      <c r="F122" s="125"/>
      <c r="G122" s="125"/>
      <c r="H122" s="125"/>
      <c r="I122" s="746"/>
      <c r="J122" s="747"/>
      <c r="K122" s="748"/>
      <c r="L122" s="746"/>
      <c r="M122" s="747"/>
      <c r="N122" s="753"/>
    </row>
    <row r="123" spans="2:14" ht="14.25" customHeight="1" x14ac:dyDescent="0.25">
      <c r="B123" s="124"/>
      <c r="C123" s="125"/>
      <c r="D123" s="125"/>
      <c r="E123" s="125"/>
      <c r="F123" s="125"/>
      <c r="G123" s="125"/>
      <c r="H123" s="125"/>
      <c r="I123" s="749"/>
      <c r="J123" s="750"/>
      <c r="K123" s="751"/>
      <c r="L123" s="749"/>
      <c r="M123" s="750"/>
      <c r="N123" s="754"/>
    </row>
    <row r="124" spans="2:14" ht="14.25" customHeight="1" x14ac:dyDescent="0.25">
      <c r="B124" s="209"/>
      <c r="C124" s="118"/>
      <c r="D124" s="118"/>
      <c r="E124" s="118"/>
      <c r="F124" s="118"/>
      <c r="G124" s="118"/>
      <c r="H124" s="118"/>
      <c r="I124" s="118"/>
      <c r="J124" s="118"/>
      <c r="K124" s="118"/>
      <c r="L124" s="118"/>
      <c r="M124" s="118"/>
      <c r="N124" s="210"/>
    </row>
    <row r="125" spans="2:14" ht="14.25" customHeight="1" x14ac:dyDescent="0.25">
      <c r="B125" s="209"/>
      <c r="C125" s="118"/>
      <c r="D125" s="118"/>
      <c r="E125" s="118"/>
      <c r="F125" s="118"/>
      <c r="G125" s="118"/>
      <c r="H125" s="118"/>
      <c r="I125" s="118"/>
      <c r="J125" s="118"/>
      <c r="K125" s="118"/>
      <c r="L125" s="118"/>
      <c r="M125" s="118"/>
      <c r="N125" s="210"/>
    </row>
    <row r="126" spans="2:14" ht="14.25" customHeight="1" x14ac:dyDescent="0.25">
      <c r="B126" s="209"/>
      <c r="C126" s="118"/>
      <c r="D126" s="118"/>
      <c r="E126" s="118"/>
      <c r="F126" s="118"/>
      <c r="G126" s="118"/>
      <c r="H126" s="118"/>
      <c r="I126" s="118"/>
      <c r="J126" s="118"/>
      <c r="K126" s="118"/>
      <c r="L126" s="118"/>
      <c r="M126" s="118"/>
      <c r="N126" s="210"/>
    </row>
    <row r="127" spans="2:14" ht="14.25" customHeight="1" x14ac:dyDescent="0.25">
      <c r="B127" s="209"/>
      <c r="C127" s="118"/>
      <c r="D127" s="118"/>
      <c r="E127" s="118"/>
      <c r="F127" s="118"/>
      <c r="G127" s="118"/>
      <c r="H127" s="118"/>
      <c r="I127" s="118"/>
      <c r="J127" s="118"/>
      <c r="K127" s="118"/>
      <c r="L127" s="118"/>
      <c r="M127" s="118"/>
      <c r="N127" s="210"/>
    </row>
    <row r="128" spans="2:14" ht="14.25" customHeight="1" x14ac:dyDescent="0.25">
      <c r="B128" s="775" t="s">
        <v>414</v>
      </c>
      <c r="C128" s="747"/>
      <c r="D128" s="747"/>
      <c r="E128" s="128"/>
      <c r="F128" s="128"/>
      <c r="G128" s="128"/>
      <c r="H128" s="128"/>
      <c r="I128" s="776"/>
      <c r="J128" s="747"/>
      <c r="K128" s="747"/>
      <c r="L128" s="118"/>
      <c r="M128" s="118"/>
      <c r="N128" s="210"/>
    </row>
    <row r="129" spans="2:14" ht="14.25" customHeight="1" thickBot="1" x14ac:dyDescent="0.3">
      <c r="B129" s="129"/>
      <c r="C129" s="130"/>
      <c r="D129" s="130"/>
      <c r="E129" s="130"/>
      <c r="F129" s="130"/>
      <c r="G129" s="130"/>
      <c r="H129" s="130"/>
      <c r="I129" s="130"/>
      <c r="J129" s="130"/>
      <c r="K129" s="130"/>
      <c r="L129" s="130"/>
      <c r="M129" s="130"/>
      <c r="N129" s="131"/>
    </row>
    <row r="130" spans="2:14" ht="14.25" customHeight="1" thickBot="1" x14ac:dyDescent="0.3">
      <c r="B130" s="132"/>
      <c r="C130" s="132"/>
      <c r="D130" s="132"/>
      <c r="E130" s="132"/>
      <c r="F130" s="132"/>
      <c r="G130" s="132"/>
      <c r="H130" s="132"/>
      <c r="I130" s="132"/>
      <c r="J130" s="132"/>
      <c r="K130" s="132"/>
      <c r="L130" s="132"/>
      <c r="M130" s="132"/>
      <c r="N130" s="132"/>
    </row>
    <row r="131" spans="2:14" ht="50.25" customHeight="1" x14ac:dyDescent="0.25">
      <c r="B131" s="728"/>
      <c r="C131" s="729"/>
      <c r="D131" s="730" t="s">
        <v>393</v>
      </c>
      <c r="E131" s="729"/>
      <c r="F131" s="729"/>
      <c r="G131" s="729"/>
      <c r="H131" s="729"/>
      <c r="I131" s="729"/>
      <c r="J131" s="729"/>
      <c r="K131" s="729"/>
      <c r="L131" s="729"/>
      <c r="M131" s="729"/>
      <c r="N131" s="731"/>
    </row>
    <row r="132" spans="2:14" ht="14.25" customHeight="1" x14ac:dyDescent="0.25">
      <c r="B132" s="732" t="s">
        <v>394</v>
      </c>
      <c r="C132" s="733"/>
      <c r="D132" s="733"/>
      <c r="E132" s="733"/>
      <c r="F132" s="733"/>
      <c r="G132" s="733"/>
      <c r="H132" s="733"/>
      <c r="I132" s="733"/>
      <c r="J132" s="733"/>
      <c r="K132" s="733"/>
      <c r="L132" s="733"/>
      <c r="M132" s="733"/>
      <c r="N132" s="734"/>
    </row>
    <row r="133" spans="2:14" ht="60.6" customHeight="1" x14ac:dyDescent="0.25">
      <c r="B133" s="735" t="s">
        <v>395</v>
      </c>
      <c r="C133" s="736"/>
      <c r="D133" s="737" t="str">
        <f>VLOOKUP(B135,Buenaventura!A9:G355,3,FALSE)</f>
        <v>Suministro, fabricación e instalación de reja metálica elaborada en varilla lisa de 3/8” (≈ 1 cm de diámetro), diseño  similar al existente, incluye cortes, armado, soldadura, esmerilado, aplicación de anticorrosivo y pintura de acabado, asi como anclajes, fijaciones, herrajes y todos los elementos necesarios para su correcta instalación y funcionamiento.</v>
      </c>
      <c r="E133" s="738"/>
      <c r="F133" s="738"/>
      <c r="G133" s="738"/>
      <c r="H133" s="738"/>
      <c r="I133" s="738"/>
      <c r="J133" s="738"/>
      <c r="K133" s="738"/>
      <c r="L133" s="738"/>
      <c r="M133" s="738"/>
      <c r="N133" s="739"/>
    </row>
    <row r="134" spans="2:14" ht="14.25" customHeight="1" x14ac:dyDescent="0.25">
      <c r="B134" s="740" t="s">
        <v>26</v>
      </c>
      <c r="C134" s="741"/>
      <c r="D134" s="119" t="s">
        <v>396</v>
      </c>
      <c r="E134" s="742" t="s">
        <v>397</v>
      </c>
      <c r="F134" s="733"/>
      <c r="G134" s="733"/>
      <c r="H134" s="736"/>
      <c r="I134" s="742" t="s">
        <v>398</v>
      </c>
      <c r="J134" s="733"/>
      <c r="K134" s="736"/>
      <c r="L134" s="742" t="s">
        <v>399</v>
      </c>
      <c r="M134" s="733"/>
      <c r="N134" s="734"/>
    </row>
    <row r="135" spans="2:14" ht="32.25" customHeight="1" x14ac:dyDescent="0.25">
      <c r="B135" s="283">
        <v>5</v>
      </c>
      <c r="C135" s="284" t="str">
        <f>VLOOKUP(B135,Buenaventura!A9:G355,2,FALSE)</f>
        <v>CA-43</v>
      </c>
      <c r="D135" s="285">
        <f>SUM(H138:H141)</f>
        <v>12.892800000000003</v>
      </c>
      <c r="E135" s="743" t="str">
        <f>VLOOKUP(B135,Buenaventura!A9:G354,4,FALSE)</f>
        <v>M2</v>
      </c>
      <c r="F135" s="743"/>
      <c r="G135" s="743"/>
      <c r="H135" s="743"/>
      <c r="I135" s="744"/>
      <c r="J135" s="745"/>
      <c r="K135" s="741"/>
      <c r="L135" s="744"/>
      <c r="M135" s="745"/>
      <c r="N135" s="752"/>
    </row>
    <row r="136" spans="2:14" ht="14.25" customHeight="1" x14ac:dyDescent="0.25">
      <c r="B136" s="755" t="s">
        <v>416</v>
      </c>
      <c r="C136" s="733"/>
      <c r="D136" s="733"/>
      <c r="E136" s="733"/>
      <c r="F136" s="733"/>
      <c r="G136" s="733"/>
      <c r="H136" s="736"/>
      <c r="I136" s="746"/>
      <c r="J136" s="747"/>
      <c r="K136" s="748"/>
      <c r="L136" s="746"/>
      <c r="M136" s="747"/>
      <c r="N136" s="753"/>
    </row>
    <row r="137" spans="2:14" ht="14.25" customHeight="1" x14ac:dyDescent="0.25">
      <c r="B137" s="121" t="s">
        <v>400</v>
      </c>
      <c r="C137" s="122" t="s">
        <v>401</v>
      </c>
      <c r="D137" s="123" t="s">
        <v>402</v>
      </c>
      <c r="E137" s="123" t="s">
        <v>403</v>
      </c>
      <c r="F137" s="123" t="s">
        <v>404</v>
      </c>
      <c r="G137" s="123" t="s">
        <v>405</v>
      </c>
      <c r="H137" s="123" t="s">
        <v>406</v>
      </c>
      <c r="I137" s="746"/>
      <c r="J137" s="747"/>
      <c r="K137" s="748"/>
      <c r="L137" s="746"/>
      <c r="M137" s="747"/>
      <c r="N137" s="753"/>
    </row>
    <row r="138" spans="2:14" ht="14.25" customHeight="1" x14ac:dyDescent="0.25">
      <c r="B138" s="800"/>
      <c r="C138" s="125" t="s">
        <v>417</v>
      </c>
      <c r="D138" s="168">
        <v>6</v>
      </c>
      <c r="E138" s="125"/>
      <c r="F138" s="125">
        <f>1.58*1.6</f>
        <v>2.5280000000000005</v>
      </c>
      <c r="G138" s="125">
        <v>0.85</v>
      </c>
      <c r="H138" s="126">
        <f t="shared" ref="H138" si="5">D138*F138*G138</f>
        <v>12.892800000000003</v>
      </c>
      <c r="I138" s="746"/>
      <c r="J138" s="747"/>
      <c r="K138" s="748"/>
      <c r="L138" s="746"/>
      <c r="M138" s="747"/>
      <c r="N138" s="753"/>
    </row>
    <row r="139" spans="2:14" ht="14.25" customHeight="1" x14ac:dyDescent="0.25">
      <c r="B139" s="748"/>
      <c r="C139" s="125"/>
      <c r="D139" s="134"/>
      <c r="E139" s="134"/>
      <c r="F139" s="134"/>
      <c r="G139" s="134"/>
      <c r="H139" s="134"/>
      <c r="I139" s="746"/>
      <c r="J139" s="747"/>
      <c r="K139" s="748"/>
      <c r="L139" s="746"/>
      <c r="M139" s="747"/>
      <c r="N139" s="753"/>
    </row>
    <row r="140" spans="2:14" ht="14.25" customHeight="1" x14ac:dyDescent="0.25">
      <c r="B140" s="748"/>
      <c r="C140" s="125"/>
      <c r="D140" s="134"/>
      <c r="E140" s="134"/>
      <c r="F140" s="134"/>
      <c r="G140" s="134"/>
      <c r="H140" s="134"/>
      <c r="I140" s="746"/>
      <c r="J140" s="747"/>
      <c r="K140" s="748"/>
      <c r="L140" s="746"/>
      <c r="M140" s="747"/>
      <c r="N140" s="753"/>
    </row>
    <row r="141" spans="2:14" ht="14.25" customHeight="1" x14ac:dyDescent="0.25">
      <c r="B141" s="748"/>
      <c r="C141" s="125"/>
      <c r="D141" s="134"/>
      <c r="E141" s="134"/>
      <c r="F141" s="134"/>
      <c r="G141" s="134"/>
      <c r="H141" s="134"/>
      <c r="I141" s="746"/>
      <c r="J141" s="747"/>
      <c r="K141" s="748"/>
      <c r="L141" s="746"/>
      <c r="M141" s="747"/>
      <c r="N141" s="753"/>
    </row>
    <row r="142" spans="2:14" ht="14.25" customHeight="1" x14ac:dyDescent="0.25">
      <c r="B142" s="748"/>
      <c r="C142" s="125"/>
      <c r="D142" s="134"/>
      <c r="E142" s="134"/>
      <c r="F142" s="134"/>
      <c r="G142" s="134"/>
      <c r="H142" s="134"/>
      <c r="I142" s="746"/>
      <c r="J142" s="747"/>
      <c r="K142" s="748"/>
      <c r="L142" s="746"/>
      <c r="M142" s="747"/>
      <c r="N142" s="753"/>
    </row>
    <row r="143" spans="2:14" ht="14.25" customHeight="1" x14ac:dyDescent="0.25">
      <c r="B143" s="748"/>
      <c r="C143" s="125"/>
      <c r="D143" s="134"/>
      <c r="E143" s="134"/>
      <c r="F143" s="134"/>
      <c r="G143" s="134"/>
      <c r="H143" s="134"/>
      <c r="I143" s="746"/>
      <c r="J143" s="747"/>
      <c r="K143" s="748"/>
      <c r="L143" s="746"/>
      <c r="M143" s="747"/>
      <c r="N143" s="753"/>
    </row>
    <row r="144" spans="2:14" ht="14.25" customHeight="1" x14ac:dyDescent="0.25">
      <c r="B144" s="748"/>
      <c r="C144" s="125"/>
      <c r="D144" s="134"/>
      <c r="E144" s="134"/>
      <c r="F144" s="134"/>
      <c r="G144" s="134"/>
      <c r="H144" s="134"/>
      <c r="I144" s="746"/>
      <c r="J144" s="747"/>
      <c r="K144" s="748"/>
      <c r="L144" s="746"/>
      <c r="M144" s="747"/>
      <c r="N144" s="753"/>
    </row>
    <row r="145" spans="2:14" ht="14.25" customHeight="1" x14ac:dyDescent="0.25">
      <c r="B145" s="748"/>
      <c r="C145" s="125"/>
      <c r="D145" s="134"/>
      <c r="E145" s="134"/>
      <c r="F145" s="134"/>
      <c r="G145" s="134"/>
      <c r="H145" s="134"/>
      <c r="I145" s="746"/>
      <c r="J145" s="747"/>
      <c r="K145" s="748"/>
      <c r="L145" s="746"/>
      <c r="M145" s="747"/>
      <c r="N145" s="753"/>
    </row>
    <row r="146" spans="2:14" ht="14.25" customHeight="1" x14ac:dyDescent="0.25">
      <c r="B146" s="748"/>
      <c r="C146" s="125"/>
      <c r="D146" s="134"/>
      <c r="E146" s="134"/>
      <c r="F146" s="134"/>
      <c r="G146" s="134"/>
      <c r="H146" s="134"/>
      <c r="I146" s="746"/>
      <c r="J146" s="747"/>
      <c r="K146" s="748"/>
      <c r="L146" s="746"/>
      <c r="M146" s="747"/>
      <c r="N146" s="753"/>
    </row>
    <row r="147" spans="2:14" ht="14.25" customHeight="1" x14ac:dyDescent="0.25">
      <c r="B147" s="748"/>
      <c r="C147" s="125"/>
      <c r="D147" s="134"/>
      <c r="E147" s="134"/>
      <c r="F147" s="134"/>
      <c r="G147" s="134"/>
      <c r="H147" s="134"/>
      <c r="I147" s="746"/>
      <c r="J147" s="747"/>
      <c r="K147" s="748"/>
      <c r="L147" s="746"/>
      <c r="M147" s="747"/>
      <c r="N147" s="753"/>
    </row>
    <row r="148" spans="2:14" ht="14.25" customHeight="1" x14ac:dyDescent="0.25">
      <c r="B148" s="209"/>
      <c r="D148" s="128"/>
      <c r="E148" s="128"/>
      <c r="F148" s="128"/>
      <c r="G148" s="128"/>
      <c r="H148" s="128"/>
      <c r="I148" s="118"/>
      <c r="J148" s="118"/>
      <c r="K148" s="118"/>
      <c r="L148" s="118"/>
      <c r="M148" s="118"/>
      <c r="N148" s="210"/>
    </row>
    <row r="149" spans="2:14" ht="14.25" customHeight="1" x14ac:dyDescent="0.25">
      <c r="B149" s="209"/>
      <c r="C149" s="128"/>
      <c r="D149" s="128"/>
      <c r="E149" s="128"/>
      <c r="F149" s="128"/>
      <c r="G149" s="128"/>
      <c r="H149" s="128"/>
      <c r="I149" s="118"/>
      <c r="J149" s="118"/>
      <c r="K149" s="118"/>
      <c r="L149" s="118"/>
      <c r="M149" s="118"/>
      <c r="N149" s="210"/>
    </row>
    <row r="150" spans="2:14" ht="14.25" customHeight="1" x14ac:dyDescent="0.25">
      <c r="B150" s="209"/>
      <c r="C150" s="128"/>
      <c r="D150" s="128"/>
      <c r="E150" s="128"/>
      <c r="F150" s="128"/>
      <c r="G150" s="128"/>
      <c r="H150" s="128"/>
      <c r="I150" s="118"/>
      <c r="J150" s="118"/>
      <c r="K150" s="118"/>
      <c r="L150" s="118"/>
      <c r="M150" s="118"/>
      <c r="N150" s="210"/>
    </row>
    <row r="151" spans="2:14" ht="14.25" customHeight="1" x14ac:dyDescent="0.25">
      <c r="B151" s="209"/>
      <c r="C151" s="118"/>
      <c r="D151" s="118"/>
      <c r="E151" s="118"/>
      <c r="F151" s="118"/>
      <c r="G151" s="118"/>
      <c r="H151" s="118"/>
      <c r="I151" s="118"/>
      <c r="J151" s="118"/>
      <c r="K151" s="118"/>
      <c r="L151" s="118"/>
      <c r="M151" s="118"/>
      <c r="N151" s="210"/>
    </row>
    <row r="152" spans="2:14" ht="14.25" customHeight="1" x14ac:dyDescent="0.25">
      <c r="B152" s="775" t="s">
        <v>414</v>
      </c>
      <c r="C152" s="747"/>
      <c r="D152" s="747"/>
      <c r="E152" s="128"/>
      <c r="F152" s="128"/>
      <c r="G152" s="128"/>
      <c r="H152" s="128"/>
      <c r="I152" s="776"/>
      <c r="J152" s="747"/>
      <c r="K152" s="747"/>
      <c r="L152" s="118"/>
      <c r="M152" s="118"/>
      <c r="N152" s="210"/>
    </row>
    <row r="153" spans="2:14" ht="14.25" customHeight="1" thickBot="1" x14ac:dyDescent="0.3">
      <c r="B153" s="129"/>
      <c r="C153" s="130"/>
      <c r="D153" s="130"/>
      <c r="E153" s="130"/>
      <c r="F153" s="130"/>
      <c r="G153" s="130"/>
      <c r="H153" s="130"/>
      <c r="I153" s="130"/>
      <c r="J153" s="130"/>
      <c r="K153" s="130"/>
      <c r="L153" s="130"/>
      <c r="M153" s="130"/>
      <c r="N153" s="131"/>
    </row>
    <row r="154" spans="2:14" ht="14.25" customHeight="1" thickBot="1" x14ac:dyDescent="0.3">
      <c r="B154" s="232"/>
      <c r="C154" s="232"/>
      <c r="D154" s="232"/>
      <c r="E154" s="232"/>
      <c r="F154" s="232"/>
      <c r="G154" s="232"/>
      <c r="H154" s="232"/>
      <c r="I154" s="232"/>
      <c r="J154" s="232"/>
      <c r="K154" s="232"/>
      <c r="L154" s="232"/>
      <c r="M154" s="232"/>
      <c r="N154" s="232"/>
    </row>
    <row r="155" spans="2:14" ht="40.9" customHeight="1" x14ac:dyDescent="0.25">
      <c r="B155" s="728"/>
      <c r="C155" s="729"/>
      <c r="D155" s="730" t="s">
        <v>393</v>
      </c>
      <c r="E155" s="729"/>
      <c r="F155" s="729"/>
      <c r="G155" s="729"/>
      <c r="H155" s="729"/>
      <c r="I155" s="729"/>
      <c r="J155" s="729"/>
      <c r="K155" s="729"/>
      <c r="L155" s="729"/>
      <c r="M155" s="729"/>
      <c r="N155" s="731"/>
    </row>
    <row r="156" spans="2:14" ht="14.25" customHeight="1" x14ac:dyDescent="0.25">
      <c r="B156" s="732" t="s">
        <v>394</v>
      </c>
      <c r="C156" s="733"/>
      <c r="D156" s="733"/>
      <c r="E156" s="733"/>
      <c r="F156" s="733"/>
      <c r="G156" s="733"/>
      <c r="H156" s="733"/>
      <c r="I156" s="733"/>
      <c r="J156" s="733"/>
      <c r="K156" s="733"/>
      <c r="L156" s="733"/>
      <c r="M156" s="733"/>
      <c r="N156" s="734"/>
    </row>
    <row r="157" spans="2:14" ht="51.6" customHeight="1" x14ac:dyDescent="0.25">
      <c r="B157" s="735" t="s">
        <v>395</v>
      </c>
      <c r="C157" s="736"/>
      <c r="D157" s="737" t="str">
        <f>VLOOKUP(B159,Buenaventura!A9:G379,3,FALSE)</f>
        <v>Suministro, fabricación e instalación de pasamanos en madera Chanul o choibá maciza inmunizada, sección semitubular  0,10 x 0,10 con barniz y pintura poliuretano diseño y color similiar al existente ,   incluye soporte de fijación en muro, tornilleria y todo lo necesario para su correcta instalación</v>
      </c>
      <c r="E157" s="738"/>
      <c r="F157" s="738"/>
      <c r="G157" s="738"/>
      <c r="H157" s="738"/>
      <c r="I157" s="738"/>
      <c r="J157" s="738"/>
      <c r="K157" s="738"/>
      <c r="L157" s="738"/>
      <c r="M157" s="738"/>
      <c r="N157" s="739"/>
    </row>
    <row r="158" spans="2:14" ht="14.25" customHeight="1" x14ac:dyDescent="0.25">
      <c r="B158" s="740" t="s">
        <v>26</v>
      </c>
      <c r="C158" s="741"/>
      <c r="D158" s="119" t="s">
        <v>396</v>
      </c>
      <c r="E158" s="742" t="s">
        <v>397</v>
      </c>
      <c r="F158" s="733"/>
      <c r="G158" s="733"/>
      <c r="H158" s="736"/>
      <c r="I158" s="742" t="s">
        <v>398</v>
      </c>
      <c r="J158" s="733"/>
      <c r="K158" s="736"/>
      <c r="L158" s="742" t="s">
        <v>399</v>
      </c>
      <c r="M158" s="733"/>
      <c r="N158" s="734"/>
    </row>
    <row r="159" spans="2:14" ht="14.25" customHeight="1" x14ac:dyDescent="0.25">
      <c r="B159" s="283">
        <v>6</v>
      </c>
      <c r="C159" s="284" t="str">
        <f>VLOOKUP(B159,Buenaventura!A9:G379,2,FALSE)</f>
        <v>CA-44</v>
      </c>
      <c r="D159" s="285">
        <f>SUM(H162:H177)</f>
        <v>55.100000000000016</v>
      </c>
      <c r="E159" s="743" t="str">
        <f>VLOOKUP(B159,Buenaventura!A9:G378,4,FALSE)</f>
        <v>ML</v>
      </c>
      <c r="F159" s="743"/>
      <c r="G159" s="743"/>
      <c r="H159" s="743"/>
      <c r="I159" s="744"/>
      <c r="J159" s="745"/>
      <c r="K159" s="741"/>
      <c r="L159" s="744"/>
      <c r="M159" s="745"/>
      <c r="N159" s="752"/>
    </row>
    <row r="160" spans="2:14" ht="14.25" customHeight="1" x14ac:dyDescent="0.25">
      <c r="B160" s="755" t="s">
        <v>416</v>
      </c>
      <c r="C160" s="733"/>
      <c r="D160" s="733"/>
      <c r="E160" s="733"/>
      <c r="F160" s="733"/>
      <c r="G160" s="733"/>
      <c r="H160" s="736"/>
      <c r="I160" s="746"/>
      <c r="J160" s="747"/>
      <c r="K160" s="748"/>
      <c r="L160" s="746"/>
      <c r="M160" s="747"/>
      <c r="N160" s="753"/>
    </row>
    <row r="161" spans="2:14" ht="14.25" customHeight="1" x14ac:dyDescent="0.25">
      <c r="B161" s="121" t="s">
        <v>400</v>
      </c>
      <c r="C161" s="122" t="s">
        <v>401</v>
      </c>
      <c r="D161" s="123" t="s">
        <v>402</v>
      </c>
      <c r="E161" s="123" t="s">
        <v>403</v>
      </c>
      <c r="F161" s="123" t="s">
        <v>404</v>
      </c>
      <c r="G161" s="123" t="s">
        <v>405</v>
      </c>
      <c r="H161" s="123" t="s">
        <v>406</v>
      </c>
      <c r="I161" s="746"/>
      <c r="J161" s="747"/>
      <c r="K161" s="748"/>
      <c r="L161" s="746"/>
      <c r="M161" s="747"/>
      <c r="N161" s="753"/>
    </row>
    <row r="162" spans="2:14" ht="14.25" customHeight="1" x14ac:dyDescent="0.25">
      <c r="B162" s="800"/>
      <c r="C162" s="759" t="s">
        <v>408</v>
      </c>
      <c r="D162" s="168">
        <v>2</v>
      </c>
      <c r="E162" s="125"/>
      <c r="F162" s="125">
        <f>1.36*1.6</f>
        <v>2.1760000000000002</v>
      </c>
      <c r="G162" s="125"/>
      <c r="H162" s="126">
        <f>D162*F162</f>
        <v>4.3520000000000003</v>
      </c>
      <c r="I162" s="746"/>
      <c r="J162" s="747"/>
      <c r="K162" s="748"/>
      <c r="L162" s="746"/>
      <c r="M162" s="747"/>
      <c r="N162" s="753"/>
    </row>
    <row r="163" spans="2:14" ht="13.9" customHeight="1" x14ac:dyDescent="0.25">
      <c r="B163" s="748"/>
      <c r="C163" s="759"/>
      <c r="D163" s="168">
        <v>1</v>
      </c>
      <c r="E163" s="125"/>
      <c r="F163" s="125">
        <v>4</v>
      </c>
      <c r="G163" s="125"/>
      <c r="H163" s="126">
        <f t="shared" ref="H163:H177" si="6">D163*F163</f>
        <v>4</v>
      </c>
      <c r="I163" s="746"/>
      <c r="J163" s="747"/>
      <c r="K163" s="748"/>
      <c r="L163" s="746"/>
      <c r="M163" s="747"/>
      <c r="N163" s="753"/>
    </row>
    <row r="164" spans="2:14" ht="13.9" customHeight="1" x14ac:dyDescent="0.25">
      <c r="B164" s="748"/>
      <c r="C164" s="759"/>
      <c r="D164" s="168">
        <v>2</v>
      </c>
      <c r="E164" s="125"/>
      <c r="F164" s="125">
        <f>3*1.6</f>
        <v>4.8000000000000007</v>
      </c>
      <c r="G164" s="125"/>
      <c r="H164" s="126">
        <f t="shared" si="6"/>
        <v>9.6000000000000014</v>
      </c>
      <c r="I164" s="746"/>
      <c r="J164" s="747"/>
      <c r="K164" s="748"/>
      <c r="L164" s="746"/>
      <c r="M164" s="747"/>
      <c r="N164" s="753"/>
    </row>
    <row r="165" spans="2:14" ht="13.9" customHeight="1" x14ac:dyDescent="0.25">
      <c r="B165" s="748"/>
      <c r="C165" s="756" t="s">
        <v>409</v>
      </c>
      <c r="D165" s="168">
        <v>1</v>
      </c>
      <c r="E165" s="125"/>
      <c r="F165" s="125">
        <f>1.53*1.6</f>
        <v>2.4480000000000004</v>
      </c>
      <c r="G165" s="125"/>
      <c r="H165" s="126">
        <f t="shared" si="6"/>
        <v>2.4480000000000004</v>
      </c>
      <c r="I165" s="746"/>
      <c r="J165" s="747"/>
      <c r="K165" s="748"/>
      <c r="L165" s="746"/>
      <c r="M165" s="747"/>
      <c r="N165" s="753"/>
    </row>
    <row r="166" spans="2:14" ht="13.9" customHeight="1" x14ac:dyDescent="0.25">
      <c r="B166" s="748"/>
      <c r="C166" s="757"/>
      <c r="D166" s="168">
        <v>1</v>
      </c>
      <c r="E166" s="125"/>
      <c r="F166" s="125">
        <f>1.58*1.6</f>
        <v>2.5280000000000005</v>
      </c>
      <c r="G166" s="125"/>
      <c r="H166" s="126">
        <f t="shared" si="6"/>
        <v>2.5280000000000005</v>
      </c>
      <c r="I166" s="746"/>
      <c r="J166" s="747"/>
      <c r="K166" s="748"/>
      <c r="L166" s="746"/>
      <c r="M166" s="747"/>
      <c r="N166" s="753"/>
    </row>
    <row r="167" spans="2:14" ht="13.9" customHeight="1" x14ac:dyDescent="0.25">
      <c r="B167" s="748"/>
      <c r="C167" s="758"/>
      <c r="D167" s="168">
        <v>1</v>
      </c>
      <c r="E167" s="125"/>
      <c r="F167" s="125">
        <f>1.2*1.6</f>
        <v>1.92</v>
      </c>
      <c r="G167" s="125"/>
      <c r="H167" s="126">
        <f t="shared" si="6"/>
        <v>1.92</v>
      </c>
      <c r="I167" s="746"/>
      <c r="J167" s="747"/>
      <c r="K167" s="748"/>
      <c r="L167" s="746"/>
      <c r="M167" s="747"/>
      <c r="N167" s="753"/>
    </row>
    <row r="168" spans="2:14" ht="13.9" customHeight="1" x14ac:dyDescent="0.25">
      <c r="B168" s="748"/>
      <c r="C168" s="756" t="s">
        <v>410</v>
      </c>
      <c r="D168" s="168">
        <v>1</v>
      </c>
      <c r="E168" s="125"/>
      <c r="F168" s="125">
        <f>1.53*1.6</f>
        <v>2.4480000000000004</v>
      </c>
      <c r="G168" s="125"/>
      <c r="H168" s="126">
        <f t="shared" si="6"/>
        <v>2.4480000000000004</v>
      </c>
      <c r="I168" s="746"/>
      <c r="J168" s="747"/>
      <c r="K168" s="748"/>
      <c r="L168" s="746"/>
      <c r="M168" s="747"/>
      <c r="N168" s="753"/>
    </row>
    <row r="169" spans="2:14" ht="13.9" customHeight="1" x14ac:dyDescent="0.25">
      <c r="B169" s="748"/>
      <c r="C169" s="757"/>
      <c r="D169" s="168">
        <v>1</v>
      </c>
      <c r="E169" s="125"/>
      <c r="F169" s="125">
        <f>1.58*1.6</f>
        <v>2.5280000000000005</v>
      </c>
      <c r="G169" s="125"/>
      <c r="H169" s="126">
        <f t="shared" si="6"/>
        <v>2.5280000000000005</v>
      </c>
      <c r="I169" s="746"/>
      <c r="J169" s="747"/>
      <c r="K169" s="748"/>
      <c r="L169" s="746"/>
      <c r="M169" s="747"/>
      <c r="N169" s="753"/>
    </row>
    <row r="170" spans="2:14" ht="13.9" customHeight="1" x14ac:dyDescent="0.25">
      <c r="B170" s="748"/>
      <c r="C170" s="758"/>
      <c r="D170" s="168">
        <v>1</v>
      </c>
      <c r="E170" s="125"/>
      <c r="F170" s="125">
        <f>1.2*1.6</f>
        <v>1.92</v>
      </c>
      <c r="G170" s="125"/>
      <c r="H170" s="126">
        <f t="shared" si="6"/>
        <v>1.92</v>
      </c>
      <c r="I170" s="746"/>
      <c r="J170" s="747"/>
      <c r="K170" s="748"/>
      <c r="L170" s="746"/>
      <c r="M170" s="747"/>
      <c r="N170" s="753"/>
    </row>
    <row r="171" spans="2:14" ht="13.9" customHeight="1" x14ac:dyDescent="0.25">
      <c r="B171" s="748"/>
      <c r="C171" s="760" t="s">
        <v>411</v>
      </c>
      <c r="D171" s="125">
        <v>1</v>
      </c>
      <c r="E171" s="125"/>
      <c r="F171" s="125">
        <v>1.1399999999999999</v>
      </c>
      <c r="G171" s="125"/>
      <c r="H171" s="126">
        <f t="shared" si="6"/>
        <v>1.1399999999999999</v>
      </c>
      <c r="I171" s="746"/>
      <c r="J171" s="747"/>
      <c r="K171" s="748"/>
      <c r="L171" s="746"/>
      <c r="M171" s="747"/>
      <c r="N171" s="753"/>
    </row>
    <row r="172" spans="2:14" ht="13.9" customHeight="1" x14ac:dyDescent="0.25">
      <c r="B172" s="748"/>
      <c r="C172" s="761"/>
      <c r="D172" s="168">
        <v>1</v>
      </c>
      <c r="E172" s="125"/>
      <c r="F172" s="125">
        <f>2.2*1.6</f>
        <v>3.5200000000000005</v>
      </c>
      <c r="G172" s="125"/>
      <c r="H172" s="126">
        <f t="shared" si="6"/>
        <v>3.5200000000000005</v>
      </c>
      <c r="I172" s="746"/>
      <c r="J172" s="747"/>
      <c r="K172" s="748"/>
      <c r="L172" s="746"/>
      <c r="M172" s="747"/>
      <c r="N172" s="753"/>
    </row>
    <row r="173" spans="2:14" ht="13.9" customHeight="1" x14ac:dyDescent="0.25">
      <c r="B173" s="748"/>
      <c r="C173" s="756" t="s">
        <v>412</v>
      </c>
      <c r="D173" s="168">
        <v>1</v>
      </c>
      <c r="E173" s="125"/>
      <c r="F173" s="125">
        <f>1.53*1.6</f>
        <v>2.4480000000000004</v>
      </c>
      <c r="G173" s="125"/>
      <c r="H173" s="126">
        <f t="shared" si="6"/>
        <v>2.4480000000000004</v>
      </c>
      <c r="I173" s="746"/>
      <c r="J173" s="747"/>
      <c r="K173" s="748"/>
      <c r="L173" s="746"/>
      <c r="M173" s="747"/>
      <c r="N173" s="753"/>
    </row>
    <row r="174" spans="2:14" ht="13.9" customHeight="1" x14ac:dyDescent="0.25">
      <c r="B174" s="748"/>
      <c r="C174" s="757"/>
      <c r="D174" s="168">
        <v>1</v>
      </c>
      <c r="E174" s="125"/>
      <c r="F174" s="125">
        <f>1.58*1.6</f>
        <v>2.5280000000000005</v>
      </c>
      <c r="G174" s="125"/>
      <c r="H174" s="126">
        <f t="shared" si="6"/>
        <v>2.5280000000000005</v>
      </c>
      <c r="I174" s="746"/>
      <c r="J174" s="747"/>
      <c r="K174" s="748"/>
      <c r="L174" s="746"/>
      <c r="M174" s="747"/>
      <c r="N174" s="753"/>
    </row>
    <row r="175" spans="2:14" ht="13.9" customHeight="1" x14ac:dyDescent="0.25">
      <c r="B175" s="748"/>
      <c r="C175" s="758"/>
      <c r="D175" s="168">
        <v>1</v>
      </c>
      <c r="E175" s="125"/>
      <c r="F175" s="125">
        <f>1.2*1.6</f>
        <v>1.92</v>
      </c>
      <c r="G175" s="125"/>
      <c r="H175" s="126">
        <f t="shared" si="6"/>
        <v>1.92</v>
      </c>
      <c r="I175" s="746"/>
      <c r="J175" s="747"/>
      <c r="K175" s="748"/>
      <c r="L175" s="746"/>
      <c r="M175" s="747"/>
      <c r="N175" s="753"/>
    </row>
    <row r="176" spans="2:14" ht="13.9" customHeight="1" x14ac:dyDescent="0.25">
      <c r="B176" s="748"/>
      <c r="C176" s="151" t="s">
        <v>413</v>
      </c>
      <c r="D176" s="125">
        <v>2</v>
      </c>
      <c r="E176" s="125"/>
      <c r="F176" s="125">
        <f>3*1.6</f>
        <v>4.8000000000000007</v>
      </c>
      <c r="G176" s="125"/>
      <c r="H176" s="126">
        <f t="shared" si="6"/>
        <v>9.6000000000000014</v>
      </c>
      <c r="I176" s="746"/>
      <c r="J176" s="747"/>
      <c r="K176" s="748"/>
      <c r="L176" s="746"/>
      <c r="M176" s="747"/>
      <c r="N176" s="753"/>
    </row>
    <row r="177" spans="2:14" ht="13.9" customHeight="1" x14ac:dyDescent="0.25">
      <c r="B177" s="748"/>
      <c r="C177" s="125"/>
      <c r="D177" s="125">
        <v>1</v>
      </c>
      <c r="E177" s="125"/>
      <c r="F177" s="125">
        <v>2.2000000000000002</v>
      </c>
      <c r="G177" s="125"/>
      <c r="H177" s="126">
        <f t="shared" si="6"/>
        <v>2.2000000000000002</v>
      </c>
      <c r="I177" s="746"/>
      <c r="J177" s="747"/>
      <c r="K177" s="748"/>
      <c r="L177" s="746"/>
      <c r="M177" s="747"/>
      <c r="N177" s="753"/>
    </row>
    <row r="178" spans="2:14" ht="14.25" customHeight="1" x14ac:dyDescent="0.25">
      <c r="B178" s="748"/>
      <c r="C178" s="125"/>
      <c r="D178" s="134"/>
      <c r="E178" s="134"/>
      <c r="F178" s="134"/>
      <c r="G178" s="134"/>
      <c r="H178" s="134"/>
      <c r="I178" s="746"/>
      <c r="J178" s="747"/>
      <c r="K178" s="748"/>
      <c r="L178" s="746"/>
      <c r="M178" s="747"/>
      <c r="N178" s="753"/>
    </row>
    <row r="179" spans="2:14" ht="14.25" customHeight="1" x14ac:dyDescent="0.25">
      <c r="B179" s="209"/>
      <c r="D179" s="128"/>
      <c r="E179" s="128"/>
      <c r="F179" s="128"/>
      <c r="G179" s="128"/>
      <c r="H179" s="128"/>
      <c r="I179" s="118"/>
      <c r="J179" s="118"/>
      <c r="K179" s="118"/>
      <c r="L179" s="118"/>
      <c r="M179" s="118"/>
      <c r="N179" s="210"/>
    </row>
    <row r="180" spans="2:14" ht="14.25" customHeight="1" x14ac:dyDescent="0.25">
      <c r="B180" s="209"/>
      <c r="C180" s="128"/>
      <c r="D180" s="128"/>
      <c r="E180" s="128"/>
      <c r="F180" s="128"/>
      <c r="G180" s="128"/>
      <c r="H180" s="128"/>
      <c r="I180" s="118"/>
      <c r="J180" s="118"/>
      <c r="K180" s="118"/>
      <c r="L180" s="118"/>
      <c r="M180" s="118"/>
      <c r="N180" s="210"/>
    </row>
    <row r="181" spans="2:14" ht="14.25" customHeight="1" x14ac:dyDescent="0.25">
      <c r="B181" s="209"/>
      <c r="C181" s="128"/>
      <c r="D181" s="128"/>
      <c r="E181" s="128"/>
      <c r="F181" s="128"/>
      <c r="G181" s="128"/>
      <c r="H181" s="128"/>
      <c r="I181" s="118"/>
      <c r="J181" s="118"/>
      <c r="K181" s="118"/>
      <c r="L181" s="118"/>
      <c r="M181" s="118"/>
      <c r="N181" s="210"/>
    </row>
    <row r="182" spans="2:14" ht="14.25" customHeight="1" x14ac:dyDescent="0.25">
      <c r="B182" s="209"/>
      <c r="C182" s="118"/>
      <c r="D182" s="118"/>
      <c r="E182" s="118"/>
      <c r="F182" s="118"/>
      <c r="G182" s="118"/>
      <c r="H182" s="118"/>
      <c r="I182" s="118"/>
      <c r="J182" s="118"/>
      <c r="K182" s="118"/>
      <c r="L182" s="118"/>
      <c r="M182" s="118"/>
      <c r="N182" s="210"/>
    </row>
    <row r="183" spans="2:14" ht="14.25" customHeight="1" x14ac:dyDescent="0.25">
      <c r="B183" s="775" t="s">
        <v>414</v>
      </c>
      <c r="C183" s="747"/>
      <c r="D183" s="747"/>
      <c r="E183" s="128"/>
      <c r="F183" s="128"/>
      <c r="G183" s="128"/>
      <c r="H183" s="128"/>
      <c r="I183" s="776"/>
      <c r="J183" s="747"/>
      <c r="K183" s="747"/>
      <c r="L183" s="118"/>
      <c r="M183" s="118"/>
      <c r="N183" s="210"/>
    </row>
    <row r="184" spans="2:14" ht="14.25" customHeight="1" thickBot="1" x14ac:dyDescent="0.3">
      <c r="B184" s="129"/>
      <c r="C184" s="130"/>
      <c r="D184" s="130"/>
      <c r="E184" s="130"/>
      <c r="F184" s="130"/>
      <c r="G184" s="130"/>
      <c r="H184" s="130"/>
      <c r="I184" s="130"/>
      <c r="J184" s="130"/>
      <c r="K184" s="130"/>
      <c r="L184" s="130"/>
      <c r="M184" s="130"/>
      <c r="N184" s="131"/>
    </row>
    <row r="185" spans="2:14" ht="13.9" customHeight="1" thickBot="1" x14ac:dyDescent="0.3">
      <c r="B185" s="232"/>
      <c r="C185" s="232"/>
      <c r="D185" s="232"/>
      <c r="E185" s="232"/>
      <c r="F185" s="232"/>
      <c r="G185" s="232"/>
      <c r="H185" s="232"/>
      <c r="I185" s="232"/>
      <c r="J185" s="232"/>
      <c r="K185" s="232"/>
      <c r="L185" s="232"/>
      <c r="M185" s="232"/>
      <c r="N185" s="232"/>
    </row>
    <row r="186" spans="2:14" ht="36" customHeight="1" x14ac:dyDescent="0.25">
      <c r="B186" s="728"/>
      <c r="C186" s="729"/>
      <c r="D186" s="730" t="s">
        <v>393</v>
      </c>
      <c r="E186" s="729"/>
      <c r="F186" s="729"/>
      <c r="G186" s="729"/>
      <c r="H186" s="729"/>
      <c r="I186" s="729"/>
      <c r="J186" s="729"/>
      <c r="K186" s="729"/>
      <c r="L186" s="729"/>
      <c r="M186" s="729"/>
      <c r="N186" s="731"/>
    </row>
    <row r="187" spans="2:14" ht="14.25" customHeight="1" x14ac:dyDescent="0.25">
      <c r="B187" s="732" t="s">
        <v>394</v>
      </c>
      <c r="C187" s="733"/>
      <c r="D187" s="733"/>
      <c r="E187" s="733"/>
      <c r="F187" s="733"/>
      <c r="G187" s="733"/>
      <c r="H187" s="733"/>
      <c r="I187" s="733"/>
      <c r="J187" s="733"/>
      <c r="K187" s="733"/>
      <c r="L187" s="733"/>
      <c r="M187" s="733"/>
      <c r="N187" s="734"/>
    </row>
    <row r="188" spans="2:14" ht="51.6" customHeight="1" x14ac:dyDescent="0.25">
      <c r="B188" s="735" t="s">
        <v>395</v>
      </c>
      <c r="C188" s="736"/>
      <c r="D188" s="737" t="str">
        <f>VLOOKUP(B190,Buenaventura!A9:G379,3,FALSE)</f>
        <v>Desmonte de reja metalica incluye retiro y disposicion final en centro de acopio certificado</v>
      </c>
      <c r="E188" s="738"/>
      <c r="F188" s="738"/>
      <c r="G188" s="738"/>
      <c r="H188" s="738"/>
      <c r="I188" s="738"/>
      <c r="J188" s="738"/>
      <c r="K188" s="738"/>
      <c r="L188" s="738"/>
      <c r="M188" s="738"/>
      <c r="N188" s="739"/>
    </row>
    <row r="189" spans="2:14" ht="14.25" customHeight="1" x14ac:dyDescent="0.25">
      <c r="B189" s="740" t="s">
        <v>26</v>
      </c>
      <c r="C189" s="741"/>
      <c r="D189" s="119" t="s">
        <v>396</v>
      </c>
      <c r="E189" s="742" t="s">
        <v>397</v>
      </c>
      <c r="F189" s="733"/>
      <c r="G189" s="733"/>
      <c r="H189" s="736"/>
      <c r="I189" s="742" t="s">
        <v>398</v>
      </c>
      <c r="J189" s="733"/>
      <c r="K189" s="736"/>
      <c r="L189" s="742" t="s">
        <v>399</v>
      </c>
      <c r="M189" s="733"/>
      <c r="N189" s="734"/>
    </row>
    <row r="190" spans="2:14" ht="14.25" customHeight="1" x14ac:dyDescent="0.25">
      <c r="B190" s="283">
        <v>7</v>
      </c>
      <c r="C190" s="284" t="str">
        <f>VLOOKUP(B190,Buenaventura!A9:G379,2,FALSE)</f>
        <v>PR-48</v>
      </c>
      <c r="D190" s="285">
        <f>SUM(H193:H196)</f>
        <v>47.64</v>
      </c>
      <c r="E190" s="743" t="str">
        <f>VLOOKUP(B190,Buenaventura!A9:G378,4,FALSE)</f>
        <v>M2</v>
      </c>
      <c r="F190" s="743"/>
      <c r="G190" s="743"/>
      <c r="H190" s="743"/>
      <c r="I190" s="744"/>
      <c r="J190" s="745"/>
      <c r="K190" s="741"/>
      <c r="L190" s="744"/>
      <c r="M190" s="745"/>
      <c r="N190" s="752"/>
    </row>
    <row r="191" spans="2:14" ht="14.25" customHeight="1" x14ac:dyDescent="0.25">
      <c r="B191" s="755" t="s">
        <v>416</v>
      </c>
      <c r="C191" s="733"/>
      <c r="D191" s="733"/>
      <c r="E191" s="733"/>
      <c r="F191" s="733"/>
      <c r="G191" s="733"/>
      <c r="H191" s="736"/>
      <c r="I191" s="746"/>
      <c r="J191" s="747"/>
      <c r="K191" s="748"/>
      <c r="L191" s="746"/>
      <c r="M191" s="747"/>
      <c r="N191" s="753"/>
    </row>
    <row r="192" spans="2:14" ht="14.25" customHeight="1" x14ac:dyDescent="0.25">
      <c r="B192" s="121" t="s">
        <v>400</v>
      </c>
      <c r="C192" s="122" t="s">
        <v>401</v>
      </c>
      <c r="D192" s="123" t="s">
        <v>402</v>
      </c>
      <c r="E192" s="123" t="s">
        <v>403</v>
      </c>
      <c r="F192" s="123" t="s">
        <v>404</v>
      </c>
      <c r="G192" s="123" t="s">
        <v>405</v>
      </c>
      <c r="H192" s="123" t="s">
        <v>406</v>
      </c>
      <c r="I192" s="746"/>
      <c r="J192" s="747"/>
      <c r="K192" s="748"/>
      <c r="L192" s="746"/>
      <c r="M192" s="747"/>
      <c r="N192" s="753"/>
    </row>
    <row r="193" spans="2:14" ht="14.25" customHeight="1" x14ac:dyDescent="0.25">
      <c r="B193" s="266"/>
      <c r="C193" s="336" t="s">
        <v>418</v>
      </c>
      <c r="D193" s="168">
        <v>8</v>
      </c>
      <c r="E193" s="125">
        <v>2.2999999999999998</v>
      </c>
      <c r="F193" s="126"/>
      <c r="G193" s="125">
        <v>1.5</v>
      </c>
      <c r="H193" s="126">
        <f>D193*E193*G193</f>
        <v>27.599999999999998</v>
      </c>
      <c r="I193" s="746"/>
      <c r="J193" s="747"/>
      <c r="K193" s="748"/>
      <c r="L193" s="746"/>
      <c r="M193" s="747"/>
      <c r="N193" s="753"/>
    </row>
    <row r="194" spans="2:14" ht="14.25" customHeight="1" x14ac:dyDescent="0.25">
      <c r="B194" s="264"/>
      <c r="C194" s="336"/>
      <c r="D194" s="168"/>
      <c r="E194" s="125"/>
      <c r="F194" s="125"/>
      <c r="G194" s="125"/>
      <c r="H194" s="126"/>
      <c r="I194" s="746"/>
      <c r="J194" s="747"/>
      <c r="K194" s="748"/>
      <c r="L194" s="746"/>
      <c r="M194" s="747"/>
      <c r="N194" s="753"/>
    </row>
    <row r="195" spans="2:14" ht="14.25" customHeight="1" x14ac:dyDescent="0.25">
      <c r="B195" s="264"/>
      <c r="C195" s="336" t="s">
        <v>419</v>
      </c>
      <c r="D195" s="168">
        <v>1</v>
      </c>
      <c r="E195" s="125">
        <v>3.34</v>
      </c>
      <c r="F195" s="125"/>
      <c r="G195" s="125">
        <v>6</v>
      </c>
      <c r="H195" s="126">
        <f t="shared" ref="H195" si="7">D195*E195*G195</f>
        <v>20.04</v>
      </c>
      <c r="I195" s="746"/>
      <c r="J195" s="747"/>
      <c r="K195" s="748"/>
      <c r="L195" s="746"/>
      <c r="M195" s="747"/>
      <c r="N195" s="753"/>
    </row>
    <row r="196" spans="2:14" ht="14.25" customHeight="1" x14ac:dyDescent="0.25">
      <c r="B196" s="264"/>
      <c r="C196" s="336"/>
      <c r="D196" s="168"/>
      <c r="E196" s="125"/>
      <c r="F196" s="125"/>
      <c r="G196" s="125"/>
      <c r="H196" s="126"/>
      <c r="I196" s="746"/>
      <c r="J196" s="747"/>
      <c r="K196" s="748"/>
      <c r="L196" s="746"/>
      <c r="M196" s="747"/>
      <c r="N196" s="753"/>
    </row>
    <row r="197" spans="2:14" ht="14.25" customHeight="1" x14ac:dyDescent="0.25">
      <c r="B197" s="264"/>
      <c r="C197" s="125"/>
      <c r="D197" s="168"/>
      <c r="E197" s="125"/>
      <c r="F197" s="125"/>
      <c r="G197" s="125"/>
      <c r="H197" s="126"/>
      <c r="I197" s="746"/>
      <c r="J197" s="747"/>
      <c r="K197" s="748"/>
      <c r="L197" s="746"/>
      <c r="M197" s="747"/>
      <c r="N197" s="753"/>
    </row>
    <row r="198" spans="2:14" ht="14.25" customHeight="1" x14ac:dyDescent="0.25">
      <c r="B198" s="264"/>
      <c r="C198" s="125"/>
      <c r="D198" s="134"/>
      <c r="E198" s="134"/>
      <c r="F198" s="134"/>
      <c r="G198" s="134"/>
      <c r="H198" s="134"/>
      <c r="I198" s="746"/>
      <c r="J198" s="747"/>
      <c r="K198" s="748"/>
      <c r="L198" s="746"/>
      <c r="M198" s="747"/>
      <c r="N198" s="753"/>
    </row>
    <row r="199" spans="2:14" ht="14.25" customHeight="1" x14ac:dyDescent="0.25">
      <c r="B199" s="264"/>
      <c r="D199" s="134"/>
      <c r="E199" s="134"/>
      <c r="F199" s="134"/>
      <c r="G199" s="134"/>
      <c r="H199" s="134"/>
      <c r="I199" s="746"/>
      <c r="J199" s="747"/>
      <c r="K199" s="748"/>
      <c r="L199" s="746"/>
      <c r="M199" s="747"/>
      <c r="N199" s="753"/>
    </row>
    <row r="200" spans="2:14" ht="14.25" customHeight="1" x14ac:dyDescent="0.25">
      <c r="B200" s="264"/>
      <c r="C200" s="125"/>
      <c r="D200" s="134"/>
      <c r="E200" s="134"/>
      <c r="F200" s="134"/>
      <c r="G200" s="134"/>
      <c r="H200" s="134"/>
      <c r="I200" s="746"/>
      <c r="J200" s="747"/>
      <c r="K200" s="748"/>
      <c r="L200" s="746"/>
      <c r="M200" s="747"/>
      <c r="N200" s="753"/>
    </row>
    <row r="201" spans="2:14" ht="14.25" customHeight="1" x14ac:dyDescent="0.25">
      <c r="B201" s="264"/>
      <c r="C201" s="125"/>
      <c r="D201" s="134"/>
      <c r="E201" s="134"/>
      <c r="F201" s="134"/>
      <c r="G201" s="134"/>
      <c r="H201" s="134"/>
      <c r="I201" s="746"/>
      <c r="J201" s="747"/>
      <c r="K201" s="748"/>
      <c r="L201" s="746"/>
      <c r="M201" s="747"/>
      <c r="N201" s="753"/>
    </row>
    <row r="202" spans="2:14" ht="14.25" customHeight="1" x14ac:dyDescent="0.25">
      <c r="B202" s="264"/>
      <c r="C202" s="125"/>
      <c r="D202" s="134"/>
      <c r="E202" s="134"/>
      <c r="F202" s="134"/>
      <c r="G202" s="134"/>
      <c r="H202" s="134"/>
      <c r="I202" s="746"/>
      <c r="J202" s="747"/>
      <c r="K202" s="748"/>
      <c r="L202" s="746"/>
      <c r="M202" s="747"/>
      <c r="N202" s="753"/>
    </row>
    <row r="203" spans="2:14" ht="14.25" customHeight="1" x14ac:dyDescent="0.25">
      <c r="B203" s="265"/>
      <c r="C203" s="125"/>
      <c r="D203" s="134"/>
      <c r="E203" s="134"/>
      <c r="F203" s="134"/>
      <c r="G203" s="134"/>
      <c r="H203" s="134"/>
      <c r="I203" s="746"/>
      <c r="J203" s="747"/>
      <c r="K203" s="748"/>
      <c r="L203" s="746"/>
      <c r="M203" s="747"/>
      <c r="N203" s="753"/>
    </row>
    <row r="204" spans="2:14" ht="14.25" customHeight="1" x14ac:dyDescent="0.25">
      <c r="B204" s="266"/>
      <c r="C204" s="125"/>
      <c r="D204" s="134"/>
      <c r="E204" s="134"/>
      <c r="F204" s="134"/>
      <c r="G204" s="134"/>
      <c r="H204" s="134"/>
      <c r="I204" s="746"/>
      <c r="J204" s="747"/>
      <c r="K204" s="748"/>
      <c r="L204" s="746"/>
      <c r="M204" s="747"/>
      <c r="N204" s="753"/>
    </row>
    <row r="205" spans="2:14" ht="14.25" customHeight="1" x14ac:dyDescent="0.25">
      <c r="B205" s="264"/>
      <c r="C205" s="125"/>
      <c r="D205" s="134"/>
      <c r="E205" s="134"/>
      <c r="F205" s="134"/>
      <c r="G205" s="134"/>
      <c r="H205" s="134"/>
      <c r="I205" s="746"/>
      <c r="J205" s="747"/>
      <c r="K205" s="748"/>
      <c r="L205" s="746"/>
      <c r="M205" s="747"/>
      <c r="N205" s="753"/>
    </row>
    <row r="206" spans="2:14" ht="14.25" customHeight="1" x14ac:dyDescent="0.25">
      <c r="B206" s="264"/>
      <c r="C206" s="125"/>
      <c r="D206" s="134"/>
      <c r="E206" s="134"/>
      <c r="F206" s="134"/>
      <c r="G206" s="134"/>
      <c r="H206" s="134"/>
      <c r="I206" s="746"/>
      <c r="J206" s="747"/>
      <c r="K206" s="748"/>
      <c r="L206" s="746"/>
      <c r="M206" s="747"/>
      <c r="N206" s="753"/>
    </row>
    <row r="207" spans="2:14" ht="14.25" customHeight="1" x14ac:dyDescent="0.25">
      <c r="B207" s="264"/>
      <c r="C207" s="125"/>
      <c r="D207" s="134"/>
      <c r="E207" s="134"/>
      <c r="F207" s="134"/>
      <c r="G207" s="134"/>
      <c r="H207" s="134"/>
      <c r="I207" s="746"/>
      <c r="J207" s="747"/>
      <c r="K207" s="748"/>
      <c r="L207" s="746"/>
      <c r="M207" s="747"/>
      <c r="N207" s="753"/>
    </row>
    <row r="208" spans="2:14" ht="14.25" customHeight="1" x14ac:dyDescent="0.25">
      <c r="B208" s="264"/>
      <c r="C208" s="125"/>
      <c r="D208" s="134"/>
      <c r="E208" s="134"/>
      <c r="F208" s="134"/>
      <c r="G208" s="134"/>
      <c r="H208" s="134"/>
      <c r="I208" s="746"/>
      <c r="J208" s="747"/>
      <c r="K208" s="748"/>
      <c r="L208" s="746"/>
      <c r="M208" s="747"/>
      <c r="N208" s="753"/>
    </row>
    <row r="209" spans="2:15" ht="14.25" customHeight="1" x14ac:dyDescent="0.25">
      <c r="B209" s="265"/>
      <c r="C209" s="125"/>
      <c r="D209" s="134"/>
      <c r="E209" s="134"/>
      <c r="F209" s="134"/>
      <c r="G209" s="134"/>
      <c r="H209" s="134"/>
      <c r="I209" s="749"/>
      <c r="J209" s="750"/>
      <c r="K209" s="751"/>
      <c r="L209" s="749"/>
      <c r="M209" s="750"/>
      <c r="N209" s="754"/>
    </row>
    <row r="210" spans="2:15" ht="14.25" customHeight="1" x14ac:dyDescent="0.25">
      <c r="B210" s="209"/>
      <c r="C210" s="118"/>
      <c r="D210" s="118"/>
      <c r="E210" s="118"/>
      <c r="F210" s="118"/>
      <c r="G210" s="118"/>
      <c r="H210" s="118"/>
      <c r="I210" s="118"/>
      <c r="J210" s="118"/>
      <c r="K210" s="118"/>
      <c r="L210" s="118"/>
      <c r="M210" s="118"/>
      <c r="N210" s="210"/>
    </row>
    <row r="211" spans="2:15" ht="14.25" customHeight="1" x14ac:dyDescent="0.25">
      <c r="B211" s="209"/>
      <c r="C211" s="118"/>
      <c r="D211" s="118"/>
      <c r="E211" s="118"/>
      <c r="F211" s="118"/>
      <c r="G211" s="118"/>
      <c r="H211" s="118"/>
      <c r="I211" s="118"/>
      <c r="J211" s="118"/>
      <c r="K211" s="118"/>
      <c r="L211" s="118"/>
      <c r="M211" s="118"/>
      <c r="N211" s="210"/>
    </row>
    <row r="212" spans="2:15" ht="14.25" customHeight="1" x14ac:dyDescent="0.25">
      <c r="B212" s="209"/>
      <c r="C212" s="118"/>
      <c r="D212" s="118"/>
      <c r="E212" s="118"/>
      <c r="F212" s="118"/>
      <c r="G212" s="118"/>
      <c r="H212" s="118"/>
      <c r="I212" s="118"/>
      <c r="J212" s="118"/>
      <c r="K212" s="118"/>
      <c r="L212" s="118"/>
      <c r="M212" s="118"/>
      <c r="N212" s="210"/>
    </row>
    <row r="213" spans="2:15" ht="14.25" customHeight="1" x14ac:dyDescent="0.25">
      <c r="B213" s="209"/>
      <c r="C213" s="118"/>
      <c r="D213" s="118"/>
      <c r="E213" s="118"/>
      <c r="F213" s="118"/>
      <c r="G213" s="118"/>
      <c r="H213" s="118"/>
      <c r="I213" s="118"/>
      <c r="J213" s="118"/>
      <c r="K213" s="118"/>
      <c r="L213" s="118"/>
      <c r="M213" s="118"/>
      <c r="N213" s="210"/>
    </row>
    <row r="214" spans="2:15" ht="14.25" customHeight="1" x14ac:dyDescent="0.25">
      <c r="B214" s="775" t="s">
        <v>414</v>
      </c>
      <c r="C214" s="747"/>
      <c r="D214" s="747"/>
      <c r="E214" s="128"/>
      <c r="F214" s="128"/>
      <c r="G214" s="128"/>
      <c r="H214" s="128"/>
      <c r="I214" s="776"/>
      <c r="J214" s="747"/>
      <c r="K214" s="747"/>
      <c r="L214" s="118"/>
      <c r="M214" s="118"/>
      <c r="N214" s="210"/>
    </row>
    <row r="215" spans="2:15" ht="14.25" customHeight="1" thickBot="1" x14ac:dyDescent="0.3">
      <c r="B215" s="129"/>
      <c r="C215" s="130"/>
      <c r="D215" s="130"/>
      <c r="E215" s="130"/>
      <c r="F215" s="130"/>
      <c r="G215" s="130"/>
      <c r="H215" s="130"/>
      <c r="I215" s="130"/>
      <c r="J215" s="130"/>
      <c r="K215" s="130"/>
      <c r="L215" s="130"/>
      <c r="M215" s="130"/>
      <c r="N215" s="131"/>
    </row>
    <row r="216" spans="2:15" ht="14.25" customHeight="1" thickBot="1" x14ac:dyDescent="0.3">
      <c r="B216" s="132"/>
      <c r="C216" s="132"/>
      <c r="D216" s="132"/>
      <c r="E216" s="132"/>
      <c r="F216" s="132"/>
      <c r="G216" s="132"/>
      <c r="H216" s="132"/>
      <c r="I216" s="132"/>
      <c r="J216" s="132"/>
      <c r="K216" s="132"/>
      <c r="L216" s="132"/>
      <c r="M216" s="132"/>
      <c r="N216" s="132"/>
    </row>
    <row r="217" spans="2:15" ht="42" customHeight="1" x14ac:dyDescent="0.25">
      <c r="B217" s="728"/>
      <c r="C217" s="729"/>
      <c r="D217" s="730" t="s">
        <v>393</v>
      </c>
      <c r="E217" s="729"/>
      <c r="F217" s="729"/>
      <c r="G217" s="729"/>
      <c r="H217" s="729"/>
      <c r="I217" s="729"/>
      <c r="J217" s="729"/>
      <c r="K217" s="729"/>
      <c r="L217" s="729"/>
      <c r="M217" s="729"/>
      <c r="N217" s="731"/>
    </row>
    <row r="218" spans="2:15" ht="13.9" customHeight="1" x14ac:dyDescent="0.25">
      <c r="B218" s="732" t="s">
        <v>394</v>
      </c>
      <c r="C218" s="733"/>
      <c r="D218" s="733"/>
      <c r="E218" s="733"/>
      <c r="F218" s="733"/>
      <c r="G218" s="733"/>
      <c r="H218" s="733"/>
      <c r="I218" s="733"/>
      <c r="J218" s="733"/>
      <c r="K218" s="733"/>
      <c r="L218" s="733"/>
      <c r="M218" s="733"/>
      <c r="N218" s="734"/>
    </row>
    <row r="219" spans="2:15" ht="59.45" customHeight="1" x14ac:dyDescent="0.25">
      <c r="B219" s="735" t="s">
        <v>395</v>
      </c>
      <c r="C219" s="736"/>
      <c r="D219" s="737" t="str">
        <f>VLOOKUP(B221,Buenaventura!A9:G410,3,FALSE)</f>
        <v>Suministro, fabricación e instalación de reja metálica elaborada en varilla lisa de 3/4” (≈ 1,9 cm de diámetro), diseño  similar al existente, incluye cortes, armado, soldadura, esmerilado, aplicación de anticorrosivo y pintura de acabado, asi como anclajes, fijaciones, herrajes y todos los elementos necesarios para su correcta instalación y funcionamiento.</v>
      </c>
      <c r="E219" s="738"/>
      <c r="F219" s="738"/>
      <c r="G219" s="738"/>
      <c r="H219" s="738"/>
      <c r="I219" s="738"/>
      <c r="J219" s="738"/>
      <c r="K219" s="738"/>
      <c r="L219" s="738"/>
      <c r="M219" s="738"/>
      <c r="N219" s="739"/>
    </row>
    <row r="220" spans="2:15" ht="14.25" customHeight="1" x14ac:dyDescent="0.25">
      <c r="B220" s="740" t="s">
        <v>26</v>
      </c>
      <c r="C220" s="741"/>
      <c r="D220" s="119" t="s">
        <v>396</v>
      </c>
      <c r="E220" s="742" t="s">
        <v>397</v>
      </c>
      <c r="F220" s="733"/>
      <c r="G220" s="733"/>
      <c r="H220" s="736"/>
      <c r="I220" s="742" t="s">
        <v>398</v>
      </c>
      <c r="J220" s="733"/>
      <c r="K220" s="736"/>
      <c r="L220" s="742" t="s">
        <v>399</v>
      </c>
      <c r="M220" s="733"/>
      <c r="N220" s="734"/>
    </row>
    <row r="221" spans="2:15" ht="14.25" customHeight="1" x14ac:dyDescent="0.25">
      <c r="B221" s="283">
        <v>8</v>
      </c>
      <c r="C221" s="284" t="str">
        <f>VLOOKUP(B221,Buenaventura!A9:G410,2,FALSE)</f>
        <v>CA-45</v>
      </c>
      <c r="D221" s="285">
        <f>SUM(H224:H227)</f>
        <v>27.599999999999998</v>
      </c>
      <c r="E221" s="743" t="str">
        <f>VLOOKUP(B221,Buenaventura!A9:G409,4,FALSE)</f>
        <v>M2</v>
      </c>
      <c r="F221" s="743"/>
      <c r="G221" s="743"/>
      <c r="H221" s="743"/>
      <c r="I221" s="744"/>
      <c r="J221" s="745"/>
      <c r="K221" s="741"/>
      <c r="L221" s="744"/>
      <c r="M221" s="745"/>
      <c r="N221" s="752"/>
      <c r="O221" s="133"/>
    </row>
    <row r="222" spans="2:15" ht="14.25" customHeight="1" x14ac:dyDescent="0.25">
      <c r="B222" s="755" t="s">
        <v>416</v>
      </c>
      <c r="C222" s="733"/>
      <c r="D222" s="733"/>
      <c r="E222" s="733"/>
      <c r="F222" s="733"/>
      <c r="G222" s="733"/>
      <c r="H222" s="736"/>
      <c r="I222" s="746"/>
      <c r="J222" s="747"/>
      <c r="K222" s="748"/>
      <c r="L222" s="746"/>
      <c r="M222" s="747"/>
      <c r="N222" s="753"/>
    </row>
    <row r="223" spans="2:15" ht="14.25" customHeight="1" x14ac:dyDescent="0.25">
      <c r="B223" s="121" t="s">
        <v>400</v>
      </c>
      <c r="C223" s="122" t="s">
        <v>401</v>
      </c>
      <c r="D223" s="123" t="s">
        <v>402</v>
      </c>
      <c r="E223" s="123" t="s">
        <v>403</v>
      </c>
      <c r="F223" s="123" t="s">
        <v>404</v>
      </c>
      <c r="G223" s="123" t="s">
        <v>405</v>
      </c>
      <c r="H223" s="123" t="s">
        <v>406</v>
      </c>
      <c r="I223" s="746"/>
      <c r="J223" s="747"/>
      <c r="K223" s="748"/>
      <c r="L223" s="746"/>
      <c r="M223" s="747"/>
      <c r="N223" s="753"/>
    </row>
    <row r="224" spans="2:15" ht="14.25" customHeight="1" x14ac:dyDescent="0.25">
      <c r="B224" s="799"/>
      <c r="C224" s="336" t="s">
        <v>418</v>
      </c>
      <c r="D224" s="168">
        <v>8</v>
      </c>
      <c r="E224" s="125">
        <v>2.2999999999999998</v>
      </c>
      <c r="F224" s="126"/>
      <c r="G224" s="125">
        <v>1.5</v>
      </c>
      <c r="H224" s="126">
        <f>D224*E224*G224</f>
        <v>27.599999999999998</v>
      </c>
      <c r="I224" s="746"/>
      <c r="J224" s="747"/>
      <c r="K224" s="748"/>
      <c r="L224" s="746"/>
      <c r="M224" s="747"/>
      <c r="N224" s="753"/>
    </row>
    <row r="225" spans="2:14" ht="14.25" customHeight="1" x14ac:dyDescent="0.25">
      <c r="B225" s="793"/>
      <c r="C225" s="134"/>
      <c r="D225" s="134"/>
      <c r="E225" s="134"/>
      <c r="F225" s="134"/>
      <c r="G225" s="134"/>
      <c r="H225" s="134"/>
      <c r="I225" s="746"/>
      <c r="J225" s="747"/>
      <c r="K225" s="748"/>
      <c r="L225" s="746"/>
      <c r="M225" s="747"/>
      <c r="N225" s="753"/>
    </row>
    <row r="226" spans="2:14" ht="14.25" customHeight="1" x14ac:dyDescent="0.25">
      <c r="B226" s="793"/>
      <c r="C226" s="134"/>
      <c r="D226" s="134"/>
      <c r="E226" s="134"/>
      <c r="F226" s="134"/>
      <c r="G226" s="134"/>
      <c r="H226" s="134"/>
      <c r="I226" s="746"/>
      <c r="J226" s="747"/>
      <c r="K226" s="748"/>
      <c r="L226" s="746"/>
      <c r="M226" s="747"/>
      <c r="N226" s="753"/>
    </row>
    <row r="227" spans="2:14" ht="14.25" customHeight="1" x14ac:dyDescent="0.25">
      <c r="B227" s="793"/>
      <c r="C227" s="134"/>
      <c r="D227" s="134"/>
      <c r="E227" s="134"/>
      <c r="F227" s="134"/>
      <c r="G227" s="134"/>
      <c r="H227" s="134"/>
      <c r="I227" s="746"/>
      <c r="J227" s="747"/>
      <c r="K227" s="748"/>
      <c r="L227" s="746"/>
      <c r="M227" s="747"/>
      <c r="N227" s="753"/>
    </row>
    <row r="228" spans="2:14" ht="14.25" customHeight="1" x14ac:dyDescent="0.25">
      <c r="B228" s="793"/>
      <c r="C228" s="134"/>
      <c r="D228" s="134"/>
      <c r="E228" s="134"/>
      <c r="F228" s="134"/>
      <c r="G228" s="134"/>
      <c r="H228" s="134"/>
      <c r="I228" s="746"/>
      <c r="J228" s="747"/>
      <c r="K228" s="748"/>
      <c r="L228" s="746"/>
      <c r="M228" s="747"/>
      <c r="N228" s="753"/>
    </row>
    <row r="229" spans="2:14" ht="14.25" customHeight="1" x14ac:dyDescent="0.25">
      <c r="B229" s="793"/>
      <c r="C229" s="134"/>
      <c r="D229" s="134"/>
      <c r="E229" s="134"/>
      <c r="F229" s="134"/>
      <c r="G229" s="134"/>
      <c r="H229" s="134"/>
      <c r="I229" s="746"/>
      <c r="J229" s="747"/>
      <c r="K229" s="748"/>
      <c r="L229" s="746"/>
      <c r="M229" s="747"/>
      <c r="N229" s="753"/>
    </row>
    <row r="230" spans="2:14" ht="14.25" customHeight="1" x14ac:dyDescent="0.25">
      <c r="B230" s="793"/>
      <c r="C230" s="134"/>
      <c r="D230" s="134"/>
      <c r="E230" s="134"/>
      <c r="F230" s="134"/>
      <c r="G230" s="134"/>
      <c r="H230" s="134"/>
      <c r="I230" s="746"/>
      <c r="J230" s="747"/>
      <c r="K230" s="748"/>
      <c r="L230" s="746"/>
      <c r="M230" s="747"/>
      <c r="N230" s="753"/>
    </row>
    <row r="231" spans="2:14" ht="14.25" customHeight="1" x14ac:dyDescent="0.25">
      <c r="B231" s="793"/>
      <c r="C231" s="134"/>
      <c r="D231" s="134"/>
      <c r="E231" s="134"/>
      <c r="F231" s="134"/>
      <c r="G231" s="134"/>
      <c r="H231" s="134"/>
      <c r="I231" s="746"/>
      <c r="J231" s="747"/>
      <c r="K231" s="748"/>
      <c r="L231" s="746"/>
      <c r="M231" s="747"/>
      <c r="N231" s="753"/>
    </row>
    <row r="232" spans="2:14" ht="14.25" customHeight="1" x14ac:dyDescent="0.25">
      <c r="B232" s="793"/>
      <c r="C232" s="134"/>
      <c r="D232" s="134"/>
      <c r="E232" s="134"/>
      <c r="F232" s="134"/>
      <c r="G232" s="134"/>
      <c r="H232" s="134"/>
      <c r="I232" s="746"/>
      <c r="J232" s="747"/>
      <c r="K232" s="748"/>
      <c r="L232" s="746"/>
      <c r="M232" s="747"/>
      <c r="N232" s="753"/>
    </row>
    <row r="233" spans="2:14" ht="14.25" customHeight="1" x14ac:dyDescent="0.25">
      <c r="B233" s="793"/>
      <c r="C233" s="134"/>
      <c r="D233" s="134"/>
      <c r="E233" s="134"/>
      <c r="F233" s="134"/>
      <c r="G233" s="134"/>
      <c r="H233" s="134"/>
      <c r="I233" s="746"/>
      <c r="J233" s="747"/>
      <c r="K233" s="748"/>
      <c r="L233" s="746"/>
      <c r="M233" s="747"/>
      <c r="N233" s="753"/>
    </row>
    <row r="234" spans="2:14" ht="14.25" customHeight="1" x14ac:dyDescent="0.25">
      <c r="B234" s="793"/>
      <c r="C234" s="134"/>
      <c r="D234" s="134"/>
      <c r="E234" s="134"/>
      <c r="F234" s="134"/>
      <c r="G234" s="134"/>
      <c r="H234" s="134"/>
      <c r="I234" s="746"/>
      <c r="J234" s="747"/>
      <c r="K234" s="748"/>
      <c r="L234" s="746"/>
      <c r="M234" s="747"/>
      <c r="N234" s="753"/>
    </row>
    <row r="235" spans="2:14" ht="14.25" customHeight="1" x14ac:dyDescent="0.25">
      <c r="B235" s="792"/>
      <c r="C235" s="134"/>
      <c r="D235" s="134"/>
      <c r="E235" s="134"/>
      <c r="F235" s="134"/>
      <c r="G235" s="134"/>
      <c r="H235" s="134"/>
      <c r="I235" s="749"/>
      <c r="J235" s="750"/>
      <c r="K235" s="751"/>
      <c r="L235" s="749"/>
      <c r="M235" s="750"/>
      <c r="N235" s="754"/>
    </row>
    <row r="236" spans="2:14" ht="14.25" customHeight="1" x14ac:dyDescent="0.25">
      <c r="B236" s="209"/>
      <c r="C236" s="118"/>
      <c r="D236" s="118"/>
      <c r="E236" s="118"/>
      <c r="F236" s="118"/>
      <c r="G236" s="118"/>
      <c r="H236" s="118"/>
      <c r="I236" s="118"/>
      <c r="J236" s="118"/>
      <c r="K236" s="118"/>
      <c r="L236" s="118"/>
      <c r="M236" s="118"/>
      <c r="N236" s="210"/>
    </row>
    <row r="237" spans="2:14" ht="14.25" customHeight="1" x14ac:dyDescent="0.25">
      <c r="B237" s="209"/>
      <c r="C237" s="118"/>
      <c r="D237" s="118"/>
      <c r="E237" s="118"/>
      <c r="F237" s="118"/>
      <c r="G237" s="118"/>
      <c r="H237" s="118"/>
      <c r="I237" s="118"/>
      <c r="J237" s="118"/>
      <c r="K237" s="118"/>
      <c r="L237" s="118"/>
      <c r="M237" s="118"/>
      <c r="N237" s="210"/>
    </row>
    <row r="238" spans="2:14" ht="14.25" customHeight="1" x14ac:dyDescent="0.25">
      <c r="B238" s="209"/>
      <c r="C238" s="118"/>
      <c r="D238" s="118"/>
      <c r="E238" s="118"/>
      <c r="F238" s="118"/>
      <c r="G238" s="118"/>
      <c r="H238" s="118"/>
      <c r="I238" s="118"/>
      <c r="J238" s="118"/>
      <c r="K238" s="118"/>
      <c r="L238" s="118"/>
      <c r="M238" s="118"/>
      <c r="N238" s="210"/>
    </row>
    <row r="239" spans="2:14" ht="14.25" customHeight="1" x14ac:dyDescent="0.25">
      <c r="B239" s="209"/>
      <c r="C239" s="118"/>
      <c r="D239" s="118"/>
      <c r="E239" s="118"/>
      <c r="F239" s="118"/>
      <c r="G239" s="118"/>
      <c r="H239" s="118"/>
      <c r="I239" s="118"/>
      <c r="J239" s="118"/>
      <c r="K239" s="118"/>
      <c r="L239" s="118"/>
      <c r="M239" s="118"/>
      <c r="N239" s="210"/>
    </row>
    <row r="240" spans="2:14" ht="14.25" customHeight="1" x14ac:dyDescent="0.25">
      <c r="B240" s="775" t="s">
        <v>414</v>
      </c>
      <c r="C240" s="747"/>
      <c r="D240" s="747"/>
      <c r="E240" s="128"/>
      <c r="F240" s="128"/>
      <c r="G240" s="128"/>
      <c r="H240" s="128"/>
      <c r="I240" s="776"/>
      <c r="J240" s="747"/>
      <c r="K240" s="747"/>
      <c r="L240" s="118"/>
      <c r="M240" s="118"/>
      <c r="N240" s="210"/>
    </row>
    <row r="241" spans="2:14" ht="14.25" customHeight="1" thickBot="1" x14ac:dyDescent="0.3">
      <c r="B241" s="129"/>
      <c r="C241" s="130"/>
      <c r="D241" s="130"/>
      <c r="E241" s="130"/>
      <c r="F241" s="130"/>
      <c r="G241" s="130"/>
      <c r="H241" s="130"/>
      <c r="I241" s="130"/>
      <c r="J241" s="130"/>
      <c r="K241" s="130"/>
      <c r="L241" s="130"/>
      <c r="M241" s="130"/>
      <c r="N241" s="131"/>
    </row>
    <row r="242" spans="2:14" ht="14.25" hidden="1" customHeight="1" x14ac:dyDescent="0.25">
      <c r="B242" s="118"/>
      <c r="C242" s="118"/>
      <c r="D242" s="118"/>
      <c r="E242" s="118"/>
      <c r="F242" s="118"/>
      <c r="G242" s="118"/>
      <c r="H242" s="118"/>
      <c r="I242" s="118"/>
      <c r="J242" s="118"/>
      <c r="K242" s="118"/>
      <c r="L242" s="118"/>
      <c r="M242" s="118"/>
      <c r="N242" s="118"/>
    </row>
    <row r="243" spans="2:14" ht="28.5" hidden="1" customHeight="1" x14ac:dyDescent="0.25">
      <c r="B243" s="728"/>
      <c r="C243" s="729"/>
      <c r="D243" s="730" t="s">
        <v>393</v>
      </c>
      <c r="E243" s="729"/>
      <c r="F243" s="729"/>
      <c r="G243" s="729"/>
      <c r="H243" s="729"/>
      <c r="I243" s="729"/>
      <c r="J243" s="729"/>
      <c r="K243" s="729"/>
      <c r="L243" s="729"/>
      <c r="M243" s="729"/>
      <c r="N243" s="731"/>
    </row>
    <row r="244" spans="2:14" ht="14.25" hidden="1" customHeight="1" x14ac:dyDescent="0.25">
      <c r="B244" s="732" t="s">
        <v>394</v>
      </c>
      <c r="C244" s="733"/>
      <c r="D244" s="733"/>
      <c r="E244" s="733"/>
      <c r="F244" s="733"/>
      <c r="G244" s="733"/>
      <c r="H244" s="733"/>
      <c r="I244" s="733"/>
      <c r="J244" s="733"/>
      <c r="K244" s="733"/>
      <c r="L244" s="733"/>
      <c r="M244" s="733"/>
      <c r="N244" s="734"/>
    </row>
    <row r="245" spans="2:14" ht="14.25" hidden="1" customHeight="1" x14ac:dyDescent="0.25">
      <c r="B245" s="735" t="s">
        <v>395</v>
      </c>
      <c r="C245" s="736"/>
      <c r="D245" s="779" t="s">
        <v>115</v>
      </c>
      <c r="E245" s="733"/>
      <c r="F245" s="733"/>
      <c r="G245" s="733"/>
      <c r="H245" s="733"/>
      <c r="I245" s="733"/>
      <c r="J245" s="733"/>
      <c r="K245" s="733"/>
      <c r="L245" s="733"/>
      <c r="M245" s="733"/>
      <c r="N245" s="734"/>
    </row>
    <row r="246" spans="2:14" ht="14.25" hidden="1" customHeight="1" x14ac:dyDescent="0.25">
      <c r="B246" s="740" t="s">
        <v>26</v>
      </c>
      <c r="C246" s="741"/>
      <c r="D246" s="119" t="s">
        <v>396</v>
      </c>
      <c r="E246" s="742" t="s">
        <v>397</v>
      </c>
      <c r="F246" s="733"/>
      <c r="G246" s="733"/>
      <c r="H246" s="736"/>
      <c r="I246" s="742" t="s">
        <v>398</v>
      </c>
      <c r="J246" s="733"/>
      <c r="K246" s="736"/>
      <c r="L246" s="742" t="s">
        <v>399</v>
      </c>
      <c r="M246" s="733"/>
      <c r="N246" s="734"/>
    </row>
    <row r="247" spans="2:14" ht="14.25" hidden="1" customHeight="1" x14ac:dyDescent="0.25">
      <c r="B247" s="777"/>
      <c r="C247" s="736"/>
      <c r="D247" s="123">
        <f>SUM(H250:H268)*50%</f>
        <v>477.2</v>
      </c>
      <c r="E247" s="778" t="s">
        <v>46</v>
      </c>
      <c r="F247" s="733"/>
      <c r="G247" s="733"/>
      <c r="H247" s="736"/>
      <c r="I247" s="744"/>
      <c r="J247" s="745"/>
      <c r="K247" s="741"/>
      <c r="L247" s="744"/>
      <c r="M247" s="745"/>
      <c r="N247" s="752"/>
    </row>
    <row r="248" spans="2:14" ht="14.25" hidden="1" customHeight="1" x14ac:dyDescent="0.25">
      <c r="B248" s="755" t="s">
        <v>416</v>
      </c>
      <c r="C248" s="733"/>
      <c r="D248" s="733"/>
      <c r="E248" s="733"/>
      <c r="F248" s="733"/>
      <c r="G248" s="733"/>
      <c r="H248" s="736"/>
      <c r="I248" s="746"/>
      <c r="J248" s="747"/>
      <c r="K248" s="748"/>
      <c r="L248" s="746"/>
      <c r="M248" s="747"/>
      <c r="N248" s="753"/>
    </row>
    <row r="249" spans="2:14" ht="14.25" hidden="1" customHeight="1" x14ac:dyDescent="0.25">
      <c r="B249" s="121" t="s">
        <v>400</v>
      </c>
      <c r="C249" s="122" t="s">
        <v>401</v>
      </c>
      <c r="D249" s="123" t="s">
        <v>402</v>
      </c>
      <c r="E249" s="123" t="s">
        <v>403</v>
      </c>
      <c r="F249" s="123" t="s">
        <v>404</v>
      </c>
      <c r="G249" s="123" t="s">
        <v>405</v>
      </c>
      <c r="H249" s="123" t="s">
        <v>406</v>
      </c>
      <c r="I249" s="746"/>
      <c r="J249" s="747"/>
      <c r="K249" s="748"/>
      <c r="L249" s="746"/>
      <c r="M249" s="747"/>
      <c r="N249" s="753"/>
    </row>
    <row r="250" spans="2:14" ht="19.5" hidden="1" customHeight="1" x14ac:dyDescent="0.25">
      <c r="B250" s="124"/>
      <c r="C250" s="794" t="s">
        <v>420</v>
      </c>
      <c r="D250" s="125">
        <v>21</v>
      </c>
      <c r="E250" s="125"/>
      <c r="F250" s="125">
        <v>5.2</v>
      </c>
      <c r="G250" s="125"/>
      <c r="H250" s="125">
        <f t="shared" ref="H250:H264" si="8">D250*F250</f>
        <v>109.2</v>
      </c>
      <c r="I250" s="746"/>
      <c r="J250" s="747"/>
      <c r="K250" s="748"/>
      <c r="L250" s="746"/>
      <c r="M250" s="747"/>
      <c r="N250" s="753"/>
    </row>
    <row r="251" spans="2:14" ht="19.5" hidden="1" customHeight="1" x14ac:dyDescent="0.25">
      <c r="B251" s="124"/>
      <c r="C251" s="780"/>
      <c r="D251" s="125">
        <v>4</v>
      </c>
      <c r="E251" s="125"/>
      <c r="F251" s="125">
        <v>7.5</v>
      </c>
      <c r="G251" s="125"/>
      <c r="H251" s="125">
        <f t="shared" si="8"/>
        <v>30</v>
      </c>
      <c r="I251" s="746"/>
      <c r="J251" s="747"/>
      <c r="K251" s="748"/>
      <c r="L251" s="746"/>
      <c r="M251" s="747"/>
      <c r="N251" s="753"/>
    </row>
    <row r="252" spans="2:14" ht="19.5" hidden="1" customHeight="1" x14ac:dyDescent="0.25">
      <c r="B252" s="124"/>
      <c r="C252" s="781"/>
      <c r="D252" s="125">
        <v>4</v>
      </c>
      <c r="E252" s="125"/>
      <c r="F252" s="125">
        <v>9.6199999999999992</v>
      </c>
      <c r="G252" s="125"/>
      <c r="H252" s="125">
        <f t="shared" si="8"/>
        <v>38.479999999999997</v>
      </c>
      <c r="I252" s="746"/>
      <c r="J252" s="747"/>
      <c r="K252" s="748"/>
      <c r="L252" s="746"/>
      <c r="M252" s="747"/>
      <c r="N252" s="753"/>
    </row>
    <row r="253" spans="2:14" ht="19.5" hidden="1" customHeight="1" x14ac:dyDescent="0.25">
      <c r="B253" s="140"/>
      <c r="C253" s="797" t="s">
        <v>421</v>
      </c>
      <c r="D253" s="125">
        <v>32</v>
      </c>
      <c r="E253" s="125"/>
      <c r="F253" s="125">
        <v>5</v>
      </c>
      <c r="G253" s="125"/>
      <c r="H253" s="125">
        <f t="shared" si="8"/>
        <v>160</v>
      </c>
      <c r="I253" s="746"/>
      <c r="J253" s="747"/>
      <c r="K253" s="748"/>
      <c r="L253" s="746"/>
      <c r="M253" s="747"/>
      <c r="N253" s="753"/>
    </row>
    <row r="254" spans="2:14" ht="25.5" hidden="1" customHeight="1" x14ac:dyDescent="0.25">
      <c r="B254" s="124"/>
      <c r="C254" s="780"/>
      <c r="D254" s="125">
        <v>12</v>
      </c>
      <c r="E254" s="125"/>
      <c r="F254" s="125">
        <v>5.4</v>
      </c>
      <c r="G254" s="125"/>
      <c r="H254" s="125">
        <f t="shared" si="8"/>
        <v>64.800000000000011</v>
      </c>
      <c r="I254" s="746"/>
      <c r="J254" s="747"/>
      <c r="K254" s="748"/>
      <c r="L254" s="746"/>
      <c r="M254" s="747"/>
      <c r="N254" s="753"/>
    </row>
    <row r="255" spans="2:14" ht="19.5" hidden="1" customHeight="1" x14ac:dyDescent="0.25">
      <c r="B255" s="124"/>
      <c r="C255" s="780"/>
      <c r="D255" s="125">
        <v>4</v>
      </c>
      <c r="E255" s="125"/>
      <c r="F255" s="138">
        <v>7.5</v>
      </c>
      <c r="G255" s="138"/>
      <c r="H255" s="125">
        <f t="shared" si="8"/>
        <v>30</v>
      </c>
      <c r="I255" s="746"/>
      <c r="J255" s="747"/>
      <c r="K255" s="748"/>
      <c r="L255" s="746"/>
      <c r="M255" s="747"/>
      <c r="N255" s="753"/>
    </row>
    <row r="256" spans="2:14" ht="19.5" hidden="1" customHeight="1" x14ac:dyDescent="0.25">
      <c r="B256" s="124"/>
      <c r="C256" s="781"/>
      <c r="D256" s="125">
        <v>6</v>
      </c>
      <c r="E256" s="125"/>
      <c r="F256" s="138">
        <v>7.5</v>
      </c>
      <c r="G256" s="138"/>
      <c r="H256" s="125">
        <f t="shared" si="8"/>
        <v>45</v>
      </c>
      <c r="I256" s="746"/>
      <c r="J256" s="747"/>
      <c r="K256" s="748"/>
      <c r="L256" s="746"/>
      <c r="M256" s="747"/>
      <c r="N256" s="753"/>
    </row>
    <row r="257" spans="2:14" ht="19.5" hidden="1" customHeight="1" x14ac:dyDescent="0.25">
      <c r="B257" s="124"/>
      <c r="C257" s="798" t="s">
        <v>422</v>
      </c>
      <c r="D257" s="125">
        <v>32</v>
      </c>
      <c r="E257" s="125"/>
      <c r="F257" s="125">
        <v>5</v>
      </c>
      <c r="G257" s="125"/>
      <c r="H257" s="125">
        <f t="shared" si="8"/>
        <v>160</v>
      </c>
      <c r="I257" s="746"/>
      <c r="J257" s="747"/>
      <c r="K257" s="748"/>
      <c r="L257" s="746"/>
      <c r="M257" s="747"/>
      <c r="N257" s="753"/>
    </row>
    <row r="258" spans="2:14" ht="19.5" hidden="1" customHeight="1" x14ac:dyDescent="0.25">
      <c r="B258" s="124"/>
      <c r="C258" s="780"/>
      <c r="D258" s="125">
        <v>6</v>
      </c>
      <c r="E258" s="125"/>
      <c r="F258" s="138">
        <v>6.8</v>
      </c>
      <c r="G258" s="138"/>
      <c r="H258" s="125">
        <f t="shared" si="8"/>
        <v>40.799999999999997</v>
      </c>
      <c r="I258" s="746"/>
      <c r="J258" s="747"/>
      <c r="K258" s="748"/>
      <c r="L258" s="746"/>
      <c r="M258" s="747"/>
      <c r="N258" s="753"/>
    </row>
    <row r="259" spans="2:14" ht="19.5" hidden="1" customHeight="1" x14ac:dyDescent="0.25">
      <c r="B259" s="124"/>
      <c r="C259" s="780"/>
      <c r="D259" s="125">
        <v>4</v>
      </c>
      <c r="E259" s="125"/>
      <c r="F259" s="125">
        <v>7.5</v>
      </c>
      <c r="G259" s="138"/>
      <c r="H259" s="125">
        <f t="shared" si="8"/>
        <v>30</v>
      </c>
      <c r="I259" s="746"/>
      <c r="J259" s="747"/>
      <c r="K259" s="748"/>
      <c r="L259" s="746"/>
      <c r="M259" s="747"/>
      <c r="N259" s="753"/>
    </row>
    <row r="260" spans="2:14" ht="19.5" hidden="1" customHeight="1" x14ac:dyDescent="0.25">
      <c r="B260" s="124"/>
      <c r="C260" s="781"/>
      <c r="D260" s="125">
        <v>12</v>
      </c>
      <c r="E260" s="125"/>
      <c r="F260" s="125">
        <v>5.46</v>
      </c>
      <c r="G260" s="138"/>
      <c r="H260" s="125">
        <f t="shared" si="8"/>
        <v>65.52</v>
      </c>
      <c r="I260" s="746"/>
      <c r="J260" s="747"/>
      <c r="K260" s="748"/>
      <c r="L260" s="746"/>
      <c r="M260" s="747"/>
      <c r="N260" s="753"/>
    </row>
    <row r="261" spans="2:14" ht="19.5" hidden="1" customHeight="1" x14ac:dyDescent="0.25">
      <c r="B261" s="124"/>
      <c r="C261" s="765" t="s">
        <v>423</v>
      </c>
      <c r="D261" s="125">
        <v>5</v>
      </c>
      <c r="E261" s="125"/>
      <c r="F261" s="125">
        <v>6.8</v>
      </c>
      <c r="G261" s="125"/>
      <c r="H261" s="125">
        <f t="shared" si="8"/>
        <v>34</v>
      </c>
      <c r="I261" s="746"/>
      <c r="J261" s="747"/>
      <c r="K261" s="748"/>
      <c r="L261" s="746"/>
      <c r="M261" s="747"/>
      <c r="N261" s="753"/>
    </row>
    <row r="262" spans="2:14" ht="19.5" hidden="1" customHeight="1" x14ac:dyDescent="0.25">
      <c r="B262" s="124"/>
      <c r="C262" s="780"/>
      <c r="D262" s="125">
        <v>21</v>
      </c>
      <c r="E262" s="125"/>
      <c r="F262" s="125">
        <v>5</v>
      </c>
      <c r="G262" s="125"/>
      <c r="H262" s="125">
        <f t="shared" si="8"/>
        <v>105</v>
      </c>
      <c r="I262" s="746"/>
      <c r="J262" s="747"/>
      <c r="K262" s="748"/>
      <c r="L262" s="746"/>
      <c r="M262" s="747"/>
      <c r="N262" s="753"/>
    </row>
    <row r="263" spans="2:14" ht="19.5" hidden="1" customHeight="1" x14ac:dyDescent="0.25">
      <c r="B263" s="124"/>
      <c r="C263" s="780"/>
      <c r="D263" s="125">
        <v>2</v>
      </c>
      <c r="E263" s="125"/>
      <c r="F263" s="125">
        <v>5.8</v>
      </c>
      <c r="G263" s="125"/>
      <c r="H263" s="125">
        <f t="shared" si="8"/>
        <v>11.6</v>
      </c>
      <c r="I263" s="746"/>
      <c r="J263" s="747"/>
      <c r="K263" s="748"/>
      <c r="L263" s="746"/>
      <c r="M263" s="747"/>
      <c r="N263" s="753"/>
    </row>
    <row r="264" spans="2:14" ht="19.5" hidden="1" customHeight="1" x14ac:dyDescent="0.25">
      <c r="B264" s="124"/>
      <c r="C264" s="781"/>
      <c r="D264" s="125">
        <v>4</v>
      </c>
      <c r="E264" s="125"/>
      <c r="F264" s="125">
        <v>7.5</v>
      </c>
      <c r="G264" s="125"/>
      <c r="H264" s="125">
        <f t="shared" si="8"/>
        <v>30</v>
      </c>
      <c r="I264" s="746"/>
      <c r="J264" s="747"/>
      <c r="K264" s="748"/>
      <c r="L264" s="746"/>
      <c r="M264" s="747"/>
      <c r="N264" s="753"/>
    </row>
    <row r="265" spans="2:14" ht="19.5" hidden="1" customHeight="1" x14ac:dyDescent="0.25">
      <c r="B265" s="124"/>
      <c r="C265" s="142"/>
      <c r="D265" s="125"/>
      <c r="E265" s="125"/>
      <c r="F265" s="125"/>
      <c r="G265" s="125"/>
      <c r="H265" s="125"/>
      <c r="I265" s="746"/>
      <c r="J265" s="747"/>
      <c r="K265" s="748"/>
      <c r="L265" s="746"/>
      <c r="M265" s="747"/>
      <c r="N265" s="753"/>
    </row>
    <row r="266" spans="2:14" ht="19.5" hidden="1" customHeight="1" x14ac:dyDescent="0.25">
      <c r="B266" s="124"/>
      <c r="C266" s="142"/>
      <c r="D266" s="125"/>
      <c r="E266" s="125"/>
      <c r="F266" s="125"/>
      <c r="G266" s="125"/>
      <c r="H266" s="125"/>
      <c r="I266" s="746"/>
      <c r="J266" s="747"/>
      <c r="K266" s="748"/>
      <c r="L266" s="746"/>
      <c r="M266" s="747"/>
      <c r="N266" s="753"/>
    </row>
    <row r="267" spans="2:14" ht="19.5" hidden="1" customHeight="1" x14ac:dyDescent="0.25">
      <c r="B267" s="124"/>
      <c r="C267" s="142"/>
      <c r="D267" s="125"/>
      <c r="E267" s="125"/>
      <c r="F267" s="125"/>
      <c r="G267" s="134"/>
      <c r="H267" s="125"/>
      <c r="I267" s="746"/>
      <c r="J267" s="747"/>
      <c r="K267" s="748"/>
      <c r="L267" s="746"/>
      <c r="M267" s="747"/>
      <c r="N267" s="753"/>
    </row>
    <row r="268" spans="2:14" ht="19.5" hidden="1" customHeight="1" x14ac:dyDescent="0.25">
      <c r="B268" s="127"/>
      <c r="C268" s="226"/>
      <c r="D268" s="125"/>
      <c r="E268" s="125"/>
      <c r="F268" s="125"/>
      <c r="G268" s="125"/>
      <c r="H268" s="125"/>
      <c r="I268" s="749"/>
      <c r="J268" s="750"/>
      <c r="K268" s="751"/>
      <c r="L268" s="749"/>
      <c r="M268" s="750"/>
      <c r="N268" s="754"/>
    </row>
    <row r="269" spans="2:14" ht="14.25" hidden="1" customHeight="1" x14ac:dyDescent="0.25">
      <c r="B269" s="209"/>
      <c r="C269" s="118"/>
      <c r="D269" s="118"/>
      <c r="E269" s="118"/>
      <c r="F269" s="118"/>
      <c r="G269" s="118"/>
      <c r="H269" s="118"/>
      <c r="I269" s="118"/>
      <c r="J269" s="118"/>
      <c r="K269" s="118"/>
      <c r="L269" s="118"/>
      <c r="M269" s="118"/>
      <c r="N269" s="210"/>
    </row>
    <row r="270" spans="2:14" ht="14.25" hidden="1" customHeight="1" x14ac:dyDescent="0.25">
      <c r="B270" s="209"/>
      <c r="C270" s="118"/>
      <c r="D270" s="118"/>
      <c r="E270" s="118"/>
      <c r="F270" s="118"/>
      <c r="G270" s="118"/>
      <c r="H270" s="118"/>
      <c r="I270" s="118"/>
      <c r="J270" s="118"/>
      <c r="K270" s="118"/>
      <c r="L270" s="118"/>
      <c r="M270" s="118"/>
      <c r="N270" s="210"/>
    </row>
    <row r="271" spans="2:14" ht="14.25" hidden="1" customHeight="1" x14ac:dyDescent="0.25">
      <c r="B271" s="209"/>
      <c r="C271" s="118"/>
      <c r="D271" s="118"/>
      <c r="E271" s="118"/>
      <c r="F271" s="118"/>
      <c r="G271" s="118"/>
      <c r="H271" s="118"/>
      <c r="I271" s="118"/>
      <c r="J271" s="118"/>
      <c r="K271" s="118"/>
      <c r="L271" s="118"/>
      <c r="M271" s="118"/>
      <c r="N271" s="210"/>
    </row>
    <row r="272" spans="2:14" ht="14.25" hidden="1" customHeight="1" x14ac:dyDescent="0.25">
      <c r="B272" s="209"/>
      <c r="C272" s="118"/>
      <c r="D272" s="118"/>
      <c r="E272" s="118"/>
      <c r="F272" s="118"/>
      <c r="G272" s="118"/>
      <c r="H272" s="118"/>
      <c r="I272" s="118"/>
      <c r="J272" s="118"/>
      <c r="K272" s="118"/>
      <c r="L272" s="118"/>
      <c r="M272" s="118"/>
      <c r="N272" s="210"/>
    </row>
    <row r="273" spans="2:15" ht="14.25" hidden="1" customHeight="1" x14ac:dyDescent="0.25">
      <c r="B273" s="775" t="s">
        <v>414</v>
      </c>
      <c r="C273" s="747"/>
      <c r="D273" s="747"/>
      <c r="E273" s="128"/>
      <c r="F273" s="128"/>
      <c r="G273" s="128"/>
      <c r="H273" s="128"/>
      <c r="I273" s="776"/>
      <c r="J273" s="747"/>
      <c r="K273" s="747"/>
      <c r="L273" s="118"/>
      <c r="M273" s="118"/>
      <c r="N273" s="210"/>
    </row>
    <row r="274" spans="2:15" ht="14.25" hidden="1" customHeight="1" x14ac:dyDescent="0.25">
      <c r="B274" s="129"/>
      <c r="C274" s="130"/>
      <c r="D274" s="130"/>
      <c r="E274" s="130"/>
      <c r="F274" s="130"/>
      <c r="G274" s="130"/>
      <c r="H274" s="130"/>
      <c r="I274" s="130"/>
      <c r="J274" s="130"/>
      <c r="K274" s="130"/>
      <c r="L274" s="130"/>
      <c r="M274" s="130"/>
      <c r="N274" s="131"/>
    </row>
    <row r="275" spans="2:15" ht="14.25" hidden="1" customHeight="1" x14ac:dyDescent="0.25">
      <c r="B275" s="118"/>
      <c r="C275" s="118"/>
      <c r="D275" s="118"/>
      <c r="E275" s="118"/>
      <c r="F275" s="118"/>
      <c r="G275" s="118"/>
      <c r="H275" s="118"/>
      <c r="I275" s="118"/>
      <c r="J275" s="118"/>
      <c r="K275" s="118"/>
      <c r="L275" s="118"/>
      <c r="M275" s="118"/>
      <c r="N275" s="118"/>
    </row>
    <row r="276" spans="2:15" ht="14.25" customHeight="1" thickBot="1" x14ac:dyDescent="0.3">
      <c r="B276" s="118"/>
      <c r="C276" s="118"/>
      <c r="D276" s="118"/>
      <c r="E276" s="118"/>
      <c r="F276" s="118"/>
      <c r="G276" s="118"/>
      <c r="H276" s="118"/>
      <c r="I276" s="118"/>
      <c r="J276" s="118"/>
      <c r="K276" s="118"/>
      <c r="L276" s="118"/>
      <c r="M276" s="118"/>
      <c r="N276" s="118"/>
    </row>
    <row r="277" spans="2:15" ht="35.25" customHeight="1" x14ac:dyDescent="0.25">
      <c r="B277" s="728"/>
      <c r="C277" s="729"/>
      <c r="D277" s="730" t="s">
        <v>393</v>
      </c>
      <c r="E277" s="729"/>
      <c r="F277" s="729"/>
      <c r="G277" s="729"/>
      <c r="H277" s="729"/>
      <c r="I277" s="729"/>
      <c r="J277" s="729"/>
      <c r="K277" s="729"/>
      <c r="L277" s="729"/>
      <c r="M277" s="729"/>
      <c r="N277" s="731"/>
    </row>
    <row r="278" spans="2:15" ht="21" customHeight="1" x14ac:dyDescent="0.25">
      <c r="B278" s="732" t="s">
        <v>394</v>
      </c>
      <c r="C278" s="733"/>
      <c r="D278" s="733"/>
      <c r="E278" s="733"/>
      <c r="F278" s="733"/>
      <c r="G278" s="733"/>
      <c r="H278" s="733"/>
      <c r="I278" s="733"/>
      <c r="J278" s="733"/>
      <c r="K278" s="733"/>
      <c r="L278" s="733"/>
      <c r="M278" s="733"/>
      <c r="N278" s="734"/>
    </row>
    <row r="279" spans="2:15" ht="58.15" customHeight="1" x14ac:dyDescent="0.25">
      <c r="B279" s="735" t="s">
        <v>395</v>
      </c>
      <c r="C279" s="736"/>
      <c r="D279" s="737" t="str">
        <f>VLOOKUP(B281,Buenaventura!A9:G470,3,FALSE)</f>
        <v>Suministro, fabricación e instalación de puerta en reja metálica elaborada en varilla lisa de 3/4” (≈ 1,9 cm de diámetro), diseño  similar al existente, incluye cortes, armado, soldadura, esmerilado, aplicación de anticorrosivo y pintura de acabado, asi como anclajes, fijaciones, herrajes y todos los elementos necesarios para su correcta instalación y funcionamiento.</v>
      </c>
      <c r="E279" s="738"/>
      <c r="F279" s="738"/>
      <c r="G279" s="738"/>
      <c r="H279" s="738"/>
      <c r="I279" s="738"/>
      <c r="J279" s="738"/>
      <c r="K279" s="738"/>
      <c r="L279" s="738"/>
      <c r="M279" s="738"/>
      <c r="N279" s="739"/>
    </row>
    <row r="280" spans="2:15" ht="14.25" customHeight="1" x14ac:dyDescent="0.25">
      <c r="B280" s="740" t="s">
        <v>26</v>
      </c>
      <c r="C280" s="741"/>
      <c r="D280" s="119" t="s">
        <v>396</v>
      </c>
      <c r="E280" s="742" t="s">
        <v>397</v>
      </c>
      <c r="F280" s="733"/>
      <c r="G280" s="733"/>
      <c r="H280" s="736"/>
      <c r="I280" s="742" t="s">
        <v>398</v>
      </c>
      <c r="J280" s="733"/>
      <c r="K280" s="736"/>
      <c r="L280" s="742" t="s">
        <v>399</v>
      </c>
      <c r="M280" s="733"/>
      <c r="N280" s="734"/>
    </row>
    <row r="281" spans="2:15" ht="14.25" customHeight="1" x14ac:dyDescent="0.25">
      <c r="B281" s="283">
        <v>9</v>
      </c>
      <c r="C281" s="284" t="str">
        <f>VLOOKUP(B281,Buenaventura!A9:G470,2,FALSE)</f>
        <v>CA-46</v>
      </c>
      <c r="D281" s="285">
        <f>SUM(H284:H287)</f>
        <v>20.04</v>
      </c>
      <c r="E281" s="743" t="str">
        <f>VLOOKUP(B281,Buenaventura!A9:G469,4,FALSE)</f>
        <v>M2</v>
      </c>
      <c r="F281" s="743"/>
      <c r="G281" s="743"/>
      <c r="H281" s="743"/>
      <c r="I281" s="744"/>
      <c r="J281" s="745"/>
      <c r="K281" s="741"/>
      <c r="L281" s="744"/>
      <c r="M281" s="745"/>
      <c r="N281" s="752"/>
    </row>
    <row r="282" spans="2:15" ht="14.25" customHeight="1" x14ac:dyDescent="0.25">
      <c r="B282" s="755" t="s">
        <v>416</v>
      </c>
      <c r="C282" s="733"/>
      <c r="D282" s="733"/>
      <c r="E282" s="733"/>
      <c r="F282" s="733"/>
      <c r="G282" s="733"/>
      <c r="H282" s="736"/>
      <c r="I282" s="746"/>
      <c r="J282" s="747"/>
      <c r="K282" s="748"/>
      <c r="L282" s="746"/>
      <c r="M282" s="747"/>
      <c r="N282" s="753"/>
    </row>
    <row r="283" spans="2:15" ht="14.25" customHeight="1" x14ac:dyDescent="0.25">
      <c r="B283" s="121" t="s">
        <v>400</v>
      </c>
      <c r="C283" s="122" t="s">
        <v>401</v>
      </c>
      <c r="D283" s="123" t="s">
        <v>402</v>
      </c>
      <c r="E283" s="123" t="s">
        <v>403</v>
      </c>
      <c r="F283" s="123" t="s">
        <v>404</v>
      </c>
      <c r="G283" s="123" t="s">
        <v>405</v>
      </c>
      <c r="H283" s="123" t="s">
        <v>406</v>
      </c>
      <c r="I283" s="746"/>
      <c r="J283" s="747"/>
      <c r="K283" s="748"/>
      <c r="L283" s="746"/>
      <c r="M283" s="747"/>
      <c r="N283" s="753"/>
    </row>
    <row r="284" spans="2:15" ht="14.25" customHeight="1" x14ac:dyDescent="0.25">
      <c r="B284" s="124"/>
      <c r="C284" s="138"/>
      <c r="D284" s="125"/>
      <c r="E284" s="125">
        <v>3.34</v>
      </c>
      <c r="F284" s="125"/>
      <c r="G284" s="125">
        <v>6</v>
      </c>
      <c r="H284" s="125">
        <f>E284*G284</f>
        <v>20.04</v>
      </c>
      <c r="I284" s="746"/>
      <c r="J284" s="747"/>
      <c r="K284" s="748"/>
      <c r="L284" s="746"/>
      <c r="M284" s="747"/>
      <c r="N284" s="753"/>
    </row>
    <row r="285" spans="2:15" ht="14.25" customHeight="1" x14ac:dyDescent="0.25">
      <c r="B285" s="124"/>
      <c r="C285" s="215"/>
      <c r="D285" s="125"/>
      <c r="E285" s="125"/>
      <c r="F285" s="125"/>
      <c r="G285" s="125"/>
      <c r="H285" s="125"/>
      <c r="I285" s="746"/>
      <c r="J285" s="747"/>
      <c r="K285" s="748"/>
      <c r="L285" s="746"/>
      <c r="M285" s="747"/>
      <c r="N285" s="753"/>
    </row>
    <row r="286" spans="2:15" ht="14.25" customHeight="1" x14ac:dyDescent="0.25">
      <c r="B286" s="124"/>
      <c r="C286" s="215"/>
      <c r="D286" s="125"/>
      <c r="E286" s="125"/>
      <c r="F286" s="125"/>
      <c r="G286" s="125"/>
      <c r="H286" s="125"/>
      <c r="I286" s="746"/>
      <c r="J286" s="747"/>
      <c r="K286" s="748"/>
      <c r="L286" s="746"/>
      <c r="M286" s="747"/>
      <c r="N286" s="753"/>
    </row>
    <row r="287" spans="2:15" ht="14.25" customHeight="1" x14ac:dyDescent="0.25">
      <c r="B287" s="124"/>
      <c r="C287" s="215"/>
      <c r="D287" s="125"/>
      <c r="E287" s="125"/>
      <c r="F287" s="125"/>
      <c r="G287" s="125"/>
      <c r="H287" s="125"/>
      <c r="I287" s="746"/>
      <c r="J287" s="747"/>
      <c r="K287" s="748"/>
      <c r="L287" s="746"/>
      <c r="M287" s="747"/>
      <c r="N287" s="753"/>
      <c r="O287" s="133"/>
    </row>
    <row r="288" spans="2:15" ht="14.25" customHeight="1" x14ac:dyDescent="0.25">
      <c r="B288" s="124"/>
      <c r="C288" s="215"/>
      <c r="D288" s="125"/>
      <c r="E288" s="125"/>
      <c r="F288" s="125"/>
      <c r="G288" s="125"/>
      <c r="H288" s="125"/>
      <c r="I288" s="746"/>
      <c r="J288" s="747"/>
      <c r="K288" s="748"/>
      <c r="L288" s="746"/>
      <c r="M288" s="747"/>
      <c r="N288" s="753"/>
    </row>
    <row r="289" spans="2:17" ht="14.25" customHeight="1" x14ac:dyDescent="0.25">
      <c r="B289" s="124"/>
      <c r="C289" s="138"/>
      <c r="D289" s="125"/>
      <c r="E289" s="125"/>
      <c r="F289" s="125"/>
      <c r="G289" s="125"/>
      <c r="H289" s="125"/>
      <c r="I289" s="746"/>
      <c r="J289" s="747"/>
      <c r="K289" s="748"/>
      <c r="L289" s="746"/>
      <c r="M289" s="747"/>
      <c r="N289" s="753"/>
    </row>
    <row r="290" spans="2:17" ht="14.25" customHeight="1" x14ac:dyDescent="0.25">
      <c r="B290" s="124"/>
      <c r="C290" s="138"/>
      <c r="D290" s="125"/>
      <c r="E290" s="125"/>
      <c r="F290" s="125"/>
      <c r="G290" s="125"/>
      <c r="H290" s="125"/>
      <c r="I290" s="746"/>
      <c r="J290" s="747"/>
      <c r="K290" s="748"/>
      <c r="L290" s="746"/>
      <c r="M290" s="747"/>
      <c r="N290" s="753"/>
    </row>
    <row r="291" spans="2:17" ht="14.25" customHeight="1" x14ac:dyDescent="0.25">
      <c r="B291" s="124"/>
      <c r="C291" s="138"/>
      <c r="D291" s="125"/>
      <c r="E291" s="125"/>
      <c r="F291" s="125"/>
      <c r="G291" s="125"/>
      <c r="H291" s="125"/>
      <c r="I291" s="746"/>
      <c r="J291" s="747"/>
      <c r="K291" s="748"/>
      <c r="L291" s="746"/>
      <c r="M291" s="747"/>
      <c r="N291" s="753"/>
    </row>
    <row r="292" spans="2:17" ht="14.25" customHeight="1" x14ac:dyDescent="0.25">
      <c r="B292" s="124"/>
      <c r="C292" s="138"/>
      <c r="D292" s="125"/>
      <c r="E292" s="125"/>
      <c r="F292" s="125"/>
      <c r="G292" s="125"/>
      <c r="H292" s="125"/>
      <c r="I292" s="746"/>
      <c r="J292" s="747"/>
      <c r="K292" s="748"/>
      <c r="L292" s="746"/>
      <c r="M292" s="747"/>
      <c r="N292" s="753"/>
    </row>
    <row r="293" spans="2:17" ht="14.25" customHeight="1" x14ac:dyDescent="0.25">
      <c r="B293" s="124"/>
      <c r="C293" s="138"/>
      <c r="D293" s="125"/>
      <c r="E293" s="125"/>
      <c r="F293" s="125"/>
      <c r="G293" s="125"/>
      <c r="H293" s="125"/>
      <c r="I293" s="746"/>
      <c r="J293" s="747"/>
      <c r="K293" s="748"/>
      <c r="L293" s="746"/>
      <c r="M293" s="747"/>
      <c r="N293" s="753"/>
    </row>
    <row r="294" spans="2:17" ht="14.25" customHeight="1" x14ac:dyDescent="0.25">
      <c r="B294" s="124"/>
      <c r="C294" s="138"/>
      <c r="D294" s="125"/>
      <c r="E294" s="125"/>
      <c r="F294" s="125"/>
      <c r="G294" s="125"/>
      <c r="H294" s="125"/>
      <c r="I294" s="746"/>
      <c r="J294" s="747"/>
      <c r="K294" s="748"/>
      <c r="L294" s="746"/>
      <c r="M294" s="747"/>
      <c r="N294" s="753"/>
      <c r="Q294" s="128"/>
    </row>
    <row r="295" spans="2:17" ht="14.25" customHeight="1" x14ac:dyDescent="0.25">
      <c r="B295" s="124"/>
      <c r="C295" s="138"/>
      <c r="D295" s="125"/>
      <c r="E295" s="125"/>
      <c r="F295" s="125"/>
      <c r="G295" s="125"/>
      <c r="H295" s="125"/>
      <c r="I295" s="746"/>
      <c r="J295" s="747"/>
      <c r="K295" s="748"/>
      <c r="L295" s="746"/>
      <c r="M295" s="747"/>
      <c r="N295" s="753"/>
    </row>
    <row r="296" spans="2:17" ht="14.25" customHeight="1" x14ac:dyDescent="0.25">
      <c r="B296" s="124"/>
      <c r="C296" s="138"/>
      <c r="D296" s="125"/>
      <c r="E296" s="125"/>
      <c r="F296" s="125"/>
      <c r="G296" s="125"/>
      <c r="H296" s="125"/>
      <c r="I296" s="746"/>
      <c r="J296" s="747"/>
      <c r="K296" s="748"/>
      <c r="L296" s="746"/>
      <c r="M296" s="747"/>
      <c r="N296" s="753"/>
      <c r="O296" s="133"/>
    </row>
    <row r="297" spans="2:17" ht="14.25" customHeight="1" x14ac:dyDescent="0.25">
      <c r="B297" s="124"/>
      <c r="C297" s="138"/>
      <c r="D297" s="125"/>
      <c r="E297" s="125"/>
      <c r="F297" s="125"/>
      <c r="G297" s="125"/>
      <c r="H297" s="125"/>
      <c r="I297" s="746"/>
      <c r="J297" s="747"/>
      <c r="K297" s="748"/>
      <c r="L297" s="746"/>
      <c r="M297" s="747"/>
      <c r="N297" s="753"/>
    </row>
    <row r="298" spans="2:17" ht="14.25" customHeight="1" x14ac:dyDescent="0.25">
      <c r="B298" s="124"/>
      <c r="C298" s="138"/>
      <c r="D298" s="125"/>
      <c r="E298" s="125"/>
      <c r="F298" s="125"/>
      <c r="G298" s="125"/>
      <c r="H298" s="125"/>
      <c r="I298" s="746"/>
      <c r="J298" s="747"/>
      <c r="K298" s="748"/>
      <c r="L298" s="746"/>
      <c r="M298" s="747"/>
      <c r="N298" s="753"/>
    </row>
    <row r="299" spans="2:17" ht="14.25" customHeight="1" x14ac:dyDescent="0.25">
      <c r="B299" s="124"/>
      <c r="C299" s="138"/>
      <c r="D299" s="125"/>
      <c r="E299" s="125"/>
      <c r="F299" s="125"/>
      <c r="G299" s="125"/>
      <c r="H299" s="125"/>
      <c r="I299" s="746"/>
      <c r="J299" s="747"/>
      <c r="K299" s="748"/>
      <c r="L299" s="746"/>
      <c r="M299" s="747"/>
      <c r="N299" s="753"/>
    </row>
    <row r="300" spans="2:17" ht="14.25" customHeight="1" x14ac:dyDescent="0.25">
      <c r="B300" s="124"/>
      <c r="C300" s="138"/>
      <c r="D300" s="125"/>
      <c r="E300" s="125"/>
      <c r="F300" s="125"/>
      <c r="G300" s="125"/>
      <c r="H300" s="125"/>
      <c r="I300" s="746"/>
      <c r="J300" s="747"/>
      <c r="K300" s="748"/>
      <c r="L300" s="746"/>
      <c r="M300" s="747"/>
      <c r="N300" s="753"/>
    </row>
    <row r="301" spans="2:17" ht="14.25" customHeight="1" x14ac:dyDescent="0.25">
      <c r="B301" s="124"/>
      <c r="C301" s="138"/>
      <c r="D301" s="125"/>
      <c r="E301" s="125"/>
      <c r="F301" s="125"/>
      <c r="G301" s="125"/>
      <c r="H301" s="125"/>
      <c r="I301" s="746"/>
      <c r="J301" s="747"/>
      <c r="K301" s="748"/>
      <c r="L301" s="746"/>
      <c r="M301" s="747"/>
      <c r="N301" s="753"/>
    </row>
    <row r="302" spans="2:17" ht="14.25" customHeight="1" x14ac:dyDescent="0.25">
      <c r="B302" s="124"/>
      <c r="C302" s="125"/>
      <c r="D302" s="125"/>
      <c r="E302" s="125"/>
      <c r="F302" s="125"/>
      <c r="G302" s="125"/>
      <c r="H302" s="125"/>
      <c r="I302" s="746"/>
      <c r="J302" s="747"/>
      <c r="K302" s="748"/>
      <c r="L302" s="746"/>
      <c r="M302" s="747"/>
      <c r="N302" s="753"/>
    </row>
    <row r="303" spans="2:17" ht="14.25" customHeight="1" x14ac:dyDescent="0.25">
      <c r="B303" s="127"/>
      <c r="C303" s="125"/>
      <c r="D303" s="125"/>
      <c r="E303" s="125"/>
      <c r="F303" s="125"/>
      <c r="G303" s="125"/>
      <c r="H303" s="125"/>
      <c r="I303" s="746"/>
      <c r="J303" s="747"/>
      <c r="K303" s="748"/>
      <c r="L303" s="746"/>
      <c r="M303" s="747"/>
      <c r="N303" s="753"/>
    </row>
    <row r="304" spans="2:17" ht="14.25" customHeight="1" x14ac:dyDescent="0.25">
      <c r="B304" s="124"/>
      <c r="C304" s="125"/>
      <c r="D304" s="134"/>
      <c r="E304" s="134"/>
      <c r="F304" s="134"/>
      <c r="G304" s="134"/>
      <c r="H304" s="134"/>
      <c r="I304" s="746"/>
      <c r="J304" s="747"/>
      <c r="K304" s="748"/>
      <c r="L304" s="746"/>
      <c r="M304" s="747"/>
      <c r="N304" s="753"/>
    </row>
    <row r="305" spans="2:14" ht="14.25" customHeight="1" x14ac:dyDescent="0.25">
      <c r="B305" s="127"/>
      <c r="C305" s="125"/>
      <c r="D305" s="125"/>
      <c r="E305" s="125"/>
      <c r="F305" s="125"/>
      <c r="G305" s="125"/>
      <c r="H305" s="125"/>
      <c r="I305" s="749"/>
      <c r="J305" s="750"/>
      <c r="K305" s="751"/>
      <c r="L305" s="749"/>
      <c r="M305" s="750"/>
      <c r="N305" s="754"/>
    </row>
    <row r="306" spans="2:14" ht="14.25" customHeight="1" x14ac:dyDescent="0.25">
      <c r="B306" s="209"/>
      <c r="C306" s="118"/>
      <c r="D306" s="118"/>
      <c r="E306" s="118"/>
      <c r="F306" s="118"/>
      <c r="G306" s="118"/>
      <c r="H306" s="118"/>
      <c r="I306" s="118"/>
      <c r="J306" s="118"/>
      <c r="K306" s="118"/>
      <c r="L306" s="118"/>
      <c r="M306" s="118"/>
      <c r="N306" s="210"/>
    </row>
    <row r="307" spans="2:14" ht="14.25" customHeight="1" x14ac:dyDescent="0.25">
      <c r="B307" s="209"/>
      <c r="C307" s="118"/>
      <c r="D307" s="118"/>
      <c r="E307" s="118"/>
      <c r="F307" s="118"/>
      <c r="G307" s="118"/>
      <c r="H307" s="118"/>
      <c r="I307" s="118"/>
      <c r="J307" s="118"/>
      <c r="K307" s="118"/>
      <c r="L307" s="118"/>
      <c r="M307" s="118"/>
      <c r="N307" s="210"/>
    </row>
    <row r="308" spans="2:14" ht="14.25" customHeight="1" x14ac:dyDescent="0.25">
      <c r="B308" s="209"/>
      <c r="C308" s="118"/>
      <c r="D308" s="118"/>
      <c r="E308" s="118"/>
      <c r="F308" s="118"/>
      <c r="G308" s="118"/>
      <c r="H308" s="118"/>
      <c r="I308" s="118"/>
      <c r="J308" s="118"/>
      <c r="K308" s="118"/>
      <c r="L308" s="118"/>
      <c r="M308" s="118"/>
      <c r="N308" s="210"/>
    </row>
    <row r="309" spans="2:14" ht="14.25" customHeight="1" x14ac:dyDescent="0.25">
      <c r="B309" s="209"/>
      <c r="C309" s="118"/>
      <c r="D309" s="118"/>
      <c r="E309" s="118"/>
      <c r="F309" s="118"/>
      <c r="G309" s="118"/>
      <c r="H309" s="118"/>
      <c r="I309" s="118"/>
      <c r="J309" s="118"/>
      <c r="K309" s="118"/>
      <c r="L309" s="118"/>
      <c r="M309" s="118"/>
      <c r="N309" s="210"/>
    </row>
    <row r="310" spans="2:14" ht="14.25" customHeight="1" x14ac:dyDescent="0.25">
      <c r="B310" s="775" t="s">
        <v>414</v>
      </c>
      <c r="C310" s="747"/>
      <c r="D310" s="747"/>
      <c r="E310" s="128"/>
      <c r="F310" s="128"/>
      <c r="G310" s="128"/>
      <c r="H310" s="128"/>
      <c r="I310" s="776"/>
      <c r="J310" s="747"/>
      <c r="K310" s="747"/>
      <c r="L310" s="118"/>
      <c r="M310" s="118"/>
      <c r="N310" s="210"/>
    </row>
    <row r="311" spans="2:14" ht="14.25" customHeight="1" thickBot="1" x14ac:dyDescent="0.3">
      <c r="B311" s="129"/>
      <c r="C311" s="130"/>
      <c r="D311" s="130"/>
      <c r="E311" s="130"/>
      <c r="F311" s="130"/>
      <c r="G311" s="130"/>
      <c r="H311" s="130"/>
      <c r="I311" s="130"/>
      <c r="J311" s="130"/>
      <c r="K311" s="130"/>
      <c r="L311" s="130"/>
      <c r="M311" s="130"/>
      <c r="N311" s="131"/>
    </row>
    <row r="312" spans="2:14" ht="14.25" hidden="1" customHeight="1" x14ac:dyDescent="0.25">
      <c r="B312" s="132"/>
      <c r="C312" s="132"/>
      <c r="D312" s="132"/>
      <c r="E312" s="132"/>
      <c r="F312" s="132"/>
      <c r="G312" s="132"/>
      <c r="H312" s="132"/>
      <c r="I312" s="132"/>
      <c r="J312" s="132"/>
      <c r="K312" s="132"/>
      <c r="L312" s="132"/>
      <c r="M312" s="132"/>
      <c r="N312" s="132"/>
    </row>
    <row r="313" spans="2:14" ht="44.25" hidden="1" customHeight="1" x14ac:dyDescent="0.25">
      <c r="B313" s="728"/>
      <c r="C313" s="729"/>
      <c r="D313" s="730" t="s">
        <v>393</v>
      </c>
      <c r="E313" s="729"/>
      <c r="F313" s="729"/>
      <c r="G313" s="729"/>
      <c r="H313" s="729"/>
      <c r="I313" s="729"/>
      <c r="J313" s="729"/>
      <c r="K313" s="729"/>
      <c r="L313" s="729"/>
      <c r="M313" s="729"/>
      <c r="N313" s="731"/>
    </row>
    <row r="314" spans="2:14" ht="14.25" hidden="1" customHeight="1" x14ac:dyDescent="0.25">
      <c r="B314" s="732" t="s">
        <v>394</v>
      </c>
      <c r="C314" s="733"/>
      <c r="D314" s="733"/>
      <c r="E314" s="733"/>
      <c r="F314" s="733"/>
      <c r="G314" s="733"/>
      <c r="H314" s="733"/>
      <c r="I314" s="733"/>
      <c r="J314" s="733"/>
      <c r="K314" s="733"/>
      <c r="L314" s="733"/>
      <c r="M314" s="733"/>
      <c r="N314" s="734"/>
    </row>
    <row r="315" spans="2:14" ht="15" hidden="1" customHeight="1" x14ac:dyDescent="0.25">
      <c r="B315" s="735" t="s">
        <v>395</v>
      </c>
      <c r="C315" s="736"/>
      <c r="D315" s="779" t="s">
        <v>424</v>
      </c>
      <c r="E315" s="733"/>
      <c r="F315" s="733"/>
      <c r="G315" s="733"/>
      <c r="H315" s="733"/>
      <c r="I315" s="733"/>
      <c r="J315" s="733"/>
      <c r="K315" s="733"/>
      <c r="L315" s="733"/>
      <c r="M315" s="733"/>
      <c r="N315" s="734"/>
    </row>
    <row r="316" spans="2:14" ht="14.25" hidden="1" customHeight="1" x14ac:dyDescent="0.25">
      <c r="B316" s="740" t="s">
        <v>26</v>
      </c>
      <c r="C316" s="741"/>
      <c r="D316" s="119" t="s">
        <v>396</v>
      </c>
      <c r="E316" s="742" t="s">
        <v>397</v>
      </c>
      <c r="F316" s="733"/>
      <c r="G316" s="733"/>
      <c r="H316" s="736"/>
      <c r="I316" s="742" t="s">
        <v>398</v>
      </c>
      <c r="J316" s="733"/>
      <c r="K316" s="736"/>
      <c r="L316" s="742" t="s">
        <v>399</v>
      </c>
      <c r="M316" s="733"/>
      <c r="N316" s="734"/>
    </row>
    <row r="317" spans="2:14" ht="14.25" hidden="1" customHeight="1" x14ac:dyDescent="0.25">
      <c r="B317" s="777">
        <v>10</v>
      </c>
      <c r="C317" s="736"/>
      <c r="D317" s="123">
        <f>SUM(H320:H343)</f>
        <v>286</v>
      </c>
      <c r="E317" s="778" t="s">
        <v>51</v>
      </c>
      <c r="F317" s="733"/>
      <c r="G317" s="733"/>
      <c r="H317" s="736"/>
      <c r="I317" s="744"/>
      <c r="J317" s="745"/>
      <c r="K317" s="741"/>
      <c r="L317" s="744"/>
      <c r="M317" s="745"/>
      <c r="N317" s="752"/>
    </row>
    <row r="318" spans="2:14" ht="14.25" hidden="1" customHeight="1" x14ac:dyDescent="0.25">
      <c r="B318" s="755" t="s">
        <v>416</v>
      </c>
      <c r="C318" s="733"/>
      <c r="D318" s="733"/>
      <c r="E318" s="733"/>
      <c r="F318" s="733"/>
      <c r="G318" s="733"/>
      <c r="H318" s="736"/>
      <c r="I318" s="746"/>
      <c r="J318" s="747"/>
      <c r="K318" s="748"/>
      <c r="L318" s="746"/>
      <c r="M318" s="747"/>
      <c r="N318" s="753"/>
    </row>
    <row r="319" spans="2:14" ht="14.25" hidden="1" customHeight="1" x14ac:dyDescent="0.25">
      <c r="B319" s="121" t="s">
        <v>400</v>
      </c>
      <c r="C319" s="122" t="s">
        <v>401</v>
      </c>
      <c r="D319" s="123" t="s">
        <v>402</v>
      </c>
      <c r="E319" s="123" t="s">
        <v>403</v>
      </c>
      <c r="F319" s="123" t="s">
        <v>404</v>
      </c>
      <c r="G319" s="123" t="s">
        <v>405</v>
      </c>
      <c r="H319" s="123" t="s">
        <v>406</v>
      </c>
      <c r="I319" s="746"/>
      <c r="J319" s="747"/>
      <c r="K319" s="748"/>
      <c r="L319" s="746"/>
      <c r="M319" s="747"/>
      <c r="N319" s="753"/>
    </row>
    <row r="320" spans="2:14" ht="14.25" hidden="1" customHeight="1" x14ac:dyDescent="0.25">
      <c r="B320" s="124"/>
      <c r="C320" s="138" t="s">
        <v>425</v>
      </c>
      <c r="D320" s="125">
        <v>8</v>
      </c>
      <c r="E320" s="125">
        <v>0.43</v>
      </c>
      <c r="F320" s="125">
        <v>17.399999999999999</v>
      </c>
      <c r="G320" s="125"/>
      <c r="H320" s="125">
        <f>ROUND(E320*F320*D320,0)</f>
        <v>60</v>
      </c>
      <c r="I320" s="746"/>
      <c r="J320" s="747"/>
      <c r="K320" s="748"/>
      <c r="L320" s="746"/>
      <c r="M320" s="747"/>
      <c r="N320" s="753"/>
    </row>
    <row r="321" spans="2:14" ht="14.25" hidden="1" customHeight="1" x14ac:dyDescent="0.25">
      <c r="B321" s="124"/>
      <c r="C321" s="765" t="s">
        <v>426</v>
      </c>
      <c r="D321" s="125"/>
      <c r="E321" s="125">
        <v>1.25</v>
      </c>
      <c r="F321" s="125">
        <v>3.1</v>
      </c>
      <c r="G321" s="125"/>
      <c r="H321" s="125">
        <f t="shared" ref="H321:H340" si="9">ROUND(E321*F321,0)</f>
        <v>4</v>
      </c>
      <c r="I321" s="746"/>
      <c r="J321" s="747"/>
      <c r="K321" s="748"/>
      <c r="L321" s="746"/>
      <c r="M321" s="747"/>
      <c r="N321" s="753"/>
    </row>
    <row r="322" spans="2:14" ht="14.25" hidden="1" customHeight="1" x14ac:dyDescent="0.25">
      <c r="B322" s="124"/>
      <c r="C322" s="780"/>
      <c r="D322" s="125"/>
      <c r="E322" s="125">
        <v>2.95</v>
      </c>
      <c r="F322" s="125">
        <v>14.3</v>
      </c>
      <c r="G322" s="125"/>
      <c r="H322" s="125">
        <f t="shared" si="9"/>
        <v>42</v>
      </c>
      <c r="I322" s="746"/>
      <c r="J322" s="747"/>
      <c r="K322" s="748"/>
      <c r="L322" s="746"/>
      <c r="M322" s="747"/>
      <c r="N322" s="753"/>
    </row>
    <row r="323" spans="2:14" ht="14.25" hidden="1" customHeight="1" x14ac:dyDescent="0.25">
      <c r="B323" s="124"/>
      <c r="C323" s="781"/>
      <c r="D323" s="125"/>
      <c r="E323" s="125">
        <v>1.35</v>
      </c>
      <c r="F323" s="125">
        <v>17.95</v>
      </c>
      <c r="G323" s="125"/>
      <c r="H323" s="125">
        <f t="shared" si="9"/>
        <v>24</v>
      </c>
      <c r="I323" s="746"/>
      <c r="J323" s="747"/>
      <c r="K323" s="748"/>
      <c r="L323" s="746"/>
      <c r="M323" s="747"/>
      <c r="N323" s="753"/>
    </row>
    <row r="324" spans="2:14" ht="14.25" hidden="1" customHeight="1" x14ac:dyDescent="0.25">
      <c r="B324" s="124"/>
      <c r="C324" s="138" t="s">
        <v>427</v>
      </c>
      <c r="D324" s="125"/>
      <c r="E324" s="125">
        <v>1.5</v>
      </c>
      <c r="F324" s="125">
        <v>3.6</v>
      </c>
      <c r="G324" s="125"/>
      <c r="H324" s="125">
        <f t="shared" si="9"/>
        <v>5</v>
      </c>
      <c r="I324" s="746"/>
      <c r="J324" s="747"/>
      <c r="K324" s="748"/>
      <c r="L324" s="746"/>
      <c r="M324" s="747"/>
      <c r="N324" s="753"/>
    </row>
    <row r="325" spans="2:14" ht="14.25" hidden="1" customHeight="1" x14ac:dyDescent="0.25">
      <c r="B325" s="124"/>
      <c r="C325" s="125"/>
      <c r="D325" s="125"/>
      <c r="E325" s="125">
        <v>1.5</v>
      </c>
      <c r="F325" s="125">
        <v>8.4499999999999993</v>
      </c>
      <c r="G325" s="125"/>
      <c r="H325" s="125">
        <f t="shared" si="9"/>
        <v>13</v>
      </c>
      <c r="I325" s="746"/>
      <c r="J325" s="747"/>
      <c r="K325" s="748"/>
      <c r="L325" s="746"/>
      <c r="M325" s="747"/>
      <c r="N325" s="753"/>
    </row>
    <row r="326" spans="2:14" ht="14.25" hidden="1" customHeight="1" x14ac:dyDescent="0.25">
      <c r="B326" s="124"/>
      <c r="C326" s="125"/>
      <c r="D326" s="125"/>
      <c r="E326" s="125">
        <v>1.5</v>
      </c>
      <c r="F326" s="125">
        <v>15.9</v>
      </c>
      <c r="G326" s="125"/>
      <c r="H326" s="125">
        <f t="shared" si="9"/>
        <v>24</v>
      </c>
      <c r="I326" s="746"/>
      <c r="J326" s="747"/>
      <c r="K326" s="748"/>
      <c r="L326" s="746"/>
      <c r="M326" s="747"/>
      <c r="N326" s="753"/>
    </row>
    <row r="327" spans="2:14" ht="14.25" hidden="1" customHeight="1" x14ac:dyDescent="0.25">
      <c r="B327" s="124"/>
      <c r="C327" s="125"/>
      <c r="D327" s="125"/>
      <c r="E327" s="125">
        <v>1.5</v>
      </c>
      <c r="F327" s="125">
        <v>1.8</v>
      </c>
      <c r="G327" s="125"/>
      <c r="H327" s="125">
        <f t="shared" si="9"/>
        <v>3</v>
      </c>
      <c r="I327" s="746"/>
      <c r="J327" s="747"/>
      <c r="K327" s="748"/>
      <c r="L327" s="746"/>
      <c r="M327" s="747"/>
      <c r="N327" s="753"/>
    </row>
    <row r="328" spans="2:14" ht="14.25" hidden="1" customHeight="1" x14ac:dyDescent="0.25">
      <c r="B328" s="124"/>
      <c r="C328" s="125"/>
      <c r="D328" s="125"/>
      <c r="E328" s="125">
        <v>1.5</v>
      </c>
      <c r="F328" s="125">
        <v>2</v>
      </c>
      <c r="G328" s="125"/>
      <c r="H328" s="125">
        <f t="shared" si="9"/>
        <v>3</v>
      </c>
      <c r="I328" s="746"/>
      <c r="J328" s="747"/>
      <c r="K328" s="748"/>
      <c r="L328" s="746"/>
      <c r="M328" s="747"/>
      <c r="N328" s="753"/>
    </row>
    <row r="329" spans="2:14" ht="14.25" hidden="1" customHeight="1" x14ac:dyDescent="0.25">
      <c r="B329" s="124"/>
      <c r="C329" s="125"/>
      <c r="D329" s="125"/>
      <c r="E329" s="125">
        <v>1.5</v>
      </c>
      <c r="F329" s="125">
        <v>11.1</v>
      </c>
      <c r="G329" s="125"/>
      <c r="H329" s="125">
        <f t="shared" si="9"/>
        <v>17</v>
      </c>
      <c r="I329" s="746"/>
      <c r="J329" s="747"/>
      <c r="K329" s="748"/>
      <c r="L329" s="746"/>
      <c r="M329" s="747"/>
      <c r="N329" s="753"/>
    </row>
    <row r="330" spans="2:14" ht="14.25" hidden="1" customHeight="1" x14ac:dyDescent="0.25">
      <c r="B330" s="124"/>
      <c r="C330" s="125"/>
      <c r="D330" s="125"/>
      <c r="E330" s="125">
        <v>0.55000000000000004</v>
      </c>
      <c r="F330" s="125">
        <v>0.7</v>
      </c>
      <c r="G330" s="125"/>
      <c r="H330" s="125">
        <f t="shared" si="9"/>
        <v>0</v>
      </c>
      <c r="I330" s="746"/>
      <c r="J330" s="747"/>
      <c r="K330" s="748"/>
      <c r="L330" s="746"/>
      <c r="M330" s="747"/>
      <c r="N330" s="753"/>
    </row>
    <row r="331" spans="2:14" ht="14.25" hidden="1" customHeight="1" x14ac:dyDescent="0.25">
      <c r="B331" s="124"/>
      <c r="C331" s="125"/>
      <c r="D331" s="125"/>
      <c r="E331" s="125">
        <v>1.5</v>
      </c>
      <c r="F331" s="125">
        <v>7.6</v>
      </c>
      <c r="G331" s="125"/>
      <c r="H331" s="125">
        <f t="shared" si="9"/>
        <v>11</v>
      </c>
      <c r="I331" s="746"/>
      <c r="J331" s="747"/>
      <c r="K331" s="748"/>
      <c r="L331" s="746"/>
      <c r="M331" s="747"/>
      <c r="N331" s="753"/>
    </row>
    <row r="332" spans="2:14" ht="14.25" hidden="1" customHeight="1" x14ac:dyDescent="0.25">
      <c r="B332" s="124"/>
      <c r="C332" s="125"/>
      <c r="D332" s="125"/>
      <c r="E332" s="125">
        <v>1.5</v>
      </c>
      <c r="F332" s="125">
        <v>3.55</v>
      </c>
      <c r="G332" s="125"/>
      <c r="H332" s="125">
        <f t="shared" si="9"/>
        <v>5</v>
      </c>
      <c r="I332" s="746"/>
      <c r="J332" s="747"/>
      <c r="K332" s="748"/>
      <c r="L332" s="746"/>
      <c r="M332" s="747"/>
      <c r="N332" s="753"/>
    </row>
    <row r="333" spans="2:14" ht="14.25" hidden="1" customHeight="1" x14ac:dyDescent="0.25">
      <c r="B333" s="124"/>
      <c r="C333" s="125"/>
      <c r="D333" s="125"/>
      <c r="E333" s="125">
        <v>1.5</v>
      </c>
      <c r="F333" s="125">
        <v>8.5</v>
      </c>
      <c r="G333" s="125"/>
      <c r="H333" s="125">
        <f t="shared" si="9"/>
        <v>13</v>
      </c>
      <c r="I333" s="746"/>
      <c r="J333" s="747"/>
      <c r="K333" s="748"/>
      <c r="L333" s="746"/>
      <c r="M333" s="747"/>
      <c r="N333" s="753"/>
    </row>
    <row r="334" spans="2:14" ht="14.25" hidden="1" customHeight="1" x14ac:dyDescent="0.25">
      <c r="B334" s="124"/>
      <c r="C334" s="125"/>
      <c r="D334" s="125"/>
      <c r="E334" s="125">
        <v>1.5</v>
      </c>
      <c r="F334" s="125">
        <v>14.6</v>
      </c>
      <c r="G334" s="125"/>
      <c r="H334" s="125">
        <f t="shared" si="9"/>
        <v>22</v>
      </c>
      <c r="I334" s="746"/>
      <c r="J334" s="747"/>
      <c r="K334" s="748"/>
      <c r="L334" s="746"/>
      <c r="M334" s="747"/>
      <c r="N334" s="753"/>
    </row>
    <row r="335" spans="2:14" ht="14.25" hidden="1" customHeight="1" x14ac:dyDescent="0.25">
      <c r="B335" s="124"/>
      <c r="C335" s="125"/>
      <c r="D335" s="125"/>
      <c r="E335" s="125">
        <v>1.5</v>
      </c>
      <c r="F335" s="125">
        <v>2.4</v>
      </c>
      <c r="G335" s="125"/>
      <c r="H335" s="125">
        <f t="shared" si="9"/>
        <v>4</v>
      </c>
      <c r="I335" s="746"/>
      <c r="J335" s="747"/>
      <c r="K335" s="748"/>
      <c r="L335" s="746"/>
      <c r="M335" s="747"/>
      <c r="N335" s="753"/>
    </row>
    <row r="336" spans="2:14" ht="14.25" hidden="1" customHeight="1" x14ac:dyDescent="0.25">
      <c r="B336" s="124"/>
      <c r="C336" s="125"/>
      <c r="D336" s="125"/>
      <c r="E336" s="125">
        <v>1.5</v>
      </c>
      <c r="F336" s="125">
        <v>6.8</v>
      </c>
      <c r="G336" s="125"/>
      <c r="H336" s="125">
        <f t="shared" si="9"/>
        <v>10</v>
      </c>
      <c r="I336" s="746"/>
      <c r="J336" s="747"/>
      <c r="K336" s="748"/>
      <c r="L336" s="746"/>
      <c r="M336" s="747"/>
      <c r="N336" s="753"/>
    </row>
    <row r="337" spans="2:14" ht="14.25" hidden="1" customHeight="1" x14ac:dyDescent="0.25">
      <c r="B337" s="124"/>
      <c r="C337" s="125"/>
      <c r="D337" s="125"/>
      <c r="E337" s="125">
        <v>1.5</v>
      </c>
      <c r="F337" s="125">
        <v>9.1999999999999993</v>
      </c>
      <c r="G337" s="125"/>
      <c r="H337" s="125">
        <f t="shared" si="9"/>
        <v>14</v>
      </c>
      <c r="I337" s="746"/>
      <c r="J337" s="747"/>
      <c r="K337" s="748"/>
      <c r="L337" s="746"/>
      <c r="M337" s="747"/>
      <c r="N337" s="753"/>
    </row>
    <row r="338" spans="2:14" ht="14.25" hidden="1" customHeight="1" x14ac:dyDescent="0.25">
      <c r="B338" s="124"/>
      <c r="C338" s="125"/>
      <c r="D338" s="125"/>
      <c r="E338" s="125">
        <v>1.5</v>
      </c>
      <c r="F338" s="125">
        <v>8.8000000000000007</v>
      </c>
      <c r="G338" s="125"/>
      <c r="H338" s="125">
        <f t="shared" si="9"/>
        <v>13</v>
      </c>
      <c r="I338" s="746"/>
      <c r="J338" s="747"/>
      <c r="K338" s="748"/>
      <c r="L338" s="746"/>
      <c r="M338" s="747"/>
      <c r="N338" s="753"/>
    </row>
    <row r="339" spans="2:14" ht="14.25" hidden="1" customHeight="1" x14ac:dyDescent="0.25">
      <c r="B339" s="124"/>
      <c r="C339" s="125"/>
      <c r="D339" s="125"/>
      <c r="E339" s="125">
        <v>1.5</v>
      </c>
      <c r="F339" s="125">
        <v>2.2000000000000002</v>
      </c>
      <c r="G339" s="125"/>
      <c r="H339" s="125">
        <f t="shared" si="9"/>
        <v>3</v>
      </c>
      <c r="I339" s="746"/>
      <c r="J339" s="747"/>
      <c r="K339" s="748"/>
      <c r="L339" s="746"/>
      <c r="M339" s="747"/>
      <c r="N339" s="753"/>
    </row>
    <row r="340" spans="2:14" ht="14.25" hidden="1" customHeight="1" x14ac:dyDescent="0.25">
      <c r="B340" s="124"/>
      <c r="C340" s="125" t="s">
        <v>428</v>
      </c>
      <c r="D340" s="125"/>
      <c r="E340" s="125">
        <v>0.3</v>
      </c>
      <c r="F340" s="125">
        <v>4.5</v>
      </c>
      <c r="G340" s="125"/>
      <c r="H340" s="125">
        <f t="shared" si="9"/>
        <v>1</v>
      </c>
      <c r="I340" s="746"/>
      <c r="J340" s="747"/>
      <c r="K340" s="748"/>
      <c r="L340" s="746"/>
      <c r="M340" s="747"/>
      <c r="N340" s="753"/>
    </row>
    <row r="341" spans="2:14" ht="14.25" hidden="1" customHeight="1" x14ac:dyDescent="0.25">
      <c r="B341" s="124"/>
      <c r="C341" s="134" t="s">
        <v>429</v>
      </c>
      <c r="D341" s="134">
        <v>3</v>
      </c>
      <c r="E341" s="134">
        <v>1</v>
      </c>
      <c r="F341" s="134">
        <v>1</v>
      </c>
      <c r="G341" s="134"/>
      <c r="H341" s="134">
        <v>-3</v>
      </c>
      <c r="I341" s="746"/>
      <c r="J341" s="747"/>
      <c r="K341" s="748"/>
      <c r="L341" s="746"/>
      <c r="M341" s="747"/>
      <c r="N341" s="753"/>
    </row>
    <row r="342" spans="2:14" ht="14.25" hidden="1" customHeight="1" x14ac:dyDescent="0.25">
      <c r="B342" s="124"/>
      <c r="C342" s="134" t="s">
        <v>429</v>
      </c>
      <c r="D342" s="134">
        <v>2</v>
      </c>
      <c r="E342" s="134">
        <v>0.6</v>
      </c>
      <c r="F342" s="134">
        <v>0.6</v>
      </c>
      <c r="G342" s="134"/>
      <c r="H342" s="143">
        <v>-1</v>
      </c>
      <c r="I342" s="746"/>
      <c r="J342" s="747"/>
      <c r="K342" s="748"/>
      <c r="L342" s="746"/>
      <c r="M342" s="747"/>
      <c r="N342" s="753"/>
    </row>
    <row r="343" spans="2:14" ht="14.25" hidden="1" customHeight="1" x14ac:dyDescent="0.25">
      <c r="B343" s="127"/>
      <c r="C343" s="134" t="s">
        <v>429</v>
      </c>
      <c r="D343" s="134"/>
      <c r="E343" s="134">
        <v>0.8</v>
      </c>
      <c r="F343" s="134">
        <v>0.8</v>
      </c>
      <c r="G343" s="134"/>
      <c r="H343" s="134">
        <v>-1</v>
      </c>
      <c r="I343" s="749"/>
      <c r="J343" s="750"/>
      <c r="K343" s="751"/>
      <c r="L343" s="749"/>
      <c r="M343" s="750"/>
      <c r="N343" s="754"/>
    </row>
    <row r="344" spans="2:14" ht="14.25" hidden="1" customHeight="1" x14ac:dyDescent="0.25">
      <c r="B344" s="209"/>
      <c r="C344" s="118"/>
      <c r="D344" s="118"/>
      <c r="E344" s="118"/>
      <c r="F344" s="118"/>
      <c r="G344" s="118"/>
      <c r="H344" s="118"/>
      <c r="I344" s="118"/>
      <c r="J344" s="118"/>
      <c r="K344" s="118"/>
      <c r="L344" s="118"/>
      <c r="M344" s="118"/>
      <c r="N344" s="210"/>
    </row>
    <row r="345" spans="2:14" ht="14.25" hidden="1" customHeight="1" x14ac:dyDescent="0.25">
      <c r="B345" s="209"/>
      <c r="C345" s="118"/>
      <c r="D345" s="118"/>
      <c r="E345" s="118"/>
      <c r="F345" s="118"/>
      <c r="G345" s="118"/>
      <c r="H345" s="118"/>
      <c r="I345" s="118"/>
      <c r="J345" s="118"/>
      <c r="K345" s="118"/>
      <c r="L345" s="118"/>
      <c r="M345" s="118"/>
      <c r="N345" s="210"/>
    </row>
    <row r="346" spans="2:14" ht="14.25" hidden="1" customHeight="1" x14ac:dyDescent="0.25">
      <c r="B346" s="209"/>
      <c r="C346" s="118"/>
      <c r="D346" s="118"/>
      <c r="E346" s="118"/>
      <c r="F346" s="118"/>
      <c r="G346" s="118"/>
      <c r="H346" s="118"/>
      <c r="I346" s="118"/>
      <c r="J346" s="118"/>
      <c r="K346" s="118"/>
      <c r="L346" s="118"/>
      <c r="M346" s="118"/>
      <c r="N346" s="210"/>
    </row>
    <row r="347" spans="2:14" ht="14.25" hidden="1" customHeight="1" x14ac:dyDescent="0.25">
      <c r="B347" s="209"/>
      <c r="C347" s="118"/>
      <c r="D347" s="118"/>
      <c r="E347" s="118"/>
      <c r="F347" s="118"/>
      <c r="G347" s="118"/>
      <c r="H347" s="118"/>
      <c r="I347" s="118"/>
      <c r="J347" s="118"/>
      <c r="K347" s="118"/>
      <c r="L347" s="118"/>
      <c r="M347" s="118"/>
      <c r="N347" s="210"/>
    </row>
    <row r="348" spans="2:14" ht="14.25" hidden="1" customHeight="1" x14ac:dyDescent="0.25">
      <c r="B348" s="775" t="s">
        <v>414</v>
      </c>
      <c r="C348" s="747"/>
      <c r="D348" s="747"/>
      <c r="E348" s="128"/>
      <c r="F348" s="128"/>
      <c r="G348" s="128"/>
      <c r="H348" s="128"/>
      <c r="I348" s="776"/>
      <c r="J348" s="747"/>
      <c r="K348" s="747"/>
      <c r="L348" s="118"/>
      <c r="M348" s="118"/>
      <c r="N348" s="210"/>
    </row>
    <row r="349" spans="2:14" ht="14.25" hidden="1" customHeight="1" x14ac:dyDescent="0.25">
      <c r="B349" s="129"/>
      <c r="C349" s="130"/>
      <c r="D349" s="130"/>
      <c r="E349" s="130"/>
      <c r="F349" s="130"/>
      <c r="G349" s="130"/>
      <c r="H349" s="130"/>
      <c r="I349" s="130"/>
      <c r="J349" s="130"/>
      <c r="K349" s="130"/>
      <c r="L349" s="130"/>
      <c r="M349" s="130"/>
      <c r="N349" s="131"/>
    </row>
    <row r="350" spans="2:14" ht="14.25" hidden="1" customHeight="1" x14ac:dyDescent="0.25">
      <c r="B350" s="132"/>
      <c r="C350" s="132"/>
      <c r="D350" s="132"/>
      <c r="E350" s="132"/>
      <c r="F350" s="132"/>
      <c r="G350" s="132"/>
      <c r="H350" s="132"/>
      <c r="I350" s="132"/>
      <c r="J350" s="132"/>
      <c r="K350" s="132"/>
      <c r="L350" s="132"/>
      <c r="M350" s="132"/>
      <c r="N350" s="132"/>
    </row>
    <row r="351" spans="2:14" ht="41.25" hidden="1" customHeight="1" x14ac:dyDescent="0.25">
      <c r="B351" s="728"/>
      <c r="C351" s="729"/>
      <c r="D351" s="730" t="s">
        <v>393</v>
      </c>
      <c r="E351" s="729"/>
      <c r="F351" s="729"/>
      <c r="G351" s="729"/>
      <c r="H351" s="729"/>
      <c r="I351" s="729"/>
      <c r="J351" s="729"/>
      <c r="K351" s="729"/>
      <c r="L351" s="729"/>
      <c r="M351" s="729"/>
      <c r="N351" s="731"/>
    </row>
    <row r="352" spans="2:14" ht="14.25" hidden="1" customHeight="1" x14ac:dyDescent="0.25">
      <c r="B352" s="732" t="s">
        <v>394</v>
      </c>
      <c r="C352" s="733"/>
      <c r="D352" s="733"/>
      <c r="E352" s="733"/>
      <c r="F352" s="733"/>
      <c r="G352" s="733"/>
      <c r="H352" s="733"/>
      <c r="I352" s="733"/>
      <c r="J352" s="733"/>
      <c r="K352" s="733"/>
      <c r="L352" s="733"/>
      <c r="M352" s="733"/>
      <c r="N352" s="734"/>
    </row>
    <row r="353" spans="2:14" ht="15" hidden="1" customHeight="1" x14ac:dyDescent="0.25">
      <c r="B353" s="735" t="s">
        <v>395</v>
      </c>
      <c r="C353" s="736"/>
      <c r="D353" s="779" t="s">
        <v>430</v>
      </c>
      <c r="E353" s="733"/>
      <c r="F353" s="733"/>
      <c r="G353" s="733"/>
      <c r="H353" s="733"/>
      <c r="I353" s="733"/>
      <c r="J353" s="733"/>
      <c r="K353" s="733"/>
      <c r="L353" s="733"/>
      <c r="M353" s="733"/>
      <c r="N353" s="734"/>
    </row>
    <row r="354" spans="2:14" ht="14.25" hidden="1" customHeight="1" x14ac:dyDescent="0.25">
      <c r="B354" s="740" t="s">
        <v>26</v>
      </c>
      <c r="C354" s="741"/>
      <c r="D354" s="119" t="s">
        <v>396</v>
      </c>
      <c r="E354" s="742" t="s">
        <v>397</v>
      </c>
      <c r="F354" s="733"/>
      <c r="G354" s="733"/>
      <c r="H354" s="736"/>
      <c r="I354" s="742" t="s">
        <v>398</v>
      </c>
      <c r="J354" s="733"/>
      <c r="K354" s="736"/>
      <c r="L354" s="742" t="s">
        <v>399</v>
      </c>
      <c r="M354" s="733"/>
      <c r="N354" s="734"/>
    </row>
    <row r="355" spans="2:14" ht="14.25" hidden="1" customHeight="1" x14ac:dyDescent="0.25">
      <c r="B355" s="777">
        <v>11</v>
      </c>
      <c r="C355" s="736"/>
      <c r="D355" s="120">
        <f>SUM(H358:H380)</f>
        <v>50.306499999999986</v>
      </c>
      <c r="E355" s="778" t="s">
        <v>132</v>
      </c>
      <c r="F355" s="733"/>
      <c r="G355" s="733"/>
      <c r="H355" s="736"/>
      <c r="I355" s="744"/>
      <c r="J355" s="745"/>
      <c r="K355" s="741"/>
      <c r="L355" s="744"/>
      <c r="M355" s="745"/>
      <c r="N355" s="752"/>
    </row>
    <row r="356" spans="2:14" ht="14.25" hidden="1" customHeight="1" x14ac:dyDescent="0.25">
      <c r="B356" s="755" t="s">
        <v>416</v>
      </c>
      <c r="C356" s="733"/>
      <c r="D356" s="733"/>
      <c r="E356" s="733"/>
      <c r="F356" s="733"/>
      <c r="G356" s="733"/>
      <c r="H356" s="736"/>
      <c r="I356" s="746"/>
      <c r="J356" s="747"/>
      <c r="K356" s="748"/>
      <c r="L356" s="746"/>
      <c r="M356" s="747"/>
      <c r="N356" s="753"/>
    </row>
    <row r="357" spans="2:14" ht="14.25" hidden="1" customHeight="1" x14ac:dyDescent="0.25">
      <c r="B357" s="121" t="s">
        <v>400</v>
      </c>
      <c r="C357" s="122" t="s">
        <v>401</v>
      </c>
      <c r="D357" s="123" t="s">
        <v>402</v>
      </c>
      <c r="E357" s="123" t="s">
        <v>403</v>
      </c>
      <c r="F357" s="123" t="s">
        <v>404</v>
      </c>
      <c r="G357" s="123" t="s">
        <v>405</v>
      </c>
      <c r="H357" s="123" t="s">
        <v>406</v>
      </c>
      <c r="I357" s="746"/>
      <c r="J357" s="747"/>
      <c r="K357" s="748"/>
      <c r="L357" s="746"/>
      <c r="M357" s="747"/>
      <c r="N357" s="753"/>
    </row>
    <row r="358" spans="2:14" ht="14.25" hidden="1" customHeight="1" x14ac:dyDescent="0.25">
      <c r="B358" s="124"/>
      <c r="C358" s="138" t="s">
        <v>425</v>
      </c>
      <c r="D358" s="125">
        <v>8</v>
      </c>
      <c r="E358" s="125">
        <v>0.43</v>
      </c>
      <c r="F358" s="125">
        <v>17.399999999999999</v>
      </c>
      <c r="G358" s="125">
        <v>0.2</v>
      </c>
      <c r="H358" s="125">
        <f>ROUND(E358*F358*G358*D358,0)</f>
        <v>12</v>
      </c>
      <c r="I358" s="746"/>
      <c r="J358" s="747"/>
      <c r="K358" s="748"/>
      <c r="L358" s="746"/>
      <c r="M358" s="747"/>
      <c r="N358" s="753"/>
    </row>
    <row r="359" spans="2:14" ht="14.25" hidden="1" customHeight="1" x14ac:dyDescent="0.25">
      <c r="B359" s="124"/>
      <c r="C359" s="765" t="s">
        <v>426</v>
      </c>
      <c r="D359" s="125"/>
      <c r="E359" s="125">
        <v>1.25</v>
      </c>
      <c r="F359" s="125">
        <v>3.1</v>
      </c>
      <c r="G359" s="125">
        <v>0.05</v>
      </c>
      <c r="H359" s="126">
        <f t="shared" ref="H359:H377" si="10">G359*F359*E359</f>
        <v>0.19375000000000003</v>
      </c>
      <c r="I359" s="746"/>
      <c r="J359" s="747"/>
      <c r="K359" s="748"/>
      <c r="L359" s="746"/>
      <c r="M359" s="747"/>
      <c r="N359" s="753"/>
    </row>
    <row r="360" spans="2:14" ht="14.25" hidden="1" customHeight="1" x14ac:dyDescent="0.25">
      <c r="B360" s="124"/>
      <c r="C360" s="780"/>
      <c r="D360" s="125"/>
      <c r="E360" s="125">
        <v>2.95</v>
      </c>
      <c r="F360" s="125">
        <v>14.3</v>
      </c>
      <c r="G360" s="125">
        <v>0.05</v>
      </c>
      <c r="H360" s="126">
        <f t="shared" si="10"/>
        <v>2.1092500000000003</v>
      </c>
      <c r="I360" s="746"/>
      <c r="J360" s="747"/>
      <c r="K360" s="748"/>
      <c r="L360" s="746"/>
      <c r="M360" s="747"/>
      <c r="N360" s="753"/>
    </row>
    <row r="361" spans="2:14" ht="14.25" hidden="1" customHeight="1" x14ac:dyDescent="0.25">
      <c r="B361" s="124"/>
      <c r="C361" s="781"/>
      <c r="D361" s="125"/>
      <c r="E361" s="125">
        <v>1.35</v>
      </c>
      <c r="F361" s="125">
        <v>17.95</v>
      </c>
      <c r="G361" s="125">
        <v>0.2</v>
      </c>
      <c r="H361" s="125">
        <f t="shared" si="10"/>
        <v>4.8464999999999998</v>
      </c>
      <c r="I361" s="746"/>
      <c r="J361" s="747"/>
      <c r="K361" s="748"/>
      <c r="L361" s="746"/>
      <c r="M361" s="747"/>
      <c r="N361" s="753"/>
    </row>
    <row r="362" spans="2:14" ht="14.25" hidden="1" customHeight="1" x14ac:dyDescent="0.25">
      <c r="B362" s="124"/>
      <c r="C362" s="138" t="s">
        <v>427</v>
      </c>
      <c r="D362" s="125"/>
      <c r="E362" s="125">
        <v>1.5</v>
      </c>
      <c r="F362" s="125">
        <v>3.6</v>
      </c>
      <c r="G362" s="125">
        <v>0.2</v>
      </c>
      <c r="H362" s="125">
        <f t="shared" si="10"/>
        <v>1.08</v>
      </c>
      <c r="I362" s="746"/>
      <c r="J362" s="747"/>
      <c r="K362" s="748"/>
      <c r="L362" s="746"/>
      <c r="M362" s="747"/>
      <c r="N362" s="753"/>
    </row>
    <row r="363" spans="2:14" ht="14.25" hidden="1" customHeight="1" x14ac:dyDescent="0.25">
      <c r="B363" s="124"/>
      <c r="C363" s="138"/>
      <c r="D363" s="125"/>
      <c r="E363" s="125">
        <v>1.5</v>
      </c>
      <c r="F363" s="125">
        <v>8.4499999999999993</v>
      </c>
      <c r="G363" s="125">
        <v>0.2</v>
      </c>
      <c r="H363" s="125">
        <f t="shared" si="10"/>
        <v>2.5350000000000001</v>
      </c>
      <c r="I363" s="746"/>
      <c r="J363" s="747"/>
      <c r="K363" s="748"/>
      <c r="L363" s="746"/>
      <c r="M363" s="747"/>
      <c r="N363" s="753"/>
    </row>
    <row r="364" spans="2:14" ht="14.25" hidden="1" customHeight="1" x14ac:dyDescent="0.25">
      <c r="B364" s="124"/>
      <c r="C364" s="125"/>
      <c r="D364" s="125"/>
      <c r="E364" s="125">
        <v>1.5</v>
      </c>
      <c r="F364" s="125">
        <v>15.9</v>
      </c>
      <c r="G364" s="125">
        <v>0.2</v>
      </c>
      <c r="H364" s="125">
        <f t="shared" si="10"/>
        <v>4.7700000000000005</v>
      </c>
      <c r="I364" s="746"/>
      <c r="J364" s="747"/>
      <c r="K364" s="748"/>
      <c r="L364" s="746"/>
      <c r="M364" s="747"/>
      <c r="N364" s="753"/>
    </row>
    <row r="365" spans="2:14" ht="14.25" hidden="1" customHeight="1" x14ac:dyDescent="0.25">
      <c r="B365" s="124"/>
      <c r="C365" s="125"/>
      <c r="D365" s="125"/>
      <c r="E365" s="125">
        <v>1.5</v>
      </c>
      <c r="F365" s="125">
        <v>1.8</v>
      </c>
      <c r="G365" s="125">
        <v>0.2</v>
      </c>
      <c r="H365" s="125">
        <f t="shared" si="10"/>
        <v>0.54</v>
      </c>
      <c r="I365" s="746"/>
      <c r="J365" s="747"/>
      <c r="K365" s="748"/>
      <c r="L365" s="746"/>
      <c r="M365" s="747"/>
      <c r="N365" s="753"/>
    </row>
    <row r="366" spans="2:14" ht="14.25" hidden="1" customHeight="1" x14ac:dyDescent="0.25">
      <c r="B366" s="124"/>
      <c r="C366" s="125"/>
      <c r="D366" s="125"/>
      <c r="E366" s="125">
        <v>1.5</v>
      </c>
      <c r="F366" s="125">
        <v>2</v>
      </c>
      <c r="G366" s="125">
        <v>0.2</v>
      </c>
      <c r="H366" s="125">
        <f t="shared" si="10"/>
        <v>0.60000000000000009</v>
      </c>
      <c r="I366" s="746"/>
      <c r="J366" s="747"/>
      <c r="K366" s="748"/>
      <c r="L366" s="746"/>
      <c r="M366" s="747"/>
      <c r="N366" s="753"/>
    </row>
    <row r="367" spans="2:14" ht="14.25" hidden="1" customHeight="1" x14ac:dyDescent="0.25">
      <c r="B367" s="124"/>
      <c r="C367" s="125"/>
      <c r="D367" s="125"/>
      <c r="E367" s="125">
        <v>1.5</v>
      </c>
      <c r="F367" s="125">
        <v>11.1</v>
      </c>
      <c r="G367" s="125">
        <v>0.2</v>
      </c>
      <c r="H367" s="125">
        <f t="shared" si="10"/>
        <v>3.33</v>
      </c>
      <c r="I367" s="746"/>
      <c r="J367" s="747"/>
      <c r="K367" s="748"/>
      <c r="L367" s="746"/>
      <c r="M367" s="747"/>
      <c r="N367" s="753"/>
    </row>
    <row r="368" spans="2:14" ht="14.25" hidden="1" customHeight="1" x14ac:dyDescent="0.25">
      <c r="B368" s="124"/>
      <c r="C368" s="125"/>
      <c r="D368" s="125"/>
      <c r="E368" s="125">
        <v>0.55000000000000004</v>
      </c>
      <c r="F368" s="125">
        <v>0.7</v>
      </c>
      <c r="G368" s="125">
        <v>0.2</v>
      </c>
      <c r="H368" s="125">
        <f t="shared" si="10"/>
        <v>7.6999999999999999E-2</v>
      </c>
      <c r="I368" s="746"/>
      <c r="J368" s="747"/>
      <c r="K368" s="748"/>
      <c r="L368" s="746"/>
      <c r="M368" s="747"/>
      <c r="N368" s="753"/>
    </row>
    <row r="369" spans="2:14" ht="14.25" hidden="1" customHeight="1" x14ac:dyDescent="0.25">
      <c r="B369" s="124"/>
      <c r="C369" s="125"/>
      <c r="D369" s="125"/>
      <c r="E369" s="125">
        <v>1.5</v>
      </c>
      <c r="F369" s="125">
        <v>7.6</v>
      </c>
      <c r="G369" s="125">
        <v>0.2</v>
      </c>
      <c r="H369" s="125">
        <f t="shared" si="10"/>
        <v>2.2800000000000002</v>
      </c>
      <c r="I369" s="746"/>
      <c r="J369" s="747"/>
      <c r="K369" s="748"/>
      <c r="L369" s="746"/>
      <c r="M369" s="747"/>
      <c r="N369" s="753"/>
    </row>
    <row r="370" spans="2:14" ht="14.25" hidden="1" customHeight="1" x14ac:dyDescent="0.25">
      <c r="B370" s="124"/>
      <c r="C370" s="125"/>
      <c r="D370" s="125"/>
      <c r="E370" s="125">
        <v>1.5</v>
      </c>
      <c r="F370" s="125">
        <v>3.55</v>
      </c>
      <c r="G370" s="125">
        <v>0.2</v>
      </c>
      <c r="H370" s="125">
        <f t="shared" si="10"/>
        <v>1.0649999999999999</v>
      </c>
      <c r="I370" s="746"/>
      <c r="J370" s="747"/>
      <c r="K370" s="748"/>
      <c r="L370" s="746"/>
      <c r="M370" s="747"/>
      <c r="N370" s="753"/>
    </row>
    <row r="371" spans="2:14" ht="14.25" hidden="1" customHeight="1" x14ac:dyDescent="0.25">
      <c r="B371" s="124"/>
      <c r="C371" s="125"/>
      <c r="D371" s="125"/>
      <c r="E371" s="125">
        <v>1.5</v>
      </c>
      <c r="F371" s="125">
        <v>8.5</v>
      </c>
      <c r="G371" s="125">
        <v>0.2</v>
      </c>
      <c r="H371" s="125">
        <f t="shared" si="10"/>
        <v>2.5500000000000003</v>
      </c>
      <c r="I371" s="746"/>
      <c r="J371" s="747"/>
      <c r="K371" s="748"/>
      <c r="L371" s="746"/>
      <c r="M371" s="747"/>
      <c r="N371" s="753"/>
    </row>
    <row r="372" spans="2:14" ht="14.25" hidden="1" customHeight="1" x14ac:dyDescent="0.25">
      <c r="B372" s="124"/>
      <c r="C372" s="125"/>
      <c r="D372" s="125"/>
      <c r="E372" s="125">
        <v>1.5</v>
      </c>
      <c r="F372" s="125">
        <v>14.6</v>
      </c>
      <c r="G372" s="125">
        <v>0.2</v>
      </c>
      <c r="H372" s="125">
        <f t="shared" si="10"/>
        <v>4.38</v>
      </c>
      <c r="I372" s="746"/>
      <c r="J372" s="747"/>
      <c r="K372" s="748"/>
      <c r="L372" s="746"/>
      <c r="M372" s="747"/>
      <c r="N372" s="753"/>
    </row>
    <row r="373" spans="2:14" ht="14.25" hidden="1" customHeight="1" x14ac:dyDescent="0.25">
      <c r="B373" s="124"/>
      <c r="C373" s="125"/>
      <c r="D373" s="125"/>
      <c r="E373" s="125">
        <v>1.5</v>
      </c>
      <c r="F373" s="125">
        <v>2.4</v>
      </c>
      <c r="G373" s="125">
        <v>0.2</v>
      </c>
      <c r="H373" s="125">
        <f t="shared" si="10"/>
        <v>0.72</v>
      </c>
      <c r="I373" s="746"/>
      <c r="J373" s="747"/>
      <c r="K373" s="748"/>
      <c r="L373" s="746"/>
      <c r="M373" s="747"/>
      <c r="N373" s="753"/>
    </row>
    <row r="374" spans="2:14" ht="14.25" hidden="1" customHeight="1" x14ac:dyDescent="0.25">
      <c r="B374" s="124"/>
      <c r="C374" s="125"/>
      <c r="D374" s="125"/>
      <c r="E374" s="125">
        <v>1.5</v>
      </c>
      <c r="F374" s="125">
        <v>6.8</v>
      </c>
      <c r="G374" s="125">
        <v>0.2</v>
      </c>
      <c r="H374" s="125">
        <f t="shared" si="10"/>
        <v>2.04</v>
      </c>
      <c r="I374" s="746"/>
      <c r="J374" s="747"/>
      <c r="K374" s="748"/>
      <c r="L374" s="746"/>
      <c r="M374" s="747"/>
      <c r="N374" s="753"/>
    </row>
    <row r="375" spans="2:14" ht="14.25" hidden="1" customHeight="1" x14ac:dyDescent="0.25">
      <c r="B375" s="124"/>
      <c r="C375" s="125"/>
      <c r="D375" s="125"/>
      <c r="E375" s="125">
        <v>1.5</v>
      </c>
      <c r="F375" s="125">
        <v>9.1999999999999993</v>
      </c>
      <c r="G375" s="125">
        <v>0.2</v>
      </c>
      <c r="H375" s="125">
        <f t="shared" si="10"/>
        <v>2.76</v>
      </c>
      <c r="I375" s="746"/>
      <c r="J375" s="747"/>
      <c r="K375" s="748"/>
      <c r="L375" s="746"/>
      <c r="M375" s="747"/>
      <c r="N375" s="753"/>
    </row>
    <row r="376" spans="2:14" ht="14.25" hidden="1" customHeight="1" x14ac:dyDescent="0.25">
      <c r="B376" s="124"/>
      <c r="C376" s="125"/>
      <c r="D376" s="125"/>
      <c r="E376" s="125">
        <v>1.5</v>
      </c>
      <c r="F376" s="125">
        <v>8.8000000000000007</v>
      </c>
      <c r="G376" s="125">
        <v>0.2</v>
      </c>
      <c r="H376" s="125">
        <f t="shared" si="10"/>
        <v>2.6400000000000006</v>
      </c>
      <c r="I376" s="746"/>
      <c r="J376" s="747"/>
      <c r="K376" s="748"/>
      <c r="L376" s="746"/>
      <c r="M376" s="747"/>
      <c r="N376" s="753"/>
    </row>
    <row r="377" spans="2:14" ht="14.25" hidden="1" customHeight="1" x14ac:dyDescent="0.25">
      <c r="B377" s="124"/>
      <c r="C377" s="125"/>
      <c r="D377" s="125"/>
      <c r="E377" s="125">
        <v>1.5</v>
      </c>
      <c r="F377" s="125">
        <v>2.2000000000000002</v>
      </c>
      <c r="G377" s="125">
        <v>0.2</v>
      </c>
      <c r="H377" s="125">
        <f t="shared" si="10"/>
        <v>0.66000000000000014</v>
      </c>
      <c r="I377" s="746"/>
      <c r="J377" s="747"/>
      <c r="K377" s="748"/>
      <c r="L377" s="746"/>
      <c r="M377" s="747"/>
      <c r="N377" s="753"/>
    </row>
    <row r="378" spans="2:14" ht="14.25" hidden="1" customHeight="1" x14ac:dyDescent="0.25">
      <c r="B378" s="124"/>
      <c r="C378" s="134" t="s">
        <v>429</v>
      </c>
      <c r="D378" s="134">
        <v>3</v>
      </c>
      <c r="E378" s="134">
        <v>1</v>
      </c>
      <c r="F378" s="134">
        <v>1</v>
      </c>
      <c r="G378" s="134">
        <v>0.2</v>
      </c>
      <c r="H378" s="134">
        <v>-0.6</v>
      </c>
      <c r="I378" s="746"/>
      <c r="J378" s="747"/>
      <c r="K378" s="748"/>
      <c r="L378" s="746"/>
      <c r="M378" s="747"/>
      <c r="N378" s="753"/>
    </row>
    <row r="379" spans="2:14" ht="14.25" hidden="1" customHeight="1" x14ac:dyDescent="0.25">
      <c r="B379" s="124"/>
      <c r="C379" s="134" t="s">
        <v>429</v>
      </c>
      <c r="D379" s="134">
        <v>2</v>
      </c>
      <c r="E379" s="134">
        <v>0.6</v>
      </c>
      <c r="F379" s="134">
        <v>0.6</v>
      </c>
      <c r="G379" s="134">
        <v>0.2</v>
      </c>
      <c r="H379" s="144">
        <v>-0.14000000000000001</v>
      </c>
      <c r="I379" s="746"/>
      <c r="J379" s="747"/>
      <c r="K379" s="748"/>
      <c r="L379" s="746"/>
      <c r="M379" s="747"/>
      <c r="N379" s="753"/>
    </row>
    <row r="380" spans="2:14" ht="14.25" hidden="1" customHeight="1" x14ac:dyDescent="0.25">
      <c r="B380" s="124"/>
      <c r="C380" s="134" t="s">
        <v>429</v>
      </c>
      <c r="D380" s="134"/>
      <c r="E380" s="134">
        <v>0.8</v>
      </c>
      <c r="F380" s="134">
        <v>0.8</v>
      </c>
      <c r="G380" s="134">
        <v>0.2</v>
      </c>
      <c r="H380" s="144">
        <v>-0.13</v>
      </c>
      <c r="I380" s="749"/>
      <c r="J380" s="750"/>
      <c r="K380" s="751"/>
      <c r="L380" s="749"/>
      <c r="M380" s="750"/>
      <c r="N380" s="754"/>
    </row>
    <row r="381" spans="2:14" ht="14.25" hidden="1" customHeight="1" x14ac:dyDescent="0.25">
      <c r="B381" s="209"/>
      <c r="C381" s="118"/>
      <c r="D381" s="118"/>
      <c r="E381" s="118"/>
      <c r="F381" s="118"/>
      <c r="G381" s="118"/>
      <c r="H381" s="118"/>
      <c r="I381" s="118"/>
      <c r="J381" s="118"/>
      <c r="K381" s="118"/>
      <c r="L381" s="118"/>
      <c r="M381" s="118"/>
      <c r="N381" s="210"/>
    </row>
    <row r="382" spans="2:14" ht="14.25" hidden="1" customHeight="1" x14ac:dyDescent="0.25">
      <c r="B382" s="209"/>
      <c r="C382" s="118"/>
      <c r="D382" s="118"/>
      <c r="E382" s="118"/>
      <c r="F382" s="118"/>
      <c r="G382" s="118"/>
      <c r="H382" s="118"/>
      <c r="I382" s="118"/>
      <c r="J382" s="118"/>
      <c r="K382" s="118"/>
      <c r="L382" s="118"/>
      <c r="M382" s="118"/>
      <c r="N382" s="210"/>
    </row>
    <row r="383" spans="2:14" ht="14.25" hidden="1" customHeight="1" x14ac:dyDescent="0.25">
      <c r="B383" s="209"/>
      <c r="C383" s="118"/>
      <c r="D383" s="118"/>
      <c r="E383" s="118"/>
      <c r="F383" s="118"/>
      <c r="G383" s="118"/>
      <c r="H383" s="118"/>
      <c r="I383" s="118"/>
      <c r="J383" s="118"/>
      <c r="K383" s="118"/>
      <c r="L383" s="118"/>
      <c r="M383" s="118"/>
      <c r="N383" s="210"/>
    </row>
    <row r="384" spans="2:14" ht="14.25" hidden="1" customHeight="1" x14ac:dyDescent="0.25">
      <c r="B384" s="209"/>
      <c r="C384" s="118"/>
      <c r="D384" s="118"/>
      <c r="E384" s="118"/>
      <c r="F384" s="118"/>
      <c r="G384" s="118"/>
      <c r="H384" s="118"/>
      <c r="I384" s="118"/>
      <c r="J384" s="118"/>
      <c r="K384" s="118"/>
      <c r="L384" s="118"/>
      <c r="M384" s="118"/>
      <c r="N384" s="210"/>
    </row>
    <row r="385" spans="2:16" ht="14.25" hidden="1" customHeight="1" x14ac:dyDescent="0.25">
      <c r="B385" s="775" t="s">
        <v>414</v>
      </c>
      <c r="C385" s="747"/>
      <c r="D385" s="747"/>
      <c r="E385" s="128"/>
      <c r="F385" s="128"/>
      <c r="G385" s="128"/>
      <c r="H385" s="128"/>
      <c r="I385" s="776"/>
      <c r="J385" s="747"/>
      <c r="K385" s="747"/>
      <c r="L385" s="118"/>
      <c r="M385" s="118"/>
      <c r="N385" s="210"/>
    </row>
    <row r="386" spans="2:16" ht="14.25" hidden="1" customHeight="1" x14ac:dyDescent="0.25">
      <c r="B386" s="129"/>
      <c r="C386" s="130"/>
      <c r="D386" s="130"/>
      <c r="E386" s="130"/>
      <c r="F386" s="130"/>
      <c r="G386" s="130"/>
      <c r="H386" s="130"/>
      <c r="I386" s="130"/>
      <c r="J386" s="130"/>
      <c r="K386" s="130"/>
      <c r="L386" s="130"/>
      <c r="M386" s="130"/>
      <c r="N386" s="131"/>
    </row>
    <row r="387" spans="2:16" ht="14.25" customHeight="1" thickBot="1" x14ac:dyDescent="0.3">
      <c r="B387" s="132"/>
      <c r="C387" s="132"/>
      <c r="D387" s="132"/>
      <c r="E387" s="132"/>
      <c r="F387" s="132"/>
      <c r="G387" s="132"/>
      <c r="H387" s="132"/>
      <c r="I387" s="132"/>
      <c r="J387" s="132"/>
      <c r="K387" s="132"/>
      <c r="L387" s="132"/>
      <c r="M387" s="132"/>
      <c r="N387" s="132"/>
    </row>
    <row r="388" spans="2:16" ht="46.5" customHeight="1" x14ac:dyDescent="0.25">
      <c r="B388" s="728"/>
      <c r="C388" s="729"/>
      <c r="D388" s="730" t="s">
        <v>393</v>
      </c>
      <c r="E388" s="729"/>
      <c r="F388" s="729"/>
      <c r="G388" s="729"/>
      <c r="H388" s="729"/>
      <c r="I388" s="729"/>
      <c r="J388" s="729"/>
      <c r="K388" s="729"/>
      <c r="L388" s="729"/>
      <c r="M388" s="729"/>
      <c r="N388" s="731"/>
    </row>
    <row r="389" spans="2:16" ht="14.25" customHeight="1" x14ac:dyDescent="0.25">
      <c r="B389" s="732" t="s">
        <v>394</v>
      </c>
      <c r="C389" s="733"/>
      <c r="D389" s="733"/>
      <c r="E389" s="733"/>
      <c r="F389" s="733"/>
      <c r="G389" s="733"/>
      <c r="H389" s="733"/>
      <c r="I389" s="733"/>
      <c r="J389" s="733"/>
      <c r="K389" s="733"/>
      <c r="L389" s="733"/>
      <c r="M389" s="733"/>
      <c r="N389" s="734"/>
    </row>
    <row r="390" spans="2:16" ht="28.9" customHeight="1" x14ac:dyDescent="0.25">
      <c r="B390" s="735" t="s">
        <v>395</v>
      </c>
      <c r="C390" s="736"/>
      <c r="D390" s="737" t="str">
        <f>VLOOKUP(B392,Buenaventura!A9:G581,3,FALSE)</f>
        <v>Desmonte de pasamanos metálico existente, incluyendo corte, desanclaje, retiro de fijaciones, cargue, transporte y disposición final de los materiales resultantes en sitio autorizado</v>
      </c>
      <c r="E390" s="738"/>
      <c r="F390" s="738"/>
      <c r="G390" s="738"/>
      <c r="H390" s="738"/>
      <c r="I390" s="738"/>
      <c r="J390" s="738"/>
      <c r="K390" s="738"/>
      <c r="L390" s="738"/>
      <c r="M390" s="738"/>
      <c r="N390" s="739"/>
    </row>
    <row r="391" spans="2:16" ht="14.25" customHeight="1" x14ac:dyDescent="0.25">
      <c r="B391" s="740" t="s">
        <v>26</v>
      </c>
      <c r="C391" s="741"/>
      <c r="D391" s="119" t="s">
        <v>396</v>
      </c>
      <c r="E391" s="742" t="s">
        <v>397</v>
      </c>
      <c r="F391" s="733"/>
      <c r="G391" s="733"/>
      <c r="H391" s="736"/>
      <c r="I391" s="742" t="s">
        <v>398</v>
      </c>
      <c r="J391" s="733"/>
      <c r="K391" s="736"/>
      <c r="L391" s="742" t="s">
        <v>399</v>
      </c>
      <c r="M391" s="733"/>
      <c r="N391" s="734"/>
    </row>
    <row r="392" spans="2:16" ht="14.25" customHeight="1" x14ac:dyDescent="0.25">
      <c r="B392" s="283">
        <v>10</v>
      </c>
      <c r="C392" s="284" t="str">
        <f>VLOOKUP(B392,Buenaventura!A9:G581,2,FALSE)</f>
        <v>PR-47</v>
      </c>
      <c r="D392" s="285">
        <f>SUM(H395:H398)</f>
        <v>3.1680000000000001</v>
      </c>
      <c r="E392" s="743" t="str">
        <f>VLOOKUP(B392,Buenaventura!A9:G580,4,FALSE)</f>
        <v>ML</v>
      </c>
      <c r="F392" s="743"/>
      <c r="G392" s="743"/>
      <c r="H392" s="743"/>
      <c r="I392" s="744"/>
      <c r="J392" s="745"/>
      <c r="K392" s="741"/>
      <c r="L392" s="744"/>
      <c r="M392" s="745"/>
      <c r="N392" s="752"/>
    </row>
    <row r="393" spans="2:16" ht="14.25" customHeight="1" x14ac:dyDescent="0.25">
      <c r="B393" s="755" t="s">
        <v>416</v>
      </c>
      <c r="C393" s="733"/>
      <c r="D393" s="733"/>
      <c r="E393" s="733"/>
      <c r="F393" s="733"/>
      <c r="G393" s="733"/>
      <c r="H393" s="736"/>
      <c r="I393" s="746"/>
      <c r="J393" s="747"/>
      <c r="K393" s="748"/>
      <c r="L393" s="746"/>
      <c r="M393" s="747"/>
      <c r="N393" s="753"/>
    </row>
    <row r="394" spans="2:16" ht="14.25" customHeight="1" x14ac:dyDescent="0.25">
      <c r="B394" s="121" t="s">
        <v>400</v>
      </c>
      <c r="C394" s="122" t="s">
        <v>401</v>
      </c>
      <c r="D394" s="123" t="s">
        <v>402</v>
      </c>
      <c r="E394" s="123" t="s">
        <v>403</v>
      </c>
      <c r="F394" s="123" t="s">
        <v>404</v>
      </c>
      <c r="G394" s="123" t="s">
        <v>405</v>
      </c>
      <c r="H394" s="123" t="s">
        <v>406</v>
      </c>
      <c r="I394" s="746"/>
      <c r="J394" s="747"/>
      <c r="K394" s="748"/>
      <c r="L394" s="746"/>
      <c r="M394" s="747"/>
      <c r="N394" s="753"/>
      <c r="O394" s="133"/>
    </row>
    <row r="395" spans="2:16" ht="14.25" customHeight="1" x14ac:dyDescent="0.25">
      <c r="B395" s="124"/>
      <c r="C395" s="125" t="s">
        <v>431</v>
      </c>
      <c r="D395" s="125">
        <v>1</v>
      </c>
      <c r="E395" s="125"/>
      <c r="F395" s="125">
        <f>1.37*1.2</f>
        <v>1.6440000000000001</v>
      </c>
      <c r="G395" s="125"/>
      <c r="H395" s="125">
        <f>D395*F395</f>
        <v>1.6440000000000001</v>
      </c>
      <c r="I395" s="746"/>
      <c r="J395" s="747"/>
      <c r="K395" s="748"/>
      <c r="L395" s="746"/>
      <c r="M395" s="747"/>
      <c r="N395" s="753"/>
      <c r="P395" s="128"/>
    </row>
    <row r="396" spans="2:16" ht="14.25" customHeight="1" x14ac:dyDescent="0.25">
      <c r="B396" s="124"/>
      <c r="C396" s="125"/>
      <c r="D396" s="125">
        <v>1</v>
      </c>
      <c r="E396" s="125"/>
      <c r="F396" s="125">
        <f>1.27*1.2</f>
        <v>1.524</v>
      </c>
      <c r="G396" s="125"/>
      <c r="H396" s="125">
        <f>D396*F396</f>
        <v>1.524</v>
      </c>
      <c r="I396" s="746"/>
      <c r="J396" s="747"/>
      <c r="K396" s="748"/>
      <c r="L396" s="746"/>
      <c r="M396" s="747"/>
      <c r="N396" s="753"/>
    </row>
    <row r="397" spans="2:16" ht="14.25" customHeight="1" x14ac:dyDescent="0.25">
      <c r="B397" s="124"/>
      <c r="C397" s="125"/>
      <c r="D397" s="125"/>
      <c r="E397" s="125"/>
      <c r="F397" s="125"/>
      <c r="G397" s="125"/>
      <c r="H397" s="125"/>
      <c r="I397" s="746"/>
      <c r="J397" s="747"/>
      <c r="K397" s="748"/>
      <c r="L397" s="746"/>
      <c r="M397" s="747"/>
      <c r="N397" s="753"/>
    </row>
    <row r="398" spans="2:16" ht="14.25" customHeight="1" x14ac:dyDescent="0.25">
      <c r="B398" s="124"/>
      <c r="C398" s="125"/>
      <c r="D398" s="125"/>
      <c r="E398" s="125"/>
      <c r="F398" s="125"/>
      <c r="G398" s="125"/>
      <c r="H398" s="125"/>
      <c r="I398" s="746"/>
      <c r="J398" s="747"/>
      <c r="K398" s="748"/>
      <c r="L398" s="746"/>
      <c r="M398" s="747"/>
      <c r="N398" s="753"/>
    </row>
    <row r="399" spans="2:16" ht="14.25" customHeight="1" x14ac:dyDescent="0.25">
      <c r="B399" s="124"/>
      <c r="C399" s="125"/>
      <c r="D399" s="125"/>
      <c r="E399" s="125"/>
      <c r="F399" s="125"/>
      <c r="G399" s="125"/>
      <c r="H399" s="125"/>
      <c r="I399" s="746"/>
      <c r="J399" s="747"/>
      <c r="K399" s="748"/>
      <c r="L399" s="746"/>
      <c r="M399" s="747"/>
      <c r="N399" s="753"/>
    </row>
    <row r="400" spans="2:16" ht="14.25" customHeight="1" x14ac:dyDescent="0.25">
      <c r="B400" s="124"/>
      <c r="C400" s="125"/>
      <c r="D400" s="125"/>
      <c r="E400" s="125"/>
      <c r="F400" s="125"/>
      <c r="G400" s="125"/>
      <c r="H400" s="125"/>
      <c r="I400" s="746"/>
      <c r="J400" s="747"/>
      <c r="K400" s="748"/>
      <c r="L400" s="746"/>
      <c r="M400" s="747"/>
      <c r="N400" s="753"/>
    </row>
    <row r="401" spans="2:15" ht="14.25" customHeight="1" x14ac:dyDescent="0.25">
      <c r="B401" s="124"/>
      <c r="C401" s="125"/>
      <c r="D401" s="125"/>
      <c r="E401" s="125"/>
      <c r="F401" s="125"/>
      <c r="G401" s="125"/>
      <c r="H401" s="125"/>
      <c r="I401" s="746"/>
      <c r="J401" s="747"/>
      <c r="K401" s="748"/>
      <c r="L401" s="746"/>
      <c r="M401" s="747"/>
      <c r="N401" s="753"/>
    </row>
    <row r="402" spans="2:15" ht="14.25" customHeight="1" x14ac:dyDescent="0.25">
      <c r="B402" s="124"/>
      <c r="C402" s="125"/>
      <c r="D402" s="125"/>
      <c r="E402" s="125"/>
      <c r="F402" s="125"/>
      <c r="G402" s="125"/>
      <c r="H402" s="125"/>
      <c r="I402" s="746"/>
      <c r="J402" s="747"/>
      <c r="K402" s="748"/>
      <c r="L402" s="746"/>
      <c r="M402" s="747"/>
      <c r="N402" s="753"/>
    </row>
    <row r="403" spans="2:15" ht="14.25" customHeight="1" x14ac:dyDescent="0.25">
      <c r="B403" s="124"/>
      <c r="C403" s="125"/>
      <c r="D403" s="125"/>
      <c r="E403" s="125"/>
      <c r="F403" s="125"/>
      <c r="G403" s="125"/>
      <c r="H403" s="125"/>
      <c r="I403" s="746"/>
      <c r="J403" s="747"/>
      <c r="K403" s="748"/>
      <c r="L403" s="746"/>
      <c r="M403" s="747"/>
      <c r="N403" s="753"/>
    </row>
    <row r="404" spans="2:15" ht="14.25" customHeight="1" x14ac:dyDescent="0.25">
      <c r="B404" s="124"/>
      <c r="C404" s="125"/>
      <c r="D404" s="125"/>
      <c r="E404" s="125"/>
      <c r="F404" s="125"/>
      <c r="G404" s="125"/>
      <c r="H404" s="125"/>
      <c r="I404" s="746"/>
      <c r="J404" s="747"/>
      <c r="K404" s="748"/>
      <c r="L404" s="746"/>
      <c r="M404" s="747"/>
      <c r="N404" s="753"/>
    </row>
    <row r="405" spans="2:15" ht="14.25" customHeight="1" x14ac:dyDescent="0.25">
      <c r="B405" s="124"/>
      <c r="C405" s="125"/>
      <c r="D405" s="125"/>
      <c r="E405" s="125"/>
      <c r="F405" s="125"/>
      <c r="G405" s="125"/>
      <c r="H405" s="125"/>
      <c r="I405" s="746"/>
      <c r="J405" s="747"/>
      <c r="K405" s="748"/>
      <c r="L405" s="746"/>
      <c r="M405" s="747"/>
      <c r="N405" s="753"/>
      <c r="O405" s="133"/>
    </row>
    <row r="406" spans="2:15" ht="14.25" customHeight="1" x14ac:dyDescent="0.25">
      <c r="B406" s="124"/>
      <c r="C406" s="125"/>
      <c r="D406" s="125"/>
      <c r="E406" s="125"/>
      <c r="F406" s="125"/>
      <c r="G406" s="125"/>
      <c r="H406" s="125"/>
      <c r="I406" s="746"/>
      <c r="J406" s="747"/>
      <c r="K406" s="748"/>
      <c r="L406" s="746"/>
      <c r="M406" s="747"/>
      <c r="N406" s="753"/>
    </row>
    <row r="407" spans="2:15" ht="14.25" customHeight="1" x14ac:dyDescent="0.25">
      <c r="B407" s="124"/>
      <c r="C407" s="125"/>
      <c r="D407" s="125"/>
      <c r="E407" s="125"/>
      <c r="F407" s="125"/>
      <c r="G407" s="125"/>
      <c r="H407" s="125"/>
      <c r="I407" s="746"/>
      <c r="J407" s="747"/>
      <c r="K407" s="748"/>
      <c r="L407" s="746"/>
      <c r="M407" s="747"/>
      <c r="N407" s="753"/>
    </row>
    <row r="408" spans="2:15" ht="14.25" customHeight="1" x14ac:dyDescent="0.25">
      <c r="B408" s="124"/>
      <c r="C408" s="125"/>
      <c r="D408" s="125"/>
      <c r="E408" s="125"/>
      <c r="F408" s="125"/>
      <c r="G408" s="125"/>
      <c r="H408" s="125"/>
      <c r="I408" s="746"/>
      <c r="J408" s="747"/>
      <c r="K408" s="748"/>
      <c r="L408" s="746"/>
      <c r="M408" s="747"/>
      <c r="N408" s="753"/>
    </row>
    <row r="409" spans="2:15" ht="23.45" customHeight="1" x14ac:dyDescent="0.25">
      <c r="B409" s="127"/>
      <c r="C409" s="125"/>
      <c r="D409" s="125"/>
      <c r="E409" s="125"/>
      <c r="F409" s="125"/>
      <c r="G409" s="125"/>
      <c r="H409" s="125"/>
      <c r="I409" s="749"/>
      <c r="J409" s="750"/>
      <c r="K409" s="751"/>
      <c r="L409" s="749"/>
      <c r="M409" s="750"/>
      <c r="N409" s="754"/>
    </row>
    <row r="410" spans="2:15" ht="23.45" customHeight="1" x14ac:dyDescent="0.25">
      <c r="B410" s="209"/>
      <c r="C410" s="118"/>
      <c r="D410" s="118"/>
      <c r="E410" s="118"/>
      <c r="F410" s="118"/>
      <c r="G410" s="118"/>
      <c r="H410" s="118"/>
      <c r="I410" s="118"/>
      <c r="J410" s="118"/>
      <c r="K410" s="118"/>
      <c r="L410" s="118"/>
      <c r="M410" s="118"/>
      <c r="N410" s="210"/>
    </row>
    <row r="411" spans="2:15" ht="14.25" customHeight="1" x14ac:dyDescent="0.25">
      <c r="B411" s="209"/>
      <c r="C411" s="118"/>
      <c r="D411" s="118"/>
      <c r="E411" s="118"/>
      <c r="F411" s="118"/>
      <c r="G411" s="118"/>
      <c r="H411" s="118"/>
      <c r="I411" s="118"/>
      <c r="J411" s="118"/>
      <c r="K411" s="118"/>
      <c r="L411" s="118"/>
      <c r="M411" s="118"/>
      <c r="N411" s="210"/>
    </row>
    <row r="412" spans="2:15" ht="14.25" customHeight="1" x14ac:dyDescent="0.25">
      <c r="B412" s="209"/>
      <c r="C412" s="118"/>
      <c r="D412" s="118"/>
      <c r="E412" s="118"/>
      <c r="F412" s="118"/>
      <c r="G412" s="118"/>
      <c r="H412" s="118"/>
      <c r="I412" s="118"/>
      <c r="J412" s="118"/>
      <c r="K412" s="118"/>
      <c r="L412" s="118"/>
      <c r="M412" s="118"/>
      <c r="N412" s="210"/>
    </row>
    <row r="413" spans="2:15" ht="14.25" customHeight="1" x14ac:dyDescent="0.25">
      <c r="B413" s="209"/>
      <c r="C413" s="118"/>
      <c r="D413" s="118"/>
      <c r="E413" s="118"/>
      <c r="F413" s="118"/>
      <c r="G413" s="118"/>
      <c r="H413" s="118"/>
      <c r="I413" s="118"/>
      <c r="J413" s="118"/>
      <c r="K413" s="118"/>
      <c r="L413" s="118"/>
      <c r="M413" s="118"/>
      <c r="N413" s="210"/>
    </row>
    <row r="414" spans="2:15" ht="14.25" customHeight="1" x14ac:dyDescent="0.25">
      <c r="B414" s="775" t="s">
        <v>414</v>
      </c>
      <c r="C414" s="747"/>
      <c r="D414" s="747"/>
      <c r="E414" s="128"/>
      <c r="F414" s="128"/>
      <c r="G414" s="128"/>
      <c r="H414" s="128"/>
      <c r="I414" s="776"/>
      <c r="J414" s="747"/>
      <c r="K414" s="747"/>
      <c r="L414" s="118"/>
      <c r="M414" s="118"/>
      <c r="N414" s="210"/>
    </row>
    <row r="415" spans="2:15" ht="14.25" customHeight="1" thickBot="1" x14ac:dyDescent="0.3">
      <c r="B415" s="129"/>
      <c r="C415" s="130"/>
      <c r="D415" s="130"/>
      <c r="E415" s="130"/>
      <c r="F415" s="130"/>
      <c r="G415" s="130"/>
      <c r="H415" s="130"/>
      <c r="I415" s="130"/>
      <c r="J415" s="130"/>
      <c r="K415" s="130"/>
      <c r="L415" s="130"/>
      <c r="M415" s="130"/>
      <c r="N415" s="131"/>
    </row>
    <row r="416" spans="2:15" ht="14.25" customHeight="1" thickBot="1" x14ac:dyDescent="0.3">
      <c r="B416" s="132"/>
      <c r="C416" s="132"/>
      <c r="D416" s="132"/>
      <c r="E416" s="132"/>
      <c r="F416" s="132"/>
      <c r="G416" s="132"/>
      <c r="H416" s="132"/>
      <c r="I416" s="132"/>
      <c r="J416" s="132"/>
      <c r="K416" s="132"/>
      <c r="L416" s="132"/>
      <c r="M416" s="132"/>
      <c r="N416" s="132"/>
    </row>
    <row r="417" spans="2:15" ht="56.25" customHeight="1" x14ac:dyDescent="0.25">
      <c r="B417" s="728"/>
      <c r="C417" s="729"/>
      <c r="D417" s="730" t="s">
        <v>393</v>
      </c>
      <c r="E417" s="729"/>
      <c r="F417" s="729"/>
      <c r="G417" s="729"/>
      <c r="H417" s="729"/>
      <c r="I417" s="729"/>
      <c r="J417" s="729"/>
      <c r="K417" s="729"/>
      <c r="L417" s="729"/>
      <c r="M417" s="729"/>
      <c r="N417" s="731"/>
    </row>
    <row r="418" spans="2:15" ht="14.25" customHeight="1" x14ac:dyDescent="0.25">
      <c r="B418" s="732" t="s">
        <v>394</v>
      </c>
      <c r="C418" s="733"/>
      <c r="D418" s="733"/>
      <c r="E418" s="733"/>
      <c r="F418" s="733"/>
      <c r="G418" s="733"/>
      <c r="H418" s="733"/>
      <c r="I418" s="733"/>
      <c r="J418" s="733"/>
      <c r="K418" s="733"/>
      <c r="L418" s="733"/>
      <c r="M418" s="733"/>
      <c r="N418" s="734"/>
    </row>
    <row r="419" spans="2:15" ht="28.5" customHeight="1" x14ac:dyDescent="0.25">
      <c r="B419" s="735" t="s">
        <v>395</v>
      </c>
      <c r="C419" s="736"/>
      <c r="D419" s="737" t="str">
        <f>VLOOKUP(B421,Buenaventura!A9:G610,3,FALSE)</f>
        <v>Suministro e instalación de pasamanos metálico  tubular de  2", incluye elementos de fijación (platinas, anclajes, otros), pintura anticorrosiva y pintura de esmalte color a definir</v>
      </c>
      <c r="E419" s="738"/>
      <c r="F419" s="738"/>
      <c r="G419" s="738"/>
      <c r="H419" s="738"/>
      <c r="I419" s="738"/>
      <c r="J419" s="738"/>
      <c r="K419" s="738"/>
      <c r="L419" s="738"/>
      <c r="M419" s="738"/>
      <c r="N419" s="739"/>
    </row>
    <row r="420" spans="2:15" ht="14.25" customHeight="1" x14ac:dyDescent="0.25">
      <c r="B420" s="740" t="s">
        <v>26</v>
      </c>
      <c r="C420" s="741"/>
      <c r="D420" s="119" t="s">
        <v>396</v>
      </c>
      <c r="E420" s="742" t="s">
        <v>397</v>
      </c>
      <c r="F420" s="733"/>
      <c r="G420" s="733"/>
      <c r="H420" s="736"/>
      <c r="I420" s="742" t="s">
        <v>398</v>
      </c>
      <c r="J420" s="733"/>
      <c r="K420" s="736"/>
      <c r="L420" s="742" t="s">
        <v>399</v>
      </c>
      <c r="M420" s="733"/>
      <c r="N420" s="734"/>
    </row>
    <row r="421" spans="2:15" ht="14.25" customHeight="1" x14ac:dyDescent="0.25">
      <c r="B421" s="283">
        <v>11</v>
      </c>
      <c r="C421" s="284" t="str">
        <f>VLOOKUP(B421,Buenaventura!A9:G610,2,FALSE)</f>
        <v>CA-16</v>
      </c>
      <c r="D421" s="285">
        <f>SUM(H424:H427)</f>
        <v>13.633999999999999</v>
      </c>
      <c r="E421" s="743" t="str">
        <f>VLOOKUP(B421,Buenaventura!A9:G609,4,FALSE)</f>
        <v>ML</v>
      </c>
      <c r="F421" s="743"/>
      <c r="G421" s="743"/>
      <c r="H421" s="743"/>
      <c r="I421" s="744"/>
      <c r="J421" s="745"/>
      <c r="K421" s="741"/>
      <c r="L421" s="744"/>
      <c r="M421" s="745"/>
      <c r="N421" s="752"/>
    </row>
    <row r="422" spans="2:15" ht="14.25" customHeight="1" x14ac:dyDescent="0.25">
      <c r="B422" s="755" t="s">
        <v>416</v>
      </c>
      <c r="C422" s="795"/>
      <c r="D422" s="795"/>
      <c r="E422" s="795"/>
      <c r="F422" s="795"/>
      <c r="G422" s="795"/>
      <c r="H422" s="796"/>
      <c r="I422" s="746"/>
      <c r="J422" s="747"/>
      <c r="K422" s="748"/>
      <c r="L422" s="746"/>
      <c r="M422" s="747"/>
      <c r="N422" s="753"/>
    </row>
    <row r="423" spans="2:15" ht="14.25" customHeight="1" x14ac:dyDescent="0.25">
      <c r="B423" s="121" t="s">
        <v>400</v>
      </c>
      <c r="C423" s="122" t="s">
        <v>401</v>
      </c>
      <c r="D423" s="123" t="s">
        <v>402</v>
      </c>
      <c r="E423" s="123" t="s">
        <v>403</v>
      </c>
      <c r="F423" s="123" t="s">
        <v>404</v>
      </c>
      <c r="G423" s="123" t="s">
        <v>405</v>
      </c>
      <c r="H423" s="123" t="s">
        <v>406</v>
      </c>
      <c r="I423" s="746"/>
      <c r="J423" s="747"/>
      <c r="K423" s="748"/>
      <c r="L423" s="746"/>
      <c r="M423" s="747"/>
      <c r="N423" s="753"/>
    </row>
    <row r="424" spans="2:15" ht="14.25" customHeight="1" x14ac:dyDescent="0.25">
      <c r="B424" s="124"/>
      <c r="C424" s="125" t="s">
        <v>431</v>
      </c>
      <c r="D424" s="125">
        <v>2</v>
      </c>
      <c r="E424" s="125"/>
      <c r="F424" s="125">
        <f>1.37*1.2</f>
        <v>1.6440000000000001</v>
      </c>
      <c r="G424" s="125"/>
      <c r="H424" s="125">
        <f>D424*F424</f>
        <v>3.2880000000000003</v>
      </c>
      <c r="I424" s="746"/>
      <c r="J424" s="747"/>
      <c r="K424" s="748"/>
      <c r="L424" s="746"/>
      <c r="M424" s="747"/>
      <c r="N424" s="753"/>
    </row>
    <row r="425" spans="2:15" ht="14.25" customHeight="1" x14ac:dyDescent="0.25">
      <c r="B425" s="124"/>
      <c r="C425" s="125"/>
      <c r="D425" s="125">
        <v>2</v>
      </c>
      <c r="E425" s="125"/>
      <c r="F425" s="125">
        <f>1.27*1.2</f>
        <v>1.524</v>
      </c>
      <c r="G425" s="125"/>
      <c r="H425" s="125">
        <f>D425*F425</f>
        <v>3.048</v>
      </c>
      <c r="I425" s="746"/>
      <c r="J425" s="747"/>
      <c r="K425" s="748"/>
      <c r="L425" s="746"/>
      <c r="M425" s="747"/>
      <c r="N425" s="753"/>
    </row>
    <row r="426" spans="2:15" ht="14.25" customHeight="1" x14ac:dyDescent="0.25">
      <c r="B426" s="124"/>
      <c r="C426" s="125"/>
      <c r="D426" s="125">
        <v>2</v>
      </c>
      <c r="E426" s="125"/>
      <c r="F426" s="125">
        <f>2.27*1.2</f>
        <v>2.7239999999999998</v>
      </c>
      <c r="G426" s="125"/>
      <c r="H426" s="125">
        <f t="shared" ref="H426:H428" si="11">D426*F426</f>
        <v>5.4479999999999995</v>
      </c>
      <c r="I426" s="746"/>
      <c r="J426" s="747"/>
      <c r="K426" s="748"/>
      <c r="L426" s="746"/>
      <c r="M426" s="747"/>
      <c r="N426" s="753"/>
    </row>
    <row r="427" spans="2:15" ht="14.25" customHeight="1" x14ac:dyDescent="0.25">
      <c r="B427" s="124"/>
      <c r="C427" s="125"/>
      <c r="D427" s="125">
        <v>1</v>
      </c>
      <c r="E427" s="125"/>
      <c r="F427" s="125">
        <v>1.85</v>
      </c>
      <c r="G427" s="125"/>
      <c r="H427" s="125">
        <f t="shared" si="11"/>
        <v>1.85</v>
      </c>
      <c r="I427" s="746"/>
      <c r="J427" s="747"/>
      <c r="K427" s="748"/>
      <c r="L427" s="746"/>
      <c r="M427" s="747"/>
      <c r="N427" s="753"/>
    </row>
    <row r="428" spans="2:15" ht="14.25" customHeight="1" x14ac:dyDescent="0.25">
      <c r="B428" s="124"/>
      <c r="C428" s="125"/>
      <c r="D428" s="125"/>
      <c r="E428" s="125"/>
      <c r="F428" s="125"/>
      <c r="G428" s="125"/>
      <c r="H428" s="125">
        <f t="shared" si="11"/>
        <v>0</v>
      </c>
      <c r="I428" s="746"/>
      <c r="J428" s="747"/>
      <c r="K428" s="748"/>
      <c r="L428" s="746"/>
      <c r="M428" s="747"/>
      <c r="N428" s="753"/>
    </row>
    <row r="429" spans="2:15" ht="14.25" customHeight="1" x14ac:dyDescent="0.25">
      <c r="B429" s="124"/>
      <c r="C429" s="125"/>
      <c r="D429" s="125"/>
      <c r="E429" s="125"/>
      <c r="F429" s="125"/>
      <c r="G429" s="125"/>
      <c r="H429" s="125"/>
      <c r="I429" s="746"/>
      <c r="J429" s="747"/>
      <c r="K429" s="748"/>
      <c r="L429" s="746"/>
      <c r="M429" s="747"/>
      <c r="N429" s="753"/>
      <c r="O429" s="133"/>
    </row>
    <row r="430" spans="2:15" ht="14.25" customHeight="1" x14ac:dyDescent="0.25">
      <c r="B430" s="124"/>
      <c r="C430" s="125"/>
      <c r="D430" s="125"/>
      <c r="E430" s="125"/>
      <c r="F430" s="125"/>
      <c r="G430" s="125"/>
      <c r="H430" s="125"/>
      <c r="I430" s="746"/>
      <c r="J430" s="747"/>
      <c r="K430" s="748"/>
      <c r="L430" s="746"/>
      <c r="M430" s="747"/>
      <c r="N430" s="753"/>
    </row>
    <row r="431" spans="2:15" ht="14.25" customHeight="1" x14ac:dyDescent="0.25">
      <c r="B431" s="124"/>
      <c r="C431" s="125"/>
      <c r="D431" s="125"/>
      <c r="E431" s="125"/>
      <c r="F431" s="125"/>
      <c r="G431" s="125"/>
      <c r="H431" s="125"/>
      <c r="I431" s="746"/>
      <c r="J431" s="747"/>
      <c r="K431" s="748"/>
      <c r="L431" s="746"/>
      <c r="M431" s="747"/>
      <c r="N431" s="753"/>
    </row>
    <row r="432" spans="2:15" ht="14.25" customHeight="1" x14ac:dyDescent="0.25">
      <c r="B432" s="124"/>
      <c r="C432" s="125"/>
      <c r="D432" s="125"/>
      <c r="E432" s="125"/>
      <c r="F432" s="125"/>
      <c r="G432" s="125"/>
      <c r="H432" s="125"/>
      <c r="I432" s="746"/>
      <c r="J432" s="747"/>
      <c r="K432" s="748"/>
      <c r="L432" s="746"/>
      <c r="M432" s="747"/>
      <c r="N432" s="753"/>
    </row>
    <row r="433" spans="2:15" ht="14.25" customHeight="1" x14ac:dyDescent="0.25">
      <c r="B433" s="124"/>
      <c r="C433" s="125"/>
      <c r="D433" s="125"/>
      <c r="E433" s="125"/>
      <c r="F433" s="125"/>
      <c r="G433" s="125"/>
      <c r="H433" s="125"/>
      <c r="I433" s="746"/>
      <c r="J433" s="747"/>
      <c r="K433" s="748"/>
      <c r="L433" s="746"/>
      <c r="M433" s="747"/>
      <c r="N433" s="753"/>
    </row>
    <row r="434" spans="2:15" ht="14.25" customHeight="1" x14ac:dyDescent="0.25">
      <c r="B434" s="124"/>
      <c r="C434" s="125"/>
      <c r="D434" s="125"/>
      <c r="E434" s="125"/>
      <c r="F434" s="125"/>
      <c r="G434" s="125"/>
      <c r="H434" s="125"/>
      <c r="I434" s="746"/>
      <c r="J434" s="747"/>
      <c r="K434" s="748"/>
      <c r="L434" s="746"/>
      <c r="M434" s="747"/>
      <c r="N434" s="753"/>
    </row>
    <row r="435" spans="2:15" ht="14.25" customHeight="1" x14ac:dyDescent="0.25">
      <c r="B435" s="124"/>
      <c r="C435" s="125"/>
      <c r="D435" s="125"/>
      <c r="E435" s="125"/>
      <c r="F435" s="125"/>
      <c r="G435" s="125"/>
      <c r="H435" s="125"/>
      <c r="I435" s="746"/>
      <c r="J435" s="747"/>
      <c r="K435" s="748"/>
      <c r="L435" s="746"/>
      <c r="M435" s="747"/>
      <c r="N435" s="753"/>
    </row>
    <row r="436" spans="2:15" ht="14.25" customHeight="1" x14ac:dyDescent="0.25">
      <c r="B436" s="124"/>
      <c r="C436" s="125"/>
      <c r="D436" s="125"/>
      <c r="E436" s="125"/>
      <c r="F436" s="125"/>
      <c r="G436" s="125"/>
      <c r="H436" s="125"/>
      <c r="I436" s="746"/>
      <c r="J436" s="747"/>
      <c r="K436" s="748"/>
      <c r="L436" s="746"/>
      <c r="M436" s="747"/>
      <c r="N436" s="753"/>
      <c r="O436" s="133"/>
    </row>
    <row r="437" spans="2:15" ht="14.25" customHeight="1" x14ac:dyDescent="0.25">
      <c r="B437" s="124"/>
      <c r="C437" s="125"/>
      <c r="D437" s="125"/>
      <c r="E437" s="125"/>
      <c r="F437" s="125"/>
      <c r="G437" s="125"/>
      <c r="H437" s="125"/>
      <c r="I437" s="746"/>
      <c r="J437" s="747"/>
      <c r="K437" s="748"/>
      <c r="L437" s="746"/>
      <c r="M437" s="747"/>
      <c r="N437" s="753"/>
    </row>
    <row r="438" spans="2:15" ht="14.25" customHeight="1" x14ac:dyDescent="0.25">
      <c r="B438" s="124"/>
      <c r="C438" s="125"/>
      <c r="D438" s="125"/>
      <c r="E438" s="125"/>
      <c r="F438" s="125"/>
      <c r="G438" s="125"/>
      <c r="H438" s="125"/>
      <c r="I438" s="746"/>
      <c r="J438" s="747"/>
      <c r="K438" s="748"/>
      <c r="L438" s="746"/>
      <c r="M438" s="747"/>
      <c r="N438" s="753"/>
    </row>
    <row r="439" spans="2:15" ht="14.25" customHeight="1" x14ac:dyDescent="0.25">
      <c r="B439" s="124"/>
      <c r="C439" s="125"/>
      <c r="D439" s="125"/>
      <c r="E439" s="125"/>
      <c r="F439" s="125"/>
      <c r="G439" s="125"/>
      <c r="H439" s="125"/>
      <c r="I439" s="746"/>
      <c r="J439" s="747"/>
      <c r="K439" s="748"/>
      <c r="L439" s="746"/>
      <c r="M439" s="747"/>
      <c r="N439" s="753"/>
    </row>
    <row r="440" spans="2:15" ht="14.25" customHeight="1" x14ac:dyDescent="0.25">
      <c r="B440" s="124"/>
      <c r="C440" s="125"/>
      <c r="D440" s="125"/>
      <c r="E440" s="125"/>
      <c r="F440" s="125"/>
      <c r="G440" s="125"/>
      <c r="H440" s="125"/>
      <c r="I440" s="746"/>
      <c r="J440" s="747"/>
      <c r="K440" s="748"/>
      <c r="L440" s="746"/>
      <c r="M440" s="747"/>
      <c r="N440" s="753"/>
    </row>
    <row r="441" spans="2:15" ht="14.25" customHeight="1" x14ac:dyDescent="0.25">
      <c r="B441" s="124"/>
      <c r="C441" s="125"/>
      <c r="D441" s="125"/>
      <c r="E441" s="125"/>
      <c r="F441" s="125"/>
      <c r="G441" s="125"/>
      <c r="H441" s="125"/>
      <c r="I441" s="749"/>
      <c r="J441" s="750"/>
      <c r="K441" s="751"/>
      <c r="L441" s="749"/>
      <c r="M441" s="750"/>
      <c r="N441" s="754"/>
    </row>
    <row r="442" spans="2:15" ht="14.25" customHeight="1" x14ac:dyDescent="0.25">
      <c r="B442" s="209"/>
      <c r="C442" s="118"/>
      <c r="D442" s="118"/>
      <c r="E442" s="118"/>
      <c r="F442" s="118"/>
      <c r="G442" s="118"/>
      <c r="H442" s="118"/>
      <c r="I442" s="118"/>
      <c r="J442" s="118"/>
      <c r="K442" s="118"/>
      <c r="L442" s="118"/>
      <c r="M442" s="118"/>
      <c r="N442" s="210"/>
    </row>
    <row r="443" spans="2:15" ht="14.25" customHeight="1" x14ac:dyDescent="0.25">
      <c r="B443" s="209"/>
      <c r="C443" s="118"/>
      <c r="D443" s="118"/>
      <c r="E443" s="118"/>
      <c r="F443" s="118"/>
      <c r="G443" s="118"/>
      <c r="H443" s="118"/>
      <c r="I443" s="118"/>
      <c r="J443" s="118"/>
      <c r="K443" s="118"/>
      <c r="L443" s="118"/>
      <c r="M443" s="118"/>
      <c r="N443" s="210"/>
    </row>
    <row r="444" spans="2:15" ht="14.25" customHeight="1" x14ac:dyDescent="0.25">
      <c r="B444" s="209"/>
      <c r="C444" s="118"/>
      <c r="D444" s="118"/>
      <c r="E444" s="118"/>
      <c r="F444" s="118"/>
      <c r="G444" s="118"/>
      <c r="H444" s="118"/>
      <c r="I444" s="118"/>
      <c r="J444" s="118"/>
      <c r="K444" s="118"/>
      <c r="L444" s="118"/>
      <c r="M444" s="118"/>
      <c r="N444" s="210"/>
    </row>
    <row r="445" spans="2:15" ht="14.25" customHeight="1" x14ac:dyDescent="0.25">
      <c r="B445" s="209"/>
      <c r="C445" s="118"/>
      <c r="D445" s="118"/>
      <c r="E445" s="118"/>
      <c r="F445" s="118"/>
      <c r="G445" s="118"/>
      <c r="H445" s="118"/>
      <c r="I445" s="118"/>
      <c r="J445" s="118"/>
      <c r="K445" s="118"/>
      <c r="L445" s="118"/>
      <c r="M445" s="118"/>
      <c r="N445" s="210"/>
    </row>
    <row r="446" spans="2:15" ht="14.25" customHeight="1" x14ac:dyDescent="0.25">
      <c r="B446" s="775" t="s">
        <v>414</v>
      </c>
      <c r="C446" s="747"/>
      <c r="D446" s="747"/>
      <c r="E446" s="128"/>
      <c r="F446" s="128"/>
      <c r="G446" s="128"/>
      <c r="H446" s="128"/>
      <c r="I446" s="776"/>
      <c r="J446" s="747"/>
      <c r="K446" s="747"/>
      <c r="L446" s="118"/>
      <c r="M446" s="118"/>
      <c r="N446" s="210"/>
    </row>
    <row r="447" spans="2:15" ht="14.25" customHeight="1" thickBot="1" x14ac:dyDescent="0.3">
      <c r="B447" s="129"/>
      <c r="C447" s="130"/>
      <c r="D447" s="130"/>
      <c r="E447" s="130"/>
      <c r="F447" s="130"/>
      <c r="G447" s="130"/>
      <c r="H447" s="130"/>
      <c r="I447" s="130"/>
      <c r="J447" s="130"/>
      <c r="K447" s="130"/>
      <c r="L447" s="130"/>
      <c r="M447" s="130"/>
      <c r="N447" s="131"/>
    </row>
    <row r="448" spans="2:15" ht="14.25" hidden="1" customHeight="1" x14ac:dyDescent="0.25">
      <c r="B448" s="118"/>
      <c r="C448" s="118"/>
      <c r="D448" s="118"/>
      <c r="E448" s="118"/>
      <c r="F448" s="118"/>
      <c r="G448" s="118"/>
      <c r="H448" s="118"/>
      <c r="I448" s="118"/>
      <c r="J448" s="118"/>
      <c r="K448" s="118"/>
      <c r="L448" s="118"/>
      <c r="M448" s="118"/>
      <c r="N448" s="118"/>
    </row>
    <row r="449" spans="2:14" ht="45" hidden="1" customHeight="1" x14ac:dyDescent="0.25">
      <c r="B449" s="728"/>
      <c r="C449" s="729"/>
      <c r="D449" s="730" t="s">
        <v>393</v>
      </c>
      <c r="E449" s="729"/>
      <c r="F449" s="729"/>
      <c r="G449" s="729"/>
      <c r="H449" s="729"/>
      <c r="I449" s="729"/>
      <c r="J449" s="729"/>
      <c r="K449" s="729"/>
      <c r="L449" s="729"/>
      <c r="M449" s="729"/>
      <c r="N449" s="731"/>
    </row>
    <row r="450" spans="2:14" ht="14.25" hidden="1" customHeight="1" x14ac:dyDescent="0.25">
      <c r="B450" s="732" t="s">
        <v>394</v>
      </c>
      <c r="C450" s="733"/>
      <c r="D450" s="733"/>
      <c r="E450" s="733"/>
      <c r="F450" s="733"/>
      <c r="G450" s="733"/>
      <c r="H450" s="733"/>
      <c r="I450" s="733"/>
      <c r="J450" s="733"/>
      <c r="K450" s="733"/>
      <c r="L450" s="733"/>
      <c r="M450" s="733"/>
      <c r="N450" s="734"/>
    </row>
    <row r="451" spans="2:14" ht="14.25" hidden="1" customHeight="1" x14ac:dyDescent="0.25">
      <c r="B451" s="735" t="s">
        <v>395</v>
      </c>
      <c r="C451" s="736"/>
      <c r="D451" s="779" t="s">
        <v>432</v>
      </c>
      <c r="E451" s="733"/>
      <c r="F451" s="733"/>
      <c r="G451" s="733"/>
      <c r="H451" s="733"/>
      <c r="I451" s="733"/>
      <c r="J451" s="733"/>
      <c r="K451" s="733"/>
      <c r="L451" s="733"/>
      <c r="M451" s="733"/>
      <c r="N451" s="734"/>
    </row>
    <row r="452" spans="2:14" ht="14.25" hidden="1" customHeight="1" x14ac:dyDescent="0.25">
      <c r="B452" s="740" t="s">
        <v>26</v>
      </c>
      <c r="C452" s="741"/>
      <c r="D452" s="119" t="s">
        <v>396</v>
      </c>
      <c r="E452" s="742" t="s">
        <v>397</v>
      </c>
      <c r="F452" s="733"/>
      <c r="G452" s="733"/>
      <c r="H452" s="736"/>
      <c r="I452" s="742" t="s">
        <v>398</v>
      </c>
      <c r="J452" s="733"/>
      <c r="K452" s="736"/>
      <c r="L452" s="742" t="s">
        <v>399</v>
      </c>
      <c r="M452" s="733"/>
      <c r="N452" s="734"/>
    </row>
    <row r="453" spans="2:14" ht="14.25" hidden="1" customHeight="1" x14ac:dyDescent="0.25">
      <c r="B453" s="777">
        <v>14</v>
      </c>
      <c r="C453" s="736"/>
      <c r="D453" s="123">
        <f>ROUND(SUM(H456:H474),0)</f>
        <v>46</v>
      </c>
      <c r="E453" s="778" t="s">
        <v>51</v>
      </c>
      <c r="F453" s="733"/>
      <c r="G453" s="733"/>
      <c r="H453" s="736"/>
      <c r="I453" s="744"/>
      <c r="J453" s="745"/>
      <c r="K453" s="741"/>
      <c r="L453" s="744"/>
      <c r="M453" s="745"/>
      <c r="N453" s="752"/>
    </row>
    <row r="454" spans="2:14" ht="14.25" hidden="1" customHeight="1" x14ac:dyDescent="0.25">
      <c r="B454" s="755" t="s">
        <v>416</v>
      </c>
      <c r="C454" s="733"/>
      <c r="D454" s="733"/>
      <c r="E454" s="733"/>
      <c r="F454" s="733"/>
      <c r="G454" s="733"/>
      <c r="H454" s="736"/>
      <c r="I454" s="746"/>
      <c r="J454" s="747"/>
      <c r="K454" s="748"/>
      <c r="L454" s="746"/>
      <c r="M454" s="747"/>
      <c r="N454" s="753"/>
    </row>
    <row r="455" spans="2:14" ht="14.25" hidden="1" customHeight="1" x14ac:dyDescent="0.25">
      <c r="B455" s="121" t="s">
        <v>400</v>
      </c>
      <c r="C455" s="122" t="s">
        <v>401</v>
      </c>
      <c r="D455" s="123" t="s">
        <v>402</v>
      </c>
      <c r="E455" s="123" t="s">
        <v>403</v>
      </c>
      <c r="F455" s="123" t="s">
        <v>404</v>
      </c>
      <c r="G455" s="123" t="s">
        <v>405</v>
      </c>
      <c r="H455" s="123" t="s">
        <v>406</v>
      </c>
      <c r="I455" s="746"/>
      <c r="J455" s="747"/>
      <c r="K455" s="748"/>
      <c r="L455" s="746"/>
      <c r="M455" s="747"/>
      <c r="N455" s="753"/>
    </row>
    <row r="456" spans="2:14" ht="14.25" hidden="1" customHeight="1" x14ac:dyDescent="0.25">
      <c r="B456" s="124"/>
      <c r="C456" s="765" t="s">
        <v>426</v>
      </c>
      <c r="D456" s="125"/>
      <c r="E456" s="125">
        <v>1.25</v>
      </c>
      <c r="F456" s="125">
        <v>3.1</v>
      </c>
      <c r="G456" s="125"/>
      <c r="H456" s="125">
        <f t="shared" ref="H456:H457" si="12">ROUND(E456*F456,0)</f>
        <v>4</v>
      </c>
      <c r="I456" s="746"/>
      <c r="J456" s="747"/>
      <c r="K456" s="748"/>
      <c r="L456" s="746"/>
      <c r="M456" s="747"/>
      <c r="N456" s="753"/>
    </row>
    <row r="457" spans="2:14" ht="14.25" hidden="1" customHeight="1" x14ac:dyDescent="0.25">
      <c r="B457" s="124"/>
      <c r="C457" s="781"/>
      <c r="D457" s="125"/>
      <c r="E457" s="125">
        <v>2.95</v>
      </c>
      <c r="F457" s="125">
        <v>14.3</v>
      </c>
      <c r="G457" s="125"/>
      <c r="H457" s="125">
        <f t="shared" si="12"/>
        <v>42</v>
      </c>
      <c r="I457" s="746"/>
      <c r="J457" s="747"/>
      <c r="K457" s="748"/>
      <c r="L457" s="746"/>
      <c r="M457" s="747"/>
      <c r="N457" s="753"/>
    </row>
    <row r="458" spans="2:14" ht="14.25" hidden="1" customHeight="1" x14ac:dyDescent="0.25">
      <c r="B458" s="124"/>
      <c r="C458" s="125"/>
      <c r="D458" s="125"/>
      <c r="E458" s="125"/>
      <c r="F458" s="125"/>
      <c r="G458" s="125"/>
      <c r="H458" s="125"/>
      <c r="I458" s="746"/>
      <c r="J458" s="747"/>
      <c r="K458" s="748"/>
      <c r="L458" s="746"/>
      <c r="M458" s="747"/>
      <c r="N458" s="753"/>
    </row>
    <row r="459" spans="2:14" ht="14.25" hidden="1" customHeight="1" x14ac:dyDescent="0.25">
      <c r="B459" s="124"/>
      <c r="C459" s="125"/>
      <c r="D459" s="125"/>
      <c r="E459" s="125"/>
      <c r="F459" s="125"/>
      <c r="G459" s="125"/>
      <c r="H459" s="125"/>
      <c r="I459" s="746"/>
      <c r="J459" s="747"/>
      <c r="K459" s="748"/>
      <c r="L459" s="746"/>
      <c r="M459" s="747"/>
      <c r="N459" s="753"/>
    </row>
    <row r="460" spans="2:14" ht="14.25" hidden="1" customHeight="1" x14ac:dyDescent="0.25">
      <c r="B460" s="124"/>
      <c r="C460" s="125"/>
      <c r="D460" s="125"/>
      <c r="E460" s="125"/>
      <c r="F460" s="125"/>
      <c r="G460" s="125"/>
      <c r="H460" s="125"/>
      <c r="I460" s="746"/>
      <c r="J460" s="747"/>
      <c r="K460" s="748"/>
      <c r="L460" s="746"/>
      <c r="M460" s="747"/>
      <c r="N460" s="753"/>
    </row>
    <row r="461" spans="2:14" ht="14.25" hidden="1" customHeight="1" x14ac:dyDescent="0.25">
      <c r="B461" s="124"/>
      <c r="C461" s="125"/>
      <c r="D461" s="125"/>
      <c r="E461" s="125"/>
      <c r="F461" s="125"/>
      <c r="G461" s="125"/>
      <c r="H461" s="125"/>
      <c r="I461" s="746"/>
      <c r="J461" s="747"/>
      <c r="K461" s="748"/>
      <c r="L461" s="746"/>
      <c r="M461" s="747"/>
      <c r="N461" s="753"/>
    </row>
    <row r="462" spans="2:14" ht="14.25" hidden="1" customHeight="1" x14ac:dyDescent="0.25">
      <c r="B462" s="124"/>
      <c r="C462" s="125"/>
      <c r="D462" s="125"/>
      <c r="E462" s="125"/>
      <c r="F462" s="125"/>
      <c r="G462" s="125"/>
      <c r="H462" s="125"/>
      <c r="I462" s="746"/>
      <c r="J462" s="747"/>
      <c r="K462" s="748"/>
      <c r="L462" s="746"/>
      <c r="M462" s="747"/>
      <c r="N462" s="753"/>
    </row>
    <row r="463" spans="2:14" ht="14.25" hidden="1" customHeight="1" x14ac:dyDescent="0.25">
      <c r="B463" s="124"/>
      <c r="C463" s="125"/>
      <c r="D463" s="125"/>
      <c r="E463" s="125"/>
      <c r="F463" s="125"/>
      <c r="G463" s="125"/>
      <c r="H463" s="125"/>
      <c r="I463" s="746"/>
      <c r="J463" s="747"/>
      <c r="K463" s="748"/>
      <c r="L463" s="746"/>
      <c r="M463" s="747"/>
      <c r="N463" s="753"/>
    </row>
    <row r="464" spans="2:14" ht="14.25" hidden="1" customHeight="1" x14ac:dyDescent="0.25">
      <c r="B464" s="124"/>
      <c r="C464" s="125"/>
      <c r="D464" s="125"/>
      <c r="E464" s="125"/>
      <c r="F464" s="125"/>
      <c r="G464" s="125"/>
      <c r="H464" s="125"/>
      <c r="I464" s="746"/>
      <c r="J464" s="747"/>
      <c r="K464" s="748"/>
      <c r="L464" s="746"/>
      <c r="M464" s="747"/>
      <c r="N464" s="753"/>
    </row>
    <row r="465" spans="2:14" ht="14.25" hidden="1" customHeight="1" x14ac:dyDescent="0.25">
      <c r="B465" s="124"/>
      <c r="C465" s="125"/>
      <c r="D465" s="125"/>
      <c r="E465" s="125"/>
      <c r="F465" s="125"/>
      <c r="G465" s="125"/>
      <c r="H465" s="125"/>
      <c r="I465" s="746"/>
      <c r="J465" s="747"/>
      <c r="K465" s="748"/>
      <c r="L465" s="746"/>
      <c r="M465" s="747"/>
      <c r="N465" s="753"/>
    </row>
    <row r="466" spans="2:14" ht="14.25" hidden="1" customHeight="1" x14ac:dyDescent="0.25">
      <c r="B466" s="124"/>
      <c r="C466" s="125"/>
      <c r="D466" s="125"/>
      <c r="E466" s="125"/>
      <c r="F466" s="125"/>
      <c r="G466" s="125"/>
      <c r="H466" s="125"/>
      <c r="I466" s="746"/>
      <c r="J466" s="747"/>
      <c r="K466" s="748"/>
      <c r="L466" s="746"/>
      <c r="M466" s="747"/>
      <c r="N466" s="753"/>
    </row>
    <row r="467" spans="2:14" ht="14.25" hidden="1" customHeight="1" x14ac:dyDescent="0.25">
      <c r="B467" s="124"/>
      <c r="C467" s="125"/>
      <c r="D467" s="125"/>
      <c r="E467" s="125"/>
      <c r="F467" s="125"/>
      <c r="G467" s="125"/>
      <c r="H467" s="125"/>
      <c r="I467" s="746"/>
      <c r="J467" s="747"/>
      <c r="K467" s="748"/>
      <c r="L467" s="746"/>
      <c r="M467" s="747"/>
      <c r="N467" s="753"/>
    </row>
    <row r="468" spans="2:14" ht="14.25" hidden="1" customHeight="1" x14ac:dyDescent="0.25">
      <c r="B468" s="124"/>
      <c r="C468" s="125"/>
      <c r="D468" s="125"/>
      <c r="E468" s="125"/>
      <c r="F468" s="125"/>
      <c r="G468" s="125"/>
      <c r="H468" s="125"/>
      <c r="I468" s="746"/>
      <c r="J468" s="747"/>
      <c r="K468" s="748"/>
      <c r="L468" s="746"/>
      <c r="M468" s="747"/>
      <c r="N468" s="753"/>
    </row>
    <row r="469" spans="2:14" ht="14.25" hidden="1" customHeight="1" x14ac:dyDescent="0.25">
      <c r="B469" s="124"/>
      <c r="C469" s="125"/>
      <c r="D469" s="125"/>
      <c r="E469" s="125"/>
      <c r="F469" s="125"/>
      <c r="G469" s="125"/>
      <c r="H469" s="125"/>
      <c r="I469" s="746"/>
      <c r="J469" s="747"/>
      <c r="K469" s="748"/>
      <c r="L469" s="746"/>
      <c r="M469" s="747"/>
      <c r="N469" s="753"/>
    </row>
    <row r="470" spans="2:14" ht="14.25" hidden="1" customHeight="1" x14ac:dyDescent="0.25">
      <c r="B470" s="124"/>
      <c r="C470" s="125"/>
      <c r="D470" s="125"/>
      <c r="E470" s="125"/>
      <c r="F470" s="125"/>
      <c r="G470" s="125"/>
      <c r="H470" s="125"/>
      <c r="I470" s="746"/>
      <c r="J470" s="747"/>
      <c r="K470" s="748"/>
      <c r="L470" s="746"/>
      <c r="M470" s="747"/>
      <c r="N470" s="753"/>
    </row>
    <row r="471" spans="2:14" ht="14.25" hidden="1" customHeight="1" x14ac:dyDescent="0.25">
      <c r="B471" s="124"/>
      <c r="C471" s="125"/>
      <c r="D471" s="125"/>
      <c r="E471" s="125"/>
      <c r="F471" s="125"/>
      <c r="G471" s="125"/>
      <c r="H471" s="125"/>
      <c r="I471" s="746"/>
      <c r="J471" s="747"/>
      <c r="K471" s="748"/>
      <c r="L471" s="746"/>
      <c r="M471" s="747"/>
      <c r="N471" s="753"/>
    </row>
    <row r="472" spans="2:14" ht="14.25" hidden="1" customHeight="1" x14ac:dyDescent="0.25">
      <c r="B472" s="124"/>
      <c r="C472" s="125"/>
      <c r="D472" s="125"/>
      <c r="E472" s="125"/>
      <c r="F472" s="125"/>
      <c r="G472" s="125"/>
      <c r="H472" s="125"/>
      <c r="I472" s="746"/>
      <c r="J472" s="747"/>
      <c r="K472" s="748"/>
      <c r="L472" s="746"/>
      <c r="M472" s="747"/>
      <c r="N472" s="753"/>
    </row>
    <row r="473" spans="2:14" ht="14.25" hidden="1" customHeight="1" x14ac:dyDescent="0.25">
      <c r="B473" s="124"/>
      <c r="C473" s="125"/>
      <c r="D473" s="125"/>
      <c r="E473" s="125"/>
      <c r="F473" s="125"/>
      <c r="G473" s="125"/>
      <c r="H473" s="125"/>
      <c r="I473" s="746"/>
      <c r="J473" s="747"/>
      <c r="K473" s="748"/>
      <c r="L473" s="746"/>
      <c r="M473" s="747"/>
      <c r="N473" s="753"/>
    </row>
    <row r="474" spans="2:14" ht="14.25" hidden="1" customHeight="1" x14ac:dyDescent="0.25">
      <c r="B474" s="127"/>
      <c r="C474" s="125"/>
      <c r="D474" s="125"/>
      <c r="E474" s="125"/>
      <c r="F474" s="125"/>
      <c r="G474" s="125"/>
      <c r="H474" s="125"/>
      <c r="I474" s="749"/>
      <c r="J474" s="750"/>
      <c r="K474" s="751"/>
      <c r="L474" s="749"/>
      <c r="M474" s="750"/>
      <c r="N474" s="754"/>
    </row>
    <row r="475" spans="2:14" ht="14.25" hidden="1" customHeight="1" x14ac:dyDescent="0.25">
      <c r="B475" s="209"/>
      <c r="C475" s="118"/>
      <c r="D475" s="118"/>
      <c r="E475" s="118"/>
      <c r="F475" s="118"/>
      <c r="G475" s="118"/>
      <c r="H475" s="118"/>
      <c r="I475" s="118"/>
      <c r="J475" s="118"/>
      <c r="K475" s="118"/>
      <c r="L475" s="118"/>
      <c r="M475" s="118"/>
      <c r="N475" s="210"/>
    </row>
    <row r="476" spans="2:14" ht="14.25" hidden="1" customHeight="1" x14ac:dyDescent="0.25">
      <c r="B476" s="209"/>
      <c r="C476" s="118"/>
      <c r="D476" s="118"/>
      <c r="E476" s="118"/>
      <c r="F476" s="118"/>
      <c r="G476" s="118"/>
      <c r="H476" s="118"/>
      <c r="I476" s="118"/>
      <c r="J476" s="118"/>
      <c r="K476" s="118"/>
      <c r="L476" s="118"/>
      <c r="M476" s="118"/>
      <c r="N476" s="210"/>
    </row>
    <row r="477" spans="2:14" ht="14.25" hidden="1" customHeight="1" x14ac:dyDescent="0.25">
      <c r="B477" s="209"/>
      <c r="C477" s="118"/>
      <c r="D477" s="118"/>
      <c r="E477" s="118"/>
      <c r="F477" s="118"/>
      <c r="G477" s="118"/>
      <c r="H477" s="118"/>
      <c r="I477" s="118"/>
      <c r="J477" s="118"/>
      <c r="K477" s="118"/>
      <c r="L477" s="118"/>
      <c r="M477" s="118"/>
      <c r="N477" s="210"/>
    </row>
    <row r="478" spans="2:14" ht="14.25" hidden="1" customHeight="1" x14ac:dyDescent="0.25">
      <c r="B478" s="209"/>
      <c r="C478" s="118"/>
      <c r="D478" s="118"/>
      <c r="E478" s="118"/>
      <c r="F478" s="118"/>
      <c r="G478" s="118"/>
      <c r="H478" s="118"/>
      <c r="I478" s="118"/>
      <c r="J478" s="118"/>
      <c r="K478" s="118"/>
      <c r="L478" s="118"/>
      <c r="M478" s="118"/>
      <c r="N478" s="210"/>
    </row>
    <row r="479" spans="2:14" ht="14.25" hidden="1" customHeight="1" x14ac:dyDescent="0.25">
      <c r="B479" s="775" t="s">
        <v>414</v>
      </c>
      <c r="C479" s="747"/>
      <c r="D479" s="747"/>
      <c r="E479" s="128"/>
      <c r="F479" s="128"/>
      <c r="G479" s="128"/>
      <c r="H479" s="128"/>
      <c r="I479" s="776"/>
      <c r="J479" s="747"/>
      <c r="K479" s="747"/>
      <c r="L479" s="118"/>
      <c r="M479" s="118"/>
      <c r="N479" s="210"/>
    </row>
    <row r="480" spans="2:14" ht="14.25" hidden="1" customHeight="1" x14ac:dyDescent="0.25">
      <c r="B480" s="129"/>
      <c r="C480" s="130"/>
      <c r="D480" s="130"/>
      <c r="E480" s="130"/>
      <c r="F480" s="130"/>
      <c r="G480" s="130"/>
      <c r="H480" s="130"/>
      <c r="I480" s="130"/>
      <c r="J480" s="130"/>
      <c r="K480" s="130"/>
      <c r="L480" s="130"/>
      <c r="M480" s="130"/>
      <c r="N480" s="131"/>
    </row>
    <row r="481" spans="2:14" ht="14.25" hidden="1" customHeight="1" x14ac:dyDescent="0.25">
      <c r="B481" s="118"/>
      <c r="C481" s="118"/>
      <c r="D481" s="118"/>
      <c r="E481" s="118"/>
      <c r="F481" s="118"/>
      <c r="G481" s="118"/>
      <c r="H481" s="118"/>
      <c r="I481" s="118"/>
      <c r="J481" s="118"/>
      <c r="K481" s="118"/>
      <c r="L481" s="118"/>
      <c r="M481" s="118"/>
      <c r="N481" s="118"/>
    </row>
    <row r="482" spans="2:14" ht="45" hidden="1" customHeight="1" x14ac:dyDescent="0.25">
      <c r="B482" s="728"/>
      <c r="C482" s="729"/>
      <c r="D482" s="730" t="s">
        <v>393</v>
      </c>
      <c r="E482" s="729"/>
      <c r="F482" s="729"/>
      <c r="G482" s="729"/>
      <c r="H482" s="729"/>
      <c r="I482" s="729"/>
      <c r="J482" s="729"/>
      <c r="K482" s="729"/>
      <c r="L482" s="729"/>
      <c r="M482" s="729"/>
      <c r="N482" s="731"/>
    </row>
    <row r="483" spans="2:14" ht="14.25" hidden="1" customHeight="1" x14ac:dyDescent="0.25">
      <c r="B483" s="732" t="s">
        <v>394</v>
      </c>
      <c r="C483" s="733"/>
      <c r="D483" s="733"/>
      <c r="E483" s="733"/>
      <c r="F483" s="733"/>
      <c r="G483" s="733"/>
      <c r="H483" s="733"/>
      <c r="I483" s="733"/>
      <c r="J483" s="733"/>
      <c r="K483" s="733"/>
      <c r="L483" s="733"/>
      <c r="M483" s="733"/>
      <c r="N483" s="734"/>
    </row>
    <row r="484" spans="2:14" ht="14.25" hidden="1" customHeight="1" x14ac:dyDescent="0.25">
      <c r="B484" s="735" t="s">
        <v>395</v>
      </c>
      <c r="C484" s="736"/>
      <c r="D484" s="779" t="s">
        <v>136</v>
      </c>
      <c r="E484" s="733"/>
      <c r="F484" s="733"/>
      <c r="G484" s="733"/>
      <c r="H484" s="733"/>
      <c r="I484" s="733"/>
      <c r="J484" s="733"/>
      <c r="K484" s="733"/>
      <c r="L484" s="733"/>
      <c r="M484" s="733"/>
      <c r="N484" s="734"/>
    </row>
    <row r="485" spans="2:14" ht="14.25" hidden="1" customHeight="1" x14ac:dyDescent="0.25">
      <c r="B485" s="740" t="s">
        <v>26</v>
      </c>
      <c r="C485" s="741"/>
      <c r="D485" s="119" t="s">
        <v>396</v>
      </c>
      <c r="E485" s="742" t="s">
        <v>397</v>
      </c>
      <c r="F485" s="733"/>
      <c r="G485" s="733"/>
      <c r="H485" s="736"/>
      <c r="I485" s="742" t="s">
        <v>398</v>
      </c>
      <c r="J485" s="733"/>
      <c r="K485" s="736"/>
      <c r="L485" s="742" t="s">
        <v>399</v>
      </c>
      <c r="M485" s="733"/>
      <c r="N485" s="734"/>
    </row>
    <row r="486" spans="2:14" ht="14.25" hidden="1" customHeight="1" x14ac:dyDescent="0.25">
      <c r="B486" s="777" t="s">
        <v>433</v>
      </c>
      <c r="C486" s="736"/>
      <c r="D486" s="123">
        <f>ROUND(SUM(H489:H508),0)</f>
        <v>66</v>
      </c>
      <c r="E486" s="778" t="s">
        <v>132</v>
      </c>
      <c r="F486" s="733"/>
      <c r="G486" s="733"/>
      <c r="H486" s="736"/>
      <c r="I486" s="744"/>
      <c r="J486" s="745"/>
      <c r="K486" s="741"/>
      <c r="L486" s="744"/>
      <c r="M486" s="745"/>
      <c r="N486" s="752"/>
    </row>
    <row r="487" spans="2:14" ht="14.25" hidden="1" customHeight="1" x14ac:dyDescent="0.25">
      <c r="B487" s="755" t="s">
        <v>416</v>
      </c>
      <c r="C487" s="733"/>
      <c r="D487" s="733"/>
      <c r="E487" s="733"/>
      <c r="F487" s="733"/>
      <c r="G487" s="733"/>
      <c r="H487" s="736"/>
      <c r="I487" s="746"/>
      <c r="J487" s="747"/>
      <c r="K487" s="748"/>
      <c r="L487" s="746"/>
      <c r="M487" s="747"/>
      <c r="N487" s="753"/>
    </row>
    <row r="488" spans="2:14" ht="14.25" hidden="1" customHeight="1" x14ac:dyDescent="0.25">
      <c r="B488" s="121" t="s">
        <v>400</v>
      </c>
      <c r="C488" s="122" t="s">
        <v>401</v>
      </c>
      <c r="D488" s="123" t="s">
        <v>402</v>
      </c>
      <c r="E488" s="123" t="s">
        <v>403</v>
      </c>
      <c r="F488" s="123" t="s">
        <v>404</v>
      </c>
      <c r="G488" s="123" t="s">
        <v>405</v>
      </c>
      <c r="H488" s="123" t="s">
        <v>406</v>
      </c>
      <c r="I488" s="746"/>
      <c r="J488" s="747"/>
      <c r="K488" s="748"/>
      <c r="L488" s="746"/>
      <c r="M488" s="747"/>
      <c r="N488" s="753"/>
    </row>
    <row r="489" spans="2:14" ht="14.25" hidden="1" customHeight="1" x14ac:dyDescent="0.25">
      <c r="B489" s="124"/>
      <c r="C489" s="138" t="s">
        <v>425</v>
      </c>
      <c r="D489" s="125"/>
      <c r="E489" s="125">
        <v>2.7</v>
      </c>
      <c r="F489" s="125">
        <v>17.399999999999999</v>
      </c>
      <c r="G489" s="125">
        <v>0.2</v>
      </c>
      <c r="H489" s="125">
        <f t="shared" ref="H489:H508" si="13">G489*F489*E489</f>
        <v>9.3960000000000008</v>
      </c>
      <c r="I489" s="746"/>
      <c r="J489" s="747"/>
      <c r="K489" s="748"/>
      <c r="L489" s="746"/>
      <c r="M489" s="747"/>
      <c r="N489" s="753"/>
    </row>
    <row r="490" spans="2:14" ht="14.25" hidden="1" customHeight="1" x14ac:dyDescent="0.25">
      <c r="B490" s="124"/>
      <c r="C490" s="765" t="s">
        <v>426</v>
      </c>
      <c r="D490" s="125"/>
      <c r="E490" s="125">
        <v>1.25</v>
      </c>
      <c r="F490" s="125">
        <v>3.1</v>
      </c>
      <c r="G490" s="125">
        <v>0.2</v>
      </c>
      <c r="H490" s="125">
        <f t="shared" si="13"/>
        <v>0.77500000000000013</v>
      </c>
      <c r="I490" s="746"/>
      <c r="J490" s="747"/>
      <c r="K490" s="748"/>
      <c r="L490" s="746"/>
      <c r="M490" s="747"/>
      <c r="N490" s="753"/>
    </row>
    <row r="491" spans="2:14" ht="14.25" hidden="1" customHeight="1" x14ac:dyDescent="0.25">
      <c r="B491" s="124"/>
      <c r="C491" s="780"/>
      <c r="D491" s="125"/>
      <c r="E491" s="125">
        <v>2.95</v>
      </c>
      <c r="F491" s="125">
        <v>14.3</v>
      </c>
      <c r="G491" s="125">
        <v>0.2</v>
      </c>
      <c r="H491" s="125">
        <f t="shared" si="13"/>
        <v>8.4370000000000012</v>
      </c>
      <c r="I491" s="746"/>
      <c r="J491" s="747"/>
      <c r="K491" s="748"/>
      <c r="L491" s="746"/>
      <c r="M491" s="747"/>
      <c r="N491" s="753"/>
    </row>
    <row r="492" spans="2:14" ht="14.25" hidden="1" customHeight="1" x14ac:dyDescent="0.25">
      <c r="B492" s="124"/>
      <c r="C492" s="781"/>
      <c r="D492" s="125"/>
      <c r="E492" s="125">
        <v>1.35</v>
      </c>
      <c r="F492" s="125">
        <v>17.95</v>
      </c>
      <c r="G492" s="125">
        <v>0.2</v>
      </c>
      <c r="H492" s="125">
        <f t="shared" si="13"/>
        <v>4.8464999999999998</v>
      </c>
      <c r="I492" s="746"/>
      <c r="J492" s="747"/>
      <c r="K492" s="748"/>
      <c r="L492" s="746"/>
      <c r="M492" s="747"/>
      <c r="N492" s="753"/>
    </row>
    <row r="493" spans="2:14" ht="14.25" hidden="1" customHeight="1" x14ac:dyDescent="0.25">
      <c r="B493" s="124"/>
      <c r="C493" s="138" t="s">
        <v>427</v>
      </c>
      <c r="D493" s="125"/>
      <c r="E493" s="125">
        <v>2</v>
      </c>
      <c r="F493" s="125">
        <v>3.6</v>
      </c>
      <c r="G493" s="125">
        <v>0.2</v>
      </c>
      <c r="H493" s="125">
        <f t="shared" si="13"/>
        <v>1.4400000000000002</v>
      </c>
      <c r="I493" s="746"/>
      <c r="J493" s="747"/>
      <c r="K493" s="748"/>
      <c r="L493" s="746"/>
      <c r="M493" s="747"/>
      <c r="N493" s="753"/>
    </row>
    <row r="494" spans="2:14" ht="14.25" hidden="1" customHeight="1" x14ac:dyDescent="0.25">
      <c r="B494" s="124"/>
      <c r="C494" s="125"/>
      <c r="D494" s="125"/>
      <c r="E494" s="125">
        <v>2</v>
      </c>
      <c r="F494" s="125">
        <v>8.4499999999999993</v>
      </c>
      <c r="G494" s="125">
        <v>0.2</v>
      </c>
      <c r="H494" s="125">
        <f t="shared" si="13"/>
        <v>3.38</v>
      </c>
      <c r="I494" s="746"/>
      <c r="J494" s="747"/>
      <c r="K494" s="748"/>
      <c r="L494" s="746"/>
      <c r="M494" s="747"/>
      <c r="N494" s="753"/>
    </row>
    <row r="495" spans="2:14" ht="14.25" hidden="1" customHeight="1" x14ac:dyDescent="0.25">
      <c r="B495" s="124"/>
      <c r="C495" s="125"/>
      <c r="D495" s="125"/>
      <c r="E495" s="125">
        <v>2</v>
      </c>
      <c r="F495" s="125">
        <v>15.9</v>
      </c>
      <c r="G495" s="125">
        <v>0.2</v>
      </c>
      <c r="H495" s="125">
        <f t="shared" si="13"/>
        <v>6.36</v>
      </c>
      <c r="I495" s="746"/>
      <c r="J495" s="747"/>
      <c r="K495" s="748"/>
      <c r="L495" s="746"/>
      <c r="M495" s="747"/>
      <c r="N495" s="753"/>
    </row>
    <row r="496" spans="2:14" ht="14.25" hidden="1" customHeight="1" x14ac:dyDescent="0.25">
      <c r="B496" s="124"/>
      <c r="C496" s="125"/>
      <c r="D496" s="125"/>
      <c r="E496" s="125">
        <v>2</v>
      </c>
      <c r="F496" s="125">
        <v>1.8</v>
      </c>
      <c r="G496" s="125">
        <v>0.2</v>
      </c>
      <c r="H496" s="125">
        <f t="shared" si="13"/>
        <v>0.72000000000000008</v>
      </c>
      <c r="I496" s="746"/>
      <c r="J496" s="747"/>
      <c r="K496" s="748"/>
      <c r="L496" s="746"/>
      <c r="M496" s="747"/>
      <c r="N496" s="753"/>
    </row>
    <row r="497" spans="2:14" ht="14.25" hidden="1" customHeight="1" x14ac:dyDescent="0.25">
      <c r="B497" s="124"/>
      <c r="C497" s="125"/>
      <c r="D497" s="125"/>
      <c r="E497" s="125">
        <v>2</v>
      </c>
      <c r="F497" s="125">
        <v>2</v>
      </c>
      <c r="G497" s="125">
        <v>0.2</v>
      </c>
      <c r="H497" s="125">
        <f t="shared" si="13"/>
        <v>0.8</v>
      </c>
      <c r="I497" s="746"/>
      <c r="J497" s="747"/>
      <c r="K497" s="748"/>
      <c r="L497" s="746"/>
      <c r="M497" s="747"/>
      <c r="N497" s="753"/>
    </row>
    <row r="498" spans="2:14" ht="14.25" hidden="1" customHeight="1" x14ac:dyDescent="0.25">
      <c r="B498" s="124"/>
      <c r="C498" s="125"/>
      <c r="D498" s="125"/>
      <c r="E498" s="125">
        <v>2</v>
      </c>
      <c r="F498" s="125">
        <v>11.1</v>
      </c>
      <c r="G498" s="125">
        <v>0.2</v>
      </c>
      <c r="H498" s="125">
        <f t="shared" si="13"/>
        <v>4.4400000000000004</v>
      </c>
      <c r="I498" s="746"/>
      <c r="J498" s="747"/>
      <c r="K498" s="748"/>
      <c r="L498" s="746"/>
      <c r="M498" s="747"/>
      <c r="N498" s="753"/>
    </row>
    <row r="499" spans="2:14" ht="14.25" hidden="1" customHeight="1" x14ac:dyDescent="0.25">
      <c r="B499" s="124"/>
      <c r="C499" s="125"/>
      <c r="D499" s="125"/>
      <c r="E499" s="125">
        <v>0.55000000000000004</v>
      </c>
      <c r="F499" s="125">
        <v>0.7</v>
      </c>
      <c r="G499" s="125">
        <v>0.2</v>
      </c>
      <c r="H499" s="125">
        <f t="shared" si="13"/>
        <v>7.6999999999999999E-2</v>
      </c>
      <c r="I499" s="746"/>
      <c r="J499" s="747"/>
      <c r="K499" s="748"/>
      <c r="L499" s="746"/>
      <c r="M499" s="747"/>
      <c r="N499" s="753"/>
    </row>
    <row r="500" spans="2:14" ht="14.25" hidden="1" customHeight="1" x14ac:dyDescent="0.25">
      <c r="B500" s="124"/>
      <c r="C500" s="125"/>
      <c r="D500" s="125"/>
      <c r="E500" s="125">
        <v>2</v>
      </c>
      <c r="F500" s="125">
        <v>7.6</v>
      </c>
      <c r="G500" s="125">
        <v>0.2</v>
      </c>
      <c r="H500" s="125">
        <f t="shared" si="13"/>
        <v>3.04</v>
      </c>
      <c r="I500" s="746"/>
      <c r="J500" s="747"/>
      <c r="K500" s="748"/>
      <c r="L500" s="746"/>
      <c r="M500" s="747"/>
      <c r="N500" s="753"/>
    </row>
    <row r="501" spans="2:14" ht="14.25" hidden="1" customHeight="1" x14ac:dyDescent="0.25">
      <c r="B501" s="124"/>
      <c r="C501" s="125"/>
      <c r="D501" s="125"/>
      <c r="E501" s="125">
        <v>2</v>
      </c>
      <c r="F501" s="125">
        <v>3.55</v>
      </c>
      <c r="G501" s="125">
        <v>0.2</v>
      </c>
      <c r="H501" s="125">
        <f t="shared" si="13"/>
        <v>1.42</v>
      </c>
      <c r="I501" s="746"/>
      <c r="J501" s="747"/>
      <c r="K501" s="748"/>
      <c r="L501" s="746"/>
      <c r="M501" s="747"/>
      <c r="N501" s="753"/>
    </row>
    <row r="502" spans="2:14" ht="14.25" hidden="1" customHeight="1" x14ac:dyDescent="0.25">
      <c r="B502" s="124"/>
      <c r="C502" s="125"/>
      <c r="D502" s="125"/>
      <c r="E502" s="125">
        <v>2</v>
      </c>
      <c r="F502" s="125">
        <v>8.5</v>
      </c>
      <c r="G502" s="125">
        <v>0.2</v>
      </c>
      <c r="H502" s="125">
        <f t="shared" si="13"/>
        <v>3.4000000000000004</v>
      </c>
      <c r="I502" s="746"/>
      <c r="J502" s="747"/>
      <c r="K502" s="748"/>
      <c r="L502" s="746"/>
      <c r="M502" s="747"/>
      <c r="N502" s="753"/>
    </row>
    <row r="503" spans="2:14" ht="14.25" hidden="1" customHeight="1" x14ac:dyDescent="0.25">
      <c r="B503" s="124"/>
      <c r="C503" s="125"/>
      <c r="D503" s="125"/>
      <c r="E503" s="125">
        <v>2</v>
      </c>
      <c r="F503" s="125">
        <v>14.6</v>
      </c>
      <c r="G503" s="125">
        <v>0.2</v>
      </c>
      <c r="H503" s="125">
        <f t="shared" si="13"/>
        <v>5.84</v>
      </c>
      <c r="I503" s="746"/>
      <c r="J503" s="747"/>
      <c r="K503" s="748"/>
      <c r="L503" s="746"/>
      <c r="M503" s="747"/>
      <c r="N503" s="753"/>
    </row>
    <row r="504" spans="2:14" ht="14.25" hidden="1" customHeight="1" x14ac:dyDescent="0.25">
      <c r="B504" s="124"/>
      <c r="C504" s="125"/>
      <c r="D504" s="125"/>
      <c r="E504" s="125">
        <v>2</v>
      </c>
      <c r="F504" s="125">
        <v>2.4</v>
      </c>
      <c r="G504" s="125">
        <v>0.2</v>
      </c>
      <c r="H504" s="125">
        <f t="shared" si="13"/>
        <v>0.96</v>
      </c>
      <c r="I504" s="746"/>
      <c r="J504" s="747"/>
      <c r="K504" s="748"/>
      <c r="L504" s="746"/>
      <c r="M504" s="747"/>
      <c r="N504" s="753"/>
    </row>
    <row r="505" spans="2:14" ht="14.25" hidden="1" customHeight="1" x14ac:dyDescent="0.25">
      <c r="B505" s="124"/>
      <c r="C505" s="125"/>
      <c r="D505" s="125"/>
      <c r="E505" s="125">
        <v>2</v>
      </c>
      <c r="F505" s="125">
        <v>6.8</v>
      </c>
      <c r="G505" s="125">
        <v>0.2</v>
      </c>
      <c r="H505" s="125">
        <f t="shared" si="13"/>
        <v>2.72</v>
      </c>
      <c r="I505" s="746"/>
      <c r="J505" s="747"/>
      <c r="K505" s="748"/>
      <c r="L505" s="746"/>
      <c r="M505" s="747"/>
      <c r="N505" s="753"/>
    </row>
    <row r="506" spans="2:14" ht="14.25" hidden="1" customHeight="1" x14ac:dyDescent="0.25">
      <c r="B506" s="124"/>
      <c r="C506" s="125"/>
      <c r="D506" s="125"/>
      <c r="E506" s="125">
        <v>2</v>
      </c>
      <c r="F506" s="125">
        <v>9.1999999999999993</v>
      </c>
      <c r="G506" s="125">
        <v>0.2</v>
      </c>
      <c r="H506" s="125">
        <f t="shared" si="13"/>
        <v>3.6799999999999997</v>
      </c>
      <c r="I506" s="746"/>
      <c r="J506" s="747"/>
      <c r="K506" s="748"/>
      <c r="L506" s="746"/>
      <c r="M506" s="747"/>
      <c r="N506" s="753"/>
    </row>
    <row r="507" spans="2:14" ht="14.25" hidden="1" customHeight="1" x14ac:dyDescent="0.25">
      <c r="B507" s="124"/>
      <c r="C507" s="125"/>
      <c r="D507" s="125"/>
      <c r="E507" s="125">
        <v>2</v>
      </c>
      <c r="F507" s="125">
        <v>8.8000000000000007</v>
      </c>
      <c r="G507" s="125">
        <v>0.2</v>
      </c>
      <c r="H507" s="125">
        <f t="shared" si="13"/>
        <v>3.5200000000000005</v>
      </c>
      <c r="I507" s="746"/>
      <c r="J507" s="747"/>
      <c r="K507" s="748"/>
      <c r="L507" s="746"/>
      <c r="M507" s="747"/>
      <c r="N507" s="753"/>
    </row>
    <row r="508" spans="2:14" ht="14.25" hidden="1" customHeight="1" x14ac:dyDescent="0.25">
      <c r="B508" s="127"/>
      <c r="C508" s="125"/>
      <c r="D508" s="125"/>
      <c r="E508" s="125">
        <v>2</v>
      </c>
      <c r="F508" s="125">
        <v>2.2000000000000002</v>
      </c>
      <c r="G508" s="125">
        <v>0.2</v>
      </c>
      <c r="H508" s="125">
        <f t="shared" si="13"/>
        <v>0.88000000000000012</v>
      </c>
      <c r="I508" s="749"/>
      <c r="J508" s="750"/>
      <c r="K508" s="751"/>
      <c r="L508" s="749"/>
      <c r="M508" s="750"/>
      <c r="N508" s="754"/>
    </row>
    <row r="509" spans="2:14" ht="14.25" hidden="1" customHeight="1" x14ac:dyDescent="0.25">
      <c r="B509" s="209"/>
      <c r="C509" s="118"/>
      <c r="D509" s="118"/>
      <c r="E509" s="118"/>
      <c r="F509" s="118"/>
      <c r="G509" s="118"/>
      <c r="H509" s="118"/>
      <c r="I509" s="118"/>
      <c r="J509" s="118"/>
      <c r="K509" s="118"/>
      <c r="L509" s="118"/>
      <c r="M509" s="118"/>
      <c r="N509" s="210"/>
    </row>
    <row r="510" spans="2:14" ht="14.25" hidden="1" customHeight="1" x14ac:dyDescent="0.25">
      <c r="B510" s="209"/>
      <c r="C510" s="118"/>
      <c r="D510" s="118"/>
      <c r="E510" s="118"/>
      <c r="F510" s="118"/>
      <c r="G510" s="118"/>
      <c r="H510" s="118"/>
      <c r="I510" s="118"/>
      <c r="J510" s="118"/>
      <c r="K510" s="118"/>
      <c r="L510" s="118"/>
      <c r="M510" s="118"/>
      <c r="N510" s="210"/>
    </row>
    <row r="511" spans="2:14" ht="14.25" hidden="1" customHeight="1" x14ac:dyDescent="0.25">
      <c r="B511" s="209"/>
      <c r="C511" s="118"/>
      <c r="D511" s="118"/>
      <c r="E511" s="118"/>
      <c r="F511" s="118"/>
      <c r="G511" s="118"/>
      <c r="H511" s="118"/>
      <c r="I511" s="118"/>
      <c r="J511" s="118"/>
      <c r="K511" s="118"/>
      <c r="L511" s="118"/>
      <c r="M511" s="118"/>
      <c r="N511" s="210"/>
    </row>
    <row r="512" spans="2:14" ht="14.25" hidden="1" customHeight="1" x14ac:dyDescent="0.25">
      <c r="B512" s="209"/>
      <c r="C512" s="118"/>
      <c r="D512" s="118"/>
      <c r="E512" s="118"/>
      <c r="F512" s="118"/>
      <c r="G512" s="118"/>
      <c r="H512" s="118"/>
      <c r="I512" s="118"/>
      <c r="J512" s="118"/>
      <c r="K512" s="118"/>
      <c r="L512" s="118"/>
      <c r="M512" s="118"/>
      <c r="N512" s="210"/>
    </row>
    <row r="513" spans="2:14" ht="14.25" hidden="1" customHeight="1" x14ac:dyDescent="0.25">
      <c r="B513" s="775" t="s">
        <v>414</v>
      </c>
      <c r="C513" s="747"/>
      <c r="D513" s="747"/>
      <c r="E513" s="128"/>
      <c r="F513" s="128"/>
      <c r="G513" s="128"/>
      <c r="H513" s="128"/>
      <c r="I513" s="776"/>
      <c r="J513" s="747"/>
      <c r="K513" s="747"/>
      <c r="L513" s="118"/>
      <c r="M513" s="118"/>
      <c r="N513" s="210"/>
    </row>
    <row r="514" spans="2:14" ht="14.25" hidden="1" customHeight="1" x14ac:dyDescent="0.25">
      <c r="B514" s="129"/>
      <c r="C514" s="130"/>
      <c r="D514" s="130"/>
      <c r="E514" s="130"/>
      <c r="F514" s="130"/>
      <c r="G514" s="130"/>
      <c r="H514" s="130"/>
      <c r="I514" s="130"/>
      <c r="J514" s="130"/>
      <c r="K514" s="130"/>
      <c r="L514" s="130"/>
      <c r="M514" s="130"/>
      <c r="N514" s="131"/>
    </row>
    <row r="515" spans="2:14" ht="14.25" hidden="1" customHeight="1" x14ac:dyDescent="0.25">
      <c r="B515" s="118"/>
      <c r="C515" s="118"/>
      <c r="D515" s="118"/>
      <c r="E515" s="118"/>
      <c r="F515" s="118"/>
      <c r="G515" s="118"/>
      <c r="H515" s="118"/>
      <c r="I515" s="118"/>
      <c r="J515" s="118"/>
      <c r="K515" s="118"/>
      <c r="L515" s="118"/>
      <c r="M515" s="118"/>
      <c r="N515" s="118"/>
    </row>
    <row r="516" spans="2:14" ht="45" hidden="1" customHeight="1" x14ac:dyDescent="0.25">
      <c r="B516" s="728"/>
      <c r="C516" s="729"/>
      <c r="D516" s="730" t="s">
        <v>393</v>
      </c>
      <c r="E516" s="729"/>
      <c r="F516" s="729"/>
      <c r="G516" s="729"/>
      <c r="H516" s="729"/>
      <c r="I516" s="729"/>
      <c r="J516" s="729"/>
      <c r="K516" s="729"/>
      <c r="L516" s="729"/>
      <c r="M516" s="729"/>
      <c r="N516" s="731"/>
    </row>
    <row r="517" spans="2:14" ht="14.25" hidden="1" customHeight="1" x14ac:dyDescent="0.25">
      <c r="B517" s="732" t="s">
        <v>394</v>
      </c>
      <c r="C517" s="733"/>
      <c r="D517" s="733"/>
      <c r="E517" s="733"/>
      <c r="F517" s="733"/>
      <c r="G517" s="733"/>
      <c r="H517" s="733"/>
      <c r="I517" s="733"/>
      <c r="J517" s="733"/>
      <c r="K517" s="733"/>
      <c r="L517" s="733"/>
      <c r="M517" s="733"/>
      <c r="N517" s="734"/>
    </row>
    <row r="518" spans="2:14" ht="14.25" hidden="1" customHeight="1" x14ac:dyDescent="0.25">
      <c r="B518" s="735" t="s">
        <v>395</v>
      </c>
      <c r="C518" s="736"/>
      <c r="D518" s="779" t="s">
        <v>434</v>
      </c>
      <c r="E518" s="733"/>
      <c r="F518" s="733"/>
      <c r="G518" s="733"/>
      <c r="H518" s="733"/>
      <c r="I518" s="733"/>
      <c r="J518" s="733"/>
      <c r="K518" s="733"/>
      <c r="L518" s="733"/>
      <c r="M518" s="733"/>
      <c r="N518" s="734"/>
    </row>
    <row r="519" spans="2:14" ht="14.25" hidden="1" customHeight="1" x14ac:dyDescent="0.25">
      <c r="B519" s="740" t="s">
        <v>26</v>
      </c>
      <c r="C519" s="741"/>
      <c r="D519" s="119" t="s">
        <v>396</v>
      </c>
      <c r="E519" s="742" t="s">
        <v>397</v>
      </c>
      <c r="F519" s="733"/>
      <c r="G519" s="733"/>
      <c r="H519" s="736"/>
      <c r="I519" s="742" t="s">
        <v>398</v>
      </c>
      <c r="J519" s="733"/>
      <c r="K519" s="736"/>
      <c r="L519" s="742" t="s">
        <v>399</v>
      </c>
      <c r="M519" s="733"/>
      <c r="N519" s="734"/>
    </row>
    <row r="520" spans="2:14" ht="14.25" hidden="1" customHeight="1" x14ac:dyDescent="0.25">
      <c r="B520" s="777" t="s">
        <v>433</v>
      </c>
      <c r="C520" s="736"/>
      <c r="D520" s="123">
        <f>ROUND(SUM(H523:H541),0)</f>
        <v>296</v>
      </c>
      <c r="E520" s="778" t="s">
        <v>46</v>
      </c>
      <c r="F520" s="733"/>
      <c r="G520" s="733"/>
      <c r="H520" s="736"/>
      <c r="I520" s="744"/>
      <c r="J520" s="745"/>
      <c r="K520" s="741"/>
      <c r="L520" s="744"/>
      <c r="M520" s="745"/>
      <c r="N520" s="752"/>
    </row>
    <row r="521" spans="2:14" ht="14.25" hidden="1" customHeight="1" x14ac:dyDescent="0.25">
      <c r="B521" s="755" t="s">
        <v>416</v>
      </c>
      <c r="C521" s="733"/>
      <c r="D521" s="733"/>
      <c r="E521" s="733"/>
      <c r="F521" s="733"/>
      <c r="G521" s="733"/>
      <c r="H521" s="736"/>
      <c r="I521" s="746"/>
      <c r="J521" s="747"/>
      <c r="K521" s="748"/>
      <c r="L521" s="746"/>
      <c r="M521" s="747"/>
      <c r="N521" s="753"/>
    </row>
    <row r="522" spans="2:14" ht="14.25" hidden="1" customHeight="1" x14ac:dyDescent="0.25">
      <c r="B522" s="121" t="s">
        <v>400</v>
      </c>
      <c r="C522" s="122" t="s">
        <v>401</v>
      </c>
      <c r="D522" s="123" t="s">
        <v>402</v>
      </c>
      <c r="E522" s="123" t="s">
        <v>403</v>
      </c>
      <c r="F522" s="123" t="s">
        <v>404</v>
      </c>
      <c r="G522" s="123" t="s">
        <v>405</v>
      </c>
      <c r="H522" s="123" t="s">
        <v>406</v>
      </c>
      <c r="I522" s="746"/>
      <c r="J522" s="747"/>
      <c r="K522" s="748"/>
      <c r="L522" s="746"/>
      <c r="M522" s="747"/>
      <c r="N522" s="753"/>
    </row>
    <row r="523" spans="2:14" ht="14.25" hidden="1" customHeight="1" x14ac:dyDescent="0.25">
      <c r="B523" s="124"/>
      <c r="C523" s="138" t="s">
        <v>435</v>
      </c>
      <c r="D523" s="125">
        <v>9</v>
      </c>
      <c r="E523" s="125"/>
      <c r="F523" s="125">
        <v>17.399999999999999</v>
      </c>
      <c r="G523" s="125"/>
      <c r="H523" s="125">
        <f t="shared" ref="H523:H524" si="14">F523*D523</f>
        <v>156.6</v>
      </c>
      <c r="I523" s="746"/>
      <c r="J523" s="747"/>
      <c r="K523" s="748"/>
      <c r="L523" s="746"/>
      <c r="M523" s="747"/>
      <c r="N523" s="753"/>
    </row>
    <row r="524" spans="2:14" ht="14.25" hidden="1" customHeight="1" x14ac:dyDescent="0.25">
      <c r="B524" s="124"/>
      <c r="C524" s="141" t="s">
        <v>436</v>
      </c>
      <c r="D524" s="125">
        <v>8</v>
      </c>
      <c r="E524" s="125"/>
      <c r="F524" s="125">
        <v>17.399999999999999</v>
      </c>
      <c r="G524" s="125"/>
      <c r="H524" s="125">
        <f t="shared" si="14"/>
        <v>139.19999999999999</v>
      </c>
      <c r="I524" s="746"/>
      <c r="J524" s="747"/>
      <c r="K524" s="748"/>
      <c r="L524" s="746"/>
      <c r="M524" s="747"/>
      <c r="N524" s="753"/>
    </row>
    <row r="525" spans="2:14" ht="14.25" hidden="1" customHeight="1" x14ac:dyDescent="0.25">
      <c r="B525" s="124"/>
      <c r="C525" s="145"/>
      <c r="D525" s="125"/>
      <c r="E525" s="125"/>
      <c r="F525" s="125"/>
      <c r="G525" s="125"/>
      <c r="H525" s="125"/>
      <c r="I525" s="746"/>
      <c r="J525" s="747"/>
      <c r="K525" s="748"/>
      <c r="L525" s="746"/>
      <c r="M525" s="747"/>
      <c r="N525" s="753"/>
    </row>
    <row r="526" spans="2:14" ht="14.25" hidden="1" customHeight="1" x14ac:dyDescent="0.25">
      <c r="B526" s="124"/>
      <c r="C526" s="138"/>
      <c r="D526" s="125"/>
      <c r="E526" s="125"/>
      <c r="F526" s="125"/>
      <c r="G526" s="125"/>
      <c r="H526" s="125"/>
      <c r="I526" s="746"/>
      <c r="J526" s="747"/>
      <c r="K526" s="748"/>
      <c r="L526" s="746"/>
      <c r="M526" s="747"/>
      <c r="N526" s="753"/>
    </row>
    <row r="527" spans="2:14" ht="14.25" hidden="1" customHeight="1" x14ac:dyDescent="0.25">
      <c r="B527" s="124"/>
      <c r="C527" s="125"/>
      <c r="D527" s="125"/>
      <c r="E527" s="125"/>
      <c r="F527" s="125"/>
      <c r="G527" s="125"/>
      <c r="H527" s="125"/>
      <c r="I527" s="746"/>
      <c r="J527" s="747"/>
      <c r="K527" s="748"/>
      <c r="L527" s="746"/>
      <c r="M527" s="747"/>
      <c r="N527" s="753"/>
    </row>
    <row r="528" spans="2:14" ht="14.25" hidden="1" customHeight="1" x14ac:dyDescent="0.25">
      <c r="B528" s="124"/>
      <c r="C528" s="125"/>
      <c r="D528" s="125"/>
      <c r="E528" s="125"/>
      <c r="F528" s="125"/>
      <c r="G528" s="125"/>
      <c r="H528" s="125"/>
      <c r="I528" s="746"/>
      <c r="J528" s="747"/>
      <c r="K528" s="748"/>
      <c r="L528" s="746"/>
      <c r="M528" s="747"/>
      <c r="N528" s="753"/>
    </row>
    <row r="529" spans="2:14" ht="14.25" hidden="1" customHeight="1" x14ac:dyDescent="0.25">
      <c r="B529" s="124"/>
      <c r="C529" s="125"/>
      <c r="D529" s="125"/>
      <c r="E529" s="125"/>
      <c r="F529" s="125"/>
      <c r="G529" s="125"/>
      <c r="H529" s="125"/>
      <c r="I529" s="746"/>
      <c r="J529" s="747"/>
      <c r="K529" s="748"/>
      <c r="L529" s="746"/>
      <c r="M529" s="747"/>
      <c r="N529" s="753"/>
    </row>
    <row r="530" spans="2:14" ht="14.25" hidden="1" customHeight="1" x14ac:dyDescent="0.25">
      <c r="B530" s="124"/>
      <c r="C530" s="125"/>
      <c r="D530" s="125"/>
      <c r="E530" s="125"/>
      <c r="F530" s="125"/>
      <c r="G530" s="125"/>
      <c r="H530" s="125"/>
      <c r="I530" s="746"/>
      <c r="J530" s="747"/>
      <c r="K530" s="748"/>
      <c r="L530" s="746"/>
      <c r="M530" s="747"/>
      <c r="N530" s="753"/>
    </row>
    <row r="531" spans="2:14" ht="14.25" hidden="1" customHeight="1" x14ac:dyDescent="0.25">
      <c r="B531" s="124"/>
      <c r="C531" s="125"/>
      <c r="D531" s="125"/>
      <c r="E531" s="125"/>
      <c r="F531" s="125"/>
      <c r="G531" s="125"/>
      <c r="H531" s="125"/>
      <c r="I531" s="746"/>
      <c r="J531" s="747"/>
      <c r="K531" s="748"/>
      <c r="L531" s="746"/>
      <c r="M531" s="747"/>
      <c r="N531" s="753"/>
    </row>
    <row r="532" spans="2:14" ht="14.25" hidden="1" customHeight="1" x14ac:dyDescent="0.25">
      <c r="B532" s="124"/>
      <c r="C532" s="125"/>
      <c r="D532" s="125"/>
      <c r="E532" s="125"/>
      <c r="F532" s="125"/>
      <c r="G532" s="125"/>
      <c r="H532" s="125"/>
      <c r="I532" s="746"/>
      <c r="J532" s="747"/>
      <c r="K532" s="748"/>
      <c r="L532" s="746"/>
      <c r="M532" s="747"/>
      <c r="N532" s="753"/>
    </row>
    <row r="533" spans="2:14" ht="14.25" hidden="1" customHeight="1" x14ac:dyDescent="0.25">
      <c r="B533" s="124"/>
      <c r="C533" s="125"/>
      <c r="D533" s="125"/>
      <c r="E533" s="125"/>
      <c r="F533" s="125"/>
      <c r="G533" s="125"/>
      <c r="H533" s="125"/>
      <c r="I533" s="746"/>
      <c r="J533" s="747"/>
      <c r="K533" s="748"/>
      <c r="L533" s="746"/>
      <c r="M533" s="747"/>
      <c r="N533" s="753"/>
    </row>
    <row r="534" spans="2:14" ht="14.25" hidden="1" customHeight="1" x14ac:dyDescent="0.25">
      <c r="B534" s="124"/>
      <c r="C534" s="125"/>
      <c r="D534" s="125"/>
      <c r="E534" s="125"/>
      <c r="F534" s="125"/>
      <c r="G534" s="125"/>
      <c r="H534" s="125"/>
      <c r="I534" s="746"/>
      <c r="J534" s="747"/>
      <c r="K534" s="748"/>
      <c r="L534" s="746"/>
      <c r="M534" s="747"/>
      <c r="N534" s="753"/>
    </row>
    <row r="535" spans="2:14" ht="14.25" hidden="1" customHeight="1" x14ac:dyDescent="0.25">
      <c r="B535" s="124"/>
      <c r="C535" s="125"/>
      <c r="D535" s="125"/>
      <c r="E535" s="125"/>
      <c r="F535" s="125"/>
      <c r="G535" s="125"/>
      <c r="H535" s="125"/>
      <c r="I535" s="746"/>
      <c r="J535" s="747"/>
      <c r="K535" s="748"/>
      <c r="L535" s="746"/>
      <c r="M535" s="747"/>
      <c r="N535" s="753"/>
    </row>
    <row r="536" spans="2:14" ht="14.25" hidden="1" customHeight="1" x14ac:dyDescent="0.25">
      <c r="B536" s="124"/>
      <c r="C536" s="125"/>
      <c r="D536" s="125"/>
      <c r="E536" s="125"/>
      <c r="F536" s="125"/>
      <c r="G536" s="125"/>
      <c r="H536" s="125"/>
      <c r="I536" s="746"/>
      <c r="J536" s="747"/>
      <c r="K536" s="748"/>
      <c r="L536" s="746"/>
      <c r="M536" s="747"/>
      <c r="N536" s="753"/>
    </row>
    <row r="537" spans="2:14" ht="14.25" hidden="1" customHeight="1" x14ac:dyDescent="0.25">
      <c r="B537" s="124"/>
      <c r="C537" s="125"/>
      <c r="D537" s="125"/>
      <c r="E537" s="125"/>
      <c r="F537" s="125"/>
      <c r="G537" s="125"/>
      <c r="H537" s="125"/>
      <c r="I537" s="746"/>
      <c r="J537" s="747"/>
      <c r="K537" s="748"/>
      <c r="L537" s="746"/>
      <c r="M537" s="747"/>
      <c r="N537" s="753"/>
    </row>
    <row r="538" spans="2:14" ht="14.25" hidden="1" customHeight="1" x14ac:dyDescent="0.25">
      <c r="B538" s="124"/>
      <c r="C538" s="125"/>
      <c r="D538" s="125"/>
      <c r="E538" s="125"/>
      <c r="F538" s="125"/>
      <c r="G538" s="125"/>
      <c r="H538" s="125"/>
      <c r="I538" s="746"/>
      <c r="J538" s="747"/>
      <c r="K538" s="748"/>
      <c r="L538" s="746"/>
      <c r="M538" s="747"/>
      <c r="N538" s="753"/>
    </row>
    <row r="539" spans="2:14" ht="14.25" hidden="1" customHeight="1" x14ac:dyDescent="0.25">
      <c r="B539" s="124"/>
      <c r="C539" s="125"/>
      <c r="D539" s="125"/>
      <c r="E539" s="125"/>
      <c r="F539" s="125"/>
      <c r="G539" s="125"/>
      <c r="H539" s="125"/>
      <c r="I539" s="746"/>
      <c r="J539" s="747"/>
      <c r="K539" s="748"/>
      <c r="L539" s="746"/>
      <c r="M539" s="747"/>
      <c r="N539" s="753"/>
    </row>
    <row r="540" spans="2:14" ht="14.25" hidden="1" customHeight="1" x14ac:dyDescent="0.25">
      <c r="B540" s="124"/>
      <c r="C540" s="125"/>
      <c r="D540" s="125"/>
      <c r="E540" s="125"/>
      <c r="F540" s="125"/>
      <c r="G540" s="125"/>
      <c r="H540" s="125"/>
      <c r="I540" s="746"/>
      <c r="J540" s="747"/>
      <c r="K540" s="748"/>
      <c r="L540" s="746"/>
      <c r="M540" s="747"/>
      <c r="N540" s="753"/>
    </row>
    <row r="541" spans="2:14" ht="14.25" hidden="1" customHeight="1" x14ac:dyDescent="0.25">
      <c r="B541" s="127"/>
      <c r="C541" s="125"/>
      <c r="D541" s="125"/>
      <c r="E541" s="125"/>
      <c r="F541" s="125"/>
      <c r="G541" s="125"/>
      <c r="H541" s="125"/>
      <c r="I541" s="749"/>
      <c r="J541" s="750"/>
      <c r="K541" s="751"/>
      <c r="L541" s="749"/>
      <c r="M541" s="750"/>
      <c r="N541" s="754"/>
    </row>
    <row r="542" spans="2:14" ht="14.25" hidden="1" customHeight="1" x14ac:dyDescent="0.25">
      <c r="B542" s="209"/>
      <c r="C542" s="118"/>
      <c r="D542" s="118"/>
      <c r="E542" s="118"/>
      <c r="F542" s="118"/>
      <c r="G542" s="118"/>
      <c r="H542" s="118"/>
      <c r="I542" s="118"/>
      <c r="J542" s="118"/>
      <c r="K542" s="118"/>
      <c r="L542" s="118"/>
      <c r="M542" s="118"/>
      <c r="N542" s="210"/>
    </row>
    <row r="543" spans="2:14" ht="14.25" hidden="1" customHeight="1" x14ac:dyDescent="0.25">
      <c r="B543" s="209"/>
      <c r="C543" s="118"/>
      <c r="D543" s="118"/>
      <c r="E543" s="118"/>
      <c r="F543" s="118"/>
      <c r="G543" s="118"/>
      <c r="H543" s="118"/>
      <c r="I543" s="118"/>
      <c r="J543" s="118"/>
      <c r="K543" s="118"/>
      <c r="L543" s="118"/>
      <c r="M543" s="118"/>
      <c r="N543" s="210"/>
    </row>
    <row r="544" spans="2:14" ht="14.25" hidden="1" customHeight="1" x14ac:dyDescent="0.25">
      <c r="B544" s="209"/>
      <c r="C544" s="118"/>
      <c r="D544" s="118"/>
      <c r="E544" s="118"/>
      <c r="F544" s="118"/>
      <c r="G544" s="118"/>
      <c r="H544" s="118"/>
      <c r="I544" s="118"/>
      <c r="J544" s="118"/>
      <c r="K544" s="118"/>
      <c r="L544" s="118"/>
      <c r="M544" s="118"/>
      <c r="N544" s="210"/>
    </row>
    <row r="545" spans="2:14" ht="14.25" hidden="1" customHeight="1" x14ac:dyDescent="0.25">
      <c r="B545" s="209"/>
      <c r="C545" s="118"/>
      <c r="D545" s="118"/>
      <c r="E545" s="118"/>
      <c r="F545" s="118"/>
      <c r="G545" s="118"/>
      <c r="H545" s="118"/>
      <c r="I545" s="118"/>
      <c r="J545" s="118"/>
      <c r="K545" s="118"/>
      <c r="L545" s="118"/>
      <c r="M545" s="118"/>
      <c r="N545" s="210"/>
    </row>
    <row r="546" spans="2:14" ht="14.25" hidden="1" customHeight="1" x14ac:dyDescent="0.25">
      <c r="B546" s="775" t="s">
        <v>414</v>
      </c>
      <c r="C546" s="747"/>
      <c r="D546" s="747"/>
      <c r="E546" s="128"/>
      <c r="F546" s="128"/>
      <c r="G546" s="128"/>
      <c r="H546" s="128"/>
      <c r="I546" s="776"/>
      <c r="J546" s="747"/>
      <c r="K546" s="747"/>
      <c r="L546" s="118"/>
      <c r="M546" s="118"/>
      <c r="N546" s="210"/>
    </row>
    <row r="547" spans="2:14" ht="14.25" hidden="1" customHeight="1" x14ac:dyDescent="0.25">
      <c r="B547" s="129"/>
      <c r="C547" s="130"/>
      <c r="D547" s="130"/>
      <c r="E547" s="130"/>
      <c r="F547" s="130"/>
      <c r="G547" s="130"/>
      <c r="H547" s="130"/>
      <c r="I547" s="130"/>
      <c r="J547" s="130"/>
      <c r="K547" s="130"/>
      <c r="L547" s="130"/>
      <c r="M547" s="130"/>
      <c r="N547" s="131"/>
    </row>
    <row r="548" spans="2:14" ht="14.25" hidden="1" customHeight="1" x14ac:dyDescent="0.25">
      <c r="B548" s="118"/>
      <c r="C548" s="118"/>
      <c r="D548" s="118"/>
      <c r="E548" s="118"/>
      <c r="F548" s="118"/>
      <c r="G548" s="118"/>
      <c r="H548" s="118"/>
      <c r="I548" s="118"/>
      <c r="J548" s="118"/>
      <c r="K548" s="118"/>
      <c r="L548" s="118"/>
      <c r="M548" s="118"/>
      <c r="N548" s="118"/>
    </row>
    <row r="549" spans="2:14" ht="45" hidden="1" customHeight="1" x14ac:dyDescent="0.25">
      <c r="B549" s="728"/>
      <c r="C549" s="729"/>
      <c r="D549" s="730" t="s">
        <v>393</v>
      </c>
      <c r="E549" s="729"/>
      <c r="F549" s="729"/>
      <c r="G549" s="729"/>
      <c r="H549" s="729"/>
      <c r="I549" s="729"/>
      <c r="J549" s="729"/>
      <c r="K549" s="729"/>
      <c r="L549" s="729"/>
      <c r="M549" s="729"/>
      <c r="N549" s="731"/>
    </row>
    <row r="550" spans="2:14" ht="14.25" hidden="1" customHeight="1" x14ac:dyDescent="0.25">
      <c r="B550" s="732" t="s">
        <v>394</v>
      </c>
      <c r="C550" s="733"/>
      <c r="D550" s="733"/>
      <c r="E550" s="733"/>
      <c r="F550" s="733"/>
      <c r="G550" s="733"/>
      <c r="H550" s="733"/>
      <c r="I550" s="733"/>
      <c r="J550" s="733"/>
      <c r="K550" s="733"/>
      <c r="L550" s="733"/>
      <c r="M550" s="733"/>
      <c r="N550" s="734"/>
    </row>
    <row r="551" spans="2:14" ht="14.25" hidden="1" customHeight="1" x14ac:dyDescent="0.25">
      <c r="B551" s="735" t="s">
        <v>395</v>
      </c>
      <c r="C551" s="736"/>
      <c r="D551" s="779" t="s">
        <v>437</v>
      </c>
      <c r="E551" s="733"/>
      <c r="F551" s="733"/>
      <c r="G551" s="733"/>
      <c r="H551" s="733"/>
      <c r="I551" s="733"/>
      <c r="J551" s="733"/>
      <c r="K551" s="733"/>
      <c r="L551" s="733"/>
      <c r="M551" s="733"/>
      <c r="N551" s="734"/>
    </row>
    <row r="552" spans="2:14" ht="14.25" hidden="1" customHeight="1" x14ac:dyDescent="0.25">
      <c r="B552" s="740" t="s">
        <v>26</v>
      </c>
      <c r="C552" s="741"/>
      <c r="D552" s="119" t="s">
        <v>396</v>
      </c>
      <c r="E552" s="742" t="s">
        <v>397</v>
      </c>
      <c r="F552" s="733"/>
      <c r="G552" s="733"/>
      <c r="H552" s="736"/>
      <c r="I552" s="742" t="s">
        <v>398</v>
      </c>
      <c r="J552" s="733"/>
      <c r="K552" s="736"/>
      <c r="L552" s="742" t="s">
        <v>399</v>
      </c>
      <c r="M552" s="733"/>
      <c r="N552" s="734"/>
    </row>
    <row r="553" spans="2:14" ht="14.25" hidden="1" customHeight="1" x14ac:dyDescent="0.25">
      <c r="B553" s="777" t="s">
        <v>433</v>
      </c>
      <c r="C553" s="736"/>
      <c r="D553" s="123">
        <f>ROUND(SUM(H556:H574),0)</f>
        <v>46</v>
      </c>
      <c r="E553" s="778" t="s">
        <v>51</v>
      </c>
      <c r="F553" s="733"/>
      <c r="G553" s="733"/>
      <c r="H553" s="736"/>
      <c r="I553" s="744"/>
      <c r="J553" s="745"/>
      <c r="K553" s="741"/>
      <c r="L553" s="744"/>
      <c r="M553" s="745"/>
      <c r="N553" s="752"/>
    </row>
    <row r="554" spans="2:14" ht="14.25" hidden="1" customHeight="1" x14ac:dyDescent="0.25">
      <c r="B554" s="755" t="s">
        <v>416</v>
      </c>
      <c r="C554" s="733"/>
      <c r="D554" s="733"/>
      <c r="E554" s="733"/>
      <c r="F554" s="733"/>
      <c r="G554" s="733"/>
      <c r="H554" s="736"/>
      <c r="I554" s="746"/>
      <c r="J554" s="747"/>
      <c r="K554" s="748"/>
      <c r="L554" s="746"/>
      <c r="M554" s="747"/>
      <c r="N554" s="753"/>
    </row>
    <row r="555" spans="2:14" ht="14.25" hidden="1" customHeight="1" x14ac:dyDescent="0.25">
      <c r="B555" s="121" t="s">
        <v>400</v>
      </c>
      <c r="C555" s="122" t="s">
        <v>401</v>
      </c>
      <c r="D555" s="123" t="s">
        <v>402</v>
      </c>
      <c r="E555" s="123" t="s">
        <v>403</v>
      </c>
      <c r="F555" s="123" t="s">
        <v>404</v>
      </c>
      <c r="G555" s="123" t="s">
        <v>405</v>
      </c>
      <c r="H555" s="123" t="s">
        <v>406</v>
      </c>
      <c r="I555" s="746"/>
      <c r="J555" s="747"/>
      <c r="K555" s="748"/>
      <c r="L555" s="746"/>
      <c r="M555" s="747"/>
      <c r="N555" s="753"/>
    </row>
    <row r="556" spans="2:14" ht="14.25" hidden="1" customHeight="1" x14ac:dyDescent="0.25">
      <c r="B556" s="124"/>
      <c r="C556" s="765" t="s">
        <v>426</v>
      </c>
      <c r="D556" s="125"/>
      <c r="E556" s="125">
        <v>1.25</v>
      </c>
      <c r="F556" s="125">
        <v>3.1</v>
      </c>
      <c r="G556" s="125"/>
      <c r="H556" s="125">
        <f t="shared" ref="H556:H557" si="15">ROUND(E556*F556,0)</f>
        <v>4</v>
      </c>
      <c r="I556" s="746"/>
      <c r="J556" s="747"/>
      <c r="K556" s="748"/>
      <c r="L556" s="746"/>
      <c r="M556" s="747"/>
      <c r="N556" s="753"/>
    </row>
    <row r="557" spans="2:14" ht="14.25" hidden="1" customHeight="1" x14ac:dyDescent="0.25">
      <c r="B557" s="124"/>
      <c r="C557" s="781"/>
      <c r="D557" s="125"/>
      <c r="E557" s="125">
        <v>2.95</v>
      </c>
      <c r="F557" s="125">
        <v>14.3</v>
      </c>
      <c r="G557" s="125"/>
      <c r="H557" s="125">
        <f t="shared" si="15"/>
        <v>42</v>
      </c>
      <c r="I557" s="746"/>
      <c r="J557" s="747"/>
      <c r="K557" s="748"/>
      <c r="L557" s="746"/>
      <c r="M557" s="747"/>
      <c r="N557" s="753"/>
    </row>
    <row r="558" spans="2:14" ht="14.25" hidden="1" customHeight="1" x14ac:dyDescent="0.25">
      <c r="B558" s="124"/>
      <c r="C558" s="226"/>
      <c r="D558" s="125"/>
      <c r="E558" s="125"/>
      <c r="F558" s="125"/>
      <c r="G558" s="125"/>
      <c r="H558" s="125"/>
      <c r="I558" s="746"/>
      <c r="J558" s="747"/>
      <c r="K558" s="748"/>
      <c r="L558" s="746"/>
      <c r="M558" s="747"/>
      <c r="N558" s="753"/>
    </row>
    <row r="559" spans="2:14" ht="14.25" hidden="1" customHeight="1" x14ac:dyDescent="0.25">
      <c r="B559" s="124"/>
      <c r="C559" s="138"/>
      <c r="D559" s="125"/>
      <c r="E559" s="125"/>
      <c r="F559" s="125"/>
      <c r="G559" s="125"/>
      <c r="H559" s="125"/>
      <c r="I559" s="746"/>
      <c r="J559" s="747"/>
      <c r="K559" s="748"/>
      <c r="L559" s="746"/>
      <c r="M559" s="747"/>
      <c r="N559" s="753"/>
    </row>
    <row r="560" spans="2:14" ht="14.25" hidden="1" customHeight="1" x14ac:dyDescent="0.25">
      <c r="B560" s="124"/>
      <c r="C560" s="125"/>
      <c r="D560" s="125"/>
      <c r="E560" s="125"/>
      <c r="F560" s="125"/>
      <c r="G560" s="125"/>
      <c r="H560" s="125"/>
      <c r="I560" s="746"/>
      <c r="J560" s="747"/>
      <c r="K560" s="748"/>
      <c r="L560" s="746"/>
      <c r="M560" s="747"/>
      <c r="N560" s="753"/>
    </row>
    <row r="561" spans="2:14" ht="14.25" hidden="1" customHeight="1" x14ac:dyDescent="0.25">
      <c r="B561" s="124"/>
      <c r="C561" s="125"/>
      <c r="D561" s="125"/>
      <c r="E561" s="125"/>
      <c r="F561" s="125"/>
      <c r="G561" s="125"/>
      <c r="H561" s="125"/>
      <c r="I561" s="746"/>
      <c r="J561" s="747"/>
      <c r="K561" s="748"/>
      <c r="L561" s="746"/>
      <c r="M561" s="747"/>
      <c r="N561" s="753"/>
    </row>
    <row r="562" spans="2:14" ht="14.25" hidden="1" customHeight="1" x14ac:dyDescent="0.25">
      <c r="B562" s="124"/>
      <c r="C562" s="125"/>
      <c r="D562" s="125"/>
      <c r="E562" s="125"/>
      <c r="F562" s="125"/>
      <c r="G562" s="125"/>
      <c r="H562" s="125"/>
      <c r="I562" s="746"/>
      <c r="J562" s="747"/>
      <c r="K562" s="748"/>
      <c r="L562" s="746"/>
      <c r="M562" s="747"/>
      <c r="N562" s="753"/>
    </row>
    <row r="563" spans="2:14" ht="14.25" hidden="1" customHeight="1" x14ac:dyDescent="0.25">
      <c r="B563" s="124"/>
      <c r="C563" s="125"/>
      <c r="D563" s="125"/>
      <c r="E563" s="125"/>
      <c r="F563" s="125"/>
      <c r="G563" s="125"/>
      <c r="H563" s="125"/>
      <c r="I563" s="746"/>
      <c r="J563" s="747"/>
      <c r="K563" s="748"/>
      <c r="L563" s="746"/>
      <c r="M563" s="747"/>
      <c r="N563" s="753"/>
    </row>
    <row r="564" spans="2:14" ht="14.25" hidden="1" customHeight="1" x14ac:dyDescent="0.25">
      <c r="B564" s="124"/>
      <c r="C564" s="125"/>
      <c r="D564" s="125"/>
      <c r="E564" s="125"/>
      <c r="F564" s="125"/>
      <c r="G564" s="125"/>
      <c r="H564" s="125"/>
      <c r="I564" s="746"/>
      <c r="J564" s="747"/>
      <c r="K564" s="748"/>
      <c r="L564" s="746"/>
      <c r="M564" s="747"/>
      <c r="N564" s="753"/>
    </row>
    <row r="565" spans="2:14" ht="14.25" hidden="1" customHeight="1" x14ac:dyDescent="0.25">
      <c r="B565" s="124"/>
      <c r="C565" s="125"/>
      <c r="D565" s="125"/>
      <c r="E565" s="125"/>
      <c r="F565" s="125"/>
      <c r="G565" s="125"/>
      <c r="H565" s="125"/>
      <c r="I565" s="746"/>
      <c r="J565" s="747"/>
      <c r="K565" s="748"/>
      <c r="L565" s="746"/>
      <c r="M565" s="747"/>
      <c r="N565" s="753"/>
    </row>
    <row r="566" spans="2:14" ht="14.25" hidden="1" customHeight="1" x14ac:dyDescent="0.25">
      <c r="B566" s="124"/>
      <c r="C566" s="125"/>
      <c r="D566" s="125"/>
      <c r="E566" s="125"/>
      <c r="F566" s="125"/>
      <c r="G566" s="125"/>
      <c r="H566" s="125"/>
      <c r="I566" s="746"/>
      <c r="J566" s="747"/>
      <c r="K566" s="748"/>
      <c r="L566" s="746"/>
      <c r="M566" s="747"/>
      <c r="N566" s="753"/>
    </row>
    <row r="567" spans="2:14" ht="14.25" hidden="1" customHeight="1" x14ac:dyDescent="0.25">
      <c r="B567" s="124"/>
      <c r="C567" s="125"/>
      <c r="D567" s="125"/>
      <c r="E567" s="125"/>
      <c r="F567" s="125"/>
      <c r="G567" s="125"/>
      <c r="H567" s="125"/>
      <c r="I567" s="746"/>
      <c r="J567" s="747"/>
      <c r="K567" s="748"/>
      <c r="L567" s="746"/>
      <c r="M567" s="747"/>
      <c r="N567" s="753"/>
    </row>
    <row r="568" spans="2:14" ht="14.25" hidden="1" customHeight="1" x14ac:dyDescent="0.25">
      <c r="B568" s="124"/>
      <c r="C568" s="125"/>
      <c r="D568" s="125"/>
      <c r="E568" s="125"/>
      <c r="F568" s="125"/>
      <c r="G568" s="125"/>
      <c r="H568" s="125"/>
      <c r="I568" s="746"/>
      <c r="J568" s="747"/>
      <c r="K568" s="748"/>
      <c r="L568" s="746"/>
      <c r="M568" s="747"/>
      <c r="N568" s="753"/>
    </row>
    <row r="569" spans="2:14" ht="14.25" hidden="1" customHeight="1" x14ac:dyDescent="0.25">
      <c r="B569" s="124"/>
      <c r="C569" s="125"/>
      <c r="D569" s="125"/>
      <c r="E569" s="125"/>
      <c r="F569" s="125"/>
      <c r="G569" s="125"/>
      <c r="H569" s="125"/>
      <c r="I569" s="746"/>
      <c r="J569" s="747"/>
      <c r="K569" s="748"/>
      <c r="L569" s="746"/>
      <c r="M569" s="747"/>
      <c r="N569" s="753"/>
    </row>
    <row r="570" spans="2:14" ht="14.25" hidden="1" customHeight="1" x14ac:dyDescent="0.25">
      <c r="B570" s="124"/>
      <c r="C570" s="125"/>
      <c r="D570" s="125"/>
      <c r="E570" s="125"/>
      <c r="F570" s="125"/>
      <c r="G570" s="125"/>
      <c r="H570" s="125"/>
      <c r="I570" s="746"/>
      <c r="J570" s="747"/>
      <c r="K570" s="748"/>
      <c r="L570" s="746"/>
      <c r="M570" s="747"/>
      <c r="N570" s="753"/>
    </row>
    <row r="571" spans="2:14" ht="14.25" hidden="1" customHeight="1" x14ac:dyDescent="0.25">
      <c r="B571" s="124"/>
      <c r="C571" s="125"/>
      <c r="D571" s="125"/>
      <c r="E571" s="125"/>
      <c r="F571" s="125"/>
      <c r="G571" s="125"/>
      <c r="H571" s="125"/>
      <c r="I571" s="746"/>
      <c r="J571" s="747"/>
      <c r="K571" s="748"/>
      <c r="L571" s="746"/>
      <c r="M571" s="747"/>
      <c r="N571" s="753"/>
    </row>
    <row r="572" spans="2:14" ht="14.25" hidden="1" customHeight="1" x14ac:dyDescent="0.25">
      <c r="B572" s="124"/>
      <c r="C572" s="125"/>
      <c r="D572" s="125"/>
      <c r="E572" s="125"/>
      <c r="F572" s="125"/>
      <c r="G572" s="125"/>
      <c r="H572" s="125"/>
      <c r="I572" s="746"/>
      <c r="J572" s="747"/>
      <c r="K572" s="748"/>
      <c r="L572" s="746"/>
      <c r="M572" s="747"/>
      <c r="N572" s="753"/>
    </row>
    <row r="573" spans="2:14" ht="14.25" hidden="1" customHeight="1" x14ac:dyDescent="0.25">
      <c r="B573" s="124"/>
      <c r="C573" s="125"/>
      <c r="D573" s="125"/>
      <c r="E573" s="125"/>
      <c r="F573" s="125"/>
      <c r="G573" s="125"/>
      <c r="H573" s="125"/>
      <c r="I573" s="746"/>
      <c r="J573" s="747"/>
      <c r="K573" s="748"/>
      <c r="L573" s="746"/>
      <c r="M573" s="747"/>
      <c r="N573" s="753"/>
    </row>
    <row r="574" spans="2:14" ht="14.25" hidden="1" customHeight="1" x14ac:dyDescent="0.25">
      <c r="B574" s="127"/>
      <c r="C574" s="125"/>
      <c r="D574" s="125"/>
      <c r="E574" s="125"/>
      <c r="F574" s="125"/>
      <c r="G574" s="125"/>
      <c r="H574" s="125"/>
      <c r="I574" s="746"/>
      <c r="J574" s="747"/>
      <c r="K574" s="748"/>
      <c r="L574" s="746"/>
      <c r="M574" s="747"/>
      <c r="N574" s="753"/>
    </row>
    <row r="575" spans="2:14" ht="14.25" hidden="1" customHeight="1" x14ac:dyDescent="0.25">
      <c r="B575" s="127"/>
      <c r="C575" s="125"/>
      <c r="D575" s="125"/>
      <c r="E575" s="125"/>
      <c r="F575" s="125"/>
      <c r="G575" s="125"/>
      <c r="H575" s="125"/>
      <c r="I575" s="749"/>
      <c r="J575" s="750"/>
      <c r="K575" s="751"/>
      <c r="L575" s="749"/>
      <c r="M575" s="750"/>
      <c r="N575" s="754"/>
    </row>
    <row r="576" spans="2:14" ht="14.25" hidden="1" customHeight="1" x14ac:dyDescent="0.25">
      <c r="B576" s="209"/>
      <c r="C576" s="118"/>
      <c r="D576" s="118"/>
      <c r="E576" s="118"/>
      <c r="F576" s="118"/>
      <c r="G576" s="118"/>
      <c r="H576" s="118"/>
      <c r="I576" s="118"/>
      <c r="J576" s="118"/>
      <c r="K576" s="118"/>
      <c r="L576" s="118"/>
      <c r="M576" s="118"/>
      <c r="N576" s="210"/>
    </row>
    <row r="577" spans="2:15" ht="14.25" hidden="1" customHeight="1" x14ac:dyDescent="0.25">
      <c r="B577" s="209"/>
      <c r="C577" s="118"/>
      <c r="D577" s="118"/>
      <c r="E577" s="118"/>
      <c r="F577" s="118"/>
      <c r="G577" s="118"/>
      <c r="H577" s="118"/>
      <c r="I577" s="118"/>
      <c r="J577" s="118"/>
      <c r="K577" s="118"/>
      <c r="L577" s="118"/>
      <c r="M577" s="118"/>
      <c r="N577" s="210"/>
    </row>
    <row r="578" spans="2:15" ht="14.25" hidden="1" customHeight="1" x14ac:dyDescent="0.25">
      <c r="B578" s="209"/>
      <c r="C578" s="118"/>
      <c r="D578" s="118"/>
      <c r="E578" s="118"/>
      <c r="F578" s="118"/>
      <c r="G578" s="118"/>
      <c r="H578" s="118"/>
      <c r="I578" s="118"/>
      <c r="J578" s="118"/>
      <c r="K578" s="118"/>
      <c r="L578" s="118"/>
      <c r="M578" s="118"/>
      <c r="N578" s="210"/>
    </row>
    <row r="579" spans="2:15" ht="14.25" hidden="1" customHeight="1" x14ac:dyDescent="0.25">
      <c r="B579" s="209"/>
      <c r="C579" s="118"/>
      <c r="D579" s="118"/>
      <c r="E579" s="118"/>
      <c r="F579" s="118"/>
      <c r="G579" s="118"/>
      <c r="H579" s="118"/>
      <c r="I579" s="118"/>
      <c r="J579" s="118"/>
      <c r="K579" s="118"/>
      <c r="L579" s="118"/>
      <c r="M579" s="118"/>
      <c r="N579" s="210"/>
    </row>
    <row r="580" spans="2:15" ht="14.25" hidden="1" customHeight="1" x14ac:dyDescent="0.25">
      <c r="B580" s="775" t="s">
        <v>414</v>
      </c>
      <c r="C580" s="747"/>
      <c r="D580" s="747"/>
      <c r="E580" s="128"/>
      <c r="F580" s="128"/>
      <c r="G580" s="128"/>
      <c r="H580" s="128"/>
      <c r="I580" s="776"/>
      <c r="J580" s="747"/>
      <c r="K580" s="747"/>
      <c r="L580" s="118"/>
      <c r="M580" s="118"/>
      <c r="N580" s="210"/>
    </row>
    <row r="581" spans="2:15" ht="14.25" hidden="1" customHeight="1" x14ac:dyDescent="0.25">
      <c r="B581" s="146"/>
      <c r="C581" s="147"/>
      <c r="D581" s="147"/>
      <c r="E581" s="147"/>
      <c r="F581" s="147"/>
      <c r="G581" s="147"/>
      <c r="H581" s="147"/>
      <c r="I581" s="147"/>
      <c r="J581" s="147"/>
      <c r="K581" s="147"/>
      <c r="L581" s="130"/>
      <c r="M581" s="130"/>
      <c r="N581" s="131"/>
    </row>
    <row r="582" spans="2:15" ht="14.25" customHeight="1" thickBot="1" x14ac:dyDescent="0.3">
      <c r="B582" s="118"/>
      <c r="C582" s="118"/>
      <c r="D582" s="118"/>
      <c r="E582" s="118"/>
      <c r="F582" s="118"/>
      <c r="G582" s="118"/>
      <c r="H582" s="118"/>
      <c r="I582" s="118"/>
      <c r="J582" s="118"/>
      <c r="K582" s="118"/>
      <c r="L582" s="118"/>
      <c r="M582" s="118"/>
      <c r="N582" s="118"/>
    </row>
    <row r="583" spans="2:15" ht="45" customHeight="1" x14ac:dyDescent="0.25">
      <c r="B583" s="728"/>
      <c r="C583" s="729"/>
      <c r="D583" s="730" t="s">
        <v>393</v>
      </c>
      <c r="E583" s="729"/>
      <c r="F583" s="729"/>
      <c r="G583" s="729"/>
      <c r="H583" s="729"/>
      <c r="I583" s="729"/>
      <c r="J583" s="729"/>
      <c r="K583" s="729"/>
      <c r="L583" s="729"/>
      <c r="M583" s="729"/>
      <c r="N583" s="731"/>
    </row>
    <row r="584" spans="2:15" ht="14.25" customHeight="1" x14ac:dyDescent="0.25">
      <c r="B584" s="732" t="s">
        <v>394</v>
      </c>
      <c r="C584" s="733"/>
      <c r="D584" s="733"/>
      <c r="E584" s="733"/>
      <c r="F584" s="733"/>
      <c r="G584" s="733"/>
      <c r="H584" s="733"/>
      <c r="I584" s="733"/>
      <c r="J584" s="733"/>
      <c r="K584" s="733"/>
      <c r="L584" s="733"/>
      <c r="M584" s="733"/>
      <c r="N584" s="734"/>
    </row>
    <row r="585" spans="2:15" ht="55.15" customHeight="1" x14ac:dyDescent="0.25">
      <c r="B585" s="735" t="s">
        <v>395</v>
      </c>
      <c r="C585" s="736"/>
      <c r="D585" s="737" t="str">
        <f>VLOOKUP(B587,Buenaventura!A9:G776,3,FALSE)</f>
        <v>Mantenimiento de reja metalica,  incluye desmonte si es necesario, cepillado, limpieza del elemento,eliminación total del óxido superficial, cambio de partes afectadas, Reforzar o rehacer soldaduras defectuosas, Aplicación de Imprimante anticorrosivo, Aplicación de Acabado (esmalte o pintura industrial mate ) y todo lo necesario para su correcta instalación</v>
      </c>
      <c r="E585" s="738"/>
      <c r="F585" s="738"/>
      <c r="G585" s="738"/>
      <c r="H585" s="738"/>
      <c r="I585" s="738"/>
      <c r="J585" s="738"/>
      <c r="K585" s="738"/>
      <c r="L585" s="738"/>
      <c r="M585" s="738"/>
      <c r="N585" s="739"/>
    </row>
    <row r="586" spans="2:15" ht="14.25" customHeight="1" x14ac:dyDescent="0.25">
      <c r="B586" s="740" t="s">
        <v>26</v>
      </c>
      <c r="C586" s="741"/>
      <c r="D586" s="119" t="s">
        <v>396</v>
      </c>
      <c r="E586" s="742" t="s">
        <v>397</v>
      </c>
      <c r="F586" s="733"/>
      <c r="G586" s="733"/>
      <c r="H586" s="736"/>
      <c r="I586" s="742" t="s">
        <v>398</v>
      </c>
      <c r="J586" s="733"/>
      <c r="K586" s="736"/>
      <c r="L586" s="742" t="s">
        <v>399</v>
      </c>
      <c r="M586" s="733"/>
      <c r="N586" s="734"/>
    </row>
    <row r="587" spans="2:15" ht="14.25" customHeight="1" x14ac:dyDescent="0.25">
      <c r="B587" s="283">
        <v>12</v>
      </c>
      <c r="C587" s="284" t="str">
        <f>VLOOKUP(B587,Buenaventura!A9:G776,2,FALSE)</f>
        <v>CA-19</v>
      </c>
      <c r="D587" s="285">
        <f>SUM(H590:H593)</f>
        <v>24.15</v>
      </c>
      <c r="E587" s="743" t="str">
        <f>VLOOKUP(B587,Buenaventura!A9:G775,4,FALSE)</f>
        <v>M2</v>
      </c>
      <c r="F587" s="743"/>
      <c r="G587" s="743"/>
      <c r="H587" s="743"/>
      <c r="I587" s="744"/>
      <c r="J587" s="745"/>
      <c r="K587" s="741"/>
      <c r="L587" s="744"/>
      <c r="M587" s="745"/>
      <c r="N587" s="752"/>
    </row>
    <row r="588" spans="2:15" ht="14.25" customHeight="1" x14ac:dyDescent="0.25">
      <c r="B588" s="755" t="s">
        <v>416</v>
      </c>
      <c r="C588" s="733"/>
      <c r="D588" s="733"/>
      <c r="E588" s="733"/>
      <c r="F588" s="733"/>
      <c r="G588" s="733"/>
      <c r="H588" s="736"/>
      <c r="I588" s="746"/>
      <c r="J588" s="747"/>
      <c r="K588" s="748"/>
      <c r="L588" s="746"/>
      <c r="M588" s="747"/>
      <c r="N588" s="753"/>
    </row>
    <row r="589" spans="2:15" ht="14.25" customHeight="1" x14ac:dyDescent="0.25">
      <c r="B589" s="121" t="s">
        <v>400</v>
      </c>
      <c r="C589" s="122" t="s">
        <v>401</v>
      </c>
      <c r="D589" s="123" t="s">
        <v>402</v>
      </c>
      <c r="E589" s="123" t="s">
        <v>403</v>
      </c>
      <c r="F589" s="123" t="s">
        <v>404</v>
      </c>
      <c r="G589" s="123" t="s">
        <v>405</v>
      </c>
      <c r="H589" s="123" t="s">
        <v>406</v>
      </c>
      <c r="I589" s="746"/>
      <c r="J589" s="747"/>
      <c r="K589" s="748"/>
      <c r="L589" s="746"/>
      <c r="M589" s="747"/>
      <c r="N589" s="753"/>
    </row>
    <row r="590" spans="2:15" ht="14.25" customHeight="1" x14ac:dyDescent="0.25">
      <c r="B590" s="124"/>
      <c r="C590" s="336" t="s">
        <v>418</v>
      </c>
      <c r="D590" s="168">
        <v>7</v>
      </c>
      <c r="E590" s="125">
        <v>2.2999999999999998</v>
      </c>
      <c r="F590" s="126"/>
      <c r="G590" s="125">
        <v>1.5</v>
      </c>
      <c r="H590" s="126">
        <f>D590*E590*G590</f>
        <v>24.15</v>
      </c>
      <c r="I590" s="746"/>
      <c r="J590" s="747"/>
      <c r="K590" s="748"/>
      <c r="L590" s="746"/>
      <c r="M590" s="747"/>
      <c r="N590" s="753"/>
    </row>
    <row r="591" spans="2:15" ht="14.25" customHeight="1" x14ac:dyDescent="0.25">
      <c r="B591" s="124"/>
      <c r="C591" s="125"/>
      <c r="D591" s="125"/>
      <c r="E591" s="125"/>
      <c r="F591" s="125"/>
      <c r="G591" s="125"/>
      <c r="H591" s="125"/>
      <c r="I591" s="746"/>
      <c r="J591" s="747"/>
      <c r="K591" s="748"/>
      <c r="L591" s="746"/>
      <c r="M591" s="747"/>
      <c r="N591" s="753"/>
      <c r="O591" s="133"/>
    </row>
    <row r="592" spans="2:15" ht="14.25" customHeight="1" x14ac:dyDescent="0.25">
      <c r="B592" s="124"/>
      <c r="C592" s="125"/>
      <c r="D592" s="125"/>
      <c r="E592" s="125"/>
      <c r="F592" s="125"/>
      <c r="G592" s="125"/>
      <c r="H592" s="125"/>
      <c r="I592" s="746"/>
      <c r="J592" s="747"/>
      <c r="K592" s="748"/>
      <c r="L592" s="746"/>
      <c r="M592" s="747"/>
      <c r="N592" s="753"/>
    </row>
    <row r="593" spans="2:14" ht="14.25" customHeight="1" x14ac:dyDescent="0.25">
      <c r="B593" s="124"/>
      <c r="C593" s="125"/>
      <c r="D593" s="125"/>
      <c r="E593" s="125"/>
      <c r="F593" s="125"/>
      <c r="G593" s="125"/>
      <c r="H593" s="125"/>
      <c r="I593" s="746"/>
      <c r="J593" s="747"/>
      <c r="K593" s="748"/>
      <c r="L593" s="746"/>
      <c r="M593" s="747"/>
      <c r="N593" s="753"/>
    </row>
    <row r="594" spans="2:14" ht="14.25" customHeight="1" x14ac:dyDescent="0.25">
      <c r="B594" s="124"/>
      <c r="C594" s="125"/>
      <c r="D594" s="125"/>
      <c r="E594" s="125"/>
      <c r="F594" s="125"/>
      <c r="G594" s="125"/>
      <c r="H594" s="125"/>
      <c r="I594" s="746"/>
      <c r="J594" s="747"/>
      <c r="K594" s="748"/>
      <c r="L594" s="746"/>
      <c r="M594" s="747"/>
      <c r="N594" s="753"/>
    </row>
    <row r="595" spans="2:14" ht="14.25" customHeight="1" x14ac:dyDescent="0.25">
      <c r="B595" s="124"/>
      <c r="C595" s="125"/>
      <c r="D595" s="125"/>
      <c r="E595" s="125"/>
      <c r="F595" s="125"/>
      <c r="G595" s="125"/>
      <c r="H595" s="125"/>
      <c r="I595" s="746"/>
      <c r="J595" s="747"/>
      <c r="K595" s="748"/>
      <c r="L595" s="746"/>
      <c r="M595" s="747"/>
      <c r="N595" s="753"/>
    </row>
    <row r="596" spans="2:14" ht="14.25" customHeight="1" x14ac:dyDescent="0.25">
      <c r="B596" s="124"/>
      <c r="C596" s="125"/>
      <c r="D596" s="125"/>
      <c r="E596" s="125"/>
      <c r="F596" s="125"/>
      <c r="G596" s="125"/>
      <c r="H596" s="125"/>
      <c r="I596" s="746"/>
      <c r="J596" s="747"/>
      <c r="K596" s="748"/>
      <c r="L596" s="746"/>
      <c r="M596" s="747"/>
      <c r="N596" s="753"/>
    </row>
    <row r="597" spans="2:14" ht="14.25" customHeight="1" x14ac:dyDescent="0.25">
      <c r="B597" s="124"/>
      <c r="C597" s="125"/>
      <c r="D597" s="125"/>
      <c r="E597" s="125"/>
      <c r="F597" s="125"/>
      <c r="G597" s="125"/>
      <c r="H597" s="125"/>
      <c r="I597" s="746"/>
      <c r="J597" s="747"/>
      <c r="K597" s="748"/>
      <c r="L597" s="746"/>
      <c r="M597" s="747"/>
      <c r="N597" s="753"/>
    </row>
    <row r="598" spans="2:14" ht="14.25" customHeight="1" x14ac:dyDescent="0.25">
      <c r="B598" s="124"/>
      <c r="C598" s="125"/>
      <c r="D598" s="125"/>
      <c r="E598" s="125"/>
      <c r="F598" s="125"/>
      <c r="G598" s="125"/>
      <c r="H598" s="125"/>
      <c r="I598" s="746"/>
      <c r="J598" s="747"/>
      <c r="K598" s="748"/>
      <c r="L598" s="746"/>
      <c r="M598" s="747"/>
      <c r="N598" s="753"/>
    </row>
    <row r="599" spans="2:14" ht="14.25" customHeight="1" x14ac:dyDescent="0.25">
      <c r="B599" s="124"/>
      <c r="C599" s="125"/>
      <c r="D599" s="125"/>
      <c r="E599" s="125"/>
      <c r="F599" s="125"/>
      <c r="G599" s="125"/>
      <c r="H599" s="125"/>
      <c r="I599" s="746"/>
      <c r="J599" s="747"/>
      <c r="K599" s="748"/>
      <c r="L599" s="746"/>
      <c r="M599" s="747"/>
      <c r="N599" s="753"/>
    </row>
    <row r="600" spans="2:14" ht="14.25" customHeight="1" x14ac:dyDescent="0.25">
      <c r="B600" s="124"/>
      <c r="C600" s="125"/>
      <c r="D600" s="125"/>
      <c r="E600" s="125"/>
      <c r="F600" s="125"/>
      <c r="G600" s="125"/>
      <c r="H600" s="125"/>
      <c r="I600" s="746"/>
      <c r="J600" s="747"/>
      <c r="K600" s="748"/>
      <c r="L600" s="746"/>
      <c r="M600" s="747"/>
      <c r="N600" s="753"/>
    </row>
    <row r="601" spans="2:14" ht="14.25" customHeight="1" x14ac:dyDescent="0.25">
      <c r="B601" s="124"/>
      <c r="C601" s="125"/>
      <c r="D601" s="125"/>
      <c r="E601" s="125"/>
      <c r="F601" s="125"/>
      <c r="G601" s="125"/>
      <c r="H601" s="125"/>
      <c r="I601" s="746"/>
      <c r="J601" s="747"/>
      <c r="K601" s="748"/>
      <c r="L601" s="746"/>
      <c r="M601" s="747"/>
      <c r="N601" s="753"/>
    </row>
    <row r="602" spans="2:14" ht="14.25" customHeight="1" x14ac:dyDescent="0.25">
      <c r="B602" s="124"/>
      <c r="C602" s="125"/>
      <c r="D602" s="125"/>
      <c r="E602" s="125"/>
      <c r="F602" s="125"/>
      <c r="G602" s="125"/>
      <c r="H602" s="125"/>
      <c r="I602" s="746"/>
      <c r="J602" s="747"/>
      <c r="K602" s="748"/>
      <c r="L602" s="746"/>
      <c r="M602" s="747"/>
      <c r="N602" s="753"/>
    </row>
    <row r="603" spans="2:14" ht="14.25" customHeight="1" x14ac:dyDescent="0.25">
      <c r="B603" s="127"/>
      <c r="C603" s="125"/>
      <c r="D603" s="125"/>
      <c r="E603" s="125"/>
      <c r="F603" s="125"/>
      <c r="G603" s="125"/>
      <c r="H603" s="125"/>
      <c r="I603" s="749"/>
      <c r="J603" s="750"/>
      <c r="K603" s="751"/>
      <c r="L603" s="749"/>
      <c r="M603" s="750"/>
      <c r="N603" s="754"/>
    </row>
    <row r="604" spans="2:14" ht="14.25" customHeight="1" x14ac:dyDescent="0.25">
      <c r="B604" s="209"/>
      <c r="C604" s="118"/>
      <c r="D604" s="118"/>
      <c r="E604" s="118"/>
      <c r="F604" s="118"/>
      <c r="G604" s="118"/>
      <c r="H604" s="118"/>
      <c r="I604" s="118"/>
      <c r="J604" s="118"/>
      <c r="K604" s="118"/>
      <c r="L604" s="118"/>
      <c r="M604" s="118"/>
      <c r="N604" s="210"/>
    </row>
    <row r="605" spans="2:14" ht="14.25" customHeight="1" x14ac:dyDescent="0.25">
      <c r="B605" s="209"/>
      <c r="C605" s="118"/>
      <c r="D605" s="118"/>
      <c r="E605" s="118"/>
      <c r="F605" s="118"/>
      <c r="G605" s="118"/>
      <c r="H605" s="118"/>
      <c r="I605" s="118"/>
      <c r="J605" s="118"/>
      <c r="K605" s="118"/>
      <c r="L605" s="118"/>
      <c r="M605" s="118"/>
      <c r="N605" s="210"/>
    </row>
    <row r="606" spans="2:14" ht="14.25" customHeight="1" x14ac:dyDescent="0.25">
      <c r="B606" s="209"/>
      <c r="C606" s="118"/>
      <c r="D606" s="118"/>
      <c r="E606" s="118"/>
      <c r="F606" s="118"/>
      <c r="G606" s="118"/>
      <c r="H606" s="118"/>
      <c r="I606" s="118"/>
      <c r="J606" s="118"/>
      <c r="K606" s="118"/>
      <c r="L606" s="118"/>
      <c r="M606" s="118"/>
      <c r="N606" s="210"/>
    </row>
    <row r="607" spans="2:14" ht="14.25" customHeight="1" x14ac:dyDescent="0.25">
      <c r="B607" s="209"/>
      <c r="C607" s="118"/>
      <c r="D607" s="118"/>
      <c r="E607" s="118"/>
      <c r="F607" s="118"/>
      <c r="G607" s="118"/>
      <c r="H607" s="118"/>
      <c r="I607" s="118"/>
      <c r="J607" s="118"/>
      <c r="K607" s="118"/>
      <c r="L607" s="118"/>
      <c r="M607" s="118"/>
      <c r="N607" s="210"/>
    </row>
    <row r="608" spans="2:14" ht="14.25" customHeight="1" x14ac:dyDescent="0.25">
      <c r="B608" s="775" t="s">
        <v>414</v>
      </c>
      <c r="C608" s="747"/>
      <c r="D608" s="747"/>
      <c r="E608" s="128"/>
      <c r="F608" s="128"/>
      <c r="G608" s="128"/>
      <c r="H608" s="128"/>
      <c r="I608" s="776"/>
      <c r="J608" s="747"/>
      <c r="K608" s="747"/>
      <c r="L608" s="118"/>
      <c r="M608" s="118"/>
      <c r="N608" s="210"/>
    </row>
    <row r="609" spans="2:15" ht="14.25" customHeight="1" thickBot="1" x14ac:dyDescent="0.3">
      <c r="B609" s="129"/>
      <c r="C609" s="130"/>
      <c r="D609" s="130"/>
      <c r="E609" s="130"/>
      <c r="F609" s="130"/>
      <c r="G609" s="130"/>
      <c r="H609" s="130"/>
      <c r="I609" s="130"/>
      <c r="J609" s="130"/>
      <c r="K609" s="130"/>
      <c r="L609" s="130"/>
      <c r="M609" s="130"/>
      <c r="N609" s="131"/>
    </row>
    <row r="610" spans="2:15" ht="14.25" customHeight="1" thickBot="1" x14ac:dyDescent="0.3">
      <c r="B610" s="132"/>
      <c r="C610" s="132"/>
      <c r="D610" s="132"/>
      <c r="E610" s="132"/>
      <c r="F610" s="132"/>
      <c r="G610" s="132"/>
      <c r="H610" s="132"/>
      <c r="I610" s="132"/>
      <c r="J610" s="132"/>
      <c r="K610" s="132"/>
      <c r="L610" s="132"/>
      <c r="M610" s="132"/>
      <c r="N610" s="132"/>
    </row>
    <row r="611" spans="2:15" ht="40.5" customHeight="1" x14ac:dyDescent="0.25">
      <c r="B611" s="728"/>
      <c r="C611" s="729"/>
      <c r="D611" s="730" t="s">
        <v>393</v>
      </c>
      <c r="E611" s="729"/>
      <c r="F611" s="729"/>
      <c r="G611" s="729"/>
      <c r="H611" s="729"/>
      <c r="I611" s="729"/>
      <c r="J611" s="729"/>
      <c r="K611" s="729"/>
      <c r="L611" s="729"/>
      <c r="M611" s="729"/>
      <c r="N611" s="731"/>
    </row>
    <row r="612" spans="2:15" ht="14.25" customHeight="1" x14ac:dyDescent="0.25">
      <c r="B612" s="732" t="s">
        <v>394</v>
      </c>
      <c r="C612" s="733"/>
      <c r="D612" s="733"/>
      <c r="E612" s="733"/>
      <c r="F612" s="733"/>
      <c r="G612" s="733"/>
      <c r="H612" s="733"/>
      <c r="I612" s="733"/>
      <c r="J612" s="733"/>
      <c r="K612" s="733"/>
      <c r="L612" s="733"/>
      <c r="M612" s="733"/>
      <c r="N612" s="734"/>
    </row>
    <row r="613" spans="2:15" ht="21" customHeight="1" x14ac:dyDescent="0.25">
      <c r="B613" s="735" t="s">
        <v>395</v>
      </c>
      <c r="C613" s="736"/>
      <c r="D613" s="737" t="str">
        <f>VLOOKUP(B615,Buenaventura!A9:G809,3,FALSE)</f>
        <v>Desmonte de cerramiento malla eslabonada existente, incluye retiro y disposición final en centro de acopio autorizado</v>
      </c>
      <c r="E613" s="738"/>
      <c r="F613" s="738"/>
      <c r="G613" s="738"/>
      <c r="H613" s="738"/>
      <c r="I613" s="738"/>
      <c r="J613" s="738"/>
      <c r="K613" s="738"/>
      <c r="L613" s="738"/>
      <c r="M613" s="738"/>
      <c r="N613" s="739"/>
    </row>
    <row r="614" spans="2:15" ht="14.25" customHeight="1" x14ac:dyDescent="0.25">
      <c r="B614" s="740" t="s">
        <v>26</v>
      </c>
      <c r="C614" s="741"/>
      <c r="D614" s="119" t="s">
        <v>396</v>
      </c>
      <c r="E614" s="742" t="s">
        <v>397</v>
      </c>
      <c r="F614" s="733"/>
      <c r="G614" s="733"/>
      <c r="H614" s="736"/>
      <c r="I614" s="742" t="s">
        <v>398</v>
      </c>
      <c r="J614" s="733"/>
      <c r="K614" s="736"/>
      <c r="L614" s="742" t="s">
        <v>399</v>
      </c>
      <c r="M614" s="733"/>
      <c r="N614" s="734"/>
    </row>
    <row r="615" spans="2:15" ht="14.25" customHeight="1" x14ac:dyDescent="0.25">
      <c r="B615" s="283">
        <v>13</v>
      </c>
      <c r="C615" s="284" t="str">
        <f>VLOOKUP(B615,Buenaventura!A9:G809,2,FALSE)</f>
        <v>PR-67</v>
      </c>
      <c r="D615" s="285">
        <f>SUM(H618:H621)</f>
        <v>105</v>
      </c>
      <c r="E615" s="743" t="str">
        <f>VLOOKUP(B615,Buenaventura!A9:G808,4,FALSE)</f>
        <v>M2</v>
      </c>
      <c r="F615" s="743"/>
      <c r="G615" s="743"/>
      <c r="H615" s="743"/>
      <c r="I615" s="744"/>
      <c r="J615" s="745"/>
      <c r="K615" s="741"/>
      <c r="L615" s="744"/>
      <c r="M615" s="745"/>
      <c r="N615" s="741"/>
    </row>
    <row r="616" spans="2:15" ht="14.25" customHeight="1" x14ac:dyDescent="0.25">
      <c r="B616" s="755" t="s">
        <v>416</v>
      </c>
      <c r="C616" s="733"/>
      <c r="D616" s="733"/>
      <c r="E616" s="733"/>
      <c r="F616" s="733"/>
      <c r="G616" s="733"/>
      <c r="H616" s="736"/>
      <c r="I616" s="746"/>
      <c r="J616" s="747"/>
      <c r="K616" s="748"/>
      <c r="L616" s="746"/>
      <c r="M616" s="747"/>
      <c r="N616" s="748"/>
    </row>
    <row r="617" spans="2:15" ht="14.25" customHeight="1" x14ac:dyDescent="0.25">
      <c r="B617" s="121" t="s">
        <v>400</v>
      </c>
      <c r="C617" s="211" t="s">
        <v>401</v>
      </c>
      <c r="D617" s="123" t="s">
        <v>402</v>
      </c>
      <c r="E617" s="123" t="s">
        <v>403</v>
      </c>
      <c r="F617" s="123" t="s">
        <v>404</v>
      </c>
      <c r="G617" s="123" t="s">
        <v>405</v>
      </c>
      <c r="H617" s="123" t="s">
        <v>406</v>
      </c>
      <c r="I617" s="746"/>
      <c r="J617" s="747"/>
      <c r="K617" s="748"/>
      <c r="L617" s="746"/>
      <c r="M617" s="747"/>
      <c r="N617" s="748"/>
    </row>
    <row r="618" spans="2:15" ht="14.25" customHeight="1" x14ac:dyDescent="0.25">
      <c r="B618" s="136"/>
      <c r="C618" s="336" t="s">
        <v>438</v>
      </c>
      <c r="D618" s="168"/>
      <c r="E618" s="125">
        <v>50</v>
      </c>
      <c r="F618" s="125"/>
      <c r="G618" s="125">
        <v>2.1</v>
      </c>
      <c r="H618" s="126">
        <f>E618*G618</f>
        <v>105</v>
      </c>
      <c r="I618" s="746"/>
      <c r="J618" s="747"/>
      <c r="K618" s="748"/>
      <c r="L618" s="746"/>
      <c r="M618" s="747"/>
      <c r="N618" s="748"/>
    </row>
    <row r="619" spans="2:15" ht="14.25" customHeight="1" x14ac:dyDescent="0.25">
      <c r="B619" s="136"/>
      <c r="C619" s="344"/>
      <c r="D619" s="168"/>
      <c r="E619" s="125"/>
      <c r="F619" s="125"/>
      <c r="G619" s="125"/>
      <c r="H619" s="126"/>
      <c r="I619" s="746"/>
      <c r="J619" s="747"/>
      <c r="K619" s="748"/>
      <c r="L619" s="746"/>
      <c r="M619" s="747"/>
      <c r="N619" s="748"/>
    </row>
    <row r="620" spans="2:15" ht="12" customHeight="1" x14ac:dyDescent="0.25">
      <c r="B620" s="136"/>
      <c r="C620" s="344"/>
      <c r="D620" s="168"/>
      <c r="E620" s="125"/>
      <c r="F620" s="125"/>
      <c r="G620" s="125"/>
      <c r="H620" s="126"/>
      <c r="I620" s="746"/>
      <c r="J620" s="747"/>
      <c r="K620" s="748"/>
      <c r="L620" s="746"/>
      <c r="M620" s="747"/>
      <c r="N620" s="748"/>
      <c r="O620" s="133"/>
    </row>
    <row r="621" spans="2:15" ht="14.25" customHeight="1" x14ac:dyDescent="0.25">
      <c r="B621" s="136"/>
      <c r="C621" s="344"/>
      <c r="D621" s="168"/>
      <c r="E621" s="125"/>
      <c r="F621" s="125"/>
      <c r="G621" s="125"/>
      <c r="H621" s="126"/>
      <c r="I621" s="746"/>
      <c r="J621" s="747"/>
      <c r="K621" s="748"/>
      <c r="L621" s="746"/>
      <c r="M621" s="747"/>
      <c r="N621" s="748"/>
    </row>
    <row r="622" spans="2:15" ht="14.25" customHeight="1" x14ac:dyDescent="0.25">
      <c r="B622" s="136"/>
      <c r="C622" s="344"/>
      <c r="D622" s="168"/>
      <c r="E622" s="125"/>
      <c r="F622" s="125"/>
      <c r="G622" s="125"/>
      <c r="H622" s="126"/>
      <c r="I622" s="746"/>
      <c r="J622" s="747"/>
      <c r="K622" s="748"/>
      <c r="L622" s="746"/>
      <c r="M622" s="747"/>
      <c r="N622" s="748"/>
    </row>
    <row r="623" spans="2:15" ht="14.25" customHeight="1" x14ac:dyDescent="0.25">
      <c r="B623" s="136"/>
      <c r="C623" s="344"/>
      <c r="D623" s="168"/>
      <c r="E623" s="125"/>
      <c r="F623" s="125"/>
      <c r="G623" s="125"/>
      <c r="H623" s="126"/>
      <c r="I623" s="746"/>
      <c r="J623" s="747"/>
      <c r="K623" s="748"/>
      <c r="L623" s="746"/>
      <c r="M623" s="747"/>
      <c r="N623" s="748"/>
    </row>
    <row r="624" spans="2:15" ht="14.25" customHeight="1" x14ac:dyDescent="0.25">
      <c r="B624" s="136"/>
      <c r="C624" s="344"/>
      <c r="D624" s="168"/>
      <c r="E624" s="125"/>
      <c r="F624" s="125"/>
      <c r="G624" s="125"/>
      <c r="H624" s="126"/>
      <c r="I624" s="746"/>
      <c r="J624" s="747"/>
      <c r="K624" s="748"/>
      <c r="L624" s="746"/>
      <c r="M624" s="747"/>
      <c r="N624" s="748"/>
    </row>
    <row r="625" spans="2:14" ht="14.25" customHeight="1" x14ac:dyDescent="0.25">
      <c r="B625" s="136"/>
      <c r="C625" s="344"/>
      <c r="D625" s="168"/>
      <c r="E625" s="125"/>
      <c r="F625" s="125"/>
      <c r="G625" s="125"/>
      <c r="H625" s="126"/>
      <c r="I625" s="746"/>
      <c r="J625" s="747"/>
      <c r="K625" s="748"/>
      <c r="L625" s="746"/>
      <c r="M625" s="747"/>
      <c r="N625" s="748"/>
    </row>
    <row r="626" spans="2:14" ht="14.25" customHeight="1" x14ac:dyDescent="0.25">
      <c r="B626" s="136"/>
      <c r="C626" s="344"/>
      <c r="D626" s="168"/>
      <c r="E626" s="125"/>
      <c r="F626" s="125"/>
      <c r="G626" s="125"/>
      <c r="H626" s="126"/>
      <c r="I626" s="746"/>
      <c r="J626" s="747"/>
      <c r="K626" s="748"/>
      <c r="L626" s="746"/>
      <c r="M626" s="747"/>
      <c r="N626" s="748"/>
    </row>
    <row r="627" spans="2:14" ht="14.25" customHeight="1" x14ac:dyDescent="0.25">
      <c r="B627" s="136"/>
      <c r="C627" s="344"/>
      <c r="D627" s="168"/>
      <c r="E627" s="125"/>
      <c r="F627" s="125"/>
      <c r="G627" s="125"/>
      <c r="H627" s="126"/>
      <c r="I627" s="746"/>
      <c r="J627" s="747"/>
      <c r="K627" s="748"/>
      <c r="L627" s="746"/>
      <c r="M627" s="747"/>
      <c r="N627" s="748"/>
    </row>
    <row r="628" spans="2:14" ht="14.25" customHeight="1" x14ac:dyDescent="0.25">
      <c r="B628" s="136"/>
      <c r="C628" s="344"/>
      <c r="D628" s="168"/>
      <c r="E628" s="125"/>
      <c r="F628" s="125"/>
      <c r="G628" s="125"/>
      <c r="H628" s="126"/>
      <c r="I628" s="746"/>
      <c r="J628" s="747"/>
      <c r="K628" s="748"/>
      <c r="L628" s="746"/>
      <c r="M628" s="747"/>
      <c r="N628" s="748"/>
    </row>
    <row r="629" spans="2:14" ht="14.25" customHeight="1" x14ac:dyDescent="0.25">
      <c r="B629" s="136"/>
      <c r="C629" s="344"/>
      <c r="D629" s="168"/>
      <c r="E629" s="125"/>
      <c r="F629" s="125"/>
      <c r="G629" s="125"/>
      <c r="H629" s="126"/>
      <c r="I629" s="746"/>
      <c r="J629" s="747"/>
      <c r="K629" s="748"/>
      <c r="L629" s="746"/>
      <c r="M629" s="747"/>
      <c r="N629" s="748"/>
    </row>
    <row r="630" spans="2:14" ht="14.25" customHeight="1" x14ac:dyDescent="0.25">
      <c r="B630" s="136"/>
      <c r="C630" s="344"/>
      <c r="D630" s="168"/>
      <c r="E630" s="125"/>
      <c r="F630" s="125"/>
      <c r="G630" s="125"/>
      <c r="H630" s="126"/>
      <c r="I630" s="746"/>
      <c r="J630" s="747"/>
      <c r="K630" s="748"/>
      <c r="L630" s="746"/>
      <c r="M630" s="747"/>
      <c r="N630" s="748"/>
    </row>
    <row r="631" spans="2:14" ht="14.25" customHeight="1" x14ac:dyDescent="0.25">
      <c r="B631" s="136"/>
      <c r="C631" s="344"/>
      <c r="D631" s="168"/>
      <c r="E631" s="125"/>
      <c r="F631" s="125"/>
      <c r="G631" s="125"/>
      <c r="H631" s="126"/>
      <c r="I631" s="746"/>
      <c r="J631" s="747"/>
      <c r="K631" s="748"/>
      <c r="L631" s="746"/>
      <c r="M631" s="747"/>
      <c r="N631" s="748"/>
    </row>
    <row r="632" spans="2:14" ht="14.25" customHeight="1" x14ac:dyDescent="0.25">
      <c r="B632" s="136"/>
      <c r="C632" s="344"/>
      <c r="D632" s="168"/>
      <c r="E632" s="125"/>
      <c r="F632" s="125"/>
      <c r="G632" s="125"/>
      <c r="H632" s="126"/>
      <c r="I632" s="746"/>
      <c r="J632" s="747"/>
      <c r="K632" s="748"/>
      <c r="L632" s="746"/>
      <c r="M632" s="747"/>
      <c r="N632" s="748"/>
    </row>
    <row r="633" spans="2:14" ht="14.25" customHeight="1" x14ac:dyDescent="0.25">
      <c r="B633" s="136"/>
      <c r="C633" s="344"/>
      <c r="D633" s="168"/>
      <c r="E633" s="125"/>
      <c r="F633" s="125"/>
      <c r="G633" s="125"/>
      <c r="H633" s="148"/>
      <c r="I633" s="746"/>
      <c r="J633" s="747"/>
      <c r="K633" s="748"/>
      <c r="L633" s="746"/>
      <c r="M633" s="747"/>
      <c r="N633" s="748"/>
    </row>
    <row r="634" spans="2:14" ht="14.25" customHeight="1" x14ac:dyDescent="0.25">
      <c r="B634" s="124"/>
      <c r="C634" s="344"/>
      <c r="D634" s="125"/>
      <c r="E634" s="125"/>
      <c r="F634" s="125"/>
      <c r="G634" s="125"/>
      <c r="H634" s="125"/>
      <c r="I634" s="746"/>
      <c r="J634" s="747"/>
      <c r="K634" s="748"/>
      <c r="L634" s="746"/>
      <c r="M634" s="747"/>
      <c r="N634" s="748"/>
    </row>
    <row r="635" spans="2:14" ht="14.25" customHeight="1" x14ac:dyDescent="0.25">
      <c r="B635" s="124"/>
      <c r="C635" s="125"/>
      <c r="D635" s="125"/>
      <c r="E635" s="125"/>
      <c r="F635" s="125"/>
      <c r="G635" s="125"/>
      <c r="H635" s="125"/>
      <c r="I635" s="746"/>
      <c r="J635" s="747"/>
      <c r="K635" s="748"/>
      <c r="L635" s="746"/>
      <c r="M635" s="747"/>
      <c r="N635" s="748"/>
    </row>
    <row r="636" spans="2:14" ht="14.25" customHeight="1" x14ac:dyDescent="0.25">
      <c r="B636" s="124"/>
      <c r="C636" s="125"/>
      <c r="D636" s="125"/>
      <c r="E636" s="125"/>
      <c r="F636" s="125"/>
      <c r="G636" s="125"/>
      <c r="H636" s="125"/>
      <c r="I636" s="746"/>
      <c r="J636" s="747"/>
      <c r="K636" s="748"/>
      <c r="L636" s="746"/>
      <c r="M636" s="747"/>
      <c r="N636" s="748"/>
    </row>
    <row r="637" spans="2:14" ht="14.25" customHeight="1" x14ac:dyDescent="0.25">
      <c r="B637" s="127"/>
      <c r="C637" s="125"/>
      <c r="D637" s="125"/>
      <c r="E637" s="125"/>
      <c r="F637" s="125"/>
      <c r="G637" s="125"/>
      <c r="H637" s="125"/>
      <c r="I637" s="749"/>
      <c r="J637" s="750"/>
      <c r="K637" s="751"/>
      <c r="L637" s="749"/>
      <c r="M637" s="750"/>
      <c r="N637" s="751"/>
    </row>
    <row r="638" spans="2:14" ht="14.25" customHeight="1" x14ac:dyDescent="0.25">
      <c r="B638" s="209"/>
      <c r="C638" s="118"/>
      <c r="D638" s="118"/>
      <c r="E638" s="118"/>
      <c r="F638" s="118"/>
      <c r="G638" s="118"/>
      <c r="H638" s="118"/>
      <c r="I638" s="118"/>
      <c r="J638" s="118"/>
      <c r="K638" s="118"/>
      <c r="L638" s="118"/>
      <c r="M638" s="118"/>
      <c r="N638" s="210"/>
    </row>
    <row r="639" spans="2:14" ht="14.25" customHeight="1" x14ac:dyDescent="0.25">
      <c r="B639" s="209"/>
      <c r="C639" s="118"/>
      <c r="D639" s="118"/>
      <c r="E639" s="118"/>
      <c r="F639" s="118"/>
      <c r="G639" s="118"/>
      <c r="H639" s="118"/>
      <c r="I639" s="118"/>
      <c r="J639" s="118"/>
      <c r="K639" s="118"/>
      <c r="L639" s="118"/>
      <c r="M639" s="118"/>
      <c r="N639" s="210"/>
    </row>
    <row r="640" spans="2:14" ht="14.25" customHeight="1" x14ac:dyDescent="0.25">
      <c r="B640" s="209"/>
      <c r="C640" s="118"/>
      <c r="D640" s="118"/>
      <c r="E640" s="118"/>
      <c r="F640" s="118"/>
      <c r="G640" s="118"/>
      <c r="H640" s="118"/>
      <c r="I640" s="118"/>
      <c r="J640" s="118"/>
      <c r="K640" s="118"/>
      <c r="L640" s="118"/>
      <c r="M640" s="118"/>
      <c r="N640" s="210"/>
    </row>
    <row r="641" spans="2:15" ht="14.25" customHeight="1" x14ac:dyDescent="0.25">
      <c r="B641" s="209"/>
      <c r="C641" s="118"/>
      <c r="D641" s="118"/>
      <c r="E641" s="118"/>
      <c r="F641" s="118"/>
      <c r="G641" s="118"/>
      <c r="H641" s="118"/>
      <c r="I641" s="118"/>
      <c r="J641" s="118"/>
      <c r="K641" s="118"/>
      <c r="L641" s="118"/>
      <c r="M641" s="118"/>
      <c r="N641" s="210"/>
    </row>
    <row r="642" spans="2:15" ht="14.25" customHeight="1" x14ac:dyDescent="0.25">
      <c r="B642" s="775" t="s">
        <v>414</v>
      </c>
      <c r="C642" s="747"/>
      <c r="D642" s="747"/>
      <c r="E642" s="128"/>
      <c r="F642" s="128"/>
      <c r="G642" s="128"/>
      <c r="H642" s="128"/>
      <c r="I642" s="776"/>
      <c r="J642" s="747"/>
      <c r="K642" s="747"/>
      <c r="L642" s="118"/>
      <c r="M642" s="118"/>
      <c r="N642" s="210"/>
    </row>
    <row r="643" spans="2:15" ht="14.25" customHeight="1" thickBot="1" x14ac:dyDescent="0.3">
      <c r="B643" s="129"/>
      <c r="C643" s="130"/>
      <c r="D643" s="130"/>
      <c r="E643" s="130"/>
      <c r="F643" s="130"/>
      <c r="G643" s="130"/>
      <c r="H643" s="130"/>
      <c r="I643" s="130"/>
      <c r="J643" s="130"/>
      <c r="K643" s="130"/>
      <c r="L643" s="130"/>
      <c r="M643" s="130"/>
      <c r="N643" s="131"/>
    </row>
    <row r="644" spans="2:15" ht="14.25" customHeight="1" thickBot="1" x14ac:dyDescent="0.3">
      <c r="B644" s="132"/>
      <c r="C644" s="132"/>
      <c r="D644" s="132"/>
      <c r="E644" s="132"/>
      <c r="F644" s="132"/>
      <c r="G644" s="132"/>
      <c r="H644" s="132"/>
      <c r="I644" s="132"/>
      <c r="J644" s="132"/>
      <c r="K644" s="132"/>
      <c r="L644" s="132"/>
      <c r="M644" s="132"/>
      <c r="N644" s="132"/>
    </row>
    <row r="645" spans="2:15" ht="44.25" customHeight="1" x14ac:dyDescent="0.25">
      <c r="B645" s="728"/>
      <c r="C645" s="729"/>
      <c r="D645" s="730" t="s">
        <v>393</v>
      </c>
      <c r="E645" s="729"/>
      <c r="F645" s="729"/>
      <c r="G645" s="729"/>
      <c r="H645" s="729"/>
      <c r="I645" s="729"/>
      <c r="J645" s="729"/>
      <c r="K645" s="729"/>
      <c r="L645" s="729"/>
      <c r="M645" s="729"/>
      <c r="N645" s="731"/>
    </row>
    <row r="646" spans="2:15" ht="14.25" customHeight="1" x14ac:dyDescent="0.25">
      <c r="B646" s="732" t="s">
        <v>394</v>
      </c>
      <c r="C646" s="733"/>
      <c r="D646" s="733"/>
      <c r="E646" s="733"/>
      <c r="F646" s="733"/>
      <c r="G646" s="733"/>
      <c r="H646" s="733"/>
      <c r="I646" s="733"/>
      <c r="J646" s="733"/>
      <c r="K646" s="733"/>
      <c r="L646" s="733"/>
      <c r="M646" s="733"/>
      <c r="N646" s="734"/>
    </row>
    <row r="647" spans="2:15" ht="46.9" customHeight="1" x14ac:dyDescent="0.25">
      <c r="B647" s="735" t="s">
        <v>395</v>
      </c>
      <c r="C647" s="736"/>
      <c r="D647" s="737" t="str">
        <f>VLOOKUP(B649,Buenaventura!A9:G843,3,FALSE)</f>
        <v>Suministro e instalacion de cerramiento en malla eslabonada con tuberia galvanizada de 2" angulos de 3/4 po 1/8, concertina y pintura  ( incluye retiro malla eslabonada existente )</v>
      </c>
      <c r="E647" s="738"/>
      <c r="F647" s="738"/>
      <c r="G647" s="738"/>
      <c r="H647" s="738"/>
      <c r="I647" s="738"/>
      <c r="J647" s="738"/>
      <c r="K647" s="738"/>
      <c r="L647" s="738"/>
      <c r="M647" s="738"/>
      <c r="N647" s="739"/>
    </row>
    <row r="648" spans="2:15" ht="14.25" customHeight="1" x14ac:dyDescent="0.25">
      <c r="B648" s="740" t="s">
        <v>26</v>
      </c>
      <c r="C648" s="741"/>
      <c r="D648" s="119" t="s">
        <v>396</v>
      </c>
      <c r="E648" s="742" t="s">
        <v>397</v>
      </c>
      <c r="F648" s="733"/>
      <c r="G648" s="733"/>
      <c r="H648" s="736"/>
      <c r="I648" s="742" t="s">
        <v>398</v>
      </c>
      <c r="J648" s="733"/>
      <c r="K648" s="736"/>
      <c r="L648" s="742" t="s">
        <v>399</v>
      </c>
      <c r="M648" s="733"/>
      <c r="N648" s="734"/>
    </row>
    <row r="649" spans="2:15" ht="14.25" customHeight="1" x14ac:dyDescent="0.25">
      <c r="B649" s="283">
        <v>14</v>
      </c>
      <c r="C649" s="284" t="str">
        <f>VLOOKUP(B649,Buenaventura!A9:G843,2,FALSE)</f>
        <v>AC-45</v>
      </c>
      <c r="D649" s="285">
        <f>SUM(H652:H655)</f>
        <v>105</v>
      </c>
      <c r="E649" s="743" t="str">
        <f>VLOOKUP(B649,Buenaventura!A9:G842,4,FALSE)</f>
        <v>M2</v>
      </c>
      <c r="F649" s="743"/>
      <c r="G649" s="743"/>
      <c r="H649" s="743"/>
      <c r="I649" s="744"/>
      <c r="J649" s="745"/>
      <c r="K649" s="741"/>
      <c r="L649" s="744"/>
      <c r="M649" s="745"/>
      <c r="N649" s="741"/>
    </row>
    <row r="650" spans="2:15" ht="14.25" customHeight="1" x14ac:dyDescent="0.25">
      <c r="B650" s="755" t="s">
        <v>416</v>
      </c>
      <c r="C650" s="733"/>
      <c r="D650" s="733"/>
      <c r="E650" s="733"/>
      <c r="F650" s="733"/>
      <c r="G650" s="733"/>
      <c r="H650" s="736"/>
      <c r="I650" s="746"/>
      <c r="J650" s="747"/>
      <c r="K650" s="748"/>
      <c r="L650" s="746"/>
      <c r="M650" s="747"/>
      <c r="N650" s="748"/>
    </row>
    <row r="651" spans="2:15" ht="14.25" customHeight="1" x14ac:dyDescent="0.25">
      <c r="B651" s="121" t="s">
        <v>400</v>
      </c>
      <c r="C651" s="122" t="s">
        <v>401</v>
      </c>
      <c r="D651" s="123" t="s">
        <v>402</v>
      </c>
      <c r="E651" s="123" t="s">
        <v>403</v>
      </c>
      <c r="F651" s="123" t="s">
        <v>404</v>
      </c>
      <c r="G651" s="123" t="s">
        <v>405</v>
      </c>
      <c r="H651" s="123" t="s">
        <v>406</v>
      </c>
      <c r="I651" s="746"/>
      <c r="J651" s="747"/>
      <c r="K651" s="748"/>
      <c r="L651" s="746"/>
      <c r="M651" s="747"/>
      <c r="N651" s="748"/>
    </row>
    <row r="652" spans="2:15" ht="14.25" customHeight="1" x14ac:dyDescent="0.25">
      <c r="B652" s="124"/>
      <c r="C652" s="215"/>
      <c r="D652" s="168"/>
      <c r="E652" s="125">
        <v>50</v>
      </c>
      <c r="F652" s="125"/>
      <c r="G652" s="125">
        <v>2.1</v>
      </c>
      <c r="H652" s="126">
        <f>E652*G652</f>
        <v>105</v>
      </c>
      <c r="I652" s="746"/>
      <c r="J652" s="747"/>
      <c r="K652" s="748"/>
      <c r="L652" s="746"/>
      <c r="M652" s="747"/>
      <c r="N652" s="748"/>
    </row>
    <row r="653" spans="2:15" ht="14.25" customHeight="1" x14ac:dyDescent="0.25">
      <c r="B653" s="124"/>
      <c r="C653" s="125"/>
      <c r="D653" s="125"/>
      <c r="E653" s="125"/>
      <c r="F653" s="125"/>
      <c r="G653" s="125"/>
      <c r="H653" s="125"/>
      <c r="I653" s="746"/>
      <c r="J653" s="747"/>
      <c r="K653" s="748"/>
      <c r="L653" s="746"/>
      <c r="M653" s="747"/>
      <c r="N653" s="748"/>
    </row>
    <row r="654" spans="2:15" ht="14.25" customHeight="1" x14ac:dyDescent="0.25">
      <c r="B654" s="124"/>
      <c r="C654" s="125"/>
      <c r="D654" s="125"/>
      <c r="E654" s="125"/>
      <c r="F654" s="125"/>
      <c r="G654" s="125"/>
      <c r="H654" s="125"/>
      <c r="I654" s="746"/>
      <c r="J654" s="747"/>
      <c r="K654" s="748"/>
      <c r="L654" s="746"/>
      <c r="M654" s="747"/>
      <c r="N654" s="748"/>
    </row>
    <row r="655" spans="2:15" ht="14.25" customHeight="1" x14ac:dyDescent="0.25">
      <c r="B655" s="124"/>
      <c r="C655" s="125"/>
      <c r="D655" s="125"/>
      <c r="E655" s="125"/>
      <c r="F655" s="125"/>
      <c r="G655" s="138"/>
      <c r="H655" s="125"/>
      <c r="I655" s="746"/>
      <c r="J655" s="747"/>
      <c r="K655" s="748"/>
      <c r="L655" s="746"/>
      <c r="M655" s="747"/>
      <c r="N655" s="748"/>
    </row>
    <row r="656" spans="2:15" ht="14.25" customHeight="1" x14ac:dyDescent="0.25">
      <c r="B656" s="124"/>
      <c r="C656" s="125"/>
      <c r="D656" s="125"/>
      <c r="E656" s="125"/>
      <c r="F656" s="125"/>
      <c r="G656" s="138"/>
      <c r="H656" s="125"/>
      <c r="I656" s="746"/>
      <c r="J656" s="747"/>
      <c r="K656" s="748"/>
      <c r="L656" s="746"/>
      <c r="M656" s="747"/>
      <c r="N656" s="748"/>
      <c r="O656" s="133"/>
    </row>
    <row r="657" spans="2:14" ht="14.25" customHeight="1" x14ac:dyDescent="0.25">
      <c r="B657" s="124"/>
      <c r="C657" s="125"/>
      <c r="D657" s="125"/>
      <c r="E657" s="125"/>
      <c r="F657" s="125"/>
      <c r="G657" s="138"/>
      <c r="H657" s="125"/>
      <c r="I657" s="746"/>
      <c r="J657" s="747"/>
      <c r="K657" s="748"/>
      <c r="L657" s="746"/>
      <c r="M657" s="747"/>
      <c r="N657" s="748"/>
    </row>
    <row r="658" spans="2:14" ht="14.25" customHeight="1" x14ac:dyDescent="0.25">
      <c r="B658" s="124"/>
      <c r="C658" s="125"/>
      <c r="D658" s="125"/>
      <c r="E658" s="125"/>
      <c r="F658" s="125"/>
      <c r="G658" s="138"/>
      <c r="H658" s="125"/>
      <c r="I658" s="746"/>
      <c r="J658" s="747"/>
      <c r="K658" s="748"/>
      <c r="L658" s="746"/>
      <c r="M658" s="747"/>
      <c r="N658" s="748"/>
    </row>
    <row r="659" spans="2:14" ht="14.25" customHeight="1" x14ac:dyDescent="0.25">
      <c r="B659" s="124"/>
      <c r="C659" s="125"/>
      <c r="D659" s="125"/>
      <c r="E659" s="125"/>
      <c r="F659" s="125"/>
      <c r="G659" s="125"/>
      <c r="H659" s="125"/>
      <c r="I659" s="746"/>
      <c r="J659" s="747"/>
      <c r="K659" s="748"/>
      <c r="L659" s="746"/>
      <c r="M659" s="747"/>
      <c r="N659" s="748"/>
    </row>
    <row r="660" spans="2:14" ht="14.25" customHeight="1" x14ac:dyDescent="0.25">
      <c r="B660" s="124"/>
      <c r="C660" s="125"/>
      <c r="D660" s="125"/>
      <c r="E660" s="125"/>
      <c r="F660" s="125"/>
      <c r="G660" s="138"/>
      <c r="H660" s="125"/>
      <c r="I660" s="746"/>
      <c r="J660" s="747"/>
      <c r="K660" s="748"/>
      <c r="L660" s="746"/>
      <c r="M660" s="747"/>
      <c r="N660" s="748"/>
    </row>
    <row r="661" spans="2:14" ht="14.25" customHeight="1" x14ac:dyDescent="0.25">
      <c r="B661" s="124"/>
      <c r="C661" s="125"/>
      <c r="D661" s="125"/>
      <c r="E661" s="125"/>
      <c r="F661" s="125"/>
      <c r="G661" s="138"/>
      <c r="H661" s="125"/>
      <c r="I661" s="746"/>
      <c r="J661" s="747"/>
      <c r="K661" s="748"/>
      <c r="L661" s="746"/>
      <c r="M661" s="747"/>
      <c r="N661" s="748"/>
    </row>
    <row r="662" spans="2:14" ht="14.25" customHeight="1" x14ac:dyDescent="0.25">
      <c r="B662" s="124"/>
      <c r="C662" s="125"/>
      <c r="D662" s="125"/>
      <c r="E662" s="125"/>
      <c r="F662" s="125"/>
      <c r="G662" s="138"/>
      <c r="H662" s="125"/>
      <c r="I662" s="746"/>
      <c r="J662" s="747"/>
      <c r="K662" s="748"/>
      <c r="L662" s="746"/>
      <c r="M662" s="747"/>
      <c r="N662" s="748"/>
    </row>
    <row r="663" spans="2:14" ht="14.25" customHeight="1" x14ac:dyDescent="0.25">
      <c r="B663" s="124"/>
      <c r="C663" s="125"/>
      <c r="D663" s="125"/>
      <c r="E663" s="125"/>
      <c r="F663" s="125"/>
      <c r="G663" s="125"/>
      <c r="H663" s="125"/>
      <c r="I663" s="746"/>
      <c r="J663" s="747"/>
      <c r="K663" s="748"/>
      <c r="L663" s="746"/>
      <c r="M663" s="747"/>
      <c r="N663" s="748"/>
    </row>
    <row r="664" spans="2:14" ht="14.25" customHeight="1" x14ac:dyDescent="0.25">
      <c r="B664" s="124"/>
      <c r="C664" s="125"/>
      <c r="D664" s="125"/>
      <c r="E664" s="125"/>
      <c r="F664" s="125"/>
      <c r="G664" s="125"/>
      <c r="H664" s="125"/>
      <c r="I664" s="746"/>
      <c r="J664" s="747"/>
      <c r="K664" s="748"/>
      <c r="L664" s="746"/>
      <c r="M664" s="747"/>
      <c r="N664" s="748"/>
    </row>
    <row r="665" spans="2:14" ht="14.25" customHeight="1" x14ac:dyDescent="0.25">
      <c r="B665" s="124"/>
      <c r="C665" s="125"/>
      <c r="D665" s="125"/>
      <c r="E665" s="125"/>
      <c r="F665" s="125"/>
      <c r="G665" s="125"/>
      <c r="H665" s="125"/>
      <c r="I665" s="746"/>
      <c r="J665" s="747"/>
      <c r="K665" s="748"/>
      <c r="L665" s="746"/>
      <c r="M665" s="747"/>
      <c r="N665" s="748"/>
    </row>
    <row r="666" spans="2:14" ht="14.25" customHeight="1" x14ac:dyDescent="0.25">
      <c r="B666" s="124"/>
      <c r="C666" s="125"/>
      <c r="D666" s="125"/>
      <c r="E666" s="125"/>
      <c r="F666" s="125"/>
      <c r="G666" s="125"/>
      <c r="H666" s="125"/>
      <c r="I666" s="746"/>
      <c r="J666" s="747"/>
      <c r="K666" s="748"/>
      <c r="L666" s="746"/>
      <c r="M666" s="747"/>
      <c r="N666" s="748"/>
    </row>
    <row r="667" spans="2:14" ht="14.25" customHeight="1" x14ac:dyDescent="0.25">
      <c r="B667" s="124"/>
      <c r="C667" s="125"/>
      <c r="D667" s="125"/>
      <c r="E667" s="125"/>
      <c r="F667" s="125"/>
      <c r="G667" s="125"/>
      <c r="H667" s="125"/>
      <c r="I667" s="746"/>
      <c r="J667" s="747"/>
      <c r="K667" s="748"/>
      <c r="L667" s="746"/>
      <c r="M667" s="747"/>
      <c r="N667" s="748"/>
    </row>
    <row r="668" spans="2:14" ht="14.25" customHeight="1" x14ac:dyDescent="0.25">
      <c r="B668" s="124"/>
      <c r="C668" s="125"/>
      <c r="D668" s="125"/>
      <c r="E668" s="125"/>
      <c r="F668" s="125"/>
      <c r="G668" s="125"/>
      <c r="H668" s="125"/>
      <c r="I668" s="746"/>
      <c r="J668" s="747"/>
      <c r="K668" s="748"/>
      <c r="L668" s="746"/>
      <c r="M668" s="747"/>
      <c r="N668" s="748"/>
    </row>
    <row r="669" spans="2:14" ht="14.25" customHeight="1" x14ac:dyDescent="0.25">
      <c r="B669" s="124"/>
      <c r="C669" s="125"/>
      <c r="D669" s="125"/>
      <c r="E669" s="125"/>
      <c r="F669" s="125"/>
      <c r="G669" s="125"/>
      <c r="H669" s="125"/>
      <c r="I669" s="746"/>
      <c r="J669" s="747"/>
      <c r="K669" s="748"/>
      <c r="L669" s="746"/>
      <c r="M669" s="747"/>
      <c r="N669" s="748"/>
    </row>
    <row r="670" spans="2:14" ht="14.25" customHeight="1" x14ac:dyDescent="0.25">
      <c r="B670" s="127"/>
      <c r="C670" s="125"/>
      <c r="D670" s="125"/>
      <c r="E670" s="125"/>
      <c r="F670" s="125"/>
      <c r="G670" s="125"/>
      <c r="H670" s="125"/>
      <c r="I670" s="749"/>
      <c r="J670" s="750"/>
      <c r="K670" s="751"/>
      <c r="L670" s="749"/>
      <c r="M670" s="750"/>
      <c r="N670" s="751"/>
    </row>
    <row r="671" spans="2:14" ht="14.25" customHeight="1" x14ac:dyDescent="0.25">
      <c r="B671" s="209"/>
      <c r="C671" s="118"/>
      <c r="D671" s="118"/>
      <c r="E671" s="118"/>
      <c r="F671" s="118"/>
      <c r="G671" s="118"/>
      <c r="H671" s="118"/>
      <c r="I671" s="118"/>
      <c r="J671" s="118"/>
      <c r="K671" s="118"/>
      <c r="L671" s="118"/>
      <c r="M671" s="118"/>
      <c r="N671" s="210"/>
    </row>
    <row r="672" spans="2:14" ht="14.25" customHeight="1" x14ac:dyDescent="0.25">
      <c r="B672" s="209"/>
      <c r="C672" s="118"/>
      <c r="D672" s="118"/>
      <c r="E672" s="118"/>
      <c r="F672" s="118"/>
      <c r="G672" s="118"/>
      <c r="H672" s="118"/>
      <c r="I672" s="118"/>
      <c r="J672" s="118"/>
      <c r="K672" s="118"/>
      <c r="L672" s="118"/>
      <c r="M672" s="118"/>
      <c r="N672" s="210"/>
    </row>
    <row r="673" spans="2:14" ht="14.25" customHeight="1" x14ac:dyDescent="0.25">
      <c r="B673" s="209"/>
      <c r="C673" s="118"/>
      <c r="D673" s="118"/>
      <c r="E673" s="118"/>
      <c r="F673" s="118"/>
      <c r="G673" s="118"/>
      <c r="H673" s="118"/>
      <c r="I673" s="118"/>
      <c r="J673" s="118"/>
      <c r="K673" s="118"/>
      <c r="L673" s="118"/>
      <c r="M673" s="118"/>
      <c r="N673" s="210"/>
    </row>
    <row r="674" spans="2:14" ht="14.25" customHeight="1" x14ac:dyDescent="0.25">
      <c r="B674" s="209"/>
      <c r="C674" s="118"/>
      <c r="D674" s="118"/>
      <c r="E674" s="118"/>
      <c r="F674" s="118"/>
      <c r="G674" s="118"/>
      <c r="H674" s="118"/>
      <c r="I674" s="118"/>
      <c r="J674" s="118"/>
      <c r="K674" s="118"/>
      <c r="L674" s="118"/>
      <c r="M674" s="118"/>
      <c r="N674" s="210"/>
    </row>
    <row r="675" spans="2:14" ht="14.25" customHeight="1" x14ac:dyDescent="0.25">
      <c r="B675" s="775" t="s">
        <v>414</v>
      </c>
      <c r="C675" s="747"/>
      <c r="D675" s="747"/>
      <c r="E675" s="128"/>
      <c r="F675" s="128"/>
      <c r="G675" s="128"/>
      <c r="H675" s="128"/>
      <c r="I675" s="776"/>
      <c r="J675" s="747"/>
      <c r="K675" s="747"/>
      <c r="L675" s="118"/>
      <c r="M675" s="118"/>
      <c r="N675" s="210"/>
    </row>
    <row r="676" spans="2:14" ht="14.25" customHeight="1" thickBot="1" x14ac:dyDescent="0.3">
      <c r="B676" s="129"/>
      <c r="C676" s="130"/>
      <c r="D676" s="130"/>
      <c r="E676" s="130"/>
      <c r="F676" s="130"/>
      <c r="G676" s="130"/>
      <c r="H676" s="130"/>
      <c r="I676" s="130"/>
      <c r="J676" s="130"/>
      <c r="K676" s="130"/>
      <c r="L676" s="130"/>
      <c r="M676" s="130"/>
      <c r="N676" s="131"/>
    </row>
    <row r="677" spans="2:14" ht="14.25" hidden="1" customHeight="1" x14ac:dyDescent="0.25">
      <c r="B677" s="132"/>
      <c r="C677" s="132"/>
      <c r="D677" s="132"/>
      <c r="E677" s="132"/>
      <c r="F677" s="132"/>
      <c r="G677" s="132"/>
      <c r="H677" s="132"/>
      <c r="I677" s="132"/>
      <c r="J677" s="132"/>
      <c r="K677" s="132"/>
      <c r="L677" s="132"/>
      <c r="M677" s="132"/>
      <c r="N677" s="132"/>
    </row>
    <row r="678" spans="2:14" ht="40.5" hidden="1" customHeight="1" x14ac:dyDescent="0.25">
      <c r="B678" s="728"/>
      <c r="C678" s="729"/>
      <c r="D678" s="730" t="s">
        <v>393</v>
      </c>
      <c r="E678" s="729"/>
      <c r="F678" s="729"/>
      <c r="G678" s="729"/>
      <c r="H678" s="729"/>
      <c r="I678" s="729"/>
      <c r="J678" s="729"/>
      <c r="K678" s="729"/>
      <c r="L678" s="729"/>
      <c r="M678" s="729"/>
      <c r="N678" s="731"/>
    </row>
    <row r="679" spans="2:14" ht="14.25" hidden="1" customHeight="1" x14ac:dyDescent="0.25">
      <c r="B679" s="732" t="s">
        <v>394</v>
      </c>
      <c r="C679" s="733"/>
      <c r="D679" s="733"/>
      <c r="E679" s="733"/>
      <c r="F679" s="733"/>
      <c r="G679" s="733"/>
      <c r="H679" s="733"/>
      <c r="I679" s="733"/>
      <c r="J679" s="733"/>
      <c r="K679" s="733"/>
      <c r="L679" s="733"/>
      <c r="M679" s="733"/>
      <c r="N679" s="734"/>
    </row>
    <row r="680" spans="2:14" ht="15" hidden="1" customHeight="1" x14ac:dyDescent="0.25">
      <c r="B680" s="735" t="s">
        <v>395</v>
      </c>
      <c r="C680" s="736"/>
      <c r="D680" s="779" t="s">
        <v>439</v>
      </c>
      <c r="E680" s="733"/>
      <c r="F680" s="733"/>
      <c r="G680" s="733"/>
      <c r="H680" s="733"/>
      <c r="I680" s="733"/>
      <c r="J680" s="733"/>
      <c r="K680" s="733"/>
      <c r="L680" s="733"/>
      <c r="M680" s="733"/>
      <c r="N680" s="734"/>
    </row>
    <row r="681" spans="2:14" ht="14.25" hidden="1" customHeight="1" x14ac:dyDescent="0.25">
      <c r="B681" s="740" t="s">
        <v>26</v>
      </c>
      <c r="C681" s="741"/>
      <c r="D681" s="119" t="s">
        <v>396</v>
      </c>
      <c r="E681" s="742" t="s">
        <v>397</v>
      </c>
      <c r="F681" s="733"/>
      <c r="G681" s="733"/>
      <c r="H681" s="736"/>
      <c r="I681" s="742" t="s">
        <v>398</v>
      </c>
      <c r="J681" s="733"/>
      <c r="K681" s="736"/>
      <c r="L681" s="742" t="s">
        <v>399</v>
      </c>
      <c r="M681" s="733"/>
      <c r="N681" s="734"/>
    </row>
    <row r="682" spans="2:14" ht="14.25" hidden="1" customHeight="1" x14ac:dyDescent="0.25">
      <c r="B682" s="777"/>
      <c r="C682" s="736"/>
      <c r="D682" s="139">
        <f>SUM(H685:H701)</f>
        <v>296.59109999999998</v>
      </c>
      <c r="E682" s="778" t="s">
        <v>51</v>
      </c>
      <c r="F682" s="733"/>
      <c r="G682" s="733"/>
      <c r="H682" s="736"/>
      <c r="I682" s="744"/>
      <c r="J682" s="745"/>
      <c r="K682" s="741"/>
      <c r="L682" s="744"/>
      <c r="M682" s="745"/>
      <c r="N682" s="752"/>
    </row>
    <row r="683" spans="2:14" ht="14.25" hidden="1" customHeight="1" x14ac:dyDescent="0.25">
      <c r="B683" s="755" t="s">
        <v>416</v>
      </c>
      <c r="C683" s="733"/>
      <c r="D683" s="733"/>
      <c r="E683" s="733"/>
      <c r="F683" s="733"/>
      <c r="G683" s="733"/>
      <c r="H683" s="736"/>
      <c r="I683" s="746"/>
      <c r="J683" s="747"/>
      <c r="K683" s="748"/>
      <c r="L683" s="746"/>
      <c r="M683" s="747"/>
      <c r="N683" s="753"/>
    </row>
    <row r="684" spans="2:14" ht="14.25" hidden="1" customHeight="1" x14ac:dyDescent="0.25">
      <c r="B684" s="121" t="s">
        <v>400</v>
      </c>
      <c r="C684" s="122" t="s">
        <v>401</v>
      </c>
      <c r="D684" s="123" t="s">
        <v>402</v>
      </c>
      <c r="E684" s="123" t="s">
        <v>403</v>
      </c>
      <c r="F684" s="123" t="s">
        <v>404</v>
      </c>
      <c r="G684" s="123" t="s">
        <v>405</v>
      </c>
      <c r="H684" s="123" t="s">
        <v>406</v>
      </c>
      <c r="I684" s="746"/>
      <c r="J684" s="747"/>
      <c r="K684" s="748"/>
      <c r="L684" s="746"/>
      <c r="M684" s="747"/>
      <c r="N684" s="753"/>
    </row>
    <row r="685" spans="2:14" ht="14.25" hidden="1" customHeight="1" x14ac:dyDescent="0.25">
      <c r="B685" s="124"/>
      <c r="C685" s="764" t="s">
        <v>440</v>
      </c>
      <c r="D685" s="125">
        <v>21</v>
      </c>
      <c r="E685" s="125"/>
      <c r="F685" s="125">
        <v>0.77</v>
      </c>
      <c r="G685" s="125">
        <v>1.83</v>
      </c>
      <c r="H685" s="126">
        <f>D685*F685*G685</f>
        <v>29.591100000000004</v>
      </c>
      <c r="I685" s="746"/>
      <c r="J685" s="747"/>
      <c r="K685" s="748"/>
      <c r="L685" s="746"/>
      <c r="M685" s="747"/>
      <c r="N685" s="753"/>
    </row>
    <row r="686" spans="2:14" ht="14.25" hidden="1" customHeight="1" x14ac:dyDescent="0.25">
      <c r="B686" s="124"/>
      <c r="C686" s="780"/>
      <c r="D686" s="125">
        <v>4</v>
      </c>
      <c r="E686" s="125"/>
      <c r="F686" s="125">
        <v>0.95</v>
      </c>
      <c r="G686" s="125">
        <v>2.82</v>
      </c>
      <c r="H686" s="125">
        <f t="shared" ref="H686:H699" si="16">ROUND(D686*F686*G686,0)</f>
        <v>11</v>
      </c>
      <c r="I686" s="746"/>
      <c r="J686" s="747"/>
      <c r="K686" s="748"/>
      <c r="L686" s="746"/>
      <c r="M686" s="747"/>
      <c r="N686" s="753"/>
    </row>
    <row r="687" spans="2:14" ht="12" hidden="1" customHeight="1" x14ac:dyDescent="0.25">
      <c r="B687" s="124"/>
      <c r="C687" s="781"/>
      <c r="D687" s="125">
        <v>4</v>
      </c>
      <c r="E687" s="125"/>
      <c r="F687" s="125">
        <v>1.56</v>
      </c>
      <c r="G687" s="125">
        <v>3.25</v>
      </c>
      <c r="H687" s="125">
        <f t="shared" si="16"/>
        <v>20</v>
      </c>
      <c r="I687" s="746"/>
      <c r="J687" s="747"/>
      <c r="K687" s="748"/>
      <c r="L687" s="746"/>
      <c r="M687" s="747"/>
      <c r="N687" s="753"/>
    </row>
    <row r="688" spans="2:14" ht="14.25" hidden="1" customHeight="1" x14ac:dyDescent="0.25">
      <c r="B688" s="124"/>
      <c r="C688" s="764" t="s">
        <v>441</v>
      </c>
      <c r="D688" s="125">
        <v>32</v>
      </c>
      <c r="E688" s="125"/>
      <c r="F688" s="125">
        <v>0.7</v>
      </c>
      <c r="G688" s="125">
        <v>1.8</v>
      </c>
      <c r="H688" s="125">
        <f t="shared" si="16"/>
        <v>40</v>
      </c>
      <c r="I688" s="746"/>
      <c r="J688" s="747"/>
      <c r="K688" s="748"/>
      <c r="L688" s="746"/>
      <c r="M688" s="747"/>
      <c r="N688" s="753"/>
    </row>
    <row r="689" spans="2:14" ht="14.25" hidden="1" customHeight="1" x14ac:dyDescent="0.25">
      <c r="B689" s="124"/>
      <c r="C689" s="780"/>
      <c r="D689" s="125">
        <v>12</v>
      </c>
      <c r="E689" s="125"/>
      <c r="F689" s="125">
        <v>0.93</v>
      </c>
      <c r="G689" s="125">
        <v>1.8</v>
      </c>
      <c r="H689" s="125">
        <f t="shared" si="16"/>
        <v>20</v>
      </c>
      <c r="I689" s="746"/>
      <c r="J689" s="747"/>
      <c r="K689" s="748"/>
      <c r="L689" s="746"/>
      <c r="M689" s="747"/>
      <c r="N689" s="753"/>
    </row>
    <row r="690" spans="2:14" ht="14.25" hidden="1" customHeight="1" x14ac:dyDescent="0.25">
      <c r="B690" s="124"/>
      <c r="C690" s="780"/>
      <c r="D690" s="125">
        <v>4</v>
      </c>
      <c r="E690" s="125"/>
      <c r="F690" s="125">
        <v>0.95</v>
      </c>
      <c r="G690" s="125">
        <v>2.82</v>
      </c>
      <c r="H690" s="125">
        <f t="shared" si="16"/>
        <v>11</v>
      </c>
      <c r="I690" s="746"/>
      <c r="J690" s="747"/>
      <c r="K690" s="748"/>
      <c r="L690" s="746"/>
      <c r="M690" s="747"/>
      <c r="N690" s="753"/>
    </row>
    <row r="691" spans="2:14" ht="14.25" hidden="1" customHeight="1" x14ac:dyDescent="0.25">
      <c r="B691" s="124"/>
      <c r="C691" s="781"/>
      <c r="D691" s="125">
        <v>6</v>
      </c>
      <c r="E691" s="125"/>
      <c r="F691" s="125">
        <v>1.84</v>
      </c>
      <c r="G691" s="125">
        <v>1.9</v>
      </c>
      <c r="H691" s="125">
        <f t="shared" si="16"/>
        <v>21</v>
      </c>
      <c r="I691" s="746"/>
      <c r="J691" s="747"/>
      <c r="K691" s="748"/>
      <c r="L691" s="746"/>
      <c r="M691" s="747"/>
      <c r="N691" s="753"/>
    </row>
    <row r="692" spans="2:14" ht="14.25" hidden="1" customHeight="1" x14ac:dyDescent="0.25">
      <c r="B692" s="124"/>
      <c r="C692" s="764" t="s">
        <v>442</v>
      </c>
      <c r="D692" s="125">
        <v>32</v>
      </c>
      <c r="E692" s="125"/>
      <c r="F692" s="125">
        <v>0.7</v>
      </c>
      <c r="G692" s="125">
        <v>1.8</v>
      </c>
      <c r="H692" s="125">
        <f t="shared" si="16"/>
        <v>40</v>
      </c>
      <c r="I692" s="746"/>
      <c r="J692" s="747"/>
      <c r="K692" s="748"/>
      <c r="L692" s="746"/>
      <c r="M692" s="747"/>
      <c r="N692" s="753"/>
    </row>
    <row r="693" spans="2:14" ht="14.25" hidden="1" customHeight="1" x14ac:dyDescent="0.25">
      <c r="B693" s="124"/>
      <c r="C693" s="780"/>
      <c r="D693" s="125">
        <v>6</v>
      </c>
      <c r="E693" s="125"/>
      <c r="F693" s="125">
        <v>1.57</v>
      </c>
      <c r="G693" s="125">
        <v>1.84</v>
      </c>
      <c r="H693" s="125">
        <f t="shared" si="16"/>
        <v>17</v>
      </c>
      <c r="I693" s="746"/>
      <c r="J693" s="747"/>
      <c r="K693" s="748"/>
      <c r="L693" s="746"/>
      <c r="M693" s="747"/>
      <c r="N693" s="753"/>
    </row>
    <row r="694" spans="2:14" ht="14.25" hidden="1" customHeight="1" x14ac:dyDescent="0.25">
      <c r="B694" s="124"/>
      <c r="C694" s="780"/>
      <c r="D694" s="125">
        <v>4</v>
      </c>
      <c r="E694" s="125"/>
      <c r="F694" s="125">
        <v>0.95</v>
      </c>
      <c r="G694" s="125">
        <v>2.82</v>
      </c>
      <c r="H694" s="125">
        <f t="shared" si="16"/>
        <v>11</v>
      </c>
      <c r="I694" s="746"/>
      <c r="J694" s="747"/>
      <c r="K694" s="748"/>
      <c r="L694" s="746"/>
      <c r="M694" s="747"/>
      <c r="N694" s="753"/>
    </row>
    <row r="695" spans="2:14" ht="14.25" hidden="1" customHeight="1" x14ac:dyDescent="0.25">
      <c r="B695" s="124"/>
      <c r="C695" s="781"/>
      <c r="D695" s="125">
        <v>12</v>
      </c>
      <c r="E695" s="125"/>
      <c r="F695" s="125">
        <v>0.93</v>
      </c>
      <c r="G695" s="125">
        <v>1.8</v>
      </c>
      <c r="H695" s="125">
        <f t="shared" si="16"/>
        <v>20</v>
      </c>
      <c r="I695" s="746"/>
      <c r="J695" s="747"/>
      <c r="K695" s="748"/>
      <c r="L695" s="746"/>
      <c r="M695" s="747"/>
      <c r="N695" s="753"/>
    </row>
    <row r="696" spans="2:14" ht="14.25" hidden="1" customHeight="1" x14ac:dyDescent="0.25">
      <c r="B696" s="124"/>
      <c r="C696" s="764" t="s">
        <v>443</v>
      </c>
      <c r="D696" s="125">
        <v>5</v>
      </c>
      <c r="E696" s="125"/>
      <c r="F696" s="125">
        <v>1.57</v>
      </c>
      <c r="G696" s="125">
        <v>1.84</v>
      </c>
      <c r="H696" s="125">
        <f t="shared" si="16"/>
        <v>14</v>
      </c>
      <c r="I696" s="746"/>
      <c r="J696" s="747"/>
      <c r="K696" s="748"/>
      <c r="L696" s="746"/>
      <c r="M696" s="747"/>
      <c r="N696" s="753"/>
    </row>
    <row r="697" spans="2:14" ht="14.25" hidden="1" customHeight="1" x14ac:dyDescent="0.25">
      <c r="B697" s="124"/>
      <c r="C697" s="780"/>
      <c r="D697" s="125">
        <v>21</v>
      </c>
      <c r="E697" s="125"/>
      <c r="F697" s="125">
        <v>0.72</v>
      </c>
      <c r="G697" s="125">
        <v>1.8</v>
      </c>
      <c r="H697" s="125">
        <f t="shared" si="16"/>
        <v>27</v>
      </c>
      <c r="I697" s="746"/>
      <c r="J697" s="747"/>
      <c r="K697" s="748"/>
      <c r="L697" s="746"/>
      <c r="M697" s="747"/>
      <c r="N697" s="753"/>
    </row>
    <row r="698" spans="2:14" ht="14.25" hidden="1" customHeight="1" x14ac:dyDescent="0.25">
      <c r="B698" s="124"/>
      <c r="C698" s="781"/>
      <c r="D698" s="125">
        <v>2</v>
      </c>
      <c r="E698" s="125"/>
      <c r="F698" s="125">
        <v>1</v>
      </c>
      <c r="G698" s="125">
        <v>1.9</v>
      </c>
      <c r="H698" s="125">
        <f t="shared" si="16"/>
        <v>4</v>
      </c>
      <c r="I698" s="746"/>
      <c r="J698" s="747"/>
      <c r="K698" s="748"/>
      <c r="L698" s="746"/>
      <c r="M698" s="747"/>
      <c r="N698" s="753"/>
    </row>
    <row r="699" spans="2:14" ht="14.25" hidden="1" customHeight="1" x14ac:dyDescent="0.25">
      <c r="B699" s="124"/>
      <c r="C699" s="125"/>
      <c r="D699" s="125">
        <v>4</v>
      </c>
      <c r="E699" s="125"/>
      <c r="F699" s="125">
        <v>0.95</v>
      </c>
      <c r="G699" s="125">
        <v>2.82</v>
      </c>
      <c r="H699" s="125">
        <f t="shared" si="16"/>
        <v>11</v>
      </c>
      <c r="I699" s="746"/>
      <c r="J699" s="747"/>
      <c r="K699" s="748"/>
      <c r="L699" s="746"/>
      <c r="M699" s="747"/>
      <c r="N699" s="753"/>
    </row>
    <row r="700" spans="2:14" ht="14.25" hidden="1" customHeight="1" x14ac:dyDescent="0.25">
      <c r="B700" s="124"/>
      <c r="C700" s="125"/>
      <c r="D700" s="125"/>
      <c r="E700" s="125"/>
      <c r="F700" s="125"/>
      <c r="G700" s="125"/>
      <c r="H700" s="125"/>
      <c r="I700" s="746"/>
      <c r="J700" s="747"/>
      <c r="K700" s="748"/>
      <c r="L700" s="746"/>
      <c r="M700" s="747"/>
      <c r="N700" s="753"/>
    </row>
    <row r="701" spans="2:14" ht="14.25" hidden="1" customHeight="1" x14ac:dyDescent="0.25">
      <c r="B701" s="127"/>
      <c r="C701" s="125"/>
      <c r="D701" s="125"/>
      <c r="E701" s="125"/>
      <c r="F701" s="125"/>
      <c r="G701" s="125"/>
      <c r="H701" s="125"/>
      <c r="I701" s="749"/>
      <c r="J701" s="750"/>
      <c r="K701" s="751"/>
      <c r="L701" s="749"/>
      <c r="M701" s="750"/>
      <c r="N701" s="754"/>
    </row>
    <row r="702" spans="2:14" ht="14.25" hidden="1" customHeight="1" x14ac:dyDescent="0.25">
      <c r="B702" s="209"/>
      <c r="C702" s="118"/>
      <c r="D702" s="118"/>
      <c r="E702" s="118"/>
      <c r="F702" s="118"/>
      <c r="G702" s="118"/>
      <c r="H702" s="118"/>
      <c r="I702" s="118"/>
      <c r="J702" s="118"/>
      <c r="K702" s="118"/>
      <c r="L702" s="118"/>
      <c r="M702" s="118"/>
      <c r="N702" s="210"/>
    </row>
    <row r="703" spans="2:14" ht="14.25" hidden="1" customHeight="1" x14ac:dyDescent="0.25">
      <c r="B703" s="209"/>
      <c r="C703" s="118"/>
      <c r="D703" s="118"/>
      <c r="E703" s="118"/>
      <c r="F703" s="118"/>
      <c r="G703" s="118"/>
      <c r="H703" s="118"/>
      <c r="I703" s="118"/>
      <c r="J703" s="118"/>
      <c r="K703" s="118"/>
      <c r="L703" s="118"/>
      <c r="M703" s="118"/>
      <c r="N703" s="210"/>
    </row>
    <row r="704" spans="2:14" ht="14.25" hidden="1" customHeight="1" x14ac:dyDescent="0.25">
      <c r="B704" s="209"/>
      <c r="C704" s="118"/>
      <c r="D704" s="118"/>
      <c r="E704" s="118"/>
      <c r="F704" s="118"/>
      <c r="G704" s="118"/>
      <c r="H704" s="118"/>
      <c r="I704" s="118"/>
      <c r="J704" s="118"/>
      <c r="K704" s="118"/>
      <c r="L704" s="118"/>
      <c r="M704" s="118"/>
      <c r="N704" s="210"/>
    </row>
    <row r="705" spans="2:14" ht="14.25" hidden="1" customHeight="1" x14ac:dyDescent="0.25">
      <c r="B705" s="209"/>
      <c r="C705" s="118"/>
      <c r="D705" s="118"/>
      <c r="E705" s="118"/>
      <c r="F705" s="118"/>
      <c r="G705" s="118"/>
      <c r="H705" s="118"/>
      <c r="I705" s="118"/>
      <c r="J705" s="118"/>
      <c r="K705" s="118"/>
      <c r="L705" s="118"/>
      <c r="M705" s="118"/>
      <c r="N705" s="210"/>
    </row>
    <row r="706" spans="2:14" ht="14.25" hidden="1" customHeight="1" x14ac:dyDescent="0.25">
      <c r="B706" s="775" t="s">
        <v>414</v>
      </c>
      <c r="C706" s="747"/>
      <c r="D706" s="747"/>
      <c r="E706" s="128"/>
      <c r="F706" s="128"/>
      <c r="G706" s="128"/>
      <c r="H706" s="128"/>
      <c r="I706" s="776"/>
      <c r="J706" s="747"/>
      <c r="K706" s="747"/>
      <c r="L706" s="118"/>
      <c r="M706" s="118"/>
      <c r="N706" s="210"/>
    </row>
    <row r="707" spans="2:14" ht="14.25" hidden="1" customHeight="1" x14ac:dyDescent="0.25">
      <c r="B707" s="129"/>
      <c r="C707" s="130"/>
      <c r="D707" s="130"/>
      <c r="E707" s="130"/>
      <c r="F707" s="130"/>
      <c r="G707" s="130"/>
      <c r="H707" s="130"/>
      <c r="I707" s="130"/>
      <c r="J707" s="130"/>
      <c r="K707" s="130"/>
      <c r="L707" s="130"/>
      <c r="M707" s="130"/>
      <c r="N707" s="131"/>
    </row>
    <row r="708" spans="2:14" ht="14.25" hidden="1" customHeight="1" x14ac:dyDescent="0.25">
      <c r="B708" s="118"/>
      <c r="C708" s="118"/>
      <c r="D708" s="118"/>
      <c r="E708" s="118"/>
      <c r="F708" s="118"/>
      <c r="G708" s="118"/>
      <c r="H708" s="118"/>
      <c r="I708" s="118"/>
      <c r="J708" s="118"/>
      <c r="K708" s="118"/>
      <c r="L708" s="118"/>
      <c r="M708" s="118"/>
      <c r="N708" s="118"/>
    </row>
    <row r="709" spans="2:14" ht="40.5" hidden="1" customHeight="1" x14ac:dyDescent="0.25">
      <c r="B709" s="728"/>
      <c r="C709" s="729"/>
      <c r="D709" s="730" t="s">
        <v>393</v>
      </c>
      <c r="E709" s="729"/>
      <c r="F709" s="729"/>
      <c r="G709" s="729"/>
      <c r="H709" s="729"/>
      <c r="I709" s="729"/>
      <c r="J709" s="729"/>
      <c r="K709" s="729"/>
      <c r="L709" s="729"/>
      <c r="M709" s="729"/>
      <c r="N709" s="731"/>
    </row>
    <row r="710" spans="2:14" ht="14.25" hidden="1" customHeight="1" x14ac:dyDescent="0.25">
      <c r="B710" s="732" t="s">
        <v>394</v>
      </c>
      <c r="C710" s="733"/>
      <c r="D710" s="733"/>
      <c r="E710" s="733"/>
      <c r="F710" s="733"/>
      <c r="G710" s="733"/>
      <c r="H710" s="733"/>
      <c r="I710" s="733"/>
      <c r="J710" s="733"/>
      <c r="K710" s="733"/>
      <c r="L710" s="733"/>
      <c r="M710" s="733"/>
      <c r="N710" s="734"/>
    </row>
    <row r="711" spans="2:14" ht="15" hidden="1" customHeight="1" x14ac:dyDescent="0.25">
      <c r="B711" s="735" t="s">
        <v>395</v>
      </c>
      <c r="C711" s="736"/>
      <c r="D711" s="779" t="s">
        <v>444</v>
      </c>
      <c r="E711" s="733"/>
      <c r="F711" s="733"/>
      <c r="G711" s="733"/>
      <c r="H711" s="733"/>
      <c r="I711" s="733"/>
      <c r="J711" s="733"/>
      <c r="K711" s="733"/>
      <c r="L711" s="733"/>
      <c r="M711" s="733"/>
      <c r="N711" s="734"/>
    </row>
    <row r="712" spans="2:14" ht="14.25" hidden="1" customHeight="1" x14ac:dyDescent="0.25">
      <c r="B712" s="740" t="s">
        <v>26</v>
      </c>
      <c r="C712" s="741"/>
      <c r="D712" s="119" t="s">
        <v>396</v>
      </c>
      <c r="E712" s="742" t="s">
        <v>397</v>
      </c>
      <c r="F712" s="733"/>
      <c r="G712" s="733"/>
      <c r="H712" s="736"/>
      <c r="I712" s="742" t="s">
        <v>398</v>
      </c>
      <c r="J712" s="733"/>
      <c r="K712" s="736"/>
      <c r="L712" s="742" t="s">
        <v>399</v>
      </c>
      <c r="M712" s="733"/>
      <c r="N712" s="734"/>
    </row>
    <row r="713" spans="2:14" ht="14.25" hidden="1" customHeight="1" x14ac:dyDescent="0.25">
      <c r="B713" s="777"/>
      <c r="C713" s="736"/>
      <c r="D713" s="139">
        <f>SUM(H716:H732)</f>
        <v>230.49109999999999</v>
      </c>
      <c r="E713" s="778" t="s">
        <v>51</v>
      </c>
      <c r="F713" s="733"/>
      <c r="G713" s="733"/>
      <c r="H713" s="736"/>
      <c r="I713" s="744"/>
      <c r="J713" s="745"/>
      <c r="K713" s="741"/>
      <c r="L713" s="744"/>
      <c r="M713" s="745"/>
      <c r="N713" s="752"/>
    </row>
    <row r="714" spans="2:14" ht="14.25" hidden="1" customHeight="1" x14ac:dyDescent="0.25">
      <c r="B714" s="755" t="s">
        <v>416</v>
      </c>
      <c r="C714" s="733"/>
      <c r="D714" s="733"/>
      <c r="E714" s="733"/>
      <c r="F714" s="733"/>
      <c r="G714" s="733"/>
      <c r="H714" s="736"/>
      <c r="I714" s="746"/>
      <c r="J714" s="747"/>
      <c r="K714" s="748"/>
      <c r="L714" s="746"/>
      <c r="M714" s="747"/>
      <c r="N714" s="753"/>
    </row>
    <row r="715" spans="2:14" ht="14.25" hidden="1" customHeight="1" x14ac:dyDescent="0.25">
      <c r="B715" s="121" t="s">
        <v>400</v>
      </c>
      <c r="C715" s="122" t="s">
        <v>401</v>
      </c>
      <c r="D715" s="123" t="s">
        <v>402</v>
      </c>
      <c r="E715" s="123" t="s">
        <v>403</v>
      </c>
      <c r="F715" s="123" t="s">
        <v>404</v>
      </c>
      <c r="G715" s="123" t="s">
        <v>405</v>
      </c>
      <c r="H715" s="123" t="s">
        <v>406</v>
      </c>
      <c r="I715" s="746"/>
      <c r="J715" s="747"/>
      <c r="K715" s="748"/>
      <c r="L715" s="746"/>
      <c r="M715" s="747"/>
      <c r="N715" s="753"/>
    </row>
    <row r="716" spans="2:14" ht="14.25" hidden="1" customHeight="1" x14ac:dyDescent="0.25">
      <c r="B716" s="124"/>
      <c r="C716" s="765" t="s">
        <v>440</v>
      </c>
      <c r="D716" s="125">
        <v>21</v>
      </c>
      <c r="E716" s="125"/>
      <c r="F716" s="125">
        <v>0.77</v>
      </c>
      <c r="G716" s="125">
        <v>1.83</v>
      </c>
      <c r="H716" s="126">
        <f>D716*F716*G716</f>
        <v>29.591100000000004</v>
      </c>
      <c r="I716" s="746"/>
      <c r="J716" s="747"/>
      <c r="K716" s="748"/>
      <c r="L716" s="746"/>
      <c r="M716" s="747"/>
      <c r="N716" s="753"/>
    </row>
    <row r="717" spans="2:14" ht="14.25" hidden="1" customHeight="1" x14ac:dyDescent="0.25">
      <c r="B717" s="124"/>
      <c r="C717" s="780"/>
      <c r="D717" s="125">
        <v>4</v>
      </c>
      <c r="E717" s="125"/>
      <c r="F717" s="125">
        <v>0.95</v>
      </c>
      <c r="G717" s="125">
        <v>2.82</v>
      </c>
      <c r="H717" s="125">
        <f t="shared" ref="H717:H730" si="17">ROUND(D717*F717*G717,0)</f>
        <v>11</v>
      </c>
      <c r="I717" s="746"/>
      <c r="J717" s="747"/>
      <c r="K717" s="748"/>
      <c r="L717" s="746"/>
      <c r="M717" s="747"/>
      <c r="N717" s="753"/>
    </row>
    <row r="718" spans="2:14" ht="12" hidden="1" customHeight="1" x14ac:dyDescent="0.25">
      <c r="B718" s="124"/>
      <c r="C718" s="781"/>
      <c r="D718" s="125">
        <v>4</v>
      </c>
      <c r="E718" s="125"/>
      <c r="F718" s="125">
        <v>1.56</v>
      </c>
      <c r="G718" s="125">
        <v>3.25</v>
      </c>
      <c r="H718" s="125">
        <f t="shared" si="17"/>
        <v>20</v>
      </c>
      <c r="I718" s="746"/>
      <c r="J718" s="747"/>
      <c r="K718" s="748"/>
      <c r="L718" s="746"/>
      <c r="M718" s="747"/>
      <c r="N718" s="753"/>
    </row>
    <row r="719" spans="2:14" ht="14.25" hidden="1" customHeight="1" x14ac:dyDescent="0.25">
      <c r="B719" s="124"/>
      <c r="C719" s="765" t="s">
        <v>441</v>
      </c>
      <c r="D719" s="125">
        <v>32</v>
      </c>
      <c r="E719" s="125"/>
      <c r="F719" s="125">
        <v>0.7</v>
      </c>
      <c r="G719" s="125">
        <v>1.8</v>
      </c>
      <c r="H719" s="125">
        <f t="shared" si="17"/>
        <v>40</v>
      </c>
      <c r="I719" s="746"/>
      <c r="J719" s="747"/>
      <c r="K719" s="748"/>
      <c r="L719" s="746"/>
      <c r="M719" s="747"/>
      <c r="N719" s="753"/>
    </row>
    <row r="720" spans="2:14" ht="14.25" hidden="1" customHeight="1" x14ac:dyDescent="0.25">
      <c r="B720" s="124"/>
      <c r="C720" s="780"/>
      <c r="D720" s="125">
        <v>12</v>
      </c>
      <c r="E720" s="125"/>
      <c r="F720" s="125">
        <v>0.93</v>
      </c>
      <c r="G720" s="125">
        <v>1.8</v>
      </c>
      <c r="H720" s="125">
        <f t="shared" si="17"/>
        <v>20</v>
      </c>
      <c r="I720" s="746"/>
      <c r="J720" s="747"/>
      <c r="K720" s="748"/>
      <c r="L720" s="746"/>
      <c r="M720" s="747"/>
      <c r="N720" s="753"/>
    </row>
    <row r="721" spans="2:14" ht="14.25" hidden="1" customHeight="1" x14ac:dyDescent="0.25">
      <c r="B721" s="124"/>
      <c r="C721" s="780"/>
      <c r="D721" s="125">
        <v>4</v>
      </c>
      <c r="E721" s="125"/>
      <c r="F721" s="125">
        <v>0.95</v>
      </c>
      <c r="G721" s="125">
        <v>2.82</v>
      </c>
      <c r="H721" s="125">
        <f t="shared" si="17"/>
        <v>11</v>
      </c>
      <c r="I721" s="746"/>
      <c r="J721" s="747"/>
      <c r="K721" s="748"/>
      <c r="L721" s="746"/>
      <c r="M721" s="747"/>
      <c r="N721" s="753"/>
    </row>
    <row r="722" spans="2:14" ht="14.25" hidden="1" customHeight="1" x14ac:dyDescent="0.25">
      <c r="B722" s="124"/>
      <c r="C722" s="781"/>
      <c r="D722" s="125">
        <v>6</v>
      </c>
      <c r="E722" s="125"/>
      <c r="F722" s="125">
        <v>1.84</v>
      </c>
      <c r="G722" s="125">
        <v>1.9</v>
      </c>
      <c r="H722" s="125">
        <f t="shared" si="17"/>
        <v>21</v>
      </c>
      <c r="I722" s="746"/>
      <c r="J722" s="747"/>
      <c r="K722" s="748"/>
      <c r="L722" s="746"/>
      <c r="M722" s="747"/>
      <c r="N722" s="753"/>
    </row>
    <row r="723" spans="2:14" ht="14.25" hidden="1" customHeight="1" x14ac:dyDescent="0.25">
      <c r="B723" s="124"/>
      <c r="C723" s="765" t="s">
        <v>442</v>
      </c>
      <c r="D723" s="125">
        <v>32</v>
      </c>
      <c r="E723" s="125"/>
      <c r="F723" s="125">
        <v>0.7</v>
      </c>
      <c r="G723" s="125">
        <v>1.8</v>
      </c>
      <c r="H723" s="125">
        <f t="shared" si="17"/>
        <v>40</v>
      </c>
      <c r="I723" s="746"/>
      <c r="J723" s="747"/>
      <c r="K723" s="748"/>
      <c r="L723" s="746"/>
      <c r="M723" s="747"/>
      <c r="N723" s="753"/>
    </row>
    <row r="724" spans="2:14" ht="14.25" hidden="1" customHeight="1" x14ac:dyDescent="0.25">
      <c r="B724" s="124"/>
      <c r="C724" s="780"/>
      <c r="D724" s="125">
        <v>6</v>
      </c>
      <c r="E724" s="125"/>
      <c r="F724" s="125">
        <v>1.57</v>
      </c>
      <c r="G724" s="125">
        <v>1.84</v>
      </c>
      <c r="H724" s="125">
        <f t="shared" si="17"/>
        <v>17</v>
      </c>
      <c r="I724" s="746"/>
      <c r="J724" s="747"/>
      <c r="K724" s="748"/>
      <c r="L724" s="746"/>
      <c r="M724" s="747"/>
      <c r="N724" s="753"/>
    </row>
    <row r="725" spans="2:14" ht="14.25" hidden="1" customHeight="1" x14ac:dyDescent="0.25">
      <c r="B725" s="124"/>
      <c r="C725" s="780"/>
      <c r="D725" s="125">
        <v>4</v>
      </c>
      <c r="E725" s="125"/>
      <c r="F725" s="125">
        <v>0.95</v>
      </c>
      <c r="G725" s="125">
        <v>2.82</v>
      </c>
      <c r="H725" s="125">
        <f t="shared" si="17"/>
        <v>11</v>
      </c>
      <c r="I725" s="746"/>
      <c r="J725" s="747"/>
      <c r="K725" s="748"/>
      <c r="L725" s="746"/>
      <c r="M725" s="747"/>
      <c r="N725" s="753"/>
    </row>
    <row r="726" spans="2:14" ht="14.25" hidden="1" customHeight="1" x14ac:dyDescent="0.25">
      <c r="B726" s="124"/>
      <c r="C726" s="781"/>
      <c r="D726" s="125">
        <v>12</v>
      </c>
      <c r="E726" s="125"/>
      <c r="F726" s="125">
        <v>0.93</v>
      </c>
      <c r="G726" s="125">
        <v>1.8</v>
      </c>
      <c r="H726" s="125">
        <f t="shared" si="17"/>
        <v>20</v>
      </c>
      <c r="I726" s="746"/>
      <c r="J726" s="747"/>
      <c r="K726" s="748"/>
      <c r="L726" s="746"/>
      <c r="M726" s="747"/>
      <c r="N726" s="753"/>
    </row>
    <row r="727" spans="2:14" ht="14.25" hidden="1" customHeight="1" x14ac:dyDescent="0.25">
      <c r="B727" s="124"/>
      <c r="C727" s="765" t="s">
        <v>443</v>
      </c>
      <c r="D727" s="125">
        <v>5</v>
      </c>
      <c r="E727" s="125"/>
      <c r="F727" s="125">
        <v>1.57</v>
      </c>
      <c r="G727" s="125">
        <v>1.84</v>
      </c>
      <c r="H727" s="125">
        <f t="shared" si="17"/>
        <v>14</v>
      </c>
      <c r="I727" s="746"/>
      <c r="J727" s="747"/>
      <c r="K727" s="748"/>
      <c r="L727" s="746"/>
      <c r="M727" s="747"/>
      <c r="N727" s="753"/>
    </row>
    <row r="728" spans="2:14" ht="14.25" hidden="1" customHeight="1" x14ac:dyDescent="0.25">
      <c r="B728" s="124"/>
      <c r="C728" s="780"/>
      <c r="D728" s="125">
        <v>21</v>
      </c>
      <c r="E728" s="125"/>
      <c r="F728" s="125">
        <v>0.72</v>
      </c>
      <c r="G728" s="125">
        <v>1.8</v>
      </c>
      <c r="H728" s="125">
        <f t="shared" si="17"/>
        <v>27</v>
      </c>
      <c r="I728" s="746"/>
      <c r="J728" s="747"/>
      <c r="K728" s="748"/>
      <c r="L728" s="746"/>
      <c r="M728" s="747"/>
      <c r="N728" s="753"/>
    </row>
    <row r="729" spans="2:14" ht="14.25" hidden="1" customHeight="1" x14ac:dyDescent="0.25">
      <c r="B729" s="124"/>
      <c r="C729" s="780"/>
      <c r="D729" s="125">
        <v>2</v>
      </c>
      <c r="E729" s="125"/>
      <c r="F729" s="125">
        <v>1</v>
      </c>
      <c r="G729" s="125">
        <v>1.9</v>
      </c>
      <c r="H729" s="125">
        <f t="shared" si="17"/>
        <v>4</v>
      </c>
      <c r="I729" s="746"/>
      <c r="J729" s="747"/>
      <c r="K729" s="748"/>
      <c r="L729" s="746"/>
      <c r="M729" s="747"/>
      <c r="N729" s="753"/>
    </row>
    <row r="730" spans="2:14" ht="14.25" hidden="1" customHeight="1" x14ac:dyDescent="0.25">
      <c r="B730" s="124"/>
      <c r="C730" s="781"/>
      <c r="D730" s="125">
        <v>4</v>
      </c>
      <c r="E730" s="125"/>
      <c r="F730" s="125">
        <v>0.95</v>
      </c>
      <c r="G730" s="125">
        <v>2.82</v>
      </c>
      <c r="H730" s="125">
        <f t="shared" si="17"/>
        <v>11</v>
      </c>
      <c r="I730" s="746"/>
      <c r="J730" s="747"/>
      <c r="K730" s="748"/>
      <c r="L730" s="746"/>
      <c r="M730" s="747"/>
      <c r="N730" s="753"/>
    </row>
    <row r="731" spans="2:14" ht="14.25" hidden="1" customHeight="1" x14ac:dyDescent="0.25">
      <c r="B731" s="124"/>
      <c r="C731" s="138" t="s">
        <v>445</v>
      </c>
      <c r="D731" s="125"/>
      <c r="E731" s="125"/>
      <c r="F731" s="125"/>
      <c r="G731" s="125"/>
      <c r="H731" s="134">
        <v>-66.099999999999994</v>
      </c>
      <c r="I731" s="746"/>
      <c r="J731" s="747"/>
      <c r="K731" s="748"/>
      <c r="L731" s="746"/>
      <c r="M731" s="747"/>
      <c r="N731" s="753"/>
    </row>
    <row r="732" spans="2:14" ht="14.25" hidden="1" customHeight="1" x14ac:dyDescent="0.25">
      <c r="B732" s="127"/>
      <c r="C732" s="125"/>
      <c r="D732" s="125"/>
      <c r="E732" s="125"/>
      <c r="F732" s="125"/>
      <c r="G732" s="125"/>
      <c r="H732" s="125"/>
      <c r="I732" s="749"/>
      <c r="J732" s="750"/>
      <c r="K732" s="751"/>
      <c r="L732" s="749"/>
      <c r="M732" s="750"/>
      <c r="N732" s="754"/>
    </row>
    <row r="733" spans="2:14" ht="14.25" hidden="1" customHeight="1" x14ac:dyDescent="0.25">
      <c r="B733" s="209"/>
      <c r="C733" s="118"/>
      <c r="D733" s="118"/>
      <c r="E733" s="118"/>
      <c r="F733" s="118"/>
      <c r="G733" s="118"/>
      <c r="H733" s="118"/>
      <c r="I733" s="118"/>
      <c r="J733" s="118"/>
      <c r="K733" s="118"/>
      <c r="L733" s="118"/>
      <c r="M733" s="118"/>
      <c r="N733" s="210"/>
    </row>
    <row r="734" spans="2:14" ht="14.25" hidden="1" customHeight="1" x14ac:dyDescent="0.25">
      <c r="B734" s="209"/>
      <c r="C734" s="118"/>
      <c r="D734" s="118"/>
      <c r="E734" s="118"/>
      <c r="F734" s="118"/>
      <c r="G734" s="118"/>
      <c r="H734" s="118"/>
      <c r="I734" s="118"/>
      <c r="J734" s="118"/>
      <c r="K734" s="118"/>
      <c r="L734" s="118"/>
      <c r="M734" s="118"/>
      <c r="N734" s="210"/>
    </row>
    <row r="735" spans="2:14" ht="14.25" hidden="1" customHeight="1" x14ac:dyDescent="0.25">
      <c r="B735" s="209"/>
      <c r="C735" s="118"/>
      <c r="D735" s="118"/>
      <c r="E735" s="118"/>
      <c r="F735" s="118"/>
      <c r="G735" s="118"/>
      <c r="H735" s="118"/>
      <c r="I735" s="118"/>
      <c r="J735" s="118"/>
      <c r="K735" s="118"/>
      <c r="L735" s="118"/>
      <c r="M735" s="118"/>
      <c r="N735" s="210"/>
    </row>
    <row r="736" spans="2:14" ht="14.25" hidden="1" customHeight="1" x14ac:dyDescent="0.25">
      <c r="B736" s="209"/>
      <c r="C736" s="118"/>
      <c r="D736" s="118"/>
      <c r="E736" s="118"/>
      <c r="F736" s="118"/>
      <c r="G736" s="118"/>
      <c r="H736" s="118"/>
      <c r="I736" s="118"/>
      <c r="J736" s="118"/>
      <c r="K736" s="118"/>
      <c r="L736" s="118"/>
      <c r="M736" s="118"/>
      <c r="N736" s="210"/>
    </row>
    <row r="737" spans="2:14" ht="14.25" hidden="1" customHeight="1" x14ac:dyDescent="0.25">
      <c r="B737" s="775" t="s">
        <v>414</v>
      </c>
      <c r="C737" s="747"/>
      <c r="D737" s="747"/>
      <c r="E737" s="128"/>
      <c r="F737" s="128"/>
      <c r="G737" s="128"/>
      <c r="H737" s="128"/>
      <c r="I737" s="776"/>
      <c r="J737" s="747"/>
      <c r="K737" s="747"/>
      <c r="L737" s="118"/>
      <c r="M737" s="118"/>
      <c r="N737" s="210"/>
    </row>
    <row r="738" spans="2:14" ht="14.25" hidden="1" customHeight="1" x14ac:dyDescent="0.25">
      <c r="B738" s="129"/>
      <c r="C738" s="130"/>
      <c r="D738" s="130"/>
      <c r="E738" s="130"/>
      <c r="F738" s="130"/>
      <c r="G738" s="130"/>
      <c r="H738" s="130"/>
      <c r="I738" s="130"/>
      <c r="J738" s="130"/>
      <c r="K738" s="130"/>
      <c r="L738" s="130"/>
      <c r="M738" s="130"/>
      <c r="N738" s="131"/>
    </row>
    <row r="739" spans="2:14" ht="14.25" hidden="1" customHeight="1" x14ac:dyDescent="0.25">
      <c r="B739" s="118"/>
      <c r="C739" s="118"/>
      <c r="D739" s="118"/>
      <c r="E739" s="118"/>
      <c r="F739" s="118"/>
      <c r="G739" s="118"/>
      <c r="H739" s="118"/>
      <c r="I739" s="118"/>
      <c r="J739" s="118"/>
      <c r="K739" s="118"/>
      <c r="L739" s="118"/>
      <c r="M739" s="118"/>
      <c r="N739" s="118"/>
    </row>
    <row r="740" spans="2:14" ht="39.75" hidden="1" customHeight="1" x14ac:dyDescent="0.25">
      <c r="B740" s="728"/>
      <c r="C740" s="729"/>
      <c r="D740" s="730" t="s">
        <v>393</v>
      </c>
      <c r="E740" s="729"/>
      <c r="F740" s="729"/>
      <c r="G740" s="729"/>
      <c r="H740" s="729"/>
      <c r="I740" s="729"/>
      <c r="J740" s="729"/>
      <c r="K740" s="729"/>
      <c r="L740" s="729"/>
      <c r="M740" s="729"/>
      <c r="N740" s="731"/>
    </row>
    <row r="741" spans="2:14" ht="32.25" hidden="1" customHeight="1" x14ac:dyDescent="0.25">
      <c r="B741" s="732" t="s">
        <v>394</v>
      </c>
      <c r="C741" s="733"/>
      <c r="D741" s="733"/>
      <c r="E741" s="733"/>
      <c r="F741" s="733"/>
      <c r="G741" s="733"/>
      <c r="H741" s="733"/>
      <c r="I741" s="733"/>
      <c r="J741" s="733"/>
      <c r="K741" s="733"/>
      <c r="L741" s="733"/>
      <c r="M741" s="733"/>
      <c r="N741" s="734"/>
    </row>
    <row r="742" spans="2:14" ht="14.25" hidden="1" customHeight="1" x14ac:dyDescent="0.25">
      <c r="B742" s="735" t="s">
        <v>395</v>
      </c>
      <c r="C742" s="736"/>
      <c r="D742" s="779" t="s">
        <v>446</v>
      </c>
      <c r="E742" s="733"/>
      <c r="F742" s="733"/>
      <c r="G742" s="733"/>
      <c r="H742" s="733"/>
      <c r="I742" s="733"/>
      <c r="J742" s="733"/>
      <c r="K742" s="733"/>
      <c r="L742" s="733"/>
      <c r="M742" s="733"/>
      <c r="N742" s="734"/>
    </row>
    <row r="743" spans="2:14" ht="14.25" hidden="1" customHeight="1" x14ac:dyDescent="0.25">
      <c r="B743" s="740" t="s">
        <v>26</v>
      </c>
      <c r="C743" s="741"/>
      <c r="D743" s="119" t="s">
        <v>396</v>
      </c>
      <c r="E743" s="742" t="s">
        <v>397</v>
      </c>
      <c r="F743" s="733"/>
      <c r="G743" s="733"/>
      <c r="H743" s="736"/>
      <c r="I743" s="742" t="s">
        <v>398</v>
      </c>
      <c r="J743" s="733"/>
      <c r="K743" s="736"/>
      <c r="L743" s="742" t="s">
        <v>399</v>
      </c>
      <c r="M743" s="733"/>
      <c r="N743" s="734"/>
    </row>
    <row r="744" spans="2:14" ht="14.25" hidden="1" customHeight="1" x14ac:dyDescent="0.25">
      <c r="B744" s="777">
        <v>18</v>
      </c>
      <c r="C744" s="736"/>
      <c r="D744" s="123">
        <f>SUM(H747:H764)</f>
        <v>114.4</v>
      </c>
      <c r="E744" s="778" t="s">
        <v>51</v>
      </c>
      <c r="F744" s="733"/>
      <c r="G744" s="733"/>
      <c r="H744" s="736"/>
      <c r="I744" s="744"/>
      <c r="J744" s="745"/>
      <c r="K744" s="741"/>
      <c r="L744" s="744"/>
      <c r="M744" s="745"/>
      <c r="N744" s="752"/>
    </row>
    <row r="745" spans="2:14" ht="14.25" hidden="1" customHeight="1" x14ac:dyDescent="0.25">
      <c r="B745" s="755" t="s">
        <v>416</v>
      </c>
      <c r="C745" s="733"/>
      <c r="D745" s="733"/>
      <c r="E745" s="733"/>
      <c r="F745" s="733"/>
      <c r="G745" s="733"/>
      <c r="H745" s="736"/>
      <c r="I745" s="746"/>
      <c r="J745" s="747"/>
      <c r="K745" s="748"/>
      <c r="L745" s="746"/>
      <c r="M745" s="747"/>
      <c r="N745" s="753"/>
    </row>
    <row r="746" spans="2:14" ht="14.25" hidden="1" customHeight="1" x14ac:dyDescent="0.25">
      <c r="B746" s="121" t="s">
        <v>400</v>
      </c>
      <c r="C746" s="122" t="s">
        <v>401</v>
      </c>
      <c r="D746" s="123" t="s">
        <v>402</v>
      </c>
      <c r="E746" s="123" t="s">
        <v>403</v>
      </c>
      <c r="F746" s="123" t="s">
        <v>404</v>
      </c>
      <c r="G746" s="123" t="s">
        <v>405</v>
      </c>
      <c r="H746" s="123" t="s">
        <v>406</v>
      </c>
      <c r="I746" s="746"/>
      <c r="J746" s="747"/>
      <c r="K746" s="748"/>
      <c r="L746" s="746"/>
      <c r="M746" s="747"/>
      <c r="N746" s="753"/>
    </row>
    <row r="747" spans="2:14" ht="14.25" hidden="1" customHeight="1" x14ac:dyDescent="0.25">
      <c r="B747" s="124" t="s">
        <v>447</v>
      </c>
      <c r="C747" s="765" t="s">
        <v>440</v>
      </c>
      <c r="D747" s="125">
        <v>1</v>
      </c>
      <c r="E747" s="125"/>
      <c r="F747" s="125">
        <v>3.2</v>
      </c>
      <c r="G747" s="125">
        <v>6</v>
      </c>
      <c r="H747" s="125">
        <f t="shared" ref="H747:H748" si="18">ROUND(D747*F747*G747,0)</f>
        <v>19</v>
      </c>
      <c r="I747" s="746"/>
      <c r="J747" s="747"/>
      <c r="K747" s="748"/>
      <c r="L747" s="746"/>
      <c r="M747" s="747"/>
      <c r="N747" s="753"/>
    </row>
    <row r="748" spans="2:14" ht="14.25" hidden="1" customHeight="1" x14ac:dyDescent="0.25">
      <c r="B748" s="124" t="s">
        <v>448</v>
      </c>
      <c r="C748" s="780"/>
      <c r="D748" s="125">
        <v>4</v>
      </c>
      <c r="E748" s="125"/>
      <c r="F748" s="125">
        <v>1.5</v>
      </c>
      <c r="G748" s="125">
        <v>3</v>
      </c>
      <c r="H748" s="125">
        <f t="shared" si="18"/>
        <v>18</v>
      </c>
      <c r="I748" s="746"/>
      <c r="J748" s="747"/>
      <c r="K748" s="748"/>
      <c r="L748" s="746"/>
      <c r="M748" s="747"/>
      <c r="N748" s="753"/>
    </row>
    <row r="749" spans="2:14" ht="14.25" hidden="1" customHeight="1" x14ac:dyDescent="0.25">
      <c r="B749" s="124"/>
      <c r="C749" s="780"/>
      <c r="D749" s="125"/>
      <c r="E749" s="125"/>
      <c r="F749" s="125"/>
      <c r="G749" s="125"/>
      <c r="H749" s="125"/>
      <c r="I749" s="746"/>
      <c r="J749" s="747"/>
      <c r="K749" s="748"/>
      <c r="L749" s="746"/>
      <c r="M749" s="747"/>
      <c r="N749" s="753"/>
    </row>
    <row r="750" spans="2:14" ht="14.25" hidden="1" customHeight="1" x14ac:dyDescent="0.25">
      <c r="B750" s="124" t="s">
        <v>448</v>
      </c>
      <c r="C750" s="765" t="s">
        <v>441</v>
      </c>
      <c r="D750" s="125">
        <v>3</v>
      </c>
      <c r="E750" s="125"/>
      <c r="F750" s="138">
        <v>1.8</v>
      </c>
      <c r="G750" s="138">
        <v>1.9</v>
      </c>
      <c r="H750" s="125">
        <f>ROUND(D750*F750*G750,0)</f>
        <v>10</v>
      </c>
      <c r="I750" s="746"/>
      <c r="J750" s="747"/>
      <c r="K750" s="748"/>
      <c r="L750" s="746"/>
      <c r="M750" s="747"/>
      <c r="N750" s="753"/>
    </row>
    <row r="751" spans="2:14" ht="14.25" hidden="1" customHeight="1" x14ac:dyDescent="0.25">
      <c r="B751" s="124" t="s">
        <v>448</v>
      </c>
      <c r="C751" s="780"/>
      <c r="D751" s="125">
        <v>5</v>
      </c>
      <c r="E751" s="125"/>
      <c r="F751" s="138">
        <v>1.5</v>
      </c>
      <c r="G751" s="138">
        <v>3</v>
      </c>
      <c r="H751" s="125"/>
      <c r="I751" s="746"/>
      <c r="J751" s="747"/>
      <c r="K751" s="748"/>
      <c r="L751" s="746"/>
      <c r="M751" s="747"/>
      <c r="N751" s="753"/>
    </row>
    <row r="752" spans="2:14" ht="14.25" hidden="1" customHeight="1" x14ac:dyDescent="0.25">
      <c r="B752" s="124"/>
      <c r="C752" s="781"/>
      <c r="D752" s="125"/>
      <c r="E752" s="125"/>
      <c r="F752" s="138"/>
      <c r="G752" s="138"/>
      <c r="H752" s="125"/>
      <c r="I752" s="746"/>
      <c r="J752" s="747"/>
      <c r="K752" s="748"/>
      <c r="L752" s="746"/>
      <c r="M752" s="747"/>
      <c r="N752" s="753"/>
    </row>
    <row r="753" spans="2:14" ht="14.25" hidden="1" customHeight="1" x14ac:dyDescent="0.25">
      <c r="B753" s="124"/>
      <c r="C753" s="765" t="s">
        <v>442</v>
      </c>
      <c r="D753" s="125">
        <v>6</v>
      </c>
      <c r="E753" s="125"/>
      <c r="F753" s="138">
        <v>1.5</v>
      </c>
      <c r="G753" s="138">
        <v>3</v>
      </c>
      <c r="H753" s="125">
        <f>ROUND(D753*F753*G753,0)</f>
        <v>27</v>
      </c>
      <c r="I753" s="746"/>
      <c r="J753" s="747"/>
      <c r="K753" s="748"/>
      <c r="L753" s="746"/>
      <c r="M753" s="747"/>
      <c r="N753" s="753"/>
    </row>
    <row r="754" spans="2:14" ht="14.25" hidden="1" customHeight="1" x14ac:dyDescent="0.25">
      <c r="B754" s="124" t="s">
        <v>448</v>
      </c>
      <c r="C754" s="780"/>
      <c r="D754" s="125"/>
      <c r="E754" s="125"/>
      <c r="F754" s="138"/>
      <c r="G754" s="138"/>
      <c r="H754" s="125"/>
      <c r="I754" s="746"/>
      <c r="J754" s="747"/>
      <c r="K754" s="748"/>
      <c r="L754" s="746"/>
      <c r="M754" s="747"/>
      <c r="N754" s="753"/>
    </row>
    <row r="755" spans="2:14" ht="14.25" hidden="1" customHeight="1" x14ac:dyDescent="0.25">
      <c r="B755" s="124"/>
      <c r="C755" s="780"/>
      <c r="D755" s="125"/>
      <c r="E755" s="125"/>
      <c r="F755" s="125"/>
      <c r="G755" s="138"/>
      <c r="H755" s="125"/>
      <c r="I755" s="746"/>
      <c r="J755" s="747"/>
      <c r="K755" s="748"/>
      <c r="L755" s="746"/>
      <c r="M755" s="747"/>
      <c r="N755" s="753"/>
    </row>
    <row r="756" spans="2:14" ht="14.25" hidden="1" customHeight="1" x14ac:dyDescent="0.25">
      <c r="B756" s="124"/>
      <c r="C756" s="781"/>
      <c r="D756" s="125"/>
      <c r="E756" s="125"/>
      <c r="F756" s="125"/>
      <c r="G756" s="138"/>
      <c r="H756" s="125"/>
      <c r="I756" s="746"/>
      <c r="J756" s="747"/>
      <c r="K756" s="748"/>
      <c r="L756" s="746"/>
      <c r="M756" s="747"/>
      <c r="N756" s="753"/>
    </row>
    <row r="757" spans="2:14" ht="14.25" hidden="1" customHeight="1" x14ac:dyDescent="0.25">
      <c r="B757" s="124" t="s">
        <v>448</v>
      </c>
      <c r="C757" s="765" t="s">
        <v>449</v>
      </c>
      <c r="D757" s="125">
        <v>6</v>
      </c>
      <c r="E757" s="125"/>
      <c r="F757" s="125">
        <v>1.8</v>
      </c>
      <c r="G757" s="125">
        <v>1.9</v>
      </c>
      <c r="H757" s="125">
        <f t="shared" ref="H757:H758" si="19">ROUND(D757*F757*G757,0)</f>
        <v>21</v>
      </c>
      <c r="I757" s="746"/>
      <c r="J757" s="747"/>
      <c r="K757" s="748"/>
      <c r="L757" s="746"/>
      <c r="M757" s="747"/>
      <c r="N757" s="753"/>
    </row>
    <row r="758" spans="2:14" ht="14.25" hidden="1" customHeight="1" x14ac:dyDescent="0.25">
      <c r="B758" s="124" t="s">
        <v>448</v>
      </c>
      <c r="C758" s="780"/>
      <c r="D758" s="125">
        <v>4</v>
      </c>
      <c r="E758" s="125"/>
      <c r="F758" s="138">
        <v>1.8</v>
      </c>
      <c r="G758" s="138">
        <v>1.9</v>
      </c>
      <c r="H758" s="125">
        <f t="shared" si="19"/>
        <v>14</v>
      </c>
      <c r="I758" s="746"/>
      <c r="J758" s="747"/>
      <c r="K758" s="748"/>
      <c r="L758" s="746"/>
      <c r="M758" s="747"/>
      <c r="N758" s="753"/>
    </row>
    <row r="759" spans="2:14" ht="14.25" hidden="1" customHeight="1" x14ac:dyDescent="0.25">
      <c r="B759" s="124"/>
      <c r="C759" s="780"/>
      <c r="D759" s="125"/>
      <c r="E759" s="125"/>
      <c r="F759" s="125"/>
      <c r="G759" s="125"/>
      <c r="H759" s="125"/>
      <c r="I759" s="746"/>
      <c r="J759" s="747"/>
      <c r="K759" s="748"/>
      <c r="L759" s="746"/>
      <c r="M759" s="747"/>
      <c r="N759" s="753"/>
    </row>
    <row r="760" spans="2:14" ht="14.25" hidden="1" customHeight="1" x14ac:dyDescent="0.25">
      <c r="B760" s="124"/>
      <c r="C760" s="780"/>
      <c r="D760" s="125"/>
      <c r="E760" s="125"/>
      <c r="F760" s="125"/>
      <c r="G760" s="125"/>
      <c r="H760" s="125"/>
      <c r="I760" s="746"/>
      <c r="J760" s="747"/>
      <c r="K760" s="748"/>
      <c r="L760" s="746"/>
      <c r="M760" s="747"/>
      <c r="N760" s="753"/>
    </row>
    <row r="761" spans="2:14" ht="14.25" hidden="1" customHeight="1" x14ac:dyDescent="0.25">
      <c r="B761" s="124" t="s">
        <v>450</v>
      </c>
      <c r="C761" s="125"/>
      <c r="D761" s="125"/>
      <c r="E761" s="125"/>
      <c r="F761" s="125">
        <v>1</v>
      </c>
      <c r="G761" s="125">
        <v>2</v>
      </c>
      <c r="H761" s="125">
        <f t="shared" ref="H761:H762" si="20">F761*G761</f>
        <v>2</v>
      </c>
      <c r="I761" s="746"/>
      <c r="J761" s="747"/>
      <c r="K761" s="748"/>
      <c r="L761" s="746"/>
      <c r="M761" s="747"/>
      <c r="N761" s="753"/>
    </row>
    <row r="762" spans="2:14" ht="14.25" hidden="1" customHeight="1" x14ac:dyDescent="0.25">
      <c r="B762" s="124" t="s">
        <v>451</v>
      </c>
      <c r="C762" s="125"/>
      <c r="D762" s="125"/>
      <c r="E762" s="125"/>
      <c r="F762" s="125">
        <v>1.7</v>
      </c>
      <c r="G762" s="125">
        <v>2</v>
      </c>
      <c r="H762" s="125">
        <f t="shared" si="20"/>
        <v>3.4</v>
      </c>
      <c r="I762" s="746"/>
      <c r="J762" s="747"/>
      <c r="K762" s="748"/>
      <c r="L762" s="746"/>
      <c r="M762" s="747"/>
      <c r="N762" s="753"/>
    </row>
    <row r="763" spans="2:14" ht="14.25" hidden="1" customHeight="1" x14ac:dyDescent="0.25">
      <c r="B763" s="124"/>
      <c r="C763" s="125"/>
      <c r="D763" s="125"/>
      <c r="E763" s="125"/>
      <c r="F763" s="125"/>
      <c r="G763" s="125"/>
      <c r="H763" s="125"/>
      <c r="I763" s="746"/>
      <c r="J763" s="747"/>
      <c r="K763" s="748"/>
      <c r="L763" s="746"/>
      <c r="M763" s="747"/>
      <c r="N763" s="753"/>
    </row>
    <row r="764" spans="2:14" ht="14.25" hidden="1" customHeight="1" x14ac:dyDescent="0.25">
      <c r="B764" s="127"/>
      <c r="C764" s="125"/>
      <c r="D764" s="125"/>
      <c r="E764" s="125"/>
      <c r="F764" s="125"/>
      <c r="G764" s="125"/>
      <c r="H764" s="125"/>
      <c r="I764" s="749"/>
      <c r="J764" s="750"/>
      <c r="K764" s="751"/>
      <c r="L764" s="749"/>
      <c r="M764" s="750"/>
      <c r="N764" s="754"/>
    </row>
    <row r="765" spans="2:14" ht="14.25" hidden="1" customHeight="1" x14ac:dyDescent="0.25">
      <c r="B765" s="209"/>
      <c r="C765" s="118"/>
      <c r="D765" s="118"/>
      <c r="E765" s="118"/>
      <c r="F765" s="118"/>
      <c r="G765" s="118"/>
      <c r="H765" s="118"/>
      <c r="I765" s="118"/>
      <c r="J765" s="118"/>
      <c r="K765" s="118"/>
      <c r="L765" s="118"/>
      <c r="M765" s="118"/>
      <c r="N765" s="210"/>
    </row>
    <row r="766" spans="2:14" ht="14.25" hidden="1" customHeight="1" x14ac:dyDescent="0.25">
      <c r="B766" s="209"/>
      <c r="C766" s="118"/>
      <c r="D766" s="118"/>
      <c r="E766" s="118"/>
      <c r="F766" s="118"/>
      <c r="G766" s="118"/>
      <c r="H766" s="118"/>
      <c r="I766" s="118"/>
      <c r="J766" s="118"/>
      <c r="K766" s="118"/>
      <c r="L766" s="118"/>
      <c r="M766" s="118"/>
      <c r="N766" s="210"/>
    </row>
    <row r="767" spans="2:14" ht="14.25" hidden="1" customHeight="1" x14ac:dyDescent="0.25">
      <c r="B767" s="209"/>
      <c r="C767" s="118"/>
      <c r="D767" s="118"/>
      <c r="E767" s="118"/>
      <c r="F767" s="118"/>
      <c r="G767" s="118"/>
      <c r="H767" s="118"/>
      <c r="I767" s="118"/>
      <c r="J767" s="118"/>
      <c r="K767" s="118"/>
      <c r="L767" s="118"/>
      <c r="M767" s="118"/>
      <c r="N767" s="210"/>
    </row>
    <row r="768" spans="2:14" ht="14.25" hidden="1" customHeight="1" x14ac:dyDescent="0.25">
      <c r="B768" s="209"/>
      <c r="C768" s="118"/>
      <c r="D768" s="118"/>
      <c r="E768" s="118"/>
      <c r="F768" s="118"/>
      <c r="G768" s="118"/>
      <c r="H768" s="118"/>
      <c r="I768" s="118"/>
      <c r="J768" s="118"/>
      <c r="K768" s="118"/>
      <c r="L768" s="118"/>
      <c r="M768" s="118"/>
      <c r="N768" s="210"/>
    </row>
    <row r="769" spans="2:14" ht="14.25" hidden="1" customHeight="1" x14ac:dyDescent="0.25">
      <c r="B769" s="775" t="s">
        <v>414</v>
      </c>
      <c r="C769" s="747"/>
      <c r="D769" s="747"/>
      <c r="E769" s="128"/>
      <c r="F769" s="128"/>
      <c r="G769" s="128"/>
      <c r="H769" s="128"/>
      <c r="I769" s="776"/>
      <c r="J769" s="747"/>
      <c r="K769" s="747"/>
      <c r="L769" s="118"/>
      <c r="M769" s="118"/>
      <c r="N769" s="210"/>
    </row>
    <row r="770" spans="2:14" ht="14.25" hidden="1" customHeight="1" x14ac:dyDescent="0.25">
      <c r="B770" s="129"/>
      <c r="C770" s="130"/>
      <c r="D770" s="130"/>
      <c r="E770" s="130"/>
      <c r="F770" s="130"/>
      <c r="G770" s="130"/>
      <c r="H770" s="130"/>
      <c r="I770" s="130"/>
      <c r="J770" s="130"/>
      <c r="K770" s="130"/>
      <c r="L770" s="130"/>
      <c r="M770" s="130"/>
      <c r="N770" s="131"/>
    </row>
    <row r="771" spans="2:14" ht="14.25" hidden="1" customHeight="1" x14ac:dyDescent="0.25"/>
    <row r="772" spans="2:14" ht="39.75" hidden="1" customHeight="1" x14ac:dyDescent="0.25">
      <c r="B772" s="728"/>
      <c r="C772" s="729"/>
      <c r="D772" s="730" t="s">
        <v>393</v>
      </c>
      <c r="E772" s="729"/>
      <c r="F772" s="729"/>
      <c r="G772" s="729"/>
      <c r="H772" s="729"/>
      <c r="I772" s="729"/>
      <c r="J772" s="729"/>
      <c r="K772" s="729"/>
      <c r="L772" s="729"/>
      <c r="M772" s="729"/>
      <c r="N772" s="731"/>
    </row>
    <row r="773" spans="2:14" ht="32.25" hidden="1" customHeight="1" x14ac:dyDescent="0.25">
      <c r="B773" s="732" t="s">
        <v>394</v>
      </c>
      <c r="C773" s="733"/>
      <c r="D773" s="733"/>
      <c r="E773" s="733"/>
      <c r="F773" s="733"/>
      <c r="G773" s="733"/>
      <c r="H773" s="733"/>
      <c r="I773" s="733"/>
      <c r="J773" s="733"/>
      <c r="K773" s="733"/>
      <c r="L773" s="733"/>
      <c r="M773" s="733"/>
      <c r="N773" s="734"/>
    </row>
    <row r="774" spans="2:14" ht="14.25" hidden="1" customHeight="1" x14ac:dyDescent="0.25">
      <c r="B774" s="735" t="s">
        <v>395</v>
      </c>
      <c r="C774" s="736"/>
      <c r="D774" s="779" t="s">
        <v>452</v>
      </c>
      <c r="E774" s="733"/>
      <c r="F774" s="733"/>
      <c r="G774" s="733"/>
      <c r="H774" s="733"/>
      <c r="I774" s="733"/>
      <c r="J774" s="733"/>
      <c r="K774" s="733"/>
      <c r="L774" s="733"/>
      <c r="M774" s="733"/>
      <c r="N774" s="734"/>
    </row>
    <row r="775" spans="2:14" ht="14.25" hidden="1" customHeight="1" x14ac:dyDescent="0.25">
      <c r="B775" s="740" t="s">
        <v>26</v>
      </c>
      <c r="C775" s="741"/>
      <c r="D775" s="119" t="s">
        <v>396</v>
      </c>
      <c r="E775" s="742" t="s">
        <v>397</v>
      </c>
      <c r="F775" s="733"/>
      <c r="G775" s="733"/>
      <c r="H775" s="736"/>
      <c r="I775" s="742" t="s">
        <v>398</v>
      </c>
      <c r="J775" s="733"/>
      <c r="K775" s="736"/>
      <c r="L775" s="742" t="s">
        <v>399</v>
      </c>
      <c r="M775" s="733"/>
      <c r="N775" s="734"/>
    </row>
    <row r="776" spans="2:14" ht="14.25" hidden="1" customHeight="1" x14ac:dyDescent="0.25">
      <c r="B776" s="777"/>
      <c r="C776" s="736"/>
      <c r="D776" s="123">
        <f>SUM(H779:H796)</f>
        <v>171</v>
      </c>
      <c r="E776" s="778" t="s">
        <v>51</v>
      </c>
      <c r="F776" s="733"/>
      <c r="G776" s="733"/>
      <c r="H776" s="736"/>
      <c r="I776" s="744"/>
      <c r="J776" s="745"/>
      <c r="K776" s="741"/>
      <c r="L776" s="744"/>
      <c r="M776" s="745"/>
      <c r="N776" s="752"/>
    </row>
    <row r="777" spans="2:14" ht="14.25" hidden="1" customHeight="1" x14ac:dyDescent="0.25">
      <c r="B777" s="755" t="s">
        <v>416</v>
      </c>
      <c r="C777" s="733"/>
      <c r="D777" s="733"/>
      <c r="E777" s="733"/>
      <c r="F777" s="733"/>
      <c r="G777" s="733"/>
      <c r="H777" s="736"/>
      <c r="I777" s="746"/>
      <c r="J777" s="747"/>
      <c r="K777" s="748"/>
      <c r="L777" s="746"/>
      <c r="M777" s="747"/>
      <c r="N777" s="753"/>
    </row>
    <row r="778" spans="2:14" ht="14.25" hidden="1" customHeight="1" x14ac:dyDescent="0.25">
      <c r="B778" s="121" t="s">
        <v>400</v>
      </c>
      <c r="C778" s="122" t="s">
        <v>401</v>
      </c>
      <c r="D778" s="123" t="s">
        <v>402</v>
      </c>
      <c r="E778" s="123" t="s">
        <v>403</v>
      </c>
      <c r="F778" s="123" t="s">
        <v>404</v>
      </c>
      <c r="G778" s="123" t="s">
        <v>405</v>
      </c>
      <c r="H778" s="123" t="s">
        <v>406</v>
      </c>
      <c r="I778" s="746"/>
      <c r="J778" s="747"/>
      <c r="K778" s="748"/>
      <c r="L778" s="746"/>
      <c r="M778" s="747"/>
      <c r="N778" s="753"/>
    </row>
    <row r="779" spans="2:14" ht="14.25" hidden="1" customHeight="1" x14ac:dyDescent="0.25">
      <c r="B779" s="124"/>
      <c r="C779" s="765" t="s">
        <v>453</v>
      </c>
      <c r="D779" s="125"/>
      <c r="E779" s="125"/>
      <c r="F779" s="125">
        <v>2.7</v>
      </c>
      <c r="G779" s="125">
        <v>3</v>
      </c>
      <c r="H779" s="125">
        <f t="shared" ref="H779:H783" si="21">ROUND(F779*G779,0)</f>
        <v>8</v>
      </c>
      <c r="I779" s="746"/>
      <c r="J779" s="747"/>
      <c r="K779" s="748"/>
      <c r="L779" s="746"/>
      <c r="M779" s="747"/>
      <c r="N779" s="753"/>
    </row>
    <row r="780" spans="2:14" ht="14.25" hidden="1" customHeight="1" x14ac:dyDescent="0.25">
      <c r="B780" s="124"/>
      <c r="C780" s="780"/>
      <c r="D780" s="125"/>
      <c r="E780" s="125"/>
      <c r="F780" s="125">
        <v>35</v>
      </c>
      <c r="G780" s="125">
        <v>3</v>
      </c>
      <c r="H780" s="125">
        <f t="shared" si="21"/>
        <v>105</v>
      </c>
      <c r="I780" s="746"/>
      <c r="J780" s="747"/>
      <c r="K780" s="748"/>
      <c r="L780" s="746"/>
      <c r="M780" s="747"/>
      <c r="N780" s="753"/>
    </row>
    <row r="781" spans="2:14" ht="14.25" hidden="1" customHeight="1" x14ac:dyDescent="0.25">
      <c r="B781" s="124"/>
      <c r="C781" s="780"/>
      <c r="D781" s="125"/>
      <c r="E781" s="125"/>
      <c r="F781" s="125">
        <v>6.5</v>
      </c>
      <c r="G781" s="125">
        <v>3</v>
      </c>
      <c r="H781" s="125">
        <f t="shared" si="21"/>
        <v>20</v>
      </c>
      <c r="I781" s="746"/>
      <c r="J781" s="747"/>
      <c r="K781" s="748"/>
      <c r="L781" s="746"/>
      <c r="M781" s="747"/>
      <c r="N781" s="753"/>
    </row>
    <row r="782" spans="2:14" ht="14.25" hidden="1" customHeight="1" x14ac:dyDescent="0.25">
      <c r="B782" s="124"/>
      <c r="C782" s="781"/>
      <c r="D782" s="125"/>
      <c r="E782" s="125"/>
      <c r="F782" s="138">
        <v>6.5</v>
      </c>
      <c r="G782" s="138">
        <v>3</v>
      </c>
      <c r="H782" s="125">
        <f t="shared" si="21"/>
        <v>20</v>
      </c>
      <c r="I782" s="746"/>
      <c r="J782" s="747"/>
      <c r="K782" s="748"/>
      <c r="L782" s="746"/>
      <c r="M782" s="747"/>
      <c r="N782" s="753"/>
    </row>
    <row r="783" spans="2:14" ht="14.25" hidden="1" customHeight="1" x14ac:dyDescent="0.25">
      <c r="B783" s="124"/>
      <c r="C783" s="138" t="s">
        <v>454</v>
      </c>
      <c r="D783" s="125"/>
      <c r="E783" s="125"/>
      <c r="F783" s="138">
        <v>6</v>
      </c>
      <c r="G783" s="138">
        <v>3</v>
      </c>
      <c r="H783" s="125">
        <f t="shared" si="21"/>
        <v>18</v>
      </c>
      <c r="I783" s="746"/>
      <c r="J783" s="747"/>
      <c r="K783" s="748"/>
      <c r="L783" s="746"/>
      <c r="M783" s="747"/>
      <c r="N783" s="753"/>
    </row>
    <row r="784" spans="2:14" ht="14.25" hidden="1" customHeight="1" x14ac:dyDescent="0.25">
      <c r="B784" s="124"/>
      <c r="C784" s="145"/>
      <c r="D784" s="125"/>
      <c r="E784" s="125"/>
      <c r="F784" s="138"/>
      <c r="G784" s="138"/>
      <c r="H784" s="125"/>
      <c r="I784" s="746"/>
      <c r="J784" s="747"/>
      <c r="K784" s="748"/>
      <c r="L784" s="746"/>
      <c r="M784" s="747"/>
      <c r="N784" s="753"/>
    </row>
    <row r="785" spans="2:14" ht="14.25" hidden="1" customHeight="1" x14ac:dyDescent="0.25">
      <c r="B785" s="124"/>
      <c r="C785" s="145"/>
      <c r="D785" s="125"/>
      <c r="E785" s="125"/>
      <c r="F785" s="125"/>
      <c r="G785" s="138"/>
      <c r="H785" s="125"/>
      <c r="I785" s="746"/>
      <c r="J785" s="747"/>
      <c r="K785" s="748"/>
      <c r="L785" s="746"/>
      <c r="M785" s="747"/>
      <c r="N785" s="753"/>
    </row>
    <row r="786" spans="2:14" ht="14.25" hidden="1" customHeight="1" x14ac:dyDescent="0.25">
      <c r="B786" s="124"/>
      <c r="C786" s="145"/>
      <c r="D786" s="125"/>
      <c r="E786" s="125"/>
      <c r="F786" s="138"/>
      <c r="G786" s="138"/>
      <c r="H786" s="125"/>
      <c r="I786" s="746"/>
      <c r="J786" s="747"/>
      <c r="K786" s="748"/>
      <c r="L786" s="746"/>
      <c r="M786" s="747"/>
      <c r="N786" s="753"/>
    </row>
    <row r="787" spans="2:14" ht="14.25" hidden="1" customHeight="1" x14ac:dyDescent="0.25">
      <c r="B787" s="124"/>
      <c r="C787" s="145"/>
      <c r="D787" s="125"/>
      <c r="E787" s="125"/>
      <c r="F787" s="125"/>
      <c r="G787" s="138"/>
      <c r="H787" s="125"/>
      <c r="I787" s="746"/>
      <c r="J787" s="747"/>
      <c r="K787" s="748"/>
      <c r="L787" s="746"/>
      <c r="M787" s="747"/>
      <c r="N787" s="753"/>
    </row>
    <row r="788" spans="2:14" ht="14.25" hidden="1" customHeight="1" x14ac:dyDescent="0.25">
      <c r="B788" s="124"/>
      <c r="C788" s="145"/>
      <c r="D788" s="125"/>
      <c r="E788" s="125"/>
      <c r="F788" s="125"/>
      <c r="G788" s="138"/>
      <c r="H788" s="125"/>
      <c r="I788" s="746"/>
      <c r="J788" s="747"/>
      <c r="K788" s="748"/>
      <c r="L788" s="746"/>
      <c r="M788" s="747"/>
      <c r="N788" s="753"/>
    </row>
    <row r="789" spans="2:14" ht="14.25" hidden="1" customHeight="1" x14ac:dyDescent="0.25">
      <c r="B789" s="124"/>
      <c r="C789" s="145"/>
      <c r="D789" s="125"/>
      <c r="E789" s="125"/>
      <c r="F789" s="125"/>
      <c r="G789" s="125"/>
      <c r="H789" s="125"/>
      <c r="I789" s="746"/>
      <c r="J789" s="747"/>
      <c r="K789" s="748"/>
      <c r="L789" s="746"/>
      <c r="M789" s="747"/>
      <c r="N789" s="753"/>
    </row>
    <row r="790" spans="2:14" ht="14.25" hidden="1" customHeight="1" x14ac:dyDescent="0.25">
      <c r="B790" s="124"/>
      <c r="C790" s="145"/>
      <c r="D790" s="125"/>
      <c r="E790" s="125"/>
      <c r="F790" s="138"/>
      <c r="G790" s="138"/>
      <c r="H790" s="125"/>
      <c r="I790" s="746"/>
      <c r="J790" s="747"/>
      <c r="K790" s="748"/>
      <c r="L790" s="746"/>
      <c r="M790" s="747"/>
      <c r="N790" s="753"/>
    </row>
    <row r="791" spans="2:14" ht="14.25" hidden="1" customHeight="1" x14ac:dyDescent="0.25">
      <c r="B791" s="124"/>
      <c r="C791" s="145"/>
      <c r="D791" s="125"/>
      <c r="E791" s="125"/>
      <c r="F791" s="125"/>
      <c r="G791" s="125"/>
      <c r="H791" s="125"/>
      <c r="I791" s="746"/>
      <c r="J791" s="747"/>
      <c r="K791" s="748"/>
      <c r="L791" s="746"/>
      <c r="M791" s="747"/>
      <c r="N791" s="753"/>
    </row>
    <row r="792" spans="2:14" ht="14.25" hidden="1" customHeight="1" x14ac:dyDescent="0.25">
      <c r="B792" s="124"/>
      <c r="C792" s="145"/>
      <c r="D792" s="125"/>
      <c r="E792" s="125"/>
      <c r="F792" s="125"/>
      <c r="G792" s="125"/>
      <c r="H792" s="125"/>
      <c r="I792" s="746"/>
      <c r="J792" s="747"/>
      <c r="K792" s="748"/>
      <c r="L792" s="746"/>
      <c r="M792" s="747"/>
      <c r="N792" s="753"/>
    </row>
    <row r="793" spans="2:14" ht="14.25" hidden="1" customHeight="1" x14ac:dyDescent="0.25">
      <c r="B793" s="124"/>
      <c r="C793" s="125"/>
      <c r="D793" s="125"/>
      <c r="E793" s="125"/>
      <c r="F793" s="125"/>
      <c r="G793" s="125"/>
      <c r="H793" s="125"/>
      <c r="I793" s="746"/>
      <c r="J793" s="747"/>
      <c r="K793" s="748"/>
      <c r="L793" s="746"/>
      <c r="M793" s="747"/>
      <c r="N793" s="753"/>
    </row>
    <row r="794" spans="2:14" ht="14.25" hidden="1" customHeight="1" x14ac:dyDescent="0.25">
      <c r="B794" s="124"/>
      <c r="C794" s="125"/>
      <c r="D794" s="125"/>
      <c r="E794" s="125"/>
      <c r="F794" s="125"/>
      <c r="G794" s="125"/>
      <c r="H794" s="125"/>
      <c r="I794" s="746"/>
      <c r="J794" s="747"/>
      <c r="K794" s="748"/>
      <c r="L794" s="746"/>
      <c r="M794" s="747"/>
      <c r="N794" s="753"/>
    </row>
    <row r="795" spans="2:14" ht="14.25" hidden="1" customHeight="1" x14ac:dyDescent="0.25">
      <c r="B795" s="124"/>
      <c r="C795" s="125"/>
      <c r="D795" s="125"/>
      <c r="E795" s="125"/>
      <c r="F795" s="125"/>
      <c r="G795" s="125"/>
      <c r="H795" s="125"/>
      <c r="I795" s="746"/>
      <c r="J795" s="747"/>
      <c r="K795" s="748"/>
      <c r="L795" s="746"/>
      <c r="M795" s="747"/>
      <c r="N795" s="753"/>
    </row>
    <row r="796" spans="2:14" ht="14.25" hidden="1" customHeight="1" x14ac:dyDescent="0.25">
      <c r="B796" s="127"/>
      <c r="C796" s="125"/>
      <c r="D796" s="125"/>
      <c r="E796" s="125"/>
      <c r="F796" s="125"/>
      <c r="G796" s="125"/>
      <c r="H796" s="125"/>
      <c r="I796" s="749"/>
      <c r="J796" s="750"/>
      <c r="K796" s="751"/>
      <c r="L796" s="749"/>
      <c r="M796" s="750"/>
      <c r="N796" s="754"/>
    </row>
    <row r="797" spans="2:14" ht="14.25" hidden="1" customHeight="1" x14ac:dyDescent="0.25">
      <c r="B797" s="209"/>
      <c r="C797" s="118"/>
      <c r="D797" s="118"/>
      <c r="E797" s="118"/>
      <c r="F797" s="118"/>
      <c r="G797" s="118"/>
      <c r="H797" s="118"/>
      <c r="I797" s="118"/>
      <c r="J797" s="118"/>
      <c r="K797" s="118"/>
      <c r="L797" s="118"/>
      <c r="M797" s="118"/>
      <c r="N797" s="210"/>
    </row>
    <row r="798" spans="2:14" ht="14.25" hidden="1" customHeight="1" x14ac:dyDescent="0.25">
      <c r="B798" s="209"/>
      <c r="C798" s="118"/>
      <c r="D798" s="118"/>
      <c r="E798" s="118"/>
      <c r="F798" s="118"/>
      <c r="G798" s="118"/>
      <c r="H798" s="118"/>
      <c r="I798" s="118"/>
      <c r="J798" s="118"/>
      <c r="K798" s="118"/>
      <c r="L798" s="118"/>
      <c r="M798" s="118"/>
      <c r="N798" s="210"/>
    </row>
    <row r="799" spans="2:14" ht="14.25" hidden="1" customHeight="1" x14ac:dyDescent="0.25">
      <c r="B799" s="209"/>
      <c r="C799" s="118"/>
      <c r="D799" s="118"/>
      <c r="E799" s="118"/>
      <c r="F799" s="118"/>
      <c r="G799" s="118"/>
      <c r="H799" s="118"/>
      <c r="I799" s="118"/>
      <c r="J799" s="118"/>
      <c r="K799" s="118"/>
      <c r="L799" s="118"/>
      <c r="M799" s="118"/>
      <c r="N799" s="210"/>
    </row>
    <row r="800" spans="2:14" ht="14.25" hidden="1" customHeight="1" x14ac:dyDescent="0.25">
      <c r="B800" s="209"/>
      <c r="C800" s="118"/>
      <c r="D800" s="118"/>
      <c r="E800" s="118"/>
      <c r="F800" s="118"/>
      <c r="G800" s="118"/>
      <c r="H800" s="118"/>
      <c r="I800" s="118"/>
      <c r="J800" s="118"/>
      <c r="K800" s="118"/>
      <c r="L800" s="118"/>
      <c r="M800" s="118"/>
      <c r="N800" s="210"/>
    </row>
    <row r="801" spans="2:14" ht="14.25" hidden="1" customHeight="1" x14ac:dyDescent="0.25">
      <c r="B801" s="775" t="s">
        <v>414</v>
      </c>
      <c r="C801" s="747"/>
      <c r="D801" s="747"/>
      <c r="E801" s="128"/>
      <c r="F801" s="128"/>
      <c r="G801" s="128"/>
      <c r="H801" s="128"/>
      <c r="I801" s="776"/>
      <c r="J801" s="747"/>
      <c r="K801" s="747"/>
      <c r="L801" s="118"/>
      <c r="M801" s="118"/>
      <c r="N801" s="210"/>
    </row>
    <row r="802" spans="2:14" ht="14.25" hidden="1" customHeight="1" x14ac:dyDescent="0.25">
      <c r="B802" s="129"/>
      <c r="C802" s="130"/>
      <c r="D802" s="130"/>
      <c r="E802" s="130"/>
      <c r="F802" s="130"/>
      <c r="G802" s="130"/>
      <c r="H802" s="130"/>
      <c r="I802" s="130"/>
      <c r="J802" s="130"/>
      <c r="K802" s="130"/>
      <c r="L802" s="130"/>
      <c r="M802" s="130"/>
      <c r="N802" s="131"/>
    </row>
    <row r="803" spans="2:14" ht="14.25" hidden="1" customHeight="1" x14ac:dyDescent="0.25"/>
    <row r="804" spans="2:14" ht="14.25" hidden="1" customHeight="1" x14ac:dyDescent="0.25"/>
    <row r="805" spans="2:14" ht="44.25" hidden="1" customHeight="1" x14ac:dyDescent="0.25">
      <c r="B805" s="728"/>
      <c r="C805" s="729"/>
      <c r="D805" s="730" t="s">
        <v>393</v>
      </c>
      <c r="E805" s="729"/>
      <c r="F805" s="729"/>
      <c r="G805" s="729"/>
      <c r="H805" s="729"/>
      <c r="I805" s="729"/>
      <c r="J805" s="729"/>
      <c r="K805" s="729"/>
      <c r="L805" s="729"/>
      <c r="M805" s="729"/>
      <c r="N805" s="731"/>
    </row>
    <row r="806" spans="2:14" ht="14.25" hidden="1" customHeight="1" x14ac:dyDescent="0.25">
      <c r="B806" s="732" t="s">
        <v>394</v>
      </c>
      <c r="C806" s="733"/>
      <c r="D806" s="733"/>
      <c r="E806" s="733"/>
      <c r="F806" s="733"/>
      <c r="G806" s="733"/>
      <c r="H806" s="733"/>
      <c r="I806" s="733"/>
      <c r="J806" s="733"/>
      <c r="K806" s="733"/>
      <c r="L806" s="733"/>
      <c r="M806" s="733"/>
      <c r="N806" s="734"/>
    </row>
    <row r="807" spans="2:14" ht="24" hidden="1" customHeight="1" x14ac:dyDescent="0.25">
      <c r="B807" s="735" t="s">
        <v>395</v>
      </c>
      <c r="C807" s="736"/>
      <c r="D807" s="779" t="s">
        <v>455</v>
      </c>
      <c r="E807" s="733"/>
      <c r="F807" s="733"/>
      <c r="G807" s="733"/>
      <c r="H807" s="733"/>
      <c r="I807" s="733"/>
      <c r="J807" s="733"/>
      <c r="K807" s="733"/>
      <c r="L807" s="733"/>
      <c r="M807" s="733"/>
      <c r="N807" s="734"/>
    </row>
    <row r="808" spans="2:14" ht="14.25" hidden="1" customHeight="1" x14ac:dyDescent="0.25">
      <c r="B808" s="740" t="s">
        <v>26</v>
      </c>
      <c r="C808" s="741"/>
      <c r="D808" s="119" t="s">
        <v>396</v>
      </c>
      <c r="E808" s="742" t="s">
        <v>397</v>
      </c>
      <c r="F808" s="733"/>
      <c r="G808" s="733"/>
      <c r="H808" s="736"/>
      <c r="I808" s="742" t="s">
        <v>398</v>
      </c>
      <c r="J808" s="733"/>
      <c r="K808" s="736"/>
      <c r="L808" s="742" t="s">
        <v>399</v>
      </c>
      <c r="M808" s="733"/>
      <c r="N808" s="734"/>
    </row>
    <row r="809" spans="2:14" ht="14.25" hidden="1" customHeight="1" x14ac:dyDescent="0.25">
      <c r="B809" s="777">
        <v>19</v>
      </c>
      <c r="C809" s="736"/>
      <c r="D809" s="123">
        <f>SUM(H812:H822)</f>
        <v>2</v>
      </c>
      <c r="E809" s="778" t="s">
        <v>29</v>
      </c>
      <c r="F809" s="733"/>
      <c r="G809" s="733"/>
      <c r="H809" s="736"/>
      <c r="I809" s="744"/>
      <c r="J809" s="745"/>
      <c r="K809" s="741"/>
      <c r="L809" s="744"/>
      <c r="M809" s="745"/>
      <c r="N809" s="752"/>
    </row>
    <row r="810" spans="2:14" ht="14.25" hidden="1" customHeight="1" x14ac:dyDescent="0.25">
      <c r="B810" s="755" t="s">
        <v>416</v>
      </c>
      <c r="C810" s="733"/>
      <c r="D810" s="733"/>
      <c r="E810" s="733"/>
      <c r="F810" s="733"/>
      <c r="G810" s="733"/>
      <c r="H810" s="736"/>
      <c r="I810" s="746"/>
      <c r="J810" s="747"/>
      <c r="K810" s="748"/>
      <c r="L810" s="746"/>
      <c r="M810" s="747"/>
      <c r="N810" s="753"/>
    </row>
    <row r="811" spans="2:14" ht="14.25" hidden="1" customHeight="1" x14ac:dyDescent="0.25">
      <c r="B811" s="121" t="s">
        <v>400</v>
      </c>
      <c r="C811" s="122" t="s">
        <v>401</v>
      </c>
      <c r="D811" s="123" t="s">
        <v>402</v>
      </c>
      <c r="E811" s="123" t="s">
        <v>403</v>
      </c>
      <c r="F811" s="123" t="s">
        <v>404</v>
      </c>
      <c r="G811" s="123" t="s">
        <v>405</v>
      </c>
      <c r="H811" s="123" t="s">
        <v>406</v>
      </c>
      <c r="I811" s="746"/>
      <c r="J811" s="747"/>
      <c r="K811" s="748"/>
      <c r="L811" s="746"/>
      <c r="M811" s="747"/>
      <c r="N811" s="753"/>
    </row>
    <row r="812" spans="2:14" ht="14.25" hidden="1" customHeight="1" x14ac:dyDescent="0.25">
      <c r="B812" s="149" t="s">
        <v>456</v>
      </c>
      <c r="C812" s="138" t="s">
        <v>457</v>
      </c>
      <c r="D812" s="138">
        <v>1</v>
      </c>
      <c r="E812" s="125"/>
      <c r="F812" s="125"/>
      <c r="G812" s="125"/>
      <c r="H812" s="125">
        <f t="shared" ref="H812:H813" si="22">D812</f>
        <v>1</v>
      </c>
      <c r="I812" s="746"/>
      <c r="J812" s="747"/>
      <c r="K812" s="748"/>
      <c r="L812" s="746"/>
      <c r="M812" s="747"/>
      <c r="N812" s="753"/>
    </row>
    <row r="813" spans="2:14" ht="14.25" hidden="1" customHeight="1" x14ac:dyDescent="0.25">
      <c r="B813" s="149" t="s">
        <v>458</v>
      </c>
      <c r="C813" s="125" t="s">
        <v>459</v>
      </c>
      <c r="D813" s="125">
        <v>1</v>
      </c>
      <c r="E813" s="125"/>
      <c r="F813" s="125"/>
      <c r="G813" s="125"/>
      <c r="H813" s="125">
        <f t="shared" si="22"/>
        <v>1</v>
      </c>
      <c r="I813" s="746"/>
      <c r="J813" s="747"/>
      <c r="K813" s="748"/>
      <c r="L813" s="746"/>
      <c r="M813" s="747"/>
      <c r="N813" s="753"/>
    </row>
    <row r="814" spans="2:14" ht="14.25" hidden="1" customHeight="1" x14ac:dyDescent="0.25">
      <c r="B814" s="149"/>
      <c r="C814" s="125"/>
      <c r="D814" s="125"/>
      <c r="E814" s="125"/>
      <c r="F814" s="125"/>
      <c r="G814" s="125"/>
      <c r="H814" s="125"/>
      <c r="I814" s="746"/>
      <c r="J814" s="747"/>
      <c r="K814" s="748"/>
      <c r="L814" s="746"/>
      <c r="M814" s="747"/>
      <c r="N814" s="753"/>
    </row>
    <row r="815" spans="2:14" ht="14.25" hidden="1" customHeight="1" x14ac:dyDescent="0.25">
      <c r="B815" s="124"/>
      <c r="C815" s="125"/>
      <c r="D815" s="125"/>
      <c r="E815" s="125"/>
      <c r="F815" s="125"/>
      <c r="G815" s="125"/>
      <c r="H815" s="125"/>
      <c r="I815" s="746"/>
      <c r="J815" s="747"/>
      <c r="K815" s="748"/>
      <c r="L815" s="746"/>
      <c r="M815" s="747"/>
      <c r="N815" s="753"/>
    </row>
    <row r="816" spans="2:14" ht="14.25" hidden="1" customHeight="1" x14ac:dyDescent="0.25">
      <c r="B816" s="124"/>
      <c r="C816" s="125"/>
      <c r="D816" s="125"/>
      <c r="E816" s="125"/>
      <c r="F816" s="125"/>
      <c r="G816" s="125"/>
      <c r="H816" s="125"/>
      <c r="I816" s="746"/>
      <c r="J816" s="747"/>
      <c r="K816" s="748"/>
      <c r="L816" s="746"/>
      <c r="M816" s="747"/>
      <c r="N816" s="753"/>
    </row>
    <row r="817" spans="2:14" ht="14.25" hidden="1" customHeight="1" x14ac:dyDescent="0.25">
      <c r="B817" s="124"/>
      <c r="C817" s="125"/>
      <c r="D817" s="125"/>
      <c r="E817" s="125"/>
      <c r="F817" s="125"/>
      <c r="G817" s="125"/>
      <c r="H817" s="125"/>
      <c r="I817" s="746"/>
      <c r="J817" s="747"/>
      <c r="K817" s="748"/>
      <c r="L817" s="746"/>
      <c r="M817" s="747"/>
      <c r="N817" s="753"/>
    </row>
    <row r="818" spans="2:14" ht="14.25" hidden="1" customHeight="1" x14ac:dyDescent="0.25">
      <c r="B818" s="124"/>
      <c r="C818" s="125"/>
      <c r="D818" s="125"/>
      <c r="E818" s="125"/>
      <c r="F818" s="125"/>
      <c r="G818" s="125"/>
      <c r="H818" s="125"/>
      <c r="I818" s="746"/>
      <c r="J818" s="747"/>
      <c r="K818" s="748"/>
      <c r="L818" s="746"/>
      <c r="M818" s="747"/>
      <c r="N818" s="753"/>
    </row>
    <row r="819" spans="2:14" ht="14.25" hidden="1" customHeight="1" x14ac:dyDescent="0.25">
      <c r="B819" s="124"/>
      <c r="C819" s="125"/>
      <c r="D819" s="125"/>
      <c r="E819" s="125"/>
      <c r="F819" s="125"/>
      <c r="G819" s="125"/>
      <c r="H819" s="125"/>
      <c r="I819" s="746"/>
      <c r="J819" s="747"/>
      <c r="K819" s="748"/>
      <c r="L819" s="746"/>
      <c r="M819" s="747"/>
      <c r="N819" s="753"/>
    </row>
    <row r="820" spans="2:14" ht="14.25" hidden="1" customHeight="1" x14ac:dyDescent="0.25">
      <c r="B820" s="124"/>
      <c r="C820" s="125"/>
      <c r="D820" s="125"/>
      <c r="E820" s="125"/>
      <c r="F820" s="125"/>
      <c r="G820" s="125"/>
      <c r="H820" s="125"/>
      <c r="I820" s="746"/>
      <c r="J820" s="747"/>
      <c r="K820" s="748"/>
      <c r="L820" s="746"/>
      <c r="M820" s="747"/>
      <c r="N820" s="753"/>
    </row>
    <row r="821" spans="2:14" ht="14.25" hidden="1" customHeight="1" x14ac:dyDescent="0.25">
      <c r="B821" s="124"/>
      <c r="C821" s="125"/>
      <c r="D821" s="125"/>
      <c r="E821" s="125"/>
      <c r="F821" s="125"/>
      <c r="G821" s="125"/>
      <c r="H821" s="125"/>
      <c r="I821" s="746"/>
      <c r="J821" s="747"/>
      <c r="K821" s="748"/>
      <c r="L821" s="746"/>
      <c r="M821" s="747"/>
      <c r="N821" s="753"/>
    </row>
    <row r="822" spans="2:14" ht="14.25" hidden="1" customHeight="1" x14ac:dyDescent="0.25">
      <c r="B822" s="127"/>
      <c r="C822" s="125"/>
      <c r="D822" s="125"/>
      <c r="E822" s="125"/>
      <c r="F822" s="125"/>
      <c r="G822" s="125"/>
      <c r="H822" s="125"/>
      <c r="I822" s="749"/>
      <c r="J822" s="750"/>
      <c r="K822" s="751"/>
      <c r="L822" s="749"/>
      <c r="M822" s="750"/>
      <c r="N822" s="754"/>
    </row>
    <row r="823" spans="2:14" ht="14.25" hidden="1" customHeight="1" x14ac:dyDescent="0.25">
      <c r="B823" s="209"/>
      <c r="C823" s="118"/>
      <c r="D823" s="118"/>
      <c r="E823" s="118"/>
      <c r="F823" s="118"/>
      <c r="G823" s="118"/>
      <c r="H823" s="118"/>
      <c r="I823" s="118"/>
      <c r="J823" s="118"/>
      <c r="K823" s="118"/>
      <c r="L823" s="118"/>
      <c r="M823" s="118"/>
      <c r="N823" s="210"/>
    </row>
    <row r="824" spans="2:14" ht="14.25" hidden="1" customHeight="1" x14ac:dyDescent="0.25">
      <c r="B824" s="209"/>
      <c r="C824" s="118"/>
      <c r="D824" s="118"/>
      <c r="E824" s="118"/>
      <c r="F824" s="118"/>
      <c r="G824" s="118"/>
      <c r="H824" s="118"/>
      <c r="I824" s="118"/>
      <c r="J824" s="118"/>
      <c r="K824" s="118"/>
      <c r="L824" s="118"/>
      <c r="M824" s="118"/>
      <c r="N824" s="210"/>
    </row>
    <row r="825" spans="2:14" ht="14.25" hidden="1" customHeight="1" x14ac:dyDescent="0.25">
      <c r="B825" s="209"/>
      <c r="C825" s="118"/>
      <c r="D825" s="118"/>
      <c r="E825" s="118"/>
      <c r="F825" s="118"/>
      <c r="G825" s="118"/>
      <c r="H825" s="118"/>
      <c r="I825" s="118"/>
      <c r="J825" s="118"/>
      <c r="K825" s="118"/>
      <c r="L825" s="118"/>
      <c r="M825" s="118"/>
      <c r="N825" s="210"/>
    </row>
    <row r="826" spans="2:14" ht="14.25" hidden="1" customHeight="1" x14ac:dyDescent="0.25">
      <c r="B826" s="209"/>
      <c r="C826" s="118"/>
      <c r="D826" s="118"/>
      <c r="E826" s="118"/>
      <c r="F826" s="118"/>
      <c r="G826" s="118"/>
      <c r="H826" s="118"/>
      <c r="I826" s="118"/>
      <c r="J826" s="118"/>
      <c r="K826" s="118"/>
      <c r="L826" s="118"/>
      <c r="M826" s="118"/>
      <c r="N826" s="210"/>
    </row>
    <row r="827" spans="2:14" ht="14.25" hidden="1" customHeight="1" x14ac:dyDescent="0.25">
      <c r="B827" s="775" t="s">
        <v>414</v>
      </c>
      <c r="C827" s="747"/>
      <c r="D827" s="747"/>
      <c r="E827" s="128"/>
      <c r="F827" s="128"/>
      <c r="G827" s="128"/>
      <c r="H827" s="128"/>
      <c r="I827" s="776"/>
      <c r="J827" s="747"/>
      <c r="K827" s="747"/>
      <c r="L827" s="118"/>
      <c r="M827" s="118"/>
      <c r="N827" s="210"/>
    </row>
    <row r="828" spans="2:14" ht="14.25" hidden="1" customHeight="1" x14ac:dyDescent="0.25">
      <c r="B828" s="129"/>
      <c r="C828" s="130"/>
      <c r="D828" s="130"/>
      <c r="E828" s="130"/>
      <c r="F828" s="130"/>
      <c r="G828" s="130"/>
      <c r="H828" s="130"/>
      <c r="I828" s="130"/>
      <c r="J828" s="130"/>
      <c r="K828" s="130"/>
      <c r="L828" s="130"/>
      <c r="M828" s="130"/>
      <c r="N828" s="131"/>
    </row>
    <row r="829" spans="2:14" ht="14.25" hidden="1" customHeight="1" x14ac:dyDescent="0.25"/>
    <row r="830" spans="2:14" ht="42" hidden="1" customHeight="1" x14ac:dyDescent="0.25">
      <c r="B830" s="728"/>
      <c r="C830" s="729"/>
      <c r="D830" s="730" t="s">
        <v>393</v>
      </c>
      <c r="E830" s="729"/>
      <c r="F830" s="729"/>
      <c r="G830" s="729"/>
      <c r="H830" s="729"/>
      <c r="I830" s="729"/>
      <c r="J830" s="729"/>
      <c r="K830" s="729"/>
      <c r="L830" s="729"/>
      <c r="M830" s="729"/>
      <c r="N830" s="731"/>
    </row>
    <row r="831" spans="2:14" ht="14.25" hidden="1" customHeight="1" x14ac:dyDescent="0.25">
      <c r="B831" s="732" t="s">
        <v>394</v>
      </c>
      <c r="C831" s="733"/>
      <c r="D831" s="733"/>
      <c r="E831" s="733"/>
      <c r="F831" s="733"/>
      <c r="G831" s="733"/>
      <c r="H831" s="733"/>
      <c r="I831" s="733"/>
      <c r="J831" s="733"/>
      <c r="K831" s="733"/>
      <c r="L831" s="733"/>
      <c r="M831" s="733"/>
      <c r="N831" s="734"/>
    </row>
    <row r="832" spans="2:14" ht="33.75" hidden="1" customHeight="1" x14ac:dyDescent="0.25">
      <c r="B832" s="735" t="s">
        <v>395</v>
      </c>
      <c r="C832" s="736"/>
      <c r="D832" s="779" t="s">
        <v>460</v>
      </c>
      <c r="E832" s="733"/>
      <c r="F832" s="733"/>
      <c r="G832" s="733"/>
      <c r="H832" s="733"/>
      <c r="I832" s="733"/>
      <c r="J832" s="733"/>
      <c r="K832" s="733"/>
      <c r="L832" s="733"/>
      <c r="M832" s="733"/>
      <c r="N832" s="734"/>
    </row>
    <row r="833" spans="2:14" ht="14.25" hidden="1" customHeight="1" x14ac:dyDescent="0.25">
      <c r="B833" s="740" t="s">
        <v>26</v>
      </c>
      <c r="C833" s="741"/>
      <c r="D833" s="119" t="s">
        <v>396</v>
      </c>
      <c r="E833" s="742" t="s">
        <v>397</v>
      </c>
      <c r="F833" s="733"/>
      <c r="G833" s="733"/>
      <c r="H833" s="736"/>
      <c r="I833" s="742" t="s">
        <v>398</v>
      </c>
      <c r="J833" s="733"/>
      <c r="K833" s="736"/>
      <c r="L833" s="742" t="s">
        <v>399</v>
      </c>
      <c r="M833" s="733"/>
      <c r="N833" s="734"/>
    </row>
    <row r="834" spans="2:14" ht="14.25" hidden="1" customHeight="1" x14ac:dyDescent="0.25">
      <c r="B834" s="777">
        <v>20</v>
      </c>
      <c r="C834" s="736"/>
      <c r="D834" s="123">
        <f>SUM(H837:H850)</f>
        <v>1</v>
      </c>
      <c r="E834" s="778" t="s">
        <v>29</v>
      </c>
      <c r="F834" s="733"/>
      <c r="G834" s="733"/>
      <c r="H834" s="736"/>
      <c r="I834" s="744"/>
      <c r="J834" s="745"/>
      <c r="K834" s="741"/>
      <c r="L834" s="744"/>
      <c r="M834" s="745"/>
      <c r="N834" s="752"/>
    </row>
    <row r="835" spans="2:14" ht="14.25" hidden="1" customHeight="1" x14ac:dyDescent="0.25">
      <c r="B835" s="755" t="s">
        <v>416</v>
      </c>
      <c r="C835" s="733"/>
      <c r="D835" s="733"/>
      <c r="E835" s="733"/>
      <c r="F835" s="733"/>
      <c r="G835" s="733"/>
      <c r="H835" s="736"/>
      <c r="I835" s="746"/>
      <c r="J835" s="747"/>
      <c r="K835" s="748"/>
      <c r="L835" s="746"/>
      <c r="M835" s="747"/>
      <c r="N835" s="753"/>
    </row>
    <row r="836" spans="2:14" ht="14.25" hidden="1" customHeight="1" x14ac:dyDescent="0.25">
      <c r="B836" s="121" t="s">
        <v>400</v>
      </c>
      <c r="C836" s="122" t="s">
        <v>401</v>
      </c>
      <c r="D836" s="123" t="s">
        <v>402</v>
      </c>
      <c r="E836" s="123" t="s">
        <v>403</v>
      </c>
      <c r="F836" s="123" t="s">
        <v>404</v>
      </c>
      <c r="G836" s="123" t="s">
        <v>405</v>
      </c>
      <c r="H836" s="123" t="s">
        <v>406</v>
      </c>
      <c r="I836" s="746"/>
      <c r="J836" s="747"/>
      <c r="K836" s="748"/>
      <c r="L836" s="746"/>
      <c r="M836" s="747"/>
      <c r="N836" s="753"/>
    </row>
    <row r="837" spans="2:14" ht="14.25" hidden="1" customHeight="1" x14ac:dyDescent="0.25">
      <c r="B837" s="124" t="s">
        <v>456</v>
      </c>
      <c r="C837" s="138" t="s">
        <v>457</v>
      </c>
      <c r="D837" s="138">
        <v>1</v>
      </c>
      <c r="E837" s="125"/>
      <c r="F837" s="125"/>
      <c r="G837" s="125"/>
      <c r="H837" s="125">
        <f>D837</f>
        <v>1</v>
      </c>
      <c r="I837" s="746"/>
      <c r="J837" s="747"/>
      <c r="K837" s="748"/>
      <c r="L837" s="746"/>
      <c r="M837" s="747"/>
      <c r="N837" s="753"/>
    </row>
    <row r="838" spans="2:14" ht="14.25" hidden="1" customHeight="1" x14ac:dyDescent="0.25">
      <c r="B838" s="124"/>
      <c r="C838" s="125"/>
      <c r="D838" s="125"/>
      <c r="E838" s="125"/>
      <c r="F838" s="125"/>
      <c r="G838" s="125"/>
      <c r="H838" s="125"/>
      <c r="I838" s="746"/>
      <c r="J838" s="747"/>
      <c r="K838" s="748"/>
      <c r="L838" s="746"/>
      <c r="M838" s="747"/>
      <c r="N838" s="753"/>
    </row>
    <row r="839" spans="2:14" ht="14.25" hidden="1" customHeight="1" x14ac:dyDescent="0.25">
      <c r="B839" s="124"/>
      <c r="C839" s="125"/>
      <c r="D839" s="125"/>
      <c r="E839" s="125"/>
      <c r="F839" s="125"/>
      <c r="G839" s="125"/>
      <c r="H839" s="125"/>
      <c r="I839" s="746"/>
      <c r="J839" s="747"/>
      <c r="K839" s="748"/>
      <c r="L839" s="746"/>
      <c r="M839" s="747"/>
      <c r="N839" s="753"/>
    </row>
    <row r="840" spans="2:14" ht="14.25" hidden="1" customHeight="1" x14ac:dyDescent="0.25">
      <c r="B840" s="124"/>
      <c r="C840" s="125"/>
      <c r="D840" s="125"/>
      <c r="E840" s="125"/>
      <c r="F840" s="125"/>
      <c r="G840" s="125"/>
      <c r="H840" s="125"/>
      <c r="I840" s="746"/>
      <c r="J840" s="747"/>
      <c r="K840" s="748"/>
      <c r="L840" s="746"/>
      <c r="M840" s="747"/>
      <c r="N840" s="753"/>
    </row>
    <row r="841" spans="2:14" ht="14.25" hidden="1" customHeight="1" x14ac:dyDescent="0.25">
      <c r="B841" s="124"/>
      <c r="C841" s="125"/>
      <c r="D841" s="125"/>
      <c r="E841" s="125"/>
      <c r="F841" s="125"/>
      <c r="G841" s="125"/>
      <c r="H841" s="125"/>
      <c r="I841" s="746"/>
      <c r="J841" s="747"/>
      <c r="K841" s="748"/>
      <c r="L841" s="746"/>
      <c r="M841" s="747"/>
      <c r="N841" s="753"/>
    </row>
    <row r="842" spans="2:14" ht="14.25" hidden="1" customHeight="1" x14ac:dyDescent="0.25">
      <c r="B842" s="124"/>
      <c r="C842" s="125"/>
      <c r="D842" s="125"/>
      <c r="E842" s="125"/>
      <c r="F842" s="125"/>
      <c r="G842" s="125"/>
      <c r="H842" s="125"/>
      <c r="I842" s="746"/>
      <c r="J842" s="747"/>
      <c r="K842" s="748"/>
      <c r="L842" s="746"/>
      <c r="M842" s="747"/>
      <c r="N842" s="753"/>
    </row>
    <row r="843" spans="2:14" ht="14.25" hidden="1" customHeight="1" x14ac:dyDescent="0.25">
      <c r="B843" s="124"/>
      <c r="C843" s="125"/>
      <c r="D843" s="125"/>
      <c r="E843" s="125"/>
      <c r="F843" s="125"/>
      <c r="G843" s="125"/>
      <c r="H843" s="125"/>
      <c r="I843" s="746"/>
      <c r="J843" s="747"/>
      <c r="K843" s="748"/>
      <c r="L843" s="746"/>
      <c r="M843" s="747"/>
      <c r="N843" s="753"/>
    </row>
    <row r="844" spans="2:14" ht="14.25" hidden="1" customHeight="1" x14ac:dyDescent="0.25">
      <c r="B844" s="124"/>
      <c r="C844" s="125"/>
      <c r="D844" s="125"/>
      <c r="E844" s="125"/>
      <c r="F844" s="125"/>
      <c r="G844" s="125"/>
      <c r="H844" s="125"/>
      <c r="I844" s="746"/>
      <c r="J844" s="747"/>
      <c r="K844" s="748"/>
      <c r="L844" s="746"/>
      <c r="M844" s="747"/>
      <c r="N844" s="753"/>
    </row>
    <row r="845" spans="2:14" ht="14.25" hidden="1" customHeight="1" x14ac:dyDescent="0.25">
      <c r="B845" s="124"/>
      <c r="C845" s="125"/>
      <c r="D845" s="125"/>
      <c r="E845" s="125"/>
      <c r="F845" s="125"/>
      <c r="G845" s="125"/>
      <c r="H845" s="125"/>
      <c r="I845" s="746"/>
      <c r="J845" s="747"/>
      <c r="K845" s="748"/>
      <c r="L845" s="746"/>
      <c r="M845" s="747"/>
      <c r="N845" s="753"/>
    </row>
    <row r="846" spans="2:14" ht="14.25" hidden="1" customHeight="1" x14ac:dyDescent="0.25">
      <c r="B846" s="124"/>
      <c r="C846" s="125"/>
      <c r="D846" s="125"/>
      <c r="E846" s="125"/>
      <c r="F846" s="125"/>
      <c r="G846" s="125"/>
      <c r="H846" s="125"/>
      <c r="I846" s="746"/>
      <c r="J846" s="747"/>
      <c r="K846" s="748"/>
      <c r="L846" s="746"/>
      <c r="M846" s="747"/>
      <c r="N846" s="753"/>
    </row>
    <row r="847" spans="2:14" ht="14.25" hidden="1" customHeight="1" x14ac:dyDescent="0.25">
      <c r="B847" s="124"/>
      <c r="C847" s="125"/>
      <c r="D847" s="125"/>
      <c r="E847" s="125"/>
      <c r="F847" s="125"/>
      <c r="G847" s="125"/>
      <c r="H847" s="125"/>
      <c r="I847" s="746"/>
      <c r="J847" s="747"/>
      <c r="K847" s="748"/>
      <c r="L847" s="746"/>
      <c r="M847" s="747"/>
      <c r="N847" s="753"/>
    </row>
    <row r="848" spans="2:14" ht="14.25" hidden="1" customHeight="1" x14ac:dyDescent="0.25">
      <c r="B848" s="124"/>
      <c r="C848" s="125"/>
      <c r="D848" s="125"/>
      <c r="E848" s="125"/>
      <c r="F848" s="125"/>
      <c r="G848" s="125"/>
      <c r="H848" s="125"/>
      <c r="I848" s="746"/>
      <c r="J848" s="747"/>
      <c r="K848" s="748"/>
      <c r="L848" s="746"/>
      <c r="M848" s="747"/>
      <c r="N848" s="753"/>
    </row>
    <row r="849" spans="2:14" ht="14.25" hidden="1" customHeight="1" x14ac:dyDescent="0.25">
      <c r="B849" s="124"/>
      <c r="C849" s="125"/>
      <c r="D849" s="125"/>
      <c r="E849" s="125"/>
      <c r="F849" s="125"/>
      <c r="G849" s="125"/>
      <c r="H849" s="125"/>
      <c r="I849" s="746"/>
      <c r="J849" s="747"/>
      <c r="K849" s="748"/>
      <c r="L849" s="746"/>
      <c r="M849" s="747"/>
      <c r="N849" s="753"/>
    </row>
    <row r="850" spans="2:14" ht="14.25" hidden="1" customHeight="1" x14ac:dyDescent="0.25">
      <c r="B850" s="127"/>
      <c r="C850" s="125"/>
      <c r="D850" s="125"/>
      <c r="E850" s="125"/>
      <c r="F850" s="125"/>
      <c r="G850" s="125"/>
      <c r="H850" s="125"/>
      <c r="I850" s="749"/>
      <c r="J850" s="750"/>
      <c r="K850" s="751"/>
      <c r="L850" s="749"/>
      <c r="M850" s="750"/>
      <c r="N850" s="754"/>
    </row>
    <row r="851" spans="2:14" ht="14.25" hidden="1" customHeight="1" x14ac:dyDescent="0.25">
      <c r="B851" s="209"/>
      <c r="C851" s="118"/>
      <c r="D851" s="118"/>
      <c r="E851" s="118"/>
      <c r="F851" s="118"/>
      <c r="G851" s="118"/>
      <c r="H851" s="118"/>
      <c r="I851" s="118"/>
      <c r="J851" s="118"/>
      <c r="K851" s="118"/>
      <c r="L851" s="118"/>
      <c r="M851" s="118"/>
      <c r="N851" s="210"/>
    </row>
    <row r="852" spans="2:14" ht="14.25" hidden="1" customHeight="1" x14ac:dyDescent="0.25">
      <c r="B852" s="209"/>
      <c r="C852" s="118"/>
      <c r="D852" s="118"/>
      <c r="E852" s="118"/>
      <c r="F852" s="118"/>
      <c r="G852" s="118"/>
      <c r="H852" s="118"/>
      <c r="I852" s="118"/>
      <c r="J852" s="118"/>
      <c r="K852" s="118"/>
      <c r="L852" s="118"/>
      <c r="M852" s="118"/>
      <c r="N852" s="210"/>
    </row>
    <row r="853" spans="2:14" ht="14.25" hidden="1" customHeight="1" x14ac:dyDescent="0.25">
      <c r="B853" s="209"/>
      <c r="C853" s="118"/>
      <c r="D853" s="118"/>
      <c r="E853" s="118"/>
      <c r="F853" s="118"/>
      <c r="G853" s="118"/>
      <c r="H853" s="118"/>
      <c r="I853" s="118"/>
      <c r="J853" s="118"/>
      <c r="K853" s="118"/>
      <c r="L853" s="118"/>
      <c r="M853" s="118"/>
      <c r="N853" s="210"/>
    </row>
    <row r="854" spans="2:14" ht="14.25" hidden="1" customHeight="1" x14ac:dyDescent="0.25">
      <c r="B854" s="209"/>
      <c r="C854" s="118"/>
      <c r="D854" s="118"/>
      <c r="E854" s="118"/>
      <c r="F854" s="118"/>
      <c r="G854" s="118"/>
      <c r="H854" s="118"/>
      <c r="I854" s="118"/>
      <c r="J854" s="118"/>
      <c r="K854" s="118"/>
      <c r="L854" s="118"/>
      <c r="M854" s="118"/>
      <c r="N854" s="210"/>
    </row>
    <row r="855" spans="2:14" ht="14.25" hidden="1" customHeight="1" x14ac:dyDescent="0.25">
      <c r="B855" s="775" t="s">
        <v>414</v>
      </c>
      <c r="C855" s="747"/>
      <c r="D855" s="747"/>
      <c r="E855" s="128"/>
      <c r="F855" s="128"/>
      <c r="G855" s="128"/>
      <c r="H855" s="128"/>
      <c r="I855" s="776"/>
      <c r="J855" s="747"/>
      <c r="K855" s="747"/>
      <c r="L855" s="118"/>
      <c r="M855" s="118"/>
      <c r="N855" s="210"/>
    </row>
    <row r="856" spans="2:14" ht="14.25" hidden="1" customHeight="1" x14ac:dyDescent="0.25">
      <c r="B856" s="129"/>
      <c r="C856" s="130"/>
      <c r="D856" s="130"/>
      <c r="E856" s="130"/>
      <c r="F856" s="130"/>
      <c r="G856" s="130"/>
      <c r="H856" s="130"/>
      <c r="I856" s="130"/>
      <c r="J856" s="130"/>
      <c r="K856" s="130"/>
      <c r="L856" s="130"/>
      <c r="M856" s="130"/>
      <c r="N856" s="131"/>
    </row>
    <row r="857" spans="2:14" ht="14.25" hidden="1" customHeight="1" x14ac:dyDescent="0.25"/>
    <row r="858" spans="2:14" ht="45.75" hidden="1" customHeight="1" x14ac:dyDescent="0.25">
      <c r="B858" s="728"/>
      <c r="C858" s="729"/>
      <c r="D858" s="730" t="s">
        <v>393</v>
      </c>
      <c r="E858" s="729"/>
      <c r="F858" s="729"/>
      <c r="G858" s="729"/>
      <c r="H858" s="729"/>
      <c r="I858" s="729"/>
      <c r="J858" s="729"/>
      <c r="K858" s="729"/>
      <c r="L858" s="729"/>
      <c r="M858" s="729"/>
      <c r="N858" s="731"/>
    </row>
    <row r="859" spans="2:14" ht="14.25" hidden="1" customHeight="1" x14ac:dyDescent="0.25">
      <c r="B859" s="732" t="s">
        <v>394</v>
      </c>
      <c r="C859" s="733"/>
      <c r="D859" s="733"/>
      <c r="E859" s="733"/>
      <c r="F859" s="733"/>
      <c r="G859" s="733"/>
      <c r="H859" s="733"/>
      <c r="I859" s="733"/>
      <c r="J859" s="733"/>
      <c r="K859" s="733"/>
      <c r="L859" s="733"/>
      <c r="M859" s="733"/>
      <c r="N859" s="734"/>
    </row>
    <row r="860" spans="2:14" ht="40.5" hidden="1" customHeight="1" x14ac:dyDescent="0.25">
      <c r="B860" s="735" t="s">
        <v>395</v>
      </c>
      <c r="C860" s="736"/>
      <c r="D860" s="779" t="s">
        <v>461</v>
      </c>
      <c r="E860" s="733"/>
      <c r="F860" s="733"/>
      <c r="G860" s="733"/>
      <c r="H860" s="733"/>
      <c r="I860" s="733"/>
      <c r="J860" s="733"/>
      <c r="K860" s="733"/>
      <c r="L860" s="733"/>
      <c r="M860" s="733"/>
      <c r="N860" s="734"/>
    </row>
    <row r="861" spans="2:14" ht="14.25" hidden="1" customHeight="1" x14ac:dyDescent="0.25">
      <c r="B861" s="740" t="s">
        <v>26</v>
      </c>
      <c r="C861" s="741"/>
      <c r="D861" s="119" t="s">
        <v>396</v>
      </c>
      <c r="E861" s="742" t="s">
        <v>397</v>
      </c>
      <c r="F861" s="733"/>
      <c r="G861" s="733"/>
      <c r="H861" s="736"/>
      <c r="I861" s="742" t="s">
        <v>398</v>
      </c>
      <c r="J861" s="733"/>
      <c r="K861" s="736"/>
      <c r="L861" s="742" t="s">
        <v>399</v>
      </c>
      <c r="M861" s="733"/>
      <c r="N861" s="734"/>
    </row>
    <row r="862" spans="2:14" ht="14.25" hidden="1" customHeight="1" x14ac:dyDescent="0.25">
      <c r="B862" s="777">
        <v>21</v>
      </c>
      <c r="C862" s="736"/>
      <c r="D862" s="123">
        <f>SUM(H865:H878)</f>
        <v>2</v>
      </c>
      <c r="E862" s="778" t="s">
        <v>29</v>
      </c>
      <c r="F862" s="733"/>
      <c r="G862" s="733"/>
      <c r="H862" s="736"/>
      <c r="I862" s="744"/>
      <c r="J862" s="745"/>
      <c r="K862" s="741"/>
      <c r="L862" s="744"/>
      <c r="M862" s="745"/>
      <c r="N862" s="752"/>
    </row>
    <row r="863" spans="2:14" ht="14.25" hidden="1" customHeight="1" x14ac:dyDescent="0.25">
      <c r="B863" s="755" t="s">
        <v>416</v>
      </c>
      <c r="C863" s="733"/>
      <c r="D863" s="733"/>
      <c r="E863" s="733"/>
      <c r="F863" s="733"/>
      <c r="G863" s="733"/>
      <c r="H863" s="736"/>
      <c r="I863" s="746"/>
      <c r="J863" s="747"/>
      <c r="K863" s="748"/>
      <c r="L863" s="746"/>
      <c r="M863" s="747"/>
      <c r="N863" s="753"/>
    </row>
    <row r="864" spans="2:14" ht="14.25" hidden="1" customHeight="1" x14ac:dyDescent="0.25">
      <c r="B864" s="121" t="s">
        <v>400</v>
      </c>
      <c r="C864" s="122" t="s">
        <v>401</v>
      </c>
      <c r="D864" s="123" t="s">
        <v>402</v>
      </c>
      <c r="E864" s="123" t="s">
        <v>403</v>
      </c>
      <c r="F864" s="123" t="s">
        <v>404</v>
      </c>
      <c r="G864" s="123" t="s">
        <v>405</v>
      </c>
      <c r="H864" s="123" t="s">
        <v>406</v>
      </c>
      <c r="I864" s="746"/>
      <c r="J864" s="747"/>
      <c r="K864" s="748"/>
      <c r="L864" s="746"/>
      <c r="M864" s="747"/>
      <c r="N864" s="753"/>
    </row>
    <row r="865" spans="2:14" ht="14.25" hidden="1" customHeight="1" x14ac:dyDescent="0.25">
      <c r="B865" s="124" t="s">
        <v>456</v>
      </c>
      <c r="C865" s="138" t="s">
        <v>457</v>
      </c>
      <c r="D865" s="138">
        <v>1</v>
      </c>
      <c r="E865" s="125"/>
      <c r="F865" s="125"/>
      <c r="G865" s="125"/>
      <c r="H865" s="125">
        <f t="shared" ref="H865:H866" si="23">D865</f>
        <v>1</v>
      </c>
      <c r="I865" s="746"/>
      <c r="J865" s="747"/>
      <c r="K865" s="748"/>
      <c r="L865" s="746"/>
      <c r="M865" s="747"/>
      <c r="N865" s="753"/>
    </row>
    <row r="866" spans="2:14" ht="14.25" hidden="1" customHeight="1" x14ac:dyDescent="0.25">
      <c r="B866" s="124" t="s">
        <v>458</v>
      </c>
      <c r="C866" s="125" t="s">
        <v>459</v>
      </c>
      <c r="D866" s="125">
        <v>1</v>
      </c>
      <c r="E866" s="125"/>
      <c r="F866" s="125"/>
      <c r="G866" s="125"/>
      <c r="H866" s="125">
        <f t="shared" si="23"/>
        <v>1</v>
      </c>
      <c r="I866" s="746"/>
      <c r="J866" s="747"/>
      <c r="K866" s="748"/>
      <c r="L866" s="746"/>
      <c r="M866" s="747"/>
      <c r="N866" s="753"/>
    </row>
    <row r="867" spans="2:14" ht="14.25" hidden="1" customHeight="1" x14ac:dyDescent="0.25">
      <c r="B867" s="124"/>
      <c r="C867" s="125"/>
      <c r="D867" s="125"/>
      <c r="E867" s="125"/>
      <c r="F867" s="125"/>
      <c r="G867" s="125"/>
      <c r="H867" s="125"/>
      <c r="I867" s="746"/>
      <c r="J867" s="747"/>
      <c r="K867" s="748"/>
      <c r="L867" s="746"/>
      <c r="M867" s="747"/>
      <c r="N867" s="753"/>
    </row>
    <row r="868" spans="2:14" ht="14.25" hidden="1" customHeight="1" x14ac:dyDescent="0.25">
      <c r="B868" s="124"/>
      <c r="C868" s="125"/>
      <c r="D868" s="125"/>
      <c r="E868" s="125"/>
      <c r="F868" s="125"/>
      <c r="G868" s="125"/>
      <c r="H868" s="125"/>
      <c r="I868" s="746"/>
      <c r="J868" s="747"/>
      <c r="K868" s="748"/>
      <c r="L868" s="746"/>
      <c r="M868" s="747"/>
      <c r="N868" s="753"/>
    </row>
    <row r="869" spans="2:14" ht="14.25" hidden="1" customHeight="1" x14ac:dyDescent="0.25">
      <c r="B869" s="124"/>
      <c r="C869" s="125"/>
      <c r="D869" s="125"/>
      <c r="E869" s="125"/>
      <c r="F869" s="125"/>
      <c r="G869" s="125"/>
      <c r="H869" s="125"/>
      <c r="I869" s="746"/>
      <c r="J869" s="747"/>
      <c r="K869" s="748"/>
      <c r="L869" s="746"/>
      <c r="M869" s="747"/>
      <c r="N869" s="753"/>
    </row>
    <row r="870" spans="2:14" ht="14.25" hidden="1" customHeight="1" x14ac:dyDescent="0.25">
      <c r="B870" s="124"/>
      <c r="C870" s="125"/>
      <c r="D870" s="125"/>
      <c r="E870" s="125"/>
      <c r="F870" s="125"/>
      <c r="G870" s="125"/>
      <c r="H870" s="125"/>
      <c r="I870" s="746"/>
      <c r="J870" s="747"/>
      <c r="K870" s="748"/>
      <c r="L870" s="746"/>
      <c r="M870" s="747"/>
      <c r="N870" s="753"/>
    </row>
    <row r="871" spans="2:14" ht="14.25" hidden="1" customHeight="1" x14ac:dyDescent="0.25">
      <c r="B871" s="124"/>
      <c r="C871" s="125"/>
      <c r="D871" s="125"/>
      <c r="E871" s="125"/>
      <c r="F871" s="125"/>
      <c r="G871" s="125"/>
      <c r="H871" s="125"/>
      <c r="I871" s="746"/>
      <c r="J871" s="747"/>
      <c r="K871" s="748"/>
      <c r="L871" s="746"/>
      <c r="M871" s="747"/>
      <c r="N871" s="753"/>
    </row>
    <row r="872" spans="2:14" ht="14.25" hidden="1" customHeight="1" x14ac:dyDescent="0.25">
      <c r="B872" s="124"/>
      <c r="C872" s="125"/>
      <c r="D872" s="125"/>
      <c r="E872" s="125"/>
      <c r="F872" s="125"/>
      <c r="G872" s="125"/>
      <c r="H872" s="125"/>
      <c r="I872" s="746"/>
      <c r="J872" s="747"/>
      <c r="K872" s="748"/>
      <c r="L872" s="746"/>
      <c r="M872" s="747"/>
      <c r="N872" s="753"/>
    </row>
    <row r="873" spans="2:14" ht="14.25" hidden="1" customHeight="1" x14ac:dyDescent="0.25">
      <c r="B873" s="124"/>
      <c r="C873" s="125"/>
      <c r="D873" s="125"/>
      <c r="E873" s="125"/>
      <c r="F873" s="125"/>
      <c r="G873" s="125"/>
      <c r="H873" s="125"/>
      <c r="I873" s="746"/>
      <c r="J873" s="747"/>
      <c r="K873" s="748"/>
      <c r="L873" s="746"/>
      <c r="M873" s="747"/>
      <c r="N873" s="753"/>
    </row>
    <row r="874" spans="2:14" ht="14.25" hidden="1" customHeight="1" x14ac:dyDescent="0.25">
      <c r="B874" s="124"/>
      <c r="C874" s="125"/>
      <c r="D874" s="125"/>
      <c r="E874" s="125"/>
      <c r="F874" s="125"/>
      <c r="G874" s="125"/>
      <c r="H874" s="125"/>
      <c r="I874" s="746"/>
      <c r="J874" s="747"/>
      <c r="K874" s="748"/>
      <c r="L874" s="746"/>
      <c r="M874" s="747"/>
      <c r="N874" s="753"/>
    </row>
    <row r="875" spans="2:14" ht="14.25" hidden="1" customHeight="1" x14ac:dyDescent="0.25">
      <c r="B875" s="124"/>
      <c r="C875" s="125"/>
      <c r="D875" s="125"/>
      <c r="E875" s="125"/>
      <c r="F875" s="125"/>
      <c r="G875" s="125"/>
      <c r="H875" s="125"/>
      <c r="I875" s="746"/>
      <c r="J875" s="747"/>
      <c r="K875" s="748"/>
      <c r="L875" s="746"/>
      <c r="M875" s="747"/>
      <c r="N875" s="753"/>
    </row>
    <row r="876" spans="2:14" ht="14.25" hidden="1" customHeight="1" x14ac:dyDescent="0.25">
      <c r="B876" s="124"/>
      <c r="C876" s="125"/>
      <c r="D876" s="125"/>
      <c r="E876" s="125"/>
      <c r="F876" s="125"/>
      <c r="G876" s="125"/>
      <c r="H876" s="125"/>
      <c r="I876" s="746"/>
      <c r="J876" s="747"/>
      <c r="K876" s="748"/>
      <c r="L876" s="746"/>
      <c r="M876" s="747"/>
      <c r="N876" s="753"/>
    </row>
    <row r="877" spans="2:14" ht="14.25" hidden="1" customHeight="1" x14ac:dyDescent="0.25">
      <c r="B877" s="124"/>
      <c r="C877" s="125"/>
      <c r="D877" s="125"/>
      <c r="E877" s="125"/>
      <c r="F877" s="125"/>
      <c r="G877" s="125"/>
      <c r="H877" s="125"/>
      <c r="I877" s="746"/>
      <c r="J877" s="747"/>
      <c r="K877" s="748"/>
      <c r="L877" s="746"/>
      <c r="M877" s="747"/>
      <c r="N877" s="753"/>
    </row>
    <row r="878" spans="2:14" ht="14.25" hidden="1" customHeight="1" x14ac:dyDescent="0.25">
      <c r="B878" s="127"/>
      <c r="C878" s="125"/>
      <c r="D878" s="125"/>
      <c r="E878" s="125"/>
      <c r="F878" s="125"/>
      <c r="G878" s="125"/>
      <c r="H878" s="125"/>
      <c r="I878" s="749"/>
      <c r="J878" s="750"/>
      <c r="K878" s="751"/>
      <c r="L878" s="749"/>
      <c r="M878" s="750"/>
      <c r="N878" s="754"/>
    </row>
    <row r="879" spans="2:14" ht="14.25" hidden="1" customHeight="1" x14ac:dyDescent="0.25">
      <c r="B879" s="209"/>
      <c r="C879" s="118"/>
      <c r="D879" s="118"/>
      <c r="E879" s="118"/>
      <c r="F879" s="118"/>
      <c r="G879" s="118"/>
      <c r="H879" s="118"/>
      <c r="I879" s="118"/>
      <c r="J879" s="118"/>
      <c r="K879" s="118"/>
      <c r="L879" s="118"/>
      <c r="M879" s="118"/>
      <c r="N879" s="210"/>
    </row>
    <row r="880" spans="2:14" ht="14.25" hidden="1" customHeight="1" x14ac:dyDescent="0.25">
      <c r="B880" s="209"/>
      <c r="C880" s="118"/>
      <c r="D880" s="118"/>
      <c r="E880" s="118"/>
      <c r="F880" s="118"/>
      <c r="G880" s="118"/>
      <c r="H880" s="118"/>
      <c r="I880" s="118"/>
      <c r="J880" s="118"/>
      <c r="K880" s="118"/>
      <c r="L880" s="118"/>
      <c r="M880" s="118"/>
      <c r="N880" s="210"/>
    </row>
    <row r="881" spans="2:14" ht="14.25" hidden="1" customHeight="1" x14ac:dyDescent="0.25">
      <c r="B881" s="209"/>
      <c r="C881" s="118"/>
      <c r="D881" s="118"/>
      <c r="E881" s="118"/>
      <c r="F881" s="118"/>
      <c r="G881" s="118"/>
      <c r="H881" s="118"/>
      <c r="I881" s="118"/>
      <c r="J881" s="118"/>
      <c r="K881" s="118"/>
      <c r="L881" s="118"/>
      <c r="M881" s="118"/>
      <c r="N881" s="210"/>
    </row>
    <row r="882" spans="2:14" ht="14.25" hidden="1" customHeight="1" x14ac:dyDescent="0.25">
      <c r="B882" s="209"/>
      <c r="C882" s="118"/>
      <c r="D882" s="118"/>
      <c r="E882" s="118"/>
      <c r="F882" s="118"/>
      <c r="G882" s="118"/>
      <c r="H882" s="118"/>
      <c r="I882" s="118"/>
      <c r="J882" s="118"/>
      <c r="K882" s="118"/>
      <c r="L882" s="118"/>
      <c r="M882" s="118"/>
      <c r="N882" s="210"/>
    </row>
    <row r="883" spans="2:14" ht="14.25" hidden="1" customHeight="1" x14ac:dyDescent="0.25">
      <c r="B883" s="775" t="s">
        <v>414</v>
      </c>
      <c r="C883" s="747"/>
      <c r="D883" s="747"/>
      <c r="E883" s="128"/>
      <c r="F883" s="128"/>
      <c r="G883" s="128"/>
      <c r="H883" s="128"/>
      <c r="I883" s="776"/>
      <c r="J883" s="747"/>
      <c r="K883" s="747"/>
      <c r="L883" s="118"/>
      <c r="M883" s="118"/>
      <c r="N883" s="210"/>
    </row>
    <row r="884" spans="2:14" ht="14.25" hidden="1" customHeight="1" x14ac:dyDescent="0.25">
      <c r="B884" s="129"/>
      <c r="C884" s="130"/>
      <c r="D884" s="130"/>
      <c r="E884" s="130"/>
      <c r="F884" s="130"/>
      <c r="G884" s="130"/>
      <c r="H884" s="130"/>
      <c r="I884" s="130"/>
      <c r="J884" s="130"/>
      <c r="K884" s="130"/>
      <c r="L884" s="130"/>
      <c r="M884" s="130"/>
      <c r="N884" s="131"/>
    </row>
    <row r="885" spans="2:14" ht="14.25" hidden="1" customHeight="1" x14ac:dyDescent="0.25"/>
    <row r="886" spans="2:14" ht="41.25" hidden="1" customHeight="1" x14ac:dyDescent="0.25">
      <c r="B886" s="728"/>
      <c r="C886" s="729"/>
      <c r="D886" s="730" t="s">
        <v>393</v>
      </c>
      <c r="E886" s="729"/>
      <c r="F886" s="729"/>
      <c r="G886" s="729"/>
      <c r="H886" s="729"/>
      <c r="I886" s="729"/>
      <c r="J886" s="729"/>
      <c r="K886" s="729"/>
      <c r="L886" s="729"/>
      <c r="M886" s="729"/>
      <c r="N886" s="731"/>
    </row>
    <row r="887" spans="2:14" ht="14.25" hidden="1" customHeight="1" x14ac:dyDescent="0.25">
      <c r="B887" s="732" t="s">
        <v>394</v>
      </c>
      <c r="C887" s="733"/>
      <c r="D887" s="733"/>
      <c r="E887" s="733"/>
      <c r="F887" s="733"/>
      <c r="G887" s="733"/>
      <c r="H887" s="733"/>
      <c r="I887" s="733"/>
      <c r="J887" s="733"/>
      <c r="K887" s="733"/>
      <c r="L887" s="733"/>
      <c r="M887" s="733"/>
      <c r="N887" s="734"/>
    </row>
    <row r="888" spans="2:14" ht="33.75" hidden="1" customHeight="1" x14ac:dyDescent="0.25">
      <c r="B888" s="735" t="s">
        <v>395</v>
      </c>
      <c r="C888" s="736"/>
      <c r="D888" s="779" t="s">
        <v>462</v>
      </c>
      <c r="E888" s="733"/>
      <c r="F888" s="733"/>
      <c r="G888" s="733"/>
      <c r="H888" s="733"/>
      <c r="I888" s="733"/>
      <c r="J888" s="733"/>
      <c r="K888" s="733"/>
      <c r="L888" s="733"/>
      <c r="M888" s="733"/>
      <c r="N888" s="734"/>
    </row>
    <row r="889" spans="2:14" ht="14.25" hidden="1" customHeight="1" x14ac:dyDescent="0.25">
      <c r="B889" s="740" t="s">
        <v>26</v>
      </c>
      <c r="C889" s="741"/>
      <c r="D889" s="119" t="s">
        <v>396</v>
      </c>
      <c r="E889" s="742" t="s">
        <v>397</v>
      </c>
      <c r="F889" s="733"/>
      <c r="G889" s="733"/>
      <c r="H889" s="736"/>
      <c r="I889" s="742" t="s">
        <v>398</v>
      </c>
      <c r="J889" s="733"/>
      <c r="K889" s="736"/>
      <c r="L889" s="742" t="s">
        <v>399</v>
      </c>
      <c r="M889" s="733"/>
      <c r="N889" s="734"/>
    </row>
    <row r="890" spans="2:14" ht="14.25" hidden="1" customHeight="1" x14ac:dyDescent="0.25">
      <c r="B890" s="777">
        <v>22</v>
      </c>
      <c r="C890" s="736"/>
      <c r="D890" s="123">
        <f>SUM(H893:H905)</f>
        <v>1</v>
      </c>
      <c r="E890" s="778" t="s">
        <v>29</v>
      </c>
      <c r="F890" s="733"/>
      <c r="G890" s="733"/>
      <c r="H890" s="736"/>
      <c r="I890" s="744"/>
      <c r="J890" s="745"/>
      <c r="K890" s="741"/>
      <c r="L890" s="744"/>
      <c r="M890" s="745"/>
      <c r="N890" s="752"/>
    </row>
    <row r="891" spans="2:14" ht="14.25" hidden="1" customHeight="1" x14ac:dyDescent="0.25">
      <c r="B891" s="755" t="s">
        <v>416</v>
      </c>
      <c r="C891" s="733"/>
      <c r="D891" s="733"/>
      <c r="E891" s="733"/>
      <c r="F891" s="733"/>
      <c r="G891" s="733"/>
      <c r="H891" s="736"/>
      <c r="I891" s="746"/>
      <c r="J891" s="747"/>
      <c r="K891" s="748"/>
      <c r="L891" s="746"/>
      <c r="M891" s="747"/>
      <c r="N891" s="753"/>
    </row>
    <row r="892" spans="2:14" ht="14.25" hidden="1" customHeight="1" x14ac:dyDescent="0.25">
      <c r="B892" s="121" t="s">
        <v>400</v>
      </c>
      <c r="C892" s="122" t="s">
        <v>401</v>
      </c>
      <c r="D892" s="123" t="s">
        <v>402</v>
      </c>
      <c r="E892" s="123" t="s">
        <v>403</v>
      </c>
      <c r="F892" s="123" t="s">
        <v>404</v>
      </c>
      <c r="G892" s="123" t="s">
        <v>405</v>
      </c>
      <c r="H892" s="123" t="s">
        <v>406</v>
      </c>
      <c r="I892" s="746"/>
      <c r="J892" s="747"/>
      <c r="K892" s="748"/>
      <c r="L892" s="746"/>
      <c r="M892" s="747"/>
      <c r="N892" s="753"/>
    </row>
    <row r="893" spans="2:14" ht="14.25" hidden="1" customHeight="1" x14ac:dyDescent="0.25">
      <c r="B893" s="124" t="s">
        <v>456</v>
      </c>
      <c r="C893" s="138" t="s">
        <v>457</v>
      </c>
      <c r="D893" s="138">
        <v>1</v>
      </c>
      <c r="E893" s="125"/>
      <c r="F893" s="125"/>
      <c r="G893" s="125"/>
      <c r="H893" s="125">
        <f>D893</f>
        <v>1</v>
      </c>
      <c r="I893" s="746"/>
      <c r="J893" s="747"/>
      <c r="K893" s="748"/>
      <c r="L893" s="746"/>
      <c r="M893" s="747"/>
      <c r="N893" s="753"/>
    </row>
    <row r="894" spans="2:14" ht="14.25" hidden="1" customHeight="1" x14ac:dyDescent="0.25">
      <c r="B894" s="124"/>
      <c r="C894" s="125"/>
      <c r="D894" s="125"/>
      <c r="E894" s="125"/>
      <c r="F894" s="125"/>
      <c r="G894" s="125"/>
      <c r="H894" s="125"/>
      <c r="I894" s="746"/>
      <c r="J894" s="747"/>
      <c r="K894" s="748"/>
      <c r="L894" s="746"/>
      <c r="M894" s="747"/>
      <c r="N894" s="753"/>
    </row>
    <row r="895" spans="2:14" ht="14.25" hidden="1" customHeight="1" x14ac:dyDescent="0.25">
      <c r="B895" s="124"/>
      <c r="C895" s="125"/>
      <c r="D895" s="125"/>
      <c r="E895" s="125"/>
      <c r="F895" s="125"/>
      <c r="G895" s="125"/>
      <c r="H895" s="125"/>
      <c r="I895" s="746"/>
      <c r="J895" s="747"/>
      <c r="K895" s="748"/>
      <c r="L895" s="746"/>
      <c r="M895" s="747"/>
      <c r="N895" s="753"/>
    </row>
    <row r="896" spans="2:14" ht="14.25" hidden="1" customHeight="1" x14ac:dyDescent="0.25">
      <c r="B896" s="124"/>
      <c r="C896" s="125"/>
      <c r="D896" s="125"/>
      <c r="E896" s="125"/>
      <c r="F896" s="125"/>
      <c r="G896" s="125"/>
      <c r="H896" s="125"/>
      <c r="I896" s="746"/>
      <c r="J896" s="747"/>
      <c r="K896" s="748"/>
      <c r="L896" s="746"/>
      <c r="M896" s="747"/>
      <c r="N896" s="753"/>
    </row>
    <row r="897" spans="2:14" ht="14.25" hidden="1" customHeight="1" x14ac:dyDescent="0.25">
      <c r="B897" s="124"/>
      <c r="C897" s="125"/>
      <c r="D897" s="125"/>
      <c r="E897" s="125"/>
      <c r="F897" s="125"/>
      <c r="G897" s="125"/>
      <c r="H897" s="125"/>
      <c r="I897" s="746"/>
      <c r="J897" s="747"/>
      <c r="K897" s="748"/>
      <c r="L897" s="746"/>
      <c r="M897" s="747"/>
      <c r="N897" s="753"/>
    </row>
    <row r="898" spans="2:14" ht="14.25" hidden="1" customHeight="1" x14ac:dyDescent="0.25">
      <c r="B898" s="124"/>
      <c r="C898" s="125"/>
      <c r="D898" s="125"/>
      <c r="E898" s="125"/>
      <c r="F898" s="125"/>
      <c r="G898" s="125"/>
      <c r="H898" s="125"/>
      <c r="I898" s="746"/>
      <c r="J898" s="747"/>
      <c r="K898" s="748"/>
      <c r="L898" s="746"/>
      <c r="M898" s="747"/>
      <c r="N898" s="753"/>
    </row>
    <row r="899" spans="2:14" ht="14.25" hidden="1" customHeight="1" x14ac:dyDescent="0.25">
      <c r="B899" s="124"/>
      <c r="C899" s="125"/>
      <c r="D899" s="125"/>
      <c r="E899" s="125"/>
      <c r="F899" s="125"/>
      <c r="G899" s="125"/>
      <c r="H899" s="125"/>
      <c r="I899" s="746"/>
      <c r="J899" s="747"/>
      <c r="K899" s="748"/>
      <c r="L899" s="746"/>
      <c r="M899" s="747"/>
      <c r="N899" s="753"/>
    </row>
    <row r="900" spans="2:14" ht="14.25" hidden="1" customHeight="1" x14ac:dyDescent="0.25">
      <c r="B900" s="124"/>
      <c r="C900" s="125"/>
      <c r="D900" s="125"/>
      <c r="E900" s="125"/>
      <c r="F900" s="125"/>
      <c r="G900" s="125"/>
      <c r="H900" s="125"/>
      <c r="I900" s="746"/>
      <c r="J900" s="747"/>
      <c r="K900" s="748"/>
      <c r="L900" s="746"/>
      <c r="M900" s="747"/>
      <c r="N900" s="753"/>
    </row>
    <row r="901" spans="2:14" ht="14.25" hidden="1" customHeight="1" x14ac:dyDescent="0.25">
      <c r="B901" s="124"/>
      <c r="C901" s="125"/>
      <c r="D901" s="125"/>
      <c r="E901" s="125"/>
      <c r="F901" s="125"/>
      <c r="G901" s="125"/>
      <c r="H901" s="125"/>
      <c r="I901" s="746"/>
      <c r="J901" s="747"/>
      <c r="K901" s="748"/>
      <c r="L901" s="746"/>
      <c r="M901" s="747"/>
      <c r="N901" s="753"/>
    </row>
    <row r="902" spans="2:14" ht="14.25" hidden="1" customHeight="1" x14ac:dyDescent="0.25">
      <c r="B902" s="124"/>
      <c r="C902" s="125"/>
      <c r="D902" s="125"/>
      <c r="E902" s="125"/>
      <c r="F902" s="125"/>
      <c r="G902" s="125"/>
      <c r="H902" s="125"/>
      <c r="I902" s="746"/>
      <c r="J902" s="747"/>
      <c r="K902" s="748"/>
      <c r="L902" s="746"/>
      <c r="M902" s="747"/>
      <c r="N902" s="753"/>
    </row>
    <row r="903" spans="2:14" ht="14.25" hidden="1" customHeight="1" x14ac:dyDescent="0.25">
      <c r="B903" s="124"/>
      <c r="C903" s="125"/>
      <c r="D903" s="125"/>
      <c r="E903" s="125"/>
      <c r="F903" s="125"/>
      <c r="G903" s="125"/>
      <c r="H903" s="125"/>
      <c r="I903" s="746"/>
      <c r="J903" s="747"/>
      <c r="K903" s="748"/>
      <c r="L903" s="746"/>
      <c r="M903" s="747"/>
      <c r="N903" s="753"/>
    </row>
    <row r="904" spans="2:14" ht="14.25" hidden="1" customHeight="1" x14ac:dyDescent="0.25">
      <c r="B904" s="124"/>
      <c r="C904" s="125"/>
      <c r="D904" s="125"/>
      <c r="E904" s="125"/>
      <c r="F904" s="125"/>
      <c r="G904" s="125"/>
      <c r="H904" s="125"/>
      <c r="I904" s="746"/>
      <c r="J904" s="747"/>
      <c r="K904" s="748"/>
      <c r="L904" s="746"/>
      <c r="M904" s="747"/>
      <c r="N904" s="753"/>
    </row>
    <row r="905" spans="2:14" ht="14.25" hidden="1" customHeight="1" x14ac:dyDescent="0.25">
      <c r="B905" s="127"/>
      <c r="C905" s="125"/>
      <c r="D905" s="125"/>
      <c r="E905" s="125"/>
      <c r="F905" s="125"/>
      <c r="G905" s="125"/>
      <c r="H905" s="125"/>
      <c r="I905" s="749"/>
      <c r="J905" s="750"/>
      <c r="K905" s="751"/>
      <c r="L905" s="749"/>
      <c r="M905" s="750"/>
      <c r="N905" s="754"/>
    </row>
    <row r="906" spans="2:14" ht="14.25" hidden="1" customHeight="1" x14ac:dyDescent="0.25">
      <c r="B906" s="209"/>
      <c r="C906" s="118"/>
      <c r="D906" s="118"/>
      <c r="E906" s="118"/>
      <c r="F906" s="118"/>
      <c r="G906" s="118"/>
      <c r="H906" s="118"/>
      <c r="I906" s="118"/>
      <c r="J906" s="118"/>
      <c r="K906" s="118"/>
      <c r="L906" s="118"/>
      <c r="M906" s="118"/>
      <c r="N906" s="210"/>
    </row>
    <row r="907" spans="2:14" ht="14.25" hidden="1" customHeight="1" x14ac:dyDescent="0.25">
      <c r="B907" s="209"/>
      <c r="C907" s="118"/>
      <c r="D907" s="118"/>
      <c r="E907" s="118"/>
      <c r="F907" s="118"/>
      <c r="G907" s="118"/>
      <c r="H907" s="118"/>
      <c r="I907" s="118"/>
      <c r="J907" s="118"/>
      <c r="K907" s="118"/>
      <c r="L907" s="118"/>
      <c r="M907" s="118"/>
      <c r="N907" s="210"/>
    </row>
    <row r="908" spans="2:14" ht="14.25" hidden="1" customHeight="1" x14ac:dyDescent="0.25">
      <c r="B908" s="209"/>
      <c r="C908" s="118"/>
      <c r="D908" s="118"/>
      <c r="E908" s="118"/>
      <c r="F908" s="118"/>
      <c r="G908" s="118"/>
      <c r="H908" s="118"/>
      <c r="I908" s="118"/>
      <c r="J908" s="118"/>
      <c r="K908" s="118"/>
      <c r="L908" s="118"/>
      <c r="M908" s="118"/>
      <c r="N908" s="210"/>
    </row>
    <row r="909" spans="2:14" ht="14.25" hidden="1" customHeight="1" x14ac:dyDescent="0.25">
      <c r="B909" s="209"/>
      <c r="C909" s="118"/>
      <c r="D909" s="118"/>
      <c r="E909" s="118"/>
      <c r="F909" s="118"/>
      <c r="G909" s="118"/>
      <c r="H909" s="118"/>
      <c r="I909" s="118"/>
      <c r="J909" s="118"/>
      <c r="K909" s="118"/>
      <c r="L909" s="118"/>
      <c r="M909" s="118"/>
      <c r="N909" s="210"/>
    </row>
    <row r="910" spans="2:14" ht="14.25" hidden="1" customHeight="1" x14ac:dyDescent="0.25">
      <c r="B910" s="775" t="s">
        <v>414</v>
      </c>
      <c r="C910" s="747"/>
      <c r="D910" s="747"/>
      <c r="E910" s="128"/>
      <c r="F910" s="128"/>
      <c r="G910" s="128"/>
      <c r="H910" s="128"/>
      <c r="I910" s="776"/>
      <c r="J910" s="747"/>
      <c r="K910" s="747"/>
      <c r="L910" s="118"/>
      <c r="M910" s="118"/>
      <c r="N910" s="210"/>
    </row>
    <row r="911" spans="2:14" ht="14.25" hidden="1" customHeight="1" x14ac:dyDescent="0.25">
      <c r="B911" s="129"/>
      <c r="C911" s="130"/>
      <c r="D911" s="130"/>
      <c r="E911" s="130"/>
      <c r="F911" s="130"/>
      <c r="G911" s="130"/>
      <c r="H911" s="130"/>
      <c r="I911" s="130"/>
      <c r="J911" s="130"/>
      <c r="K911" s="130"/>
      <c r="L911" s="130"/>
      <c r="M911" s="130"/>
      <c r="N911" s="131"/>
    </row>
    <row r="912" spans="2:14" ht="14.25" customHeight="1" thickBot="1" x14ac:dyDescent="0.3"/>
    <row r="913" spans="2:14" ht="40.5" hidden="1" customHeight="1" x14ac:dyDescent="0.25">
      <c r="B913" s="728"/>
      <c r="C913" s="729"/>
      <c r="D913" s="730" t="s">
        <v>393</v>
      </c>
      <c r="E913" s="729"/>
      <c r="F913" s="729"/>
      <c r="G913" s="729"/>
      <c r="H913" s="729"/>
      <c r="I913" s="729"/>
      <c r="J913" s="729"/>
      <c r="K913" s="729"/>
      <c r="L913" s="729"/>
      <c r="M913" s="729"/>
      <c r="N913" s="731"/>
    </row>
    <row r="914" spans="2:14" ht="14.25" hidden="1" customHeight="1" x14ac:dyDescent="0.25">
      <c r="B914" s="732" t="s">
        <v>394</v>
      </c>
      <c r="C914" s="733"/>
      <c r="D914" s="733"/>
      <c r="E914" s="733"/>
      <c r="F914" s="733"/>
      <c r="G914" s="733"/>
      <c r="H914" s="733"/>
      <c r="I914" s="733"/>
      <c r="J914" s="733"/>
      <c r="K914" s="733"/>
      <c r="L914" s="733"/>
      <c r="M914" s="733"/>
      <c r="N914" s="734"/>
    </row>
    <row r="915" spans="2:14" ht="14.25" hidden="1" customHeight="1" x14ac:dyDescent="0.25">
      <c r="B915" s="735" t="s">
        <v>395</v>
      </c>
      <c r="C915" s="736"/>
      <c r="D915" s="779" t="s">
        <v>113</v>
      </c>
      <c r="E915" s="733"/>
      <c r="F915" s="733"/>
      <c r="G915" s="733"/>
      <c r="H915" s="733"/>
      <c r="I915" s="733"/>
      <c r="J915" s="733"/>
      <c r="K915" s="733"/>
      <c r="L915" s="733"/>
      <c r="M915" s="733"/>
      <c r="N915" s="734"/>
    </row>
    <row r="916" spans="2:14" ht="14.25" hidden="1" customHeight="1" x14ac:dyDescent="0.25">
      <c r="B916" s="740" t="s">
        <v>26</v>
      </c>
      <c r="C916" s="741"/>
      <c r="D916" s="119" t="s">
        <v>396</v>
      </c>
      <c r="E916" s="742" t="s">
        <v>397</v>
      </c>
      <c r="F916" s="733"/>
      <c r="G916" s="733"/>
      <c r="H916" s="736"/>
      <c r="I916" s="742" t="s">
        <v>398</v>
      </c>
      <c r="J916" s="733"/>
      <c r="K916" s="736"/>
      <c r="L916" s="742" t="s">
        <v>399</v>
      </c>
      <c r="M916" s="733"/>
      <c r="N916" s="734"/>
    </row>
    <row r="917" spans="2:14" ht="14.25" hidden="1" customHeight="1" x14ac:dyDescent="0.25">
      <c r="B917" s="777">
        <v>23</v>
      </c>
      <c r="C917" s="736"/>
      <c r="D917" s="120">
        <f>ROUND(SUM(H920:H953),0)</f>
        <v>1836</v>
      </c>
      <c r="E917" s="778" t="s">
        <v>51</v>
      </c>
      <c r="F917" s="733"/>
      <c r="G917" s="733"/>
      <c r="H917" s="736"/>
      <c r="I917" s="744"/>
      <c r="J917" s="745"/>
      <c r="K917" s="741"/>
      <c r="L917" s="744"/>
      <c r="M917" s="745"/>
      <c r="N917" s="752"/>
    </row>
    <row r="918" spans="2:14" ht="14.25" hidden="1" customHeight="1" x14ac:dyDescent="0.25">
      <c r="B918" s="755" t="s">
        <v>416</v>
      </c>
      <c r="C918" s="733"/>
      <c r="D918" s="733"/>
      <c r="E918" s="733"/>
      <c r="F918" s="733"/>
      <c r="G918" s="733"/>
      <c r="H918" s="736"/>
      <c r="I918" s="746"/>
      <c r="J918" s="747"/>
      <c r="K918" s="748"/>
      <c r="L918" s="746"/>
      <c r="M918" s="747"/>
      <c r="N918" s="753"/>
    </row>
    <row r="919" spans="2:14" ht="14.25" hidden="1" customHeight="1" x14ac:dyDescent="0.25">
      <c r="B919" s="121" t="s">
        <v>400</v>
      </c>
      <c r="C919" s="122" t="s">
        <v>401</v>
      </c>
      <c r="D919" s="123" t="s">
        <v>402</v>
      </c>
      <c r="E919" s="123" t="s">
        <v>403</v>
      </c>
      <c r="F919" s="123" t="s">
        <v>404</v>
      </c>
      <c r="G919" s="123" t="s">
        <v>405</v>
      </c>
      <c r="H919" s="123" t="s">
        <v>406</v>
      </c>
      <c r="I919" s="746"/>
      <c r="J919" s="747"/>
      <c r="K919" s="748"/>
      <c r="L919" s="746"/>
      <c r="M919" s="747"/>
      <c r="N919" s="753"/>
    </row>
    <row r="920" spans="2:14" ht="14.25" hidden="1" customHeight="1" x14ac:dyDescent="0.25">
      <c r="B920" s="150" t="s">
        <v>463</v>
      </c>
      <c r="C920" s="765" t="s">
        <v>464</v>
      </c>
      <c r="D920" s="151"/>
      <c r="E920" s="151"/>
      <c r="F920" s="125">
        <f>3.04+0.93+1.39</f>
        <v>5.36</v>
      </c>
      <c r="G920" s="125">
        <v>2.15</v>
      </c>
      <c r="H920" s="152">
        <f t="shared" ref="H920:H933" si="24">F920*G920</f>
        <v>11.524000000000001</v>
      </c>
      <c r="I920" s="746"/>
      <c r="J920" s="747"/>
      <c r="K920" s="748"/>
      <c r="L920" s="746"/>
      <c r="M920" s="747"/>
      <c r="N920" s="753"/>
    </row>
    <row r="921" spans="2:14" ht="14.25" hidden="1" customHeight="1" x14ac:dyDescent="0.25">
      <c r="B921" s="150" t="s">
        <v>465</v>
      </c>
      <c r="C921" s="781"/>
      <c r="D921" s="151"/>
      <c r="E921" s="151"/>
      <c r="F921" s="125">
        <f>3.63+4.92+2.02+3.13+3.79+3.35+1.39+2</f>
        <v>24.23</v>
      </c>
      <c r="G921" s="125">
        <v>2.15</v>
      </c>
      <c r="H921" s="152">
        <f t="shared" si="24"/>
        <v>52.094499999999996</v>
      </c>
      <c r="I921" s="746"/>
      <c r="J921" s="747"/>
      <c r="K921" s="748"/>
      <c r="L921" s="746"/>
      <c r="M921" s="747"/>
      <c r="N921" s="753"/>
    </row>
    <row r="922" spans="2:14" ht="14.25" hidden="1" customHeight="1" x14ac:dyDescent="0.25">
      <c r="B922" s="153" t="s">
        <v>466</v>
      </c>
      <c r="C922" s="765" t="s">
        <v>467</v>
      </c>
      <c r="D922" s="125"/>
      <c r="E922" s="125"/>
      <c r="F922" s="125">
        <f>1.36+0.83+0.83+0.65</f>
        <v>3.67</v>
      </c>
      <c r="G922" s="125">
        <v>3.5</v>
      </c>
      <c r="H922" s="154">
        <f t="shared" si="24"/>
        <v>12.844999999999999</v>
      </c>
      <c r="I922" s="746"/>
      <c r="J922" s="747"/>
      <c r="K922" s="748"/>
      <c r="L922" s="746"/>
      <c r="M922" s="747"/>
      <c r="N922" s="753"/>
    </row>
    <row r="923" spans="2:14" ht="14.25" hidden="1" customHeight="1" x14ac:dyDescent="0.25">
      <c r="B923" s="153" t="s">
        <v>468</v>
      </c>
      <c r="C923" s="780"/>
      <c r="D923" s="125"/>
      <c r="E923" s="125"/>
      <c r="F923" s="125">
        <f>0.83+1.02+1.95+0.3</f>
        <v>4.0999999999999996</v>
      </c>
      <c r="G923" s="125">
        <v>3.5</v>
      </c>
      <c r="H923" s="154">
        <f t="shared" si="24"/>
        <v>14.349999999999998</v>
      </c>
      <c r="I923" s="746"/>
      <c r="J923" s="747"/>
      <c r="K923" s="748"/>
      <c r="L923" s="746"/>
      <c r="M923" s="747"/>
      <c r="N923" s="753"/>
    </row>
    <row r="924" spans="2:14" ht="18" hidden="1" customHeight="1" x14ac:dyDescent="0.25">
      <c r="B924" s="153" t="s">
        <v>459</v>
      </c>
      <c r="C924" s="780"/>
      <c r="D924" s="125"/>
      <c r="E924" s="125"/>
      <c r="F924" s="125">
        <f>1.58+2.97+1.58+4.03</f>
        <v>10.16</v>
      </c>
      <c r="G924" s="125">
        <v>3.5</v>
      </c>
      <c r="H924" s="154">
        <f t="shared" si="24"/>
        <v>35.56</v>
      </c>
      <c r="I924" s="746"/>
      <c r="J924" s="747"/>
      <c r="K924" s="748"/>
      <c r="L924" s="746"/>
      <c r="M924" s="747"/>
      <c r="N924" s="753"/>
    </row>
    <row r="925" spans="2:14" ht="16.5" hidden="1" customHeight="1" x14ac:dyDescent="0.25">
      <c r="B925" s="153" t="s">
        <v>469</v>
      </c>
      <c r="C925" s="780"/>
      <c r="D925" s="125"/>
      <c r="E925" s="125"/>
      <c r="F925" s="125">
        <f>1.47+7.87+4.08+3.78+3.32+3.32+3.96+2.45+1.09</f>
        <v>31.34</v>
      </c>
      <c r="G925" s="125">
        <v>5.14</v>
      </c>
      <c r="H925" s="154">
        <f t="shared" si="24"/>
        <v>161.08759999999998</v>
      </c>
      <c r="I925" s="746"/>
      <c r="J925" s="747"/>
      <c r="K925" s="748"/>
      <c r="L925" s="746"/>
      <c r="M925" s="747"/>
      <c r="N925" s="753"/>
    </row>
    <row r="926" spans="2:14" ht="33" hidden="1" customHeight="1" x14ac:dyDescent="0.25">
      <c r="B926" s="155" t="s">
        <v>470</v>
      </c>
      <c r="C926" s="780"/>
      <c r="D926" s="125"/>
      <c r="E926" s="125"/>
      <c r="F926" s="138">
        <f>7.89+3.96+2.25+1+4.27+1.96+3.25+3.11</f>
        <v>27.689999999999998</v>
      </c>
      <c r="G926" s="138">
        <v>5.14</v>
      </c>
      <c r="H926" s="154">
        <f t="shared" si="24"/>
        <v>142.32659999999998</v>
      </c>
      <c r="I926" s="746"/>
      <c r="J926" s="747"/>
      <c r="K926" s="748"/>
      <c r="L926" s="746"/>
      <c r="M926" s="747"/>
      <c r="N926" s="753"/>
    </row>
    <row r="927" spans="2:14" ht="20.25" hidden="1" customHeight="1" x14ac:dyDescent="0.25">
      <c r="B927" s="153" t="s">
        <v>471</v>
      </c>
      <c r="C927" s="780"/>
      <c r="D927" s="125"/>
      <c r="E927" s="125"/>
      <c r="F927" s="125">
        <f>3.15+3.15+1.9+0.91</f>
        <v>9.11</v>
      </c>
      <c r="G927" s="138">
        <v>3.14</v>
      </c>
      <c r="H927" s="154">
        <f t="shared" si="24"/>
        <v>28.605399999999999</v>
      </c>
      <c r="I927" s="746"/>
      <c r="J927" s="747"/>
      <c r="K927" s="748"/>
      <c r="L927" s="746"/>
      <c r="M927" s="747"/>
      <c r="N927" s="753"/>
    </row>
    <row r="928" spans="2:14" ht="20.25" hidden="1" customHeight="1" x14ac:dyDescent="0.25">
      <c r="B928" s="153" t="s">
        <v>472</v>
      </c>
      <c r="C928" s="780"/>
      <c r="D928" s="125"/>
      <c r="E928" s="125"/>
      <c r="F928" s="125">
        <f>1.9+1+3+3</f>
        <v>8.9</v>
      </c>
      <c r="G928" s="138">
        <v>3.14</v>
      </c>
      <c r="H928" s="154">
        <f t="shared" si="24"/>
        <v>27.946000000000002</v>
      </c>
      <c r="I928" s="746"/>
      <c r="J928" s="747"/>
      <c r="K928" s="748"/>
      <c r="L928" s="746"/>
      <c r="M928" s="747"/>
      <c r="N928" s="753"/>
    </row>
    <row r="929" spans="2:14" ht="20.25" hidden="1" customHeight="1" x14ac:dyDescent="0.25">
      <c r="B929" s="156" t="s">
        <v>473</v>
      </c>
      <c r="C929" s="780"/>
      <c r="D929" s="125"/>
      <c r="E929" s="125"/>
      <c r="F929" s="125">
        <v>4</v>
      </c>
      <c r="G929" s="138">
        <v>5.14</v>
      </c>
      <c r="H929" s="154">
        <f t="shared" si="24"/>
        <v>20.56</v>
      </c>
      <c r="I929" s="746"/>
      <c r="J929" s="747"/>
      <c r="K929" s="748"/>
      <c r="L929" s="746"/>
      <c r="M929" s="747"/>
      <c r="N929" s="753"/>
    </row>
    <row r="930" spans="2:14" ht="20.25" hidden="1" customHeight="1" x14ac:dyDescent="0.25">
      <c r="B930" s="153" t="s">
        <v>474</v>
      </c>
      <c r="C930" s="780"/>
      <c r="D930" s="125"/>
      <c r="E930" s="125"/>
      <c r="F930" s="125">
        <f>2.25+2+1.99+1</f>
        <v>7.24</v>
      </c>
      <c r="G930" s="138">
        <v>3.14</v>
      </c>
      <c r="H930" s="154">
        <f t="shared" si="24"/>
        <v>22.733600000000003</v>
      </c>
      <c r="I930" s="746"/>
      <c r="J930" s="747"/>
      <c r="K930" s="748"/>
      <c r="L930" s="746"/>
      <c r="M930" s="747"/>
      <c r="N930" s="753"/>
    </row>
    <row r="931" spans="2:14" ht="20.25" hidden="1" customHeight="1" x14ac:dyDescent="0.25">
      <c r="B931" s="153" t="s">
        <v>475</v>
      </c>
      <c r="C931" s="781"/>
      <c r="D931" s="125"/>
      <c r="E931" s="125"/>
      <c r="F931" s="125">
        <f>2.45+2.22+2+1.09</f>
        <v>7.76</v>
      </c>
      <c r="G931" s="138">
        <v>3.14</v>
      </c>
      <c r="H931" s="154">
        <f t="shared" si="24"/>
        <v>24.366399999999999</v>
      </c>
      <c r="I931" s="746"/>
      <c r="J931" s="747"/>
      <c r="K931" s="748"/>
      <c r="L931" s="746"/>
      <c r="M931" s="747"/>
      <c r="N931" s="753"/>
    </row>
    <row r="932" spans="2:14" ht="14.25" hidden="1" customHeight="1" x14ac:dyDescent="0.25">
      <c r="B932" s="155" t="s">
        <v>476</v>
      </c>
      <c r="C932" s="765" t="s">
        <v>477</v>
      </c>
      <c r="D932" s="125"/>
      <c r="E932" s="125"/>
      <c r="F932" s="138">
        <f>4.59+4.99+2.78+3.55+2.66+2.28+1.08+1.67+2.66</f>
        <v>26.26</v>
      </c>
      <c r="G932" s="138">
        <v>3</v>
      </c>
      <c r="H932" s="154">
        <f t="shared" si="24"/>
        <v>78.78</v>
      </c>
      <c r="I932" s="746"/>
      <c r="J932" s="747"/>
      <c r="K932" s="748"/>
      <c r="L932" s="746"/>
      <c r="M932" s="747"/>
      <c r="N932" s="753"/>
    </row>
    <row r="933" spans="2:14" ht="43.5" hidden="1" customHeight="1" x14ac:dyDescent="0.25">
      <c r="B933" s="155" t="s">
        <v>478</v>
      </c>
      <c r="C933" s="780"/>
      <c r="D933" s="125"/>
      <c r="E933" s="125"/>
      <c r="F933" s="138">
        <f>3.14+10.2+7.43+2.78</f>
        <v>23.55</v>
      </c>
      <c r="G933" s="138">
        <v>3</v>
      </c>
      <c r="H933" s="154">
        <f t="shared" si="24"/>
        <v>70.650000000000006</v>
      </c>
      <c r="I933" s="746"/>
      <c r="J933" s="747"/>
      <c r="K933" s="748"/>
      <c r="L933" s="746"/>
      <c r="M933" s="747"/>
      <c r="N933" s="753"/>
    </row>
    <row r="934" spans="2:14" ht="24.75" hidden="1" customHeight="1" x14ac:dyDescent="0.25">
      <c r="B934" s="156" t="s">
        <v>479</v>
      </c>
      <c r="C934" s="781"/>
      <c r="D934" s="138">
        <v>2</v>
      </c>
      <c r="E934" s="125"/>
      <c r="F934" s="138">
        <f>1+1.21+1.51</f>
        <v>3.7199999999999998</v>
      </c>
      <c r="G934" s="138">
        <v>1</v>
      </c>
      <c r="H934" s="154">
        <f>F934*G934*D934</f>
        <v>7.4399999999999995</v>
      </c>
      <c r="I934" s="746"/>
      <c r="J934" s="747"/>
      <c r="K934" s="748"/>
      <c r="L934" s="746"/>
      <c r="M934" s="747"/>
      <c r="N934" s="753"/>
    </row>
    <row r="935" spans="2:14" ht="33" hidden="1" customHeight="1" x14ac:dyDescent="0.25">
      <c r="B935" s="156" t="s">
        <v>480</v>
      </c>
      <c r="C935" s="789" t="s">
        <v>481</v>
      </c>
      <c r="D935" s="138"/>
      <c r="E935" s="138"/>
      <c r="F935" s="138">
        <f>2.99+3.4+2.03+3.4+2.93+3.04+2.4+1.94+1.38+2.93+2.03</f>
        <v>28.47</v>
      </c>
      <c r="G935" s="138">
        <v>3.3</v>
      </c>
      <c r="H935" s="154">
        <f t="shared" ref="H935:H952" si="25">F935*G935</f>
        <v>93.950999999999993</v>
      </c>
      <c r="I935" s="746"/>
      <c r="J935" s="747"/>
      <c r="K935" s="748"/>
      <c r="L935" s="746"/>
      <c r="M935" s="747"/>
      <c r="N935" s="753"/>
    </row>
    <row r="936" spans="2:14" ht="39" hidden="1" customHeight="1" x14ac:dyDescent="0.25">
      <c r="B936" s="156" t="s">
        <v>482</v>
      </c>
      <c r="C936" s="780"/>
      <c r="D936" s="138"/>
      <c r="E936" s="138"/>
      <c r="F936" s="138">
        <f>7.25+2.12+2.9+3.2+3.38+4.08+3.24+3.83+3.2+3.38</f>
        <v>36.580000000000005</v>
      </c>
      <c r="G936" s="138">
        <v>3.3</v>
      </c>
      <c r="H936" s="154">
        <f t="shared" si="25"/>
        <v>120.71400000000001</v>
      </c>
      <c r="I936" s="746"/>
      <c r="J936" s="747"/>
      <c r="K936" s="748"/>
      <c r="L936" s="746"/>
      <c r="M936" s="747"/>
      <c r="N936" s="753"/>
    </row>
    <row r="937" spans="2:14" ht="35.25" hidden="1" customHeight="1" x14ac:dyDescent="0.25">
      <c r="B937" s="156" t="s">
        <v>483</v>
      </c>
      <c r="C937" s="780"/>
      <c r="D937" s="138"/>
      <c r="E937" s="138"/>
      <c r="F937" s="138">
        <f>3.67+4.08+2.78+2.78+1.37+3.47+3.88+2.88+4.11+3.37+2.61+2.78</f>
        <v>37.779999999999994</v>
      </c>
      <c r="G937" s="138">
        <v>3.3</v>
      </c>
      <c r="H937" s="154">
        <f t="shared" si="25"/>
        <v>124.67399999999998</v>
      </c>
      <c r="I937" s="746"/>
      <c r="J937" s="747"/>
      <c r="K937" s="748"/>
      <c r="L937" s="746"/>
      <c r="M937" s="747"/>
      <c r="N937" s="753"/>
    </row>
    <row r="938" spans="2:14" ht="14.25" hidden="1" customHeight="1" x14ac:dyDescent="0.25">
      <c r="B938" s="156" t="s">
        <v>484</v>
      </c>
      <c r="C938" s="780"/>
      <c r="D938" s="138"/>
      <c r="E938" s="138"/>
      <c r="F938" s="138">
        <f>1.53+3.08+3.57+3.22+3.71+2.34+3.71+3.68+5.31+2.18+3.45</f>
        <v>35.78</v>
      </c>
      <c r="G938" s="138">
        <v>3.3</v>
      </c>
      <c r="H938" s="154">
        <f t="shared" si="25"/>
        <v>118.074</v>
      </c>
      <c r="I938" s="746"/>
      <c r="J938" s="747"/>
      <c r="K938" s="748"/>
      <c r="L938" s="746"/>
      <c r="M938" s="747"/>
      <c r="N938" s="753"/>
    </row>
    <row r="939" spans="2:14" ht="14.25" hidden="1" customHeight="1" x14ac:dyDescent="0.25">
      <c r="B939" s="156" t="s">
        <v>485</v>
      </c>
      <c r="C939" s="780"/>
      <c r="D939" s="138"/>
      <c r="E939" s="138"/>
      <c r="F939" s="138">
        <f>3.58+3.44+2.58+2.69+2.73+2.96+3.25+3.02+3.62+3.44</f>
        <v>31.310000000000002</v>
      </c>
      <c r="G939" s="138">
        <v>3.3</v>
      </c>
      <c r="H939" s="154">
        <f t="shared" si="25"/>
        <v>103.32300000000001</v>
      </c>
      <c r="I939" s="746"/>
      <c r="J939" s="747"/>
      <c r="K939" s="748"/>
      <c r="L939" s="746"/>
      <c r="M939" s="747"/>
      <c r="N939" s="753"/>
    </row>
    <row r="940" spans="2:14" ht="24.75" hidden="1" customHeight="1" x14ac:dyDescent="0.25">
      <c r="B940" s="156" t="s">
        <v>486</v>
      </c>
      <c r="C940" s="781"/>
      <c r="D940" s="138"/>
      <c r="E940" s="138"/>
      <c r="F940" s="138">
        <f>3.04+2.24+3.13+3.04+3.16+2.98+3.33+1.23+1.83+1+1.52</f>
        <v>26.500000000000004</v>
      </c>
      <c r="G940" s="138">
        <v>1.3</v>
      </c>
      <c r="H940" s="154">
        <f t="shared" si="25"/>
        <v>34.450000000000003</v>
      </c>
      <c r="I940" s="746"/>
      <c r="J940" s="747"/>
      <c r="K940" s="748"/>
      <c r="L940" s="746"/>
      <c r="M940" s="747"/>
      <c r="N940" s="753"/>
    </row>
    <row r="941" spans="2:14" ht="14.25" hidden="1" customHeight="1" x14ac:dyDescent="0.25">
      <c r="B941" s="156" t="s">
        <v>487</v>
      </c>
      <c r="C941" s="789" t="s">
        <v>488</v>
      </c>
      <c r="D941" s="138"/>
      <c r="E941" s="138"/>
      <c r="F941" s="138">
        <f>3.45+3.85+3.04+4.06+2</f>
        <v>16.399999999999999</v>
      </c>
      <c r="G941" s="138">
        <v>3.3</v>
      </c>
      <c r="H941" s="154">
        <f t="shared" si="25"/>
        <v>54.11999999999999</v>
      </c>
      <c r="I941" s="746"/>
      <c r="J941" s="747"/>
      <c r="K941" s="748"/>
      <c r="L941" s="746"/>
      <c r="M941" s="747"/>
      <c r="N941" s="753"/>
    </row>
    <row r="942" spans="2:14" ht="14.25" hidden="1" customHeight="1" x14ac:dyDescent="0.25">
      <c r="B942" s="156" t="s">
        <v>489</v>
      </c>
      <c r="C942" s="780"/>
      <c r="D942" s="138"/>
      <c r="E942" s="138"/>
      <c r="F942" s="138">
        <f>1.29+3.79+4.15+2.96+2.96+2.85+2.85+3.31</f>
        <v>24.160000000000004</v>
      </c>
      <c r="G942" s="138">
        <v>3.3</v>
      </c>
      <c r="H942" s="154">
        <f t="shared" si="25"/>
        <v>79.728000000000009</v>
      </c>
      <c r="I942" s="746"/>
      <c r="J942" s="747"/>
      <c r="K942" s="748"/>
      <c r="L942" s="746"/>
      <c r="M942" s="747"/>
      <c r="N942" s="753"/>
    </row>
    <row r="943" spans="2:14" ht="14.25" hidden="1" customHeight="1" x14ac:dyDescent="0.25">
      <c r="B943" s="156" t="s">
        <v>490</v>
      </c>
      <c r="C943" s="780"/>
      <c r="D943" s="138"/>
      <c r="E943" s="138"/>
      <c r="F943" s="138">
        <f>3.12+3.52+3.07+2.49+2.49+2.5+2.32+3.1+0.97</f>
        <v>23.580000000000002</v>
      </c>
      <c r="G943" s="138">
        <v>3.3</v>
      </c>
      <c r="H943" s="154">
        <f t="shared" si="25"/>
        <v>77.814000000000007</v>
      </c>
      <c r="I943" s="746"/>
      <c r="J943" s="747"/>
      <c r="K943" s="748"/>
      <c r="L943" s="746"/>
      <c r="M943" s="747"/>
      <c r="N943" s="753"/>
    </row>
    <row r="944" spans="2:14" ht="14.25" hidden="1" customHeight="1" x14ac:dyDescent="0.25">
      <c r="B944" s="156" t="s">
        <v>491</v>
      </c>
      <c r="C944" s="780"/>
      <c r="D944" s="138"/>
      <c r="E944" s="138"/>
      <c r="F944" s="138">
        <f>2.98+3.76+5.95+3.76</f>
        <v>16.450000000000003</v>
      </c>
      <c r="G944" s="138">
        <v>3.3</v>
      </c>
      <c r="H944" s="154">
        <f t="shared" si="25"/>
        <v>54.285000000000004</v>
      </c>
      <c r="I944" s="746"/>
      <c r="J944" s="747"/>
      <c r="K944" s="748"/>
      <c r="L944" s="746"/>
      <c r="M944" s="747"/>
      <c r="N944" s="753"/>
    </row>
    <row r="945" spans="2:14" ht="24.75" hidden="1" customHeight="1" x14ac:dyDescent="0.25">
      <c r="B945" s="157" t="s">
        <v>492</v>
      </c>
      <c r="C945" s="781"/>
      <c r="D945" s="138"/>
      <c r="E945" s="138"/>
      <c r="F945" s="138">
        <f>3.76+3.76+3.76+3.76+3.76+3.76+4.28+2</f>
        <v>28.839999999999996</v>
      </c>
      <c r="G945" s="138">
        <v>3.3</v>
      </c>
      <c r="H945" s="154">
        <f t="shared" si="25"/>
        <v>95.171999999999983</v>
      </c>
      <c r="I945" s="746"/>
      <c r="J945" s="747"/>
      <c r="K945" s="748"/>
      <c r="L945" s="746"/>
      <c r="M945" s="747"/>
      <c r="N945" s="753"/>
    </row>
    <row r="946" spans="2:14" ht="14.25" hidden="1" customHeight="1" x14ac:dyDescent="0.25">
      <c r="B946" s="156" t="s">
        <v>493</v>
      </c>
      <c r="C946" s="794" t="s">
        <v>494</v>
      </c>
      <c r="D946" s="125"/>
      <c r="E946" s="125"/>
      <c r="F946" s="125">
        <f>4.06+0.98+3+2.96+3.84+5.31</f>
        <v>20.149999999999999</v>
      </c>
      <c r="G946" s="138">
        <v>3.3</v>
      </c>
      <c r="H946" s="154">
        <f t="shared" si="25"/>
        <v>66.49499999999999</v>
      </c>
      <c r="I946" s="746"/>
      <c r="J946" s="747"/>
      <c r="K946" s="748"/>
      <c r="L946" s="746"/>
      <c r="M946" s="747"/>
      <c r="N946" s="753"/>
    </row>
    <row r="947" spans="2:14" ht="14.25" hidden="1" customHeight="1" x14ac:dyDescent="0.25">
      <c r="B947" s="156" t="s">
        <v>495</v>
      </c>
      <c r="C947" s="780"/>
      <c r="D947" s="125"/>
      <c r="E947" s="125"/>
      <c r="F947" s="138">
        <f>3.48+2.99+2.01+3+2.96+1.85+2.84+3.3+3.3+2</f>
        <v>27.730000000000004</v>
      </c>
      <c r="G947" s="138">
        <v>3.3</v>
      </c>
      <c r="H947" s="154">
        <f t="shared" si="25"/>
        <v>91.509000000000015</v>
      </c>
      <c r="I947" s="746"/>
      <c r="J947" s="747"/>
      <c r="K947" s="748"/>
      <c r="L947" s="746"/>
      <c r="M947" s="747"/>
      <c r="N947" s="753"/>
    </row>
    <row r="948" spans="2:14" ht="14.25" hidden="1" customHeight="1" x14ac:dyDescent="0.25">
      <c r="B948" s="156" t="s">
        <v>496</v>
      </c>
      <c r="C948" s="780"/>
      <c r="D948" s="125"/>
      <c r="E948" s="125"/>
      <c r="F948" s="138">
        <f>3.3+3.3+2.76+2</f>
        <v>11.36</v>
      </c>
      <c r="G948" s="138">
        <v>3.3</v>
      </c>
      <c r="H948" s="154">
        <f t="shared" si="25"/>
        <v>37.488</v>
      </c>
      <c r="I948" s="746"/>
      <c r="J948" s="747"/>
      <c r="K948" s="748"/>
      <c r="L948" s="746"/>
      <c r="M948" s="747"/>
      <c r="N948" s="753"/>
    </row>
    <row r="949" spans="2:14" ht="14.25" hidden="1" customHeight="1" x14ac:dyDescent="0.25">
      <c r="B949" s="156" t="s">
        <v>497</v>
      </c>
      <c r="C949" s="780"/>
      <c r="D949" s="125"/>
      <c r="E949" s="125"/>
      <c r="F949" s="138">
        <f>3.75+6.08+3.44+3.03</f>
        <v>16.3</v>
      </c>
      <c r="G949" s="138">
        <v>3.3</v>
      </c>
      <c r="H949" s="154">
        <f t="shared" si="25"/>
        <v>53.79</v>
      </c>
      <c r="I949" s="746"/>
      <c r="J949" s="747"/>
      <c r="K949" s="748"/>
      <c r="L949" s="746"/>
      <c r="M949" s="747"/>
      <c r="N949" s="753"/>
    </row>
    <row r="950" spans="2:14" ht="14.25" hidden="1" customHeight="1" x14ac:dyDescent="0.25">
      <c r="B950" s="156" t="s">
        <v>498</v>
      </c>
      <c r="C950" s="780"/>
      <c r="D950" s="125"/>
      <c r="E950" s="125"/>
      <c r="F950" s="138">
        <f>3.54+3.03+3.18+2.49+2.66+3.04+3.48</f>
        <v>21.42</v>
      </c>
      <c r="G950" s="138">
        <v>3.3</v>
      </c>
      <c r="H950" s="154">
        <f t="shared" si="25"/>
        <v>70.686000000000007</v>
      </c>
      <c r="I950" s="746"/>
      <c r="J950" s="747"/>
      <c r="K950" s="748"/>
      <c r="L950" s="746"/>
      <c r="M950" s="747"/>
      <c r="N950" s="753"/>
    </row>
    <row r="951" spans="2:14" ht="14.25" hidden="1" customHeight="1" x14ac:dyDescent="0.25">
      <c r="B951" s="153" t="s">
        <v>492</v>
      </c>
      <c r="C951" s="781"/>
      <c r="D951" s="125"/>
      <c r="E951" s="125"/>
      <c r="F951" s="125">
        <f>4.15+4.15+4.15+4.15+4.15+4.15+0.98+2.15+1.91+0.95+0.95</f>
        <v>31.839999999999996</v>
      </c>
      <c r="G951" s="138">
        <v>3.3</v>
      </c>
      <c r="H951" s="154">
        <f t="shared" si="25"/>
        <v>105.07199999999999</v>
      </c>
      <c r="I951" s="746"/>
      <c r="J951" s="747"/>
      <c r="K951" s="748"/>
      <c r="L951" s="746"/>
      <c r="M951" s="747"/>
      <c r="N951" s="753"/>
    </row>
    <row r="952" spans="2:14" ht="14.25" hidden="1" customHeight="1" x14ac:dyDescent="0.25">
      <c r="B952" s="153" t="s">
        <v>499</v>
      </c>
      <c r="C952" s="205"/>
      <c r="D952" s="125"/>
      <c r="E952" s="125"/>
      <c r="F952" s="125">
        <v>3</v>
      </c>
      <c r="G952" s="138">
        <v>1.5</v>
      </c>
      <c r="H952" s="154">
        <f t="shared" si="25"/>
        <v>4.5</v>
      </c>
      <c r="I952" s="746"/>
      <c r="J952" s="747"/>
      <c r="K952" s="748"/>
      <c r="L952" s="746"/>
      <c r="M952" s="747"/>
      <c r="N952" s="753"/>
    </row>
    <row r="953" spans="2:14" ht="14.25" hidden="1" customHeight="1" x14ac:dyDescent="0.25">
      <c r="B953" s="158" t="s">
        <v>500</v>
      </c>
      <c r="C953" s="125"/>
      <c r="D953" s="134">
        <v>-137</v>
      </c>
      <c r="E953" s="125"/>
      <c r="F953" s="125">
        <v>1</v>
      </c>
      <c r="G953" s="125">
        <v>1.9</v>
      </c>
      <c r="H953" s="135">
        <f>D953*F953*G953</f>
        <v>-260.3</v>
      </c>
      <c r="I953" s="749"/>
      <c r="J953" s="750"/>
      <c r="K953" s="751"/>
      <c r="L953" s="749"/>
      <c r="M953" s="750"/>
      <c r="N953" s="754"/>
    </row>
    <row r="954" spans="2:14" ht="14.25" hidden="1" customHeight="1" x14ac:dyDescent="0.25">
      <c r="B954" s="209"/>
      <c r="C954" s="118"/>
      <c r="D954" s="118"/>
      <c r="E954" s="118"/>
      <c r="F954" s="118"/>
      <c r="G954" s="118"/>
      <c r="H954" s="118"/>
      <c r="I954" s="118"/>
      <c r="J954" s="118"/>
      <c r="K954" s="118"/>
      <c r="L954" s="118"/>
      <c r="M954" s="118"/>
      <c r="N954" s="210"/>
    </row>
    <row r="955" spans="2:14" ht="14.25" hidden="1" customHeight="1" x14ac:dyDescent="0.25">
      <c r="B955" s="209"/>
      <c r="C955" s="118"/>
      <c r="D955" s="118"/>
      <c r="E955" s="118"/>
      <c r="F955" s="118"/>
      <c r="G955" s="118"/>
      <c r="H955" s="118"/>
      <c r="I955" s="118"/>
      <c r="J955" s="118"/>
      <c r="K955" s="118"/>
      <c r="L955" s="118"/>
      <c r="M955" s="118"/>
      <c r="N955" s="210"/>
    </row>
    <row r="956" spans="2:14" ht="14.25" hidden="1" customHeight="1" x14ac:dyDescent="0.25">
      <c r="B956" s="209"/>
      <c r="C956" s="118"/>
      <c r="D956" s="118"/>
      <c r="E956" s="118"/>
      <c r="F956" s="118"/>
      <c r="G956" s="118"/>
      <c r="H956" s="118"/>
      <c r="I956" s="118"/>
      <c r="J956" s="118"/>
      <c r="K956" s="118"/>
      <c r="L956" s="118"/>
      <c r="M956" s="118"/>
      <c r="N956" s="210"/>
    </row>
    <row r="957" spans="2:14" ht="14.25" hidden="1" customHeight="1" x14ac:dyDescent="0.25">
      <c r="B957" s="209"/>
      <c r="C957" s="118"/>
      <c r="D957" s="118"/>
      <c r="E957" s="118"/>
      <c r="F957" s="118"/>
      <c r="G957" s="118"/>
      <c r="H957" s="118"/>
      <c r="I957" s="118"/>
      <c r="J957" s="118"/>
      <c r="K957" s="118"/>
      <c r="L957" s="118"/>
      <c r="M957" s="118"/>
      <c r="N957" s="210"/>
    </row>
    <row r="958" spans="2:14" ht="14.25" hidden="1" customHeight="1" x14ac:dyDescent="0.25">
      <c r="B958" s="775" t="s">
        <v>414</v>
      </c>
      <c r="C958" s="747"/>
      <c r="D958" s="747"/>
      <c r="E958" s="128"/>
      <c r="F958" s="128"/>
      <c r="G958" s="128"/>
      <c r="H958" s="128"/>
      <c r="I958" s="776"/>
      <c r="J958" s="747"/>
      <c r="K958" s="747"/>
      <c r="L958" s="118"/>
      <c r="M958" s="118"/>
      <c r="N958" s="210"/>
    </row>
    <row r="959" spans="2:14" ht="14.25" hidden="1" customHeight="1" x14ac:dyDescent="0.25">
      <c r="B959" s="129"/>
      <c r="C959" s="130"/>
      <c r="D959" s="130"/>
      <c r="E959" s="130"/>
      <c r="F959" s="130"/>
      <c r="G959" s="130"/>
      <c r="H959" s="130"/>
      <c r="I959" s="130"/>
      <c r="J959" s="130"/>
      <c r="K959" s="130"/>
      <c r="L959" s="130"/>
      <c r="M959" s="130"/>
      <c r="N959" s="131"/>
    </row>
    <row r="960" spans="2:14" ht="14.25" hidden="1" customHeight="1" x14ac:dyDescent="0.25"/>
    <row r="961" spans="2:14" ht="49.5" hidden="1" customHeight="1" x14ac:dyDescent="0.25">
      <c r="B961" s="728"/>
      <c r="C961" s="729"/>
      <c r="D961" s="730" t="s">
        <v>393</v>
      </c>
      <c r="E961" s="729"/>
      <c r="F961" s="729"/>
      <c r="G961" s="729"/>
      <c r="H961" s="729"/>
      <c r="I961" s="729"/>
      <c r="J961" s="729"/>
      <c r="K961" s="729"/>
      <c r="L961" s="729"/>
      <c r="M961" s="729"/>
      <c r="N961" s="731"/>
    </row>
    <row r="962" spans="2:14" ht="14.25" hidden="1" customHeight="1" x14ac:dyDescent="0.25">
      <c r="B962" s="732" t="s">
        <v>394</v>
      </c>
      <c r="C962" s="733"/>
      <c r="D962" s="733"/>
      <c r="E962" s="733"/>
      <c r="F962" s="733"/>
      <c r="G962" s="733"/>
      <c r="H962" s="733"/>
      <c r="I962" s="733"/>
      <c r="J962" s="733"/>
      <c r="K962" s="733"/>
      <c r="L962" s="733"/>
      <c r="M962" s="733"/>
      <c r="N962" s="734"/>
    </row>
    <row r="963" spans="2:14" ht="22.5" hidden="1" customHeight="1" x14ac:dyDescent="0.25">
      <c r="B963" s="735" t="s">
        <v>395</v>
      </c>
      <c r="C963" s="736"/>
      <c r="D963" s="779" t="s">
        <v>115</v>
      </c>
      <c r="E963" s="733"/>
      <c r="F963" s="733"/>
      <c r="G963" s="733"/>
      <c r="H963" s="733"/>
      <c r="I963" s="733"/>
      <c r="J963" s="733"/>
      <c r="K963" s="733"/>
      <c r="L963" s="733"/>
      <c r="M963" s="733"/>
      <c r="N963" s="734"/>
    </row>
    <row r="964" spans="2:14" ht="14.25" hidden="1" customHeight="1" x14ac:dyDescent="0.25">
      <c r="B964" s="740" t="s">
        <v>26</v>
      </c>
      <c r="C964" s="741"/>
      <c r="D964" s="119" t="s">
        <v>396</v>
      </c>
      <c r="E964" s="742" t="s">
        <v>397</v>
      </c>
      <c r="F964" s="733"/>
      <c r="G964" s="733"/>
      <c r="H964" s="736"/>
      <c r="I964" s="742" t="s">
        <v>398</v>
      </c>
      <c r="J964" s="733"/>
      <c r="K964" s="736"/>
      <c r="L964" s="742" t="s">
        <v>399</v>
      </c>
      <c r="M964" s="733"/>
      <c r="N964" s="734"/>
    </row>
    <row r="965" spans="2:14" ht="14.25" hidden="1" customHeight="1" x14ac:dyDescent="0.25">
      <c r="B965" s="777">
        <v>24</v>
      </c>
      <c r="C965" s="736"/>
      <c r="D965" s="123">
        <f>ROUND(SUM(H968:H1001)*60%,0)</f>
        <v>1102</v>
      </c>
      <c r="E965" s="778" t="s">
        <v>51</v>
      </c>
      <c r="F965" s="733"/>
      <c r="G965" s="733"/>
      <c r="H965" s="736"/>
      <c r="I965" s="744"/>
      <c r="J965" s="745"/>
      <c r="K965" s="745"/>
      <c r="L965" s="744"/>
      <c r="M965" s="745"/>
      <c r="N965" s="752"/>
    </row>
    <row r="966" spans="2:14" ht="14.25" hidden="1" customHeight="1" x14ac:dyDescent="0.25">
      <c r="B966" s="755" t="s">
        <v>416</v>
      </c>
      <c r="C966" s="733"/>
      <c r="D966" s="733"/>
      <c r="E966" s="733"/>
      <c r="F966" s="733"/>
      <c r="G966" s="733"/>
      <c r="H966" s="736"/>
      <c r="I966" s="746"/>
      <c r="J966" s="747"/>
      <c r="K966" s="782"/>
      <c r="L966" s="746"/>
      <c r="M966" s="747"/>
      <c r="N966" s="753"/>
    </row>
    <row r="967" spans="2:14" ht="14.25" hidden="1" customHeight="1" x14ac:dyDescent="0.25">
      <c r="B967" s="121" t="s">
        <v>400</v>
      </c>
      <c r="C967" s="122" t="s">
        <v>401</v>
      </c>
      <c r="D967" s="123" t="s">
        <v>402</v>
      </c>
      <c r="E967" s="123" t="s">
        <v>403</v>
      </c>
      <c r="F967" s="123" t="s">
        <v>404</v>
      </c>
      <c r="G967" s="123" t="s">
        <v>405</v>
      </c>
      <c r="H967" s="123" t="s">
        <v>406</v>
      </c>
      <c r="I967" s="746"/>
      <c r="J967" s="747"/>
      <c r="K967" s="782"/>
      <c r="L967" s="746"/>
      <c r="M967" s="747"/>
      <c r="N967" s="753"/>
    </row>
    <row r="968" spans="2:14" ht="14.25" hidden="1" customHeight="1" x14ac:dyDescent="0.25">
      <c r="B968" s="150" t="s">
        <v>463</v>
      </c>
      <c r="C968" s="765" t="s">
        <v>464</v>
      </c>
      <c r="D968" s="151"/>
      <c r="E968" s="151"/>
      <c r="F968" s="125">
        <f>3.04+0.93+1.39</f>
        <v>5.36</v>
      </c>
      <c r="G968" s="125">
        <v>2.15</v>
      </c>
      <c r="H968" s="152">
        <f t="shared" ref="H968:H981" si="26">F968*G968</f>
        <v>11.524000000000001</v>
      </c>
      <c r="I968" s="746"/>
      <c r="J968" s="747"/>
      <c r="K968" s="782"/>
      <c r="L968" s="746"/>
      <c r="M968" s="747"/>
      <c r="N968" s="753"/>
    </row>
    <row r="969" spans="2:14" ht="14.25" hidden="1" customHeight="1" x14ac:dyDescent="0.25">
      <c r="B969" s="150" t="s">
        <v>465</v>
      </c>
      <c r="C969" s="781"/>
      <c r="D969" s="151"/>
      <c r="E969" s="151"/>
      <c r="F969" s="125">
        <f>3.63+4.92+2.02+3.13+3.79+3.35+1.39+2</f>
        <v>24.23</v>
      </c>
      <c r="G969" s="125">
        <v>2.15</v>
      </c>
      <c r="H969" s="152">
        <f t="shared" si="26"/>
        <v>52.094499999999996</v>
      </c>
      <c r="I969" s="746"/>
      <c r="J969" s="747"/>
      <c r="K969" s="782"/>
      <c r="L969" s="746"/>
      <c r="M969" s="747"/>
      <c r="N969" s="753"/>
    </row>
    <row r="970" spans="2:14" ht="14.25" hidden="1" customHeight="1" x14ac:dyDescent="0.25">
      <c r="B970" s="153" t="s">
        <v>466</v>
      </c>
      <c r="C970" s="765" t="s">
        <v>467</v>
      </c>
      <c r="D970" s="125"/>
      <c r="E970" s="125"/>
      <c r="F970" s="125">
        <f>1.36+0.83+0.83+0.65</f>
        <v>3.67</v>
      </c>
      <c r="G970" s="125">
        <v>3.5</v>
      </c>
      <c r="H970" s="154">
        <f t="shared" si="26"/>
        <v>12.844999999999999</v>
      </c>
      <c r="I970" s="746"/>
      <c r="J970" s="747"/>
      <c r="K970" s="782"/>
      <c r="L970" s="746"/>
      <c r="M970" s="747"/>
      <c r="N970" s="753"/>
    </row>
    <row r="971" spans="2:14" ht="14.25" hidden="1" customHeight="1" x14ac:dyDescent="0.25">
      <c r="B971" s="153" t="s">
        <v>468</v>
      </c>
      <c r="C971" s="780"/>
      <c r="D971" s="125"/>
      <c r="E971" s="125"/>
      <c r="F971" s="125">
        <f>0.83+1.02+1.95+0.3</f>
        <v>4.0999999999999996</v>
      </c>
      <c r="G971" s="125">
        <v>3.5</v>
      </c>
      <c r="H971" s="154">
        <f t="shared" si="26"/>
        <v>14.349999999999998</v>
      </c>
      <c r="I971" s="746"/>
      <c r="J971" s="747"/>
      <c r="K971" s="782"/>
      <c r="L971" s="746"/>
      <c r="M971" s="747"/>
      <c r="N971" s="753"/>
    </row>
    <row r="972" spans="2:14" ht="14.25" hidden="1" customHeight="1" x14ac:dyDescent="0.25">
      <c r="B972" s="153" t="s">
        <v>459</v>
      </c>
      <c r="C972" s="780"/>
      <c r="D972" s="125"/>
      <c r="E972" s="125"/>
      <c r="F972" s="125">
        <f>1.58+2.97+1.58+4.03</f>
        <v>10.16</v>
      </c>
      <c r="G972" s="125">
        <v>3.5</v>
      </c>
      <c r="H972" s="154">
        <f t="shared" si="26"/>
        <v>35.56</v>
      </c>
      <c r="I972" s="746"/>
      <c r="J972" s="747"/>
      <c r="K972" s="782"/>
      <c r="L972" s="746"/>
      <c r="M972" s="747"/>
      <c r="N972" s="753"/>
    </row>
    <row r="973" spans="2:14" ht="14.25" hidden="1" customHeight="1" x14ac:dyDescent="0.25">
      <c r="B973" s="153" t="s">
        <v>469</v>
      </c>
      <c r="C973" s="780"/>
      <c r="D973" s="125"/>
      <c r="E973" s="125"/>
      <c r="F973" s="125">
        <f>1.47+7.87+4.08+3.78+3.32+3.32+3.96+2.45+1.09</f>
        <v>31.34</v>
      </c>
      <c r="G973" s="125">
        <v>5.14</v>
      </c>
      <c r="H973" s="154">
        <f t="shared" si="26"/>
        <v>161.08759999999998</v>
      </c>
      <c r="I973" s="746"/>
      <c r="J973" s="747"/>
      <c r="K973" s="782"/>
      <c r="L973" s="746"/>
      <c r="M973" s="747"/>
      <c r="N973" s="753"/>
    </row>
    <row r="974" spans="2:14" ht="14.25" hidden="1" customHeight="1" x14ac:dyDescent="0.25">
      <c r="B974" s="155" t="s">
        <v>470</v>
      </c>
      <c r="C974" s="780"/>
      <c r="D974" s="125"/>
      <c r="E974" s="125"/>
      <c r="F974" s="138">
        <f>7.89+3.96+2.25+1+4.27+1.96+3.25+3.11</f>
        <v>27.689999999999998</v>
      </c>
      <c r="G974" s="138">
        <v>5.14</v>
      </c>
      <c r="H974" s="154">
        <f t="shared" si="26"/>
        <v>142.32659999999998</v>
      </c>
      <c r="I974" s="746"/>
      <c r="J974" s="747"/>
      <c r="K974" s="782"/>
      <c r="L974" s="746"/>
      <c r="M974" s="747"/>
      <c r="N974" s="753"/>
    </row>
    <row r="975" spans="2:14" ht="14.25" hidden="1" customHeight="1" x14ac:dyDescent="0.25">
      <c r="B975" s="153" t="s">
        <v>471</v>
      </c>
      <c r="C975" s="780"/>
      <c r="D975" s="125"/>
      <c r="E975" s="125"/>
      <c r="F975" s="125">
        <f>3.15+3.15+1.9+0.91</f>
        <v>9.11</v>
      </c>
      <c r="G975" s="138">
        <v>3.14</v>
      </c>
      <c r="H975" s="154">
        <f t="shared" si="26"/>
        <v>28.605399999999999</v>
      </c>
      <c r="I975" s="746"/>
      <c r="J975" s="747"/>
      <c r="K975" s="782"/>
      <c r="L975" s="746"/>
      <c r="M975" s="747"/>
      <c r="N975" s="753"/>
    </row>
    <row r="976" spans="2:14" ht="14.25" hidden="1" customHeight="1" x14ac:dyDescent="0.25">
      <c r="B976" s="153" t="s">
        <v>472</v>
      </c>
      <c r="C976" s="780"/>
      <c r="D976" s="125"/>
      <c r="E976" s="125"/>
      <c r="F976" s="125">
        <f>1.9+1+3+3</f>
        <v>8.9</v>
      </c>
      <c r="G976" s="138">
        <v>3.14</v>
      </c>
      <c r="H976" s="154">
        <f t="shared" si="26"/>
        <v>27.946000000000002</v>
      </c>
      <c r="I976" s="746"/>
      <c r="J976" s="747"/>
      <c r="K976" s="782"/>
      <c r="L976" s="746"/>
      <c r="M976" s="747"/>
      <c r="N976" s="753"/>
    </row>
    <row r="977" spans="2:14" ht="14.25" hidden="1" customHeight="1" x14ac:dyDescent="0.25">
      <c r="B977" s="156" t="s">
        <v>473</v>
      </c>
      <c r="C977" s="780"/>
      <c r="D977" s="125"/>
      <c r="E977" s="125"/>
      <c r="F977" s="125">
        <v>4</v>
      </c>
      <c r="G977" s="138">
        <v>5.14</v>
      </c>
      <c r="H977" s="154">
        <f t="shared" si="26"/>
        <v>20.56</v>
      </c>
      <c r="I977" s="746"/>
      <c r="J977" s="747"/>
      <c r="K977" s="782"/>
      <c r="L977" s="746"/>
      <c r="M977" s="747"/>
      <c r="N977" s="753"/>
    </row>
    <row r="978" spans="2:14" ht="14.25" hidden="1" customHeight="1" x14ac:dyDescent="0.25">
      <c r="B978" s="153" t="s">
        <v>474</v>
      </c>
      <c r="C978" s="780"/>
      <c r="D978" s="125"/>
      <c r="E978" s="125"/>
      <c r="F978" s="125">
        <f>2.25+2+1.99+1</f>
        <v>7.24</v>
      </c>
      <c r="G978" s="138">
        <v>3.14</v>
      </c>
      <c r="H978" s="154">
        <f t="shared" si="26"/>
        <v>22.733600000000003</v>
      </c>
      <c r="I978" s="746"/>
      <c r="J978" s="747"/>
      <c r="K978" s="782"/>
      <c r="L978" s="746"/>
      <c r="M978" s="747"/>
      <c r="N978" s="753"/>
    </row>
    <row r="979" spans="2:14" ht="14.25" hidden="1" customHeight="1" x14ac:dyDescent="0.25">
      <c r="B979" s="153" t="s">
        <v>475</v>
      </c>
      <c r="C979" s="781"/>
      <c r="D979" s="125"/>
      <c r="E979" s="125"/>
      <c r="F979" s="125">
        <f>2.45+2.22+2+1.09</f>
        <v>7.76</v>
      </c>
      <c r="G979" s="138">
        <v>3.14</v>
      </c>
      <c r="H979" s="154">
        <f t="shared" si="26"/>
        <v>24.366399999999999</v>
      </c>
      <c r="I979" s="746"/>
      <c r="J979" s="747"/>
      <c r="K979" s="782"/>
      <c r="L979" s="746"/>
      <c r="M979" s="747"/>
      <c r="N979" s="753"/>
    </row>
    <row r="980" spans="2:14" ht="14.25" hidden="1" customHeight="1" x14ac:dyDescent="0.25">
      <c r="B980" s="155" t="s">
        <v>476</v>
      </c>
      <c r="C980" s="765" t="s">
        <v>477</v>
      </c>
      <c r="D980" s="125"/>
      <c r="E980" s="125"/>
      <c r="F980" s="138">
        <f>4.59+4.99+2.78+3.55+2.66+2.28+1.08+1.67+2.66</f>
        <v>26.26</v>
      </c>
      <c r="G980" s="138">
        <v>3</v>
      </c>
      <c r="H980" s="138">
        <f t="shared" si="26"/>
        <v>78.78</v>
      </c>
      <c r="I980" s="746"/>
      <c r="J980" s="747"/>
      <c r="K980" s="782"/>
      <c r="L980" s="746"/>
      <c r="M980" s="747"/>
      <c r="N980" s="753"/>
    </row>
    <row r="981" spans="2:14" ht="14.25" hidden="1" customHeight="1" x14ac:dyDescent="0.25">
      <c r="B981" s="155" t="s">
        <v>478</v>
      </c>
      <c r="C981" s="780"/>
      <c r="D981" s="125"/>
      <c r="E981" s="125"/>
      <c r="F981" s="138">
        <f>3.14+10.2+7.43+2.78</f>
        <v>23.55</v>
      </c>
      <c r="G981" s="138">
        <v>3</v>
      </c>
      <c r="H981" s="138">
        <f t="shared" si="26"/>
        <v>70.650000000000006</v>
      </c>
      <c r="I981" s="746"/>
      <c r="J981" s="747"/>
      <c r="K981" s="782"/>
      <c r="L981" s="746"/>
      <c r="M981" s="747"/>
      <c r="N981" s="753"/>
    </row>
    <row r="982" spans="2:14" ht="14.25" hidden="1" customHeight="1" x14ac:dyDescent="0.25">
      <c r="B982" s="156" t="s">
        <v>479</v>
      </c>
      <c r="C982" s="781"/>
      <c r="D982" s="138">
        <v>2</v>
      </c>
      <c r="E982" s="125"/>
      <c r="F982" s="138">
        <f>1+1.21+1.51</f>
        <v>3.7199999999999998</v>
      </c>
      <c r="G982" s="138">
        <v>1</v>
      </c>
      <c r="H982" s="125">
        <f>F982*G982*D982</f>
        <v>7.4399999999999995</v>
      </c>
      <c r="I982" s="746"/>
      <c r="J982" s="747"/>
      <c r="K982" s="782"/>
      <c r="L982" s="746"/>
      <c r="M982" s="747"/>
      <c r="N982" s="753"/>
    </row>
    <row r="983" spans="2:14" ht="14.25" hidden="1" customHeight="1" x14ac:dyDescent="0.25">
      <c r="B983" s="156" t="s">
        <v>480</v>
      </c>
      <c r="C983" s="789" t="s">
        <v>481</v>
      </c>
      <c r="D983" s="138"/>
      <c r="E983" s="138"/>
      <c r="F983" s="138">
        <f>2.99+3.4+2.03+3.4+2.93+3.04+2.4+1.94+1.38+2.93+2.03</f>
        <v>28.47</v>
      </c>
      <c r="G983" s="138">
        <v>3.3</v>
      </c>
      <c r="H983" s="138">
        <f t="shared" ref="H983:H1000" si="27">F983*G983</f>
        <v>93.950999999999993</v>
      </c>
      <c r="I983" s="746"/>
      <c r="J983" s="747"/>
      <c r="K983" s="782"/>
      <c r="L983" s="746"/>
      <c r="M983" s="747"/>
      <c r="N983" s="753"/>
    </row>
    <row r="984" spans="2:14" ht="14.25" hidden="1" customHeight="1" x14ac:dyDescent="0.25">
      <c r="B984" s="156" t="s">
        <v>482</v>
      </c>
      <c r="C984" s="780"/>
      <c r="D984" s="138"/>
      <c r="E984" s="138"/>
      <c r="F984" s="138">
        <f>7.25+2.12+2.9+3.2+3.38+4.08+3.24+3.83+3.2+3.38</f>
        <v>36.580000000000005</v>
      </c>
      <c r="G984" s="138">
        <v>3.3</v>
      </c>
      <c r="H984" s="138">
        <f t="shared" si="27"/>
        <v>120.71400000000001</v>
      </c>
      <c r="I984" s="746"/>
      <c r="J984" s="747"/>
      <c r="K984" s="782"/>
      <c r="L984" s="746"/>
      <c r="M984" s="747"/>
      <c r="N984" s="753"/>
    </row>
    <row r="985" spans="2:14" ht="14.25" hidden="1" customHeight="1" x14ac:dyDescent="0.25">
      <c r="B985" s="156" t="s">
        <v>483</v>
      </c>
      <c r="C985" s="780"/>
      <c r="D985" s="138"/>
      <c r="E985" s="138"/>
      <c r="F985" s="138">
        <f>3.67+4.08+2.78+2.78+1.37+3.47+3.88+2.88+4.11+3.37+2.61+2.78</f>
        <v>37.779999999999994</v>
      </c>
      <c r="G985" s="138">
        <v>3.3</v>
      </c>
      <c r="H985" s="138">
        <f t="shared" si="27"/>
        <v>124.67399999999998</v>
      </c>
      <c r="I985" s="746"/>
      <c r="J985" s="747"/>
      <c r="K985" s="782"/>
      <c r="L985" s="746"/>
      <c r="M985" s="747"/>
      <c r="N985" s="753"/>
    </row>
    <row r="986" spans="2:14" ht="14.25" hidden="1" customHeight="1" x14ac:dyDescent="0.25">
      <c r="B986" s="156" t="s">
        <v>484</v>
      </c>
      <c r="C986" s="780"/>
      <c r="D986" s="138"/>
      <c r="E986" s="138"/>
      <c r="F986" s="138">
        <f>1.53+3.08+3.57+3.22+3.71+2.34+3.71+3.68+5.31+2.18+3.45</f>
        <v>35.78</v>
      </c>
      <c r="G986" s="138">
        <v>3.3</v>
      </c>
      <c r="H986" s="138">
        <f t="shared" si="27"/>
        <v>118.074</v>
      </c>
      <c r="I986" s="746"/>
      <c r="J986" s="747"/>
      <c r="K986" s="782"/>
      <c r="L986" s="746"/>
      <c r="M986" s="747"/>
      <c r="N986" s="753"/>
    </row>
    <row r="987" spans="2:14" ht="14.25" hidden="1" customHeight="1" x14ac:dyDescent="0.25">
      <c r="B987" s="156" t="s">
        <v>485</v>
      </c>
      <c r="C987" s="780"/>
      <c r="D987" s="138"/>
      <c r="E987" s="138"/>
      <c r="F987" s="138">
        <f>3.58+3.44+2.58+2.69+2.73+2.96+3.25+3.02+3.62+3.44</f>
        <v>31.310000000000002</v>
      </c>
      <c r="G987" s="138">
        <v>3.3</v>
      </c>
      <c r="H987" s="138">
        <f t="shared" si="27"/>
        <v>103.32300000000001</v>
      </c>
      <c r="I987" s="746"/>
      <c r="J987" s="747"/>
      <c r="K987" s="782"/>
      <c r="L987" s="746"/>
      <c r="M987" s="747"/>
      <c r="N987" s="753"/>
    </row>
    <row r="988" spans="2:14" ht="14.25" hidden="1" customHeight="1" x14ac:dyDescent="0.25">
      <c r="B988" s="156" t="s">
        <v>486</v>
      </c>
      <c r="C988" s="781"/>
      <c r="D988" s="138"/>
      <c r="E988" s="138"/>
      <c r="F988" s="138">
        <f>3.04+2.24+3.13+3.04+3.16+2.98+3.33+1.23+1.83+1+1.52</f>
        <v>26.500000000000004</v>
      </c>
      <c r="G988" s="138">
        <v>1.3</v>
      </c>
      <c r="H988" s="138">
        <f t="shared" si="27"/>
        <v>34.450000000000003</v>
      </c>
      <c r="I988" s="746"/>
      <c r="J988" s="747"/>
      <c r="K988" s="782"/>
      <c r="L988" s="746"/>
      <c r="M988" s="747"/>
      <c r="N988" s="753"/>
    </row>
    <row r="989" spans="2:14" ht="14.25" hidden="1" customHeight="1" x14ac:dyDescent="0.25">
      <c r="B989" s="156" t="s">
        <v>487</v>
      </c>
      <c r="C989" s="789" t="s">
        <v>488</v>
      </c>
      <c r="D989" s="138"/>
      <c r="E989" s="138"/>
      <c r="F989" s="138">
        <f>3.45+3.85+3.04+4.06+2</f>
        <v>16.399999999999999</v>
      </c>
      <c r="G989" s="138">
        <v>3.3</v>
      </c>
      <c r="H989" s="138">
        <f t="shared" si="27"/>
        <v>54.11999999999999</v>
      </c>
      <c r="I989" s="746"/>
      <c r="J989" s="747"/>
      <c r="K989" s="782"/>
      <c r="L989" s="746"/>
      <c r="M989" s="747"/>
      <c r="N989" s="753"/>
    </row>
    <row r="990" spans="2:14" ht="14.25" hidden="1" customHeight="1" x14ac:dyDescent="0.25">
      <c r="B990" s="156" t="s">
        <v>489</v>
      </c>
      <c r="C990" s="780"/>
      <c r="D990" s="138"/>
      <c r="E990" s="138"/>
      <c r="F990" s="138">
        <f>1.29+3.79+4.15+2.96+2.96+2.85+2.85+3.31</f>
        <v>24.160000000000004</v>
      </c>
      <c r="G990" s="138">
        <v>3.3</v>
      </c>
      <c r="H990" s="138">
        <f t="shared" si="27"/>
        <v>79.728000000000009</v>
      </c>
      <c r="I990" s="746"/>
      <c r="J990" s="747"/>
      <c r="K990" s="782"/>
      <c r="L990" s="746"/>
      <c r="M990" s="747"/>
      <c r="N990" s="753"/>
    </row>
    <row r="991" spans="2:14" ht="14.25" hidden="1" customHeight="1" x14ac:dyDescent="0.25">
      <c r="B991" s="156" t="s">
        <v>490</v>
      </c>
      <c r="C991" s="780"/>
      <c r="D991" s="138"/>
      <c r="E991" s="138"/>
      <c r="F991" s="138">
        <f>3.12+3.52+3.07+2.49+2.49+2.5+2.32+3.1+0.97</f>
        <v>23.580000000000002</v>
      </c>
      <c r="G991" s="138">
        <v>3.3</v>
      </c>
      <c r="H991" s="138">
        <f t="shared" si="27"/>
        <v>77.814000000000007</v>
      </c>
      <c r="I991" s="746"/>
      <c r="J991" s="747"/>
      <c r="K991" s="782"/>
      <c r="L991" s="746"/>
      <c r="M991" s="747"/>
      <c r="N991" s="753"/>
    </row>
    <row r="992" spans="2:14" ht="14.25" hidden="1" customHeight="1" x14ac:dyDescent="0.25">
      <c r="B992" s="156" t="s">
        <v>491</v>
      </c>
      <c r="C992" s="780"/>
      <c r="D992" s="138"/>
      <c r="E992" s="138"/>
      <c r="F992" s="138">
        <f>2.98+3.76+5.95+3.76</f>
        <v>16.450000000000003</v>
      </c>
      <c r="G992" s="138">
        <v>3.3</v>
      </c>
      <c r="H992" s="138">
        <f t="shared" si="27"/>
        <v>54.285000000000004</v>
      </c>
      <c r="I992" s="746"/>
      <c r="J992" s="747"/>
      <c r="K992" s="782"/>
      <c r="L992" s="746"/>
      <c r="M992" s="747"/>
      <c r="N992" s="753"/>
    </row>
    <row r="993" spans="2:14" ht="14.25" hidden="1" customHeight="1" x14ac:dyDescent="0.25">
      <c r="B993" s="157" t="s">
        <v>492</v>
      </c>
      <c r="C993" s="781"/>
      <c r="D993" s="138"/>
      <c r="E993" s="138"/>
      <c r="F993" s="138">
        <f>3.76+3.76+3.76+3.76+3.76+3.76+4.28+2</f>
        <v>28.839999999999996</v>
      </c>
      <c r="G993" s="138">
        <v>3.3</v>
      </c>
      <c r="H993" s="138">
        <f t="shared" si="27"/>
        <v>95.171999999999983</v>
      </c>
      <c r="I993" s="746"/>
      <c r="J993" s="747"/>
      <c r="K993" s="782"/>
      <c r="L993" s="746"/>
      <c r="M993" s="747"/>
      <c r="N993" s="753"/>
    </row>
    <row r="994" spans="2:14" ht="14.25" hidden="1" customHeight="1" x14ac:dyDescent="0.25">
      <c r="B994" s="156" t="s">
        <v>493</v>
      </c>
      <c r="C994" s="794" t="s">
        <v>494</v>
      </c>
      <c r="D994" s="125"/>
      <c r="E994" s="125"/>
      <c r="F994" s="125">
        <f>4.06+0.98+3+2.96+3.84+5.31</f>
        <v>20.149999999999999</v>
      </c>
      <c r="G994" s="138">
        <v>3.3</v>
      </c>
      <c r="H994" s="138">
        <f t="shared" si="27"/>
        <v>66.49499999999999</v>
      </c>
      <c r="I994" s="746"/>
      <c r="J994" s="747"/>
      <c r="K994" s="782"/>
      <c r="L994" s="746"/>
      <c r="M994" s="747"/>
      <c r="N994" s="753"/>
    </row>
    <row r="995" spans="2:14" ht="14.25" hidden="1" customHeight="1" x14ac:dyDescent="0.25">
      <c r="B995" s="156" t="s">
        <v>495</v>
      </c>
      <c r="C995" s="780"/>
      <c r="D995" s="125"/>
      <c r="E995" s="125"/>
      <c r="F995" s="138">
        <f>3.48+2.99+2.01+3+2.96+1.85+2.84+3.3+3.3+2</f>
        <v>27.730000000000004</v>
      </c>
      <c r="G995" s="138">
        <v>3.3</v>
      </c>
      <c r="H995" s="138">
        <f t="shared" si="27"/>
        <v>91.509000000000015</v>
      </c>
      <c r="I995" s="746"/>
      <c r="J995" s="747"/>
      <c r="K995" s="782"/>
      <c r="L995" s="746"/>
      <c r="M995" s="747"/>
      <c r="N995" s="753"/>
    </row>
    <row r="996" spans="2:14" ht="14.25" hidden="1" customHeight="1" x14ac:dyDescent="0.25">
      <c r="B996" s="156" t="s">
        <v>496</v>
      </c>
      <c r="C996" s="780"/>
      <c r="D996" s="125"/>
      <c r="E996" s="125"/>
      <c r="F996" s="138">
        <f>3.3+3.3+2.76+2</f>
        <v>11.36</v>
      </c>
      <c r="G996" s="138">
        <v>3.3</v>
      </c>
      <c r="H996" s="125">
        <f t="shared" si="27"/>
        <v>37.488</v>
      </c>
      <c r="I996" s="746"/>
      <c r="J996" s="747"/>
      <c r="K996" s="782"/>
      <c r="L996" s="746"/>
      <c r="M996" s="747"/>
      <c r="N996" s="753"/>
    </row>
    <row r="997" spans="2:14" ht="14.25" hidden="1" customHeight="1" x14ac:dyDescent="0.25">
      <c r="B997" s="156" t="s">
        <v>497</v>
      </c>
      <c r="C997" s="780"/>
      <c r="D997" s="125"/>
      <c r="E997" s="125"/>
      <c r="F997" s="138">
        <f>3.75+6.08+3.44+3.03</f>
        <v>16.3</v>
      </c>
      <c r="G997" s="138">
        <v>3.3</v>
      </c>
      <c r="H997" s="125">
        <f t="shared" si="27"/>
        <v>53.79</v>
      </c>
      <c r="I997" s="746"/>
      <c r="J997" s="747"/>
      <c r="K997" s="782"/>
      <c r="L997" s="746"/>
      <c r="M997" s="747"/>
      <c r="N997" s="753"/>
    </row>
    <row r="998" spans="2:14" ht="14.25" hidden="1" customHeight="1" x14ac:dyDescent="0.25">
      <c r="B998" s="156" t="s">
        <v>498</v>
      </c>
      <c r="C998" s="780"/>
      <c r="D998" s="125"/>
      <c r="E998" s="125"/>
      <c r="F998" s="138">
        <f>3.54+3.03+3.18+2.49+2.66+3.04+3.48</f>
        <v>21.42</v>
      </c>
      <c r="G998" s="138">
        <v>3.3</v>
      </c>
      <c r="H998" s="125">
        <f t="shared" si="27"/>
        <v>70.686000000000007</v>
      </c>
      <c r="I998" s="746"/>
      <c r="J998" s="747"/>
      <c r="K998" s="782"/>
      <c r="L998" s="746"/>
      <c r="M998" s="747"/>
      <c r="N998" s="753"/>
    </row>
    <row r="999" spans="2:14" ht="14.25" hidden="1" customHeight="1" x14ac:dyDescent="0.25">
      <c r="B999" s="153" t="s">
        <v>492</v>
      </c>
      <c r="C999" s="781"/>
      <c r="D999" s="125"/>
      <c r="E999" s="125"/>
      <c r="F999" s="125">
        <f>4.15+4.15+4.15+4.15+4.15+4.15+0.98+2.15+1.91+0.95+0.95</f>
        <v>31.839999999999996</v>
      </c>
      <c r="G999" s="138">
        <v>3.3</v>
      </c>
      <c r="H999" s="125">
        <f t="shared" si="27"/>
        <v>105.07199999999999</v>
      </c>
      <c r="I999" s="746"/>
      <c r="J999" s="747"/>
      <c r="K999" s="782"/>
      <c r="L999" s="746"/>
      <c r="M999" s="747"/>
      <c r="N999" s="753"/>
    </row>
    <row r="1000" spans="2:14" ht="14.25" hidden="1" customHeight="1" x14ac:dyDescent="0.25">
      <c r="B1000" s="153" t="s">
        <v>499</v>
      </c>
      <c r="C1000" s="205"/>
      <c r="D1000" s="125"/>
      <c r="E1000" s="125"/>
      <c r="F1000" s="125">
        <v>3</v>
      </c>
      <c r="G1000" s="138">
        <v>1.5</v>
      </c>
      <c r="H1000" s="125">
        <f t="shared" si="27"/>
        <v>4.5</v>
      </c>
      <c r="I1000" s="746"/>
      <c r="J1000" s="747"/>
      <c r="K1000" s="782"/>
      <c r="L1000" s="746"/>
      <c r="M1000" s="747"/>
      <c r="N1000" s="753"/>
    </row>
    <row r="1001" spans="2:14" ht="14.25" hidden="1" customHeight="1" x14ac:dyDescent="0.25">
      <c r="B1001" s="158" t="s">
        <v>500</v>
      </c>
      <c r="C1001" s="125"/>
      <c r="D1001" s="134">
        <v>-137</v>
      </c>
      <c r="E1001" s="125"/>
      <c r="F1001" s="125">
        <v>1</v>
      </c>
      <c r="G1001" s="125">
        <v>1.9</v>
      </c>
      <c r="H1001" s="134">
        <f>D1001*F1001*G1001</f>
        <v>-260.3</v>
      </c>
      <c r="I1001" s="749"/>
      <c r="J1001" s="750"/>
      <c r="K1001" s="750"/>
      <c r="L1001" s="749"/>
      <c r="M1001" s="750"/>
      <c r="N1001" s="754"/>
    </row>
    <row r="1002" spans="2:14" ht="14.25" hidden="1" customHeight="1" x14ac:dyDescent="0.25">
      <c r="B1002" s="209"/>
      <c r="C1002" s="118"/>
      <c r="D1002" s="118"/>
      <c r="E1002" s="118"/>
      <c r="F1002" s="118"/>
      <c r="G1002" s="118"/>
      <c r="H1002" s="118"/>
      <c r="I1002" s="118"/>
      <c r="J1002" s="118"/>
      <c r="K1002" s="118"/>
      <c r="L1002" s="118"/>
      <c r="M1002" s="118"/>
      <c r="N1002" s="210"/>
    </row>
    <row r="1003" spans="2:14" ht="14.25" hidden="1" customHeight="1" x14ac:dyDescent="0.25">
      <c r="B1003" s="209"/>
      <c r="C1003" s="118"/>
      <c r="D1003" s="118"/>
      <c r="E1003" s="118"/>
      <c r="F1003" s="118"/>
      <c r="G1003" s="118"/>
      <c r="H1003" s="118"/>
      <c r="I1003" s="118"/>
      <c r="J1003" s="118"/>
      <c r="K1003" s="118"/>
      <c r="L1003" s="118"/>
      <c r="M1003" s="118"/>
      <c r="N1003" s="210"/>
    </row>
    <row r="1004" spans="2:14" ht="14.25" hidden="1" customHeight="1" x14ac:dyDescent="0.25">
      <c r="B1004" s="209"/>
      <c r="C1004" s="118"/>
      <c r="D1004" s="118"/>
      <c r="E1004" s="118"/>
      <c r="F1004" s="118"/>
      <c r="G1004" s="118"/>
      <c r="H1004" s="118"/>
      <c r="I1004" s="118"/>
      <c r="J1004" s="118"/>
      <c r="K1004" s="118"/>
      <c r="L1004" s="118"/>
      <c r="M1004" s="118"/>
      <c r="N1004" s="210"/>
    </row>
    <row r="1005" spans="2:14" ht="14.25" hidden="1" customHeight="1" x14ac:dyDescent="0.25">
      <c r="B1005" s="775" t="s">
        <v>414</v>
      </c>
      <c r="C1005" s="747"/>
      <c r="D1005" s="747"/>
      <c r="E1005" s="128"/>
      <c r="F1005" s="128"/>
      <c r="G1005" s="128"/>
      <c r="H1005" s="128"/>
      <c r="I1005" s="776"/>
      <c r="J1005" s="747"/>
      <c r="K1005" s="747"/>
      <c r="L1005" s="118"/>
      <c r="M1005" s="118"/>
      <c r="N1005" s="210"/>
    </row>
    <row r="1006" spans="2:14" ht="14.25" hidden="1" customHeight="1" x14ac:dyDescent="0.25">
      <c r="B1006" s="129"/>
      <c r="C1006" s="130"/>
      <c r="D1006" s="130"/>
      <c r="E1006" s="130"/>
      <c r="F1006" s="130"/>
      <c r="G1006" s="130"/>
      <c r="H1006" s="130"/>
      <c r="I1006" s="130"/>
      <c r="J1006" s="130"/>
      <c r="K1006" s="130"/>
      <c r="L1006" s="130"/>
      <c r="M1006" s="130"/>
      <c r="N1006" s="131"/>
    </row>
    <row r="1007" spans="2:14" ht="53.25" hidden="1" customHeight="1" x14ac:dyDescent="0.25">
      <c r="B1007" s="728"/>
      <c r="C1007" s="729"/>
      <c r="D1007" s="730" t="s">
        <v>393</v>
      </c>
      <c r="E1007" s="729"/>
      <c r="F1007" s="729"/>
      <c r="G1007" s="729"/>
      <c r="H1007" s="729"/>
      <c r="I1007" s="729"/>
      <c r="J1007" s="729"/>
      <c r="K1007" s="729"/>
      <c r="L1007" s="729"/>
      <c r="M1007" s="729"/>
      <c r="N1007" s="731"/>
    </row>
    <row r="1008" spans="2:14" ht="14.25" hidden="1" customHeight="1" x14ac:dyDescent="0.25">
      <c r="B1008" s="732" t="s">
        <v>394</v>
      </c>
      <c r="C1008" s="733"/>
      <c r="D1008" s="733"/>
      <c r="E1008" s="733"/>
      <c r="F1008" s="733"/>
      <c r="G1008" s="733"/>
      <c r="H1008" s="733"/>
      <c r="I1008" s="733"/>
      <c r="J1008" s="733"/>
      <c r="K1008" s="733"/>
      <c r="L1008" s="733"/>
      <c r="M1008" s="733"/>
      <c r="N1008" s="734"/>
    </row>
    <row r="1009" spans="2:14" ht="14.25" hidden="1" customHeight="1" x14ac:dyDescent="0.25">
      <c r="B1009" s="735" t="s">
        <v>395</v>
      </c>
      <c r="C1009" s="736"/>
      <c r="D1009" s="779" t="s">
        <v>117</v>
      </c>
      <c r="E1009" s="733"/>
      <c r="F1009" s="733"/>
      <c r="G1009" s="733"/>
      <c r="H1009" s="733"/>
      <c r="I1009" s="733"/>
      <c r="J1009" s="733"/>
      <c r="K1009" s="733"/>
      <c r="L1009" s="733"/>
      <c r="M1009" s="733"/>
      <c r="N1009" s="734"/>
    </row>
    <row r="1010" spans="2:14" ht="14.25" hidden="1" customHeight="1" x14ac:dyDescent="0.25">
      <c r="B1010" s="740" t="s">
        <v>26</v>
      </c>
      <c r="C1010" s="741"/>
      <c r="D1010" s="119" t="s">
        <v>396</v>
      </c>
      <c r="E1010" s="742" t="s">
        <v>397</v>
      </c>
      <c r="F1010" s="733"/>
      <c r="G1010" s="733"/>
      <c r="H1010" s="736"/>
      <c r="I1010" s="742" t="s">
        <v>398</v>
      </c>
      <c r="J1010" s="733"/>
      <c r="K1010" s="736"/>
      <c r="L1010" s="742" t="s">
        <v>399</v>
      </c>
      <c r="M1010" s="733"/>
      <c r="N1010" s="734"/>
    </row>
    <row r="1011" spans="2:14" ht="14.25" hidden="1" customHeight="1" x14ac:dyDescent="0.25">
      <c r="B1011" s="777">
        <v>25</v>
      </c>
      <c r="C1011" s="736"/>
      <c r="D1011" s="123">
        <f>ROUND(SUM(H1014:H1047)*60%,0)</f>
        <v>1102</v>
      </c>
      <c r="E1011" s="778" t="s">
        <v>51</v>
      </c>
      <c r="F1011" s="733"/>
      <c r="G1011" s="733"/>
      <c r="H1011" s="736"/>
      <c r="I1011" s="744"/>
      <c r="J1011" s="745"/>
      <c r="K1011" s="741"/>
      <c r="L1011" s="744"/>
      <c r="M1011" s="745"/>
      <c r="N1011" s="752"/>
    </row>
    <row r="1012" spans="2:14" ht="14.25" hidden="1" customHeight="1" x14ac:dyDescent="0.25">
      <c r="B1012" s="755" t="s">
        <v>416</v>
      </c>
      <c r="C1012" s="733"/>
      <c r="D1012" s="733"/>
      <c r="E1012" s="733"/>
      <c r="F1012" s="733"/>
      <c r="G1012" s="733"/>
      <c r="H1012" s="736"/>
      <c r="I1012" s="746"/>
      <c r="J1012" s="747"/>
      <c r="K1012" s="748"/>
      <c r="L1012" s="746"/>
      <c r="M1012" s="747"/>
      <c r="N1012" s="753"/>
    </row>
    <row r="1013" spans="2:14" ht="14.25" hidden="1" customHeight="1" x14ac:dyDescent="0.25">
      <c r="B1013" s="121" t="s">
        <v>400</v>
      </c>
      <c r="C1013" s="122" t="s">
        <v>401</v>
      </c>
      <c r="D1013" s="123" t="s">
        <v>402</v>
      </c>
      <c r="E1013" s="123" t="s">
        <v>403</v>
      </c>
      <c r="F1013" s="123" t="s">
        <v>404</v>
      </c>
      <c r="G1013" s="123" t="s">
        <v>405</v>
      </c>
      <c r="H1013" s="123" t="s">
        <v>406</v>
      </c>
      <c r="I1013" s="746"/>
      <c r="J1013" s="747"/>
      <c r="K1013" s="748"/>
      <c r="L1013" s="746"/>
      <c r="M1013" s="747"/>
      <c r="N1013" s="753"/>
    </row>
    <row r="1014" spans="2:14" ht="14.25" hidden="1" customHeight="1" x14ac:dyDescent="0.25">
      <c r="B1014" s="150" t="s">
        <v>463</v>
      </c>
      <c r="C1014" s="765" t="s">
        <v>464</v>
      </c>
      <c r="D1014" s="151"/>
      <c r="E1014" s="151"/>
      <c r="F1014" s="125">
        <f>3.04+0.93+1.39</f>
        <v>5.36</v>
      </c>
      <c r="G1014" s="125">
        <v>2.15</v>
      </c>
      <c r="H1014" s="152">
        <f t="shared" ref="H1014:H1027" si="28">F1014*G1014</f>
        <v>11.524000000000001</v>
      </c>
      <c r="I1014" s="746"/>
      <c r="J1014" s="747"/>
      <c r="K1014" s="748"/>
      <c r="L1014" s="746"/>
      <c r="M1014" s="747"/>
      <c r="N1014" s="753"/>
    </row>
    <row r="1015" spans="2:14" ht="14.25" hidden="1" customHeight="1" x14ac:dyDescent="0.25">
      <c r="B1015" s="150" t="s">
        <v>465</v>
      </c>
      <c r="C1015" s="781"/>
      <c r="D1015" s="151"/>
      <c r="E1015" s="151"/>
      <c r="F1015" s="125">
        <f>3.63+4.92+2.02+3.13+3.79+3.35+1.39+2</f>
        <v>24.23</v>
      </c>
      <c r="G1015" s="125">
        <v>2.15</v>
      </c>
      <c r="H1015" s="152">
        <f t="shared" si="28"/>
        <v>52.094499999999996</v>
      </c>
      <c r="I1015" s="746"/>
      <c r="J1015" s="747"/>
      <c r="K1015" s="748"/>
      <c r="L1015" s="746"/>
      <c r="M1015" s="747"/>
      <c r="N1015" s="753"/>
    </row>
    <row r="1016" spans="2:14" ht="14.25" hidden="1" customHeight="1" x14ac:dyDescent="0.25">
      <c r="B1016" s="153" t="s">
        <v>466</v>
      </c>
      <c r="C1016" s="765" t="s">
        <v>467</v>
      </c>
      <c r="D1016" s="125"/>
      <c r="E1016" s="125"/>
      <c r="F1016" s="125">
        <f>1.36+0.83+0.83+0.65</f>
        <v>3.67</v>
      </c>
      <c r="G1016" s="125">
        <v>3.5</v>
      </c>
      <c r="H1016" s="154">
        <f t="shared" si="28"/>
        <v>12.844999999999999</v>
      </c>
      <c r="I1016" s="746"/>
      <c r="J1016" s="747"/>
      <c r="K1016" s="748"/>
      <c r="L1016" s="746"/>
      <c r="M1016" s="747"/>
      <c r="N1016" s="753"/>
    </row>
    <row r="1017" spans="2:14" ht="14.25" hidden="1" customHeight="1" x14ac:dyDescent="0.25">
      <c r="B1017" s="153" t="s">
        <v>468</v>
      </c>
      <c r="C1017" s="780"/>
      <c r="D1017" s="125"/>
      <c r="E1017" s="125"/>
      <c r="F1017" s="125">
        <f>0.83+1.02+1.95+0.3</f>
        <v>4.0999999999999996</v>
      </c>
      <c r="G1017" s="125">
        <v>3.5</v>
      </c>
      <c r="H1017" s="154">
        <f t="shared" si="28"/>
        <v>14.349999999999998</v>
      </c>
      <c r="I1017" s="746"/>
      <c r="J1017" s="747"/>
      <c r="K1017" s="748"/>
      <c r="L1017" s="746"/>
      <c r="M1017" s="747"/>
      <c r="N1017" s="753"/>
    </row>
    <row r="1018" spans="2:14" ht="14.25" hidden="1" customHeight="1" x14ac:dyDescent="0.25">
      <c r="B1018" s="153" t="s">
        <v>459</v>
      </c>
      <c r="C1018" s="780"/>
      <c r="D1018" s="125"/>
      <c r="E1018" s="125"/>
      <c r="F1018" s="125">
        <f>1.58+2.97+1.58+4.03</f>
        <v>10.16</v>
      </c>
      <c r="G1018" s="125">
        <v>3.5</v>
      </c>
      <c r="H1018" s="154">
        <f t="shared" si="28"/>
        <v>35.56</v>
      </c>
      <c r="I1018" s="746"/>
      <c r="J1018" s="747"/>
      <c r="K1018" s="748"/>
      <c r="L1018" s="746"/>
      <c r="M1018" s="747"/>
      <c r="N1018" s="753"/>
    </row>
    <row r="1019" spans="2:14" ht="14.25" hidden="1" customHeight="1" x14ac:dyDescent="0.25">
      <c r="B1019" s="153" t="s">
        <v>469</v>
      </c>
      <c r="C1019" s="780"/>
      <c r="D1019" s="125"/>
      <c r="E1019" s="125"/>
      <c r="F1019" s="125">
        <f>1.47+7.87+4.08+3.78+3.32+3.32+3.96+2.45+1.09</f>
        <v>31.34</v>
      </c>
      <c r="G1019" s="125">
        <v>5.14</v>
      </c>
      <c r="H1019" s="154">
        <f t="shared" si="28"/>
        <v>161.08759999999998</v>
      </c>
      <c r="I1019" s="746"/>
      <c r="J1019" s="747"/>
      <c r="K1019" s="748"/>
      <c r="L1019" s="746"/>
      <c r="M1019" s="747"/>
      <c r="N1019" s="753"/>
    </row>
    <row r="1020" spans="2:14" ht="14.25" hidden="1" customHeight="1" x14ac:dyDescent="0.25">
      <c r="B1020" s="155" t="s">
        <v>470</v>
      </c>
      <c r="C1020" s="780"/>
      <c r="D1020" s="125"/>
      <c r="E1020" s="125"/>
      <c r="F1020" s="138">
        <f>7.89+3.96+2.25+1+4.27+1.96+3.25+3.11</f>
        <v>27.689999999999998</v>
      </c>
      <c r="G1020" s="138">
        <v>5.14</v>
      </c>
      <c r="H1020" s="154">
        <f t="shared" si="28"/>
        <v>142.32659999999998</v>
      </c>
      <c r="I1020" s="746"/>
      <c r="J1020" s="747"/>
      <c r="K1020" s="748"/>
      <c r="L1020" s="746"/>
      <c r="M1020" s="747"/>
      <c r="N1020" s="753"/>
    </row>
    <row r="1021" spans="2:14" ht="14.25" hidden="1" customHeight="1" x14ac:dyDescent="0.25">
      <c r="B1021" s="153" t="s">
        <v>471</v>
      </c>
      <c r="C1021" s="780"/>
      <c r="D1021" s="125"/>
      <c r="E1021" s="125"/>
      <c r="F1021" s="125">
        <f>3.15+3.15+1.9+0.91</f>
        <v>9.11</v>
      </c>
      <c r="G1021" s="138">
        <v>3.14</v>
      </c>
      <c r="H1021" s="154">
        <f t="shared" si="28"/>
        <v>28.605399999999999</v>
      </c>
      <c r="I1021" s="746"/>
      <c r="J1021" s="747"/>
      <c r="K1021" s="748"/>
      <c r="L1021" s="746"/>
      <c r="M1021" s="747"/>
      <c r="N1021" s="753"/>
    </row>
    <row r="1022" spans="2:14" ht="14.25" hidden="1" customHeight="1" x14ac:dyDescent="0.25">
      <c r="B1022" s="153" t="s">
        <v>472</v>
      </c>
      <c r="C1022" s="780"/>
      <c r="D1022" s="125"/>
      <c r="E1022" s="125"/>
      <c r="F1022" s="125">
        <f>1.9+1+3+3</f>
        <v>8.9</v>
      </c>
      <c r="G1022" s="138">
        <v>3.14</v>
      </c>
      <c r="H1022" s="154">
        <f t="shared" si="28"/>
        <v>27.946000000000002</v>
      </c>
      <c r="I1022" s="746"/>
      <c r="J1022" s="747"/>
      <c r="K1022" s="748"/>
      <c r="L1022" s="746"/>
      <c r="M1022" s="747"/>
      <c r="N1022" s="753"/>
    </row>
    <row r="1023" spans="2:14" ht="14.25" hidden="1" customHeight="1" x14ac:dyDescent="0.25">
      <c r="B1023" s="156" t="s">
        <v>473</v>
      </c>
      <c r="C1023" s="780"/>
      <c r="D1023" s="125"/>
      <c r="E1023" s="125"/>
      <c r="F1023" s="125">
        <v>4</v>
      </c>
      <c r="G1023" s="138">
        <v>5.14</v>
      </c>
      <c r="H1023" s="154">
        <f t="shared" si="28"/>
        <v>20.56</v>
      </c>
      <c r="I1023" s="746"/>
      <c r="J1023" s="747"/>
      <c r="K1023" s="748"/>
      <c r="L1023" s="746"/>
      <c r="M1023" s="747"/>
      <c r="N1023" s="753"/>
    </row>
    <row r="1024" spans="2:14" ht="14.25" hidden="1" customHeight="1" x14ac:dyDescent="0.25">
      <c r="B1024" s="153" t="s">
        <v>474</v>
      </c>
      <c r="C1024" s="780"/>
      <c r="D1024" s="125"/>
      <c r="E1024" s="125"/>
      <c r="F1024" s="125">
        <f>2.25+2+1.99+1</f>
        <v>7.24</v>
      </c>
      <c r="G1024" s="138">
        <v>3.14</v>
      </c>
      <c r="H1024" s="154">
        <f t="shared" si="28"/>
        <v>22.733600000000003</v>
      </c>
      <c r="I1024" s="746"/>
      <c r="J1024" s="747"/>
      <c r="K1024" s="748"/>
      <c r="L1024" s="746"/>
      <c r="M1024" s="747"/>
      <c r="N1024" s="753"/>
    </row>
    <row r="1025" spans="2:14" ht="14.25" hidden="1" customHeight="1" x14ac:dyDescent="0.25">
      <c r="B1025" s="153" t="s">
        <v>475</v>
      </c>
      <c r="C1025" s="781"/>
      <c r="D1025" s="125"/>
      <c r="E1025" s="125"/>
      <c r="F1025" s="125">
        <f>2.45+2.22+2+1.09</f>
        <v>7.76</v>
      </c>
      <c r="G1025" s="138">
        <v>3.14</v>
      </c>
      <c r="H1025" s="154">
        <f t="shared" si="28"/>
        <v>24.366399999999999</v>
      </c>
      <c r="I1025" s="746"/>
      <c r="J1025" s="747"/>
      <c r="K1025" s="748"/>
      <c r="L1025" s="746"/>
      <c r="M1025" s="747"/>
      <c r="N1025" s="753"/>
    </row>
    <row r="1026" spans="2:14" ht="14.25" hidden="1" customHeight="1" x14ac:dyDescent="0.25">
      <c r="B1026" s="155" t="s">
        <v>476</v>
      </c>
      <c r="C1026" s="765" t="s">
        <v>477</v>
      </c>
      <c r="D1026" s="125"/>
      <c r="E1026" s="125"/>
      <c r="F1026" s="138">
        <f>4.59+4.99+2.78+3.55+2.66+2.28+1.08+1.67+2.66</f>
        <v>26.26</v>
      </c>
      <c r="G1026" s="138">
        <v>3</v>
      </c>
      <c r="H1026" s="154">
        <f t="shared" si="28"/>
        <v>78.78</v>
      </c>
      <c r="I1026" s="746"/>
      <c r="J1026" s="747"/>
      <c r="K1026" s="748"/>
      <c r="L1026" s="746"/>
      <c r="M1026" s="747"/>
      <c r="N1026" s="753"/>
    </row>
    <row r="1027" spans="2:14" ht="14.25" hidden="1" customHeight="1" x14ac:dyDescent="0.25">
      <c r="B1027" s="155" t="s">
        <v>478</v>
      </c>
      <c r="C1027" s="780"/>
      <c r="D1027" s="125"/>
      <c r="E1027" s="125"/>
      <c r="F1027" s="138">
        <f>3.14+10.2+7.43+2.78</f>
        <v>23.55</v>
      </c>
      <c r="G1027" s="138">
        <v>3</v>
      </c>
      <c r="H1027" s="154">
        <f t="shared" si="28"/>
        <v>70.650000000000006</v>
      </c>
      <c r="I1027" s="746"/>
      <c r="J1027" s="747"/>
      <c r="K1027" s="748"/>
      <c r="L1027" s="746"/>
      <c r="M1027" s="747"/>
      <c r="N1027" s="753"/>
    </row>
    <row r="1028" spans="2:14" ht="14.25" hidden="1" customHeight="1" x14ac:dyDescent="0.25">
      <c r="B1028" s="156" t="s">
        <v>479</v>
      </c>
      <c r="C1028" s="781"/>
      <c r="D1028" s="138">
        <v>2</v>
      </c>
      <c r="E1028" s="125"/>
      <c r="F1028" s="138">
        <f>1+1.21+1.51</f>
        <v>3.7199999999999998</v>
      </c>
      <c r="G1028" s="138">
        <v>1</v>
      </c>
      <c r="H1028" s="154">
        <f>F1028*G1028*D1028</f>
        <v>7.4399999999999995</v>
      </c>
      <c r="I1028" s="746"/>
      <c r="J1028" s="747"/>
      <c r="K1028" s="748"/>
      <c r="L1028" s="746"/>
      <c r="M1028" s="747"/>
      <c r="N1028" s="753"/>
    </row>
    <row r="1029" spans="2:14" ht="14.25" hidden="1" customHeight="1" x14ac:dyDescent="0.25">
      <c r="B1029" s="156" t="s">
        <v>480</v>
      </c>
      <c r="C1029" s="789" t="s">
        <v>481</v>
      </c>
      <c r="D1029" s="138"/>
      <c r="E1029" s="138"/>
      <c r="F1029" s="138">
        <f>2.99+3.4+2.03+3.4+2.93+3.04+2.4+1.94+1.38+2.93+2.03</f>
        <v>28.47</v>
      </c>
      <c r="G1029" s="138">
        <v>3.3</v>
      </c>
      <c r="H1029" s="154">
        <f t="shared" ref="H1029:H1045" si="29">F1029*G1029</f>
        <v>93.950999999999993</v>
      </c>
      <c r="I1029" s="746"/>
      <c r="J1029" s="747"/>
      <c r="K1029" s="748"/>
      <c r="L1029" s="746"/>
      <c r="M1029" s="747"/>
      <c r="N1029" s="753"/>
    </row>
    <row r="1030" spans="2:14" ht="14.25" hidden="1" customHeight="1" x14ac:dyDescent="0.25">
      <c r="B1030" s="156" t="s">
        <v>482</v>
      </c>
      <c r="C1030" s="780"/>
      <c r="D1030" s="138"/>
      <c r="E1030" s="138"/>
      <c r="F1030" s="138">
        <f>7.25+2.12+2.9+3.2+3.38+4.08+3.24+3.83+3.2+3.38</f>
        <v>36.580000000000005</v>
      </c>
      <c r="G1030" s="138">
        <v>3.3</v>
      </c>
      <c r="H1030" s="154">
        <f t="shared" si="29"/>
        <v>120.71400000000001</v>
      </c>
      <c r="I1030" s="746"/>
      <c r="J1030" s="747"/>
      <c r="K1030" s="748"/>
      <c r="L1030" s="746"/>
      <c r="M1030" s="747"/>
      <c r="N1030" s="753"/>
    </row>
    <row r="1031" spans="2:14" ht="14.25" hidden="1" customHeight="1" x14ac:dyDescent="0.25">
      <c r="B1031" s="156" t="s">
        <v>483</v>
      </c>
      <c r="C1031" s="780"/>
      <c r="D1031" s="138"/>
      <c r="E1031" s="138"/>
      <c r="F1031" s="138">
        <f>3.67+4.08+2.78+2.78+1.37+3.47+3.88+2.88+4.11+3.37+2.61+2.78</f>
        <v>37.779999999999994</v>
      </c>
      <c r="G1031" s="138">
        <v>3.3</v>
      </c>
      <c r="H1031" s="154">
        <f t="shared" si="29"/>
        <v>124.67399999999998</v>
      </c>
      <c r="I1031" s="746"/>
      <c r="J1031" s="747"/>
      <c r="K1031" s="748"/>
      <c r="L1031" s="746"/>
      <c r="M1031" s="747"/>
      <c r="N1031" s="753"/>
    </row>
    <row r="1032" spans="2:14" ht="14.25" hidden="1" customHeight="1" x14ac:dyDescent="0.25">
      <c r="B1032" s="156" t="s">
        <v>484</v>
      </c>
      <c r="C1032" s="780"/>
      <c r="D1032" s="138"/>
      <c r="E1032" s="138"/>
      <c r="F1032" s="138">
        <f>1.53+3.08+3.57+3.22+3.71+2.34+3.71+3.68+5.31+2.18+3.45</f>
        <v>35.78</v>
      </c>
      <c r="G1032" s="138">
        <v>3.3</v>
      </c>
      <c r="H1032" s="154">
        <f t="shared" si="29"/>
        <v>118.074</v>
      </c>
      <c r="I1032" s="746"/>
      <c r="J1032" s="747"/>
      <c r="K1032" s="748"/>
      <c r="L1032" s="746"/>
      <c r="M1032" s="747"/>
      <c r="N1032" s="753"/>
    </row>
    <row r="1033" spans="2:14" ht="14.25" hidden="1" customHeight="1" x14ac:dyDescent="0.25">
      <c r="B1033" s="156" t="s">
        <v>485</v>
      </c>
      <c r="C1033" s="780"/>
      <c r="D1033" s="138"/>
      <c r="E1033" s="138"/>
      <c r="F1033" s="138">
        <f>3.58+3.44+2.58+2.69+2.73+2.96+3.25+3.02+3.62+3.44</f>
        <v>31.310000000000002</v>
      </c>
      <c r="G1033" s="138">
        <v>3.3</v>
      </c>
      <c r="H1033" s="154">
        <f t="shared" si="29"/>
        <v>103.32300000000001</v>
      </c>
      <c r="I1033" s="746"/>
      <c r="J1033" s="747"/>
      <c r="K1033" s="748"/>
      <c r="L1033" s="746"/>
      <c r="M1033" s="747"/>
      <c r="N1033" s="753"/>
    </row>
    <row r="1034" spans="2:14" ht="14.25" hidden="1" customHeight="1" x14ac:dyDescent="0.25">
      <c r="B1034" s="156" t="s">
        <v>486</v>
      </c>
      <c r="C1034" s="781"/>
      <c r="D1034" s="138"/>
      <c r="E1034" s="138"/>
      <c r="F1034" s="138">
        <f>3.04+2.24+3.13+3.04+3.16+2.98+3.33+1.23+1.83+1+1.52</f>
        <v>26.500000000000004</v>
      </c>
      <c r="G1034" s="138">
        <v>1.3</v>
      </c>
      <c r="H1034" s="154">
        <f t="shared" si="29"/>
        <v>34.450000000000003</v>
      </c>
      <c r="I1034" s="746"/>
      <c r="J1034" s="747"/>
      <c r="K1034" s="748"/>
      <c r="L1034" s="746"/>
      <c r="M1034" s="747"/>
      <c r="N1034" s="753"/>
    </row>
    <row r="1035" spans="2:14" ht="14.25" hidden="1" customHeight="1" x14ac:dyDescent="0.25">
      <c r="B1035" s="156" t="s">
        <v>487</v>
      </c>
      <c r="C1035" s="789" t="s">
        <v>488</v>
      </c>
      <c r="D1035" s="138"/>
      <c r="E1035" s="138"/>
      <c r="F1035" s="138">
        <f>3.45+3.85+3.04+4.06+2</f>
        <v>16.399999999999999</v>
      </c>
      <c r="G1035" s="138">
        <v>3.3</v>
      </c>
      <c r="H1035" s="154">
        <f t="shared" si="29"/>
        <v>54.11999999999999</v>
      </c>
      <c r="I1035" s="746"/>
      <c r="J1035" s="747"/>
      <c r="K1035" s="748"/>
      <c r="L1035" s="746"/>
      <c r="M1035" s="747"/>
      <c r="N1035" s="753"/>
    </row>
    <row r="1036" spans="2:14" ht="14.25" hidden="1" customHeight="1" x14ac:dyDescent="0.25">
      <c r="B1036" s="156" t="s">
        <v>489</v>
      </c>
      <c r="C1036" s="780"/>
      <c r="D1036" s="138"/>
      <c r="E1036" s="138"/>
      <c r="F1036" s="138">
        <f>1.29+3.79+4.15+2.96+2.96+2.85+2.85+3.31</f>
        <v>24.160000000000004</v>
      </c>
      <c r="G1036" s="138">
        <v>3.3</v>
      </c>
      <c r="H1036" s="154">
        <f t="shared" si="29"/>
        <v>79.728000000000009</v>
      </c>
      <c r="I1036" s="746"/>
      <c r="J1036" s="747"/>
      <c r="K1036" s="748"/>
      <c r="L1036" s="746"/>
      <c r="M1036" s="747"/>
      <c r="N1036" s="753"/>
    </row>
    <row r="1037" spans="2:14" ht="14.25" hidden="1" customHeight="1" x14ac:dyDescent="0.25">
      <c r="B1037" s="156" t="s">
        <v>490</v>
      </c>
      <c r="C1037" s="780"/>
      <c r="D1037" s="138"/>
      <c r="E1037" s="138"/>
      <c r="F1037" s="138">
        <f>3.12+3.52+3.07+2.49+2.49+2.5+2.32+3.1+0.97</f>
        <v>23.580000000000002</v>
      </c>
      <c r="G1037" s="138">
        <v>3.3</v>
      </c>
      <c r="H1037" s="154">
        <f t="shared" si="29"/>
        <v>77.814000000000007</v>
      </c>
      <c r="I1037" s="746"/>
      <c r="J1037" s="747"/>
      <c r="K1037" s="748"/>
      <c r="L1037" s="746"/>
      <c r="M1037" s="747"/>
      <c r="N1037" s="753"/>
    </row>
    <row r="1038" spans="2:14" ht="14.25" hidden="1" customHeight="1" x14ac:dyDescent="0.25">
      <c r="B1038" s="156" t="s">
        <v>491</v>
      </c>
      <c r="C1038" s="780"/>
      <c r="D1038" s="138"/>
      <c r="E1038" s="138"/>
      <c r="F1038" s="138">
        <f>2.98+3.76+5.95+3.76</f>
        <v>16.450000000000003</v>
      </c>
      <c r="G1038" s="138">
        <v>3.3</v>
      </c>
      <c r="H1038" s="154">
        <f t="shared" si="29"/>
        <v>54.285000000000004</v>
      </c>
      <c r="I1038" s="746"/>
      <c r="J1038" s="747"/>
      <c r="K1038" s="748"/>
      <c r="L1038" s="746"/>
      <c r="M1038" s="747"/>
      <c r="N1038" s="753"/>
    </row>
    <row r="1039" spans="2:14" ht="14.25" hidden="1" customHeight="1" x14ac:dyDescent="0.25">
      <c r="B1039" s="157" t="s">
        <v>492</v>
      </c>
      <c r="C1039" s="781"/>
      <c r="D1039" s="138"/>
      <c r="E1039" s="138"/>
      <c r="F1039" s="138">
        <f>3.76+3.76+3.76+3.76+3.76+3.76+4.28+2</f>
        <v>28.839999999999996</v>
      </c>
      <c r="G1039" s="138">
        <v>3.3</v>
      </c>
      <c r="H1039" s="154">
        <f t="shared" si="29"/>
        <v>95.171999999999983</v>
      </c>
      <c r="I1039" s="746"/>
      <c r="J1039" s="747"/>
      <c r="K1039" s="748"/>
      <c r="L1039" s="746"/>
      <c r="M1039" s="747"/>
      <c r="N1039" s="753"/>
    </row>
    <row r="1040" spans="2:14" ht="14.25" hidden="1" customHeight="1" x14ac:dyDescent="0.25">
      <c r="B1040" s="156" t="s">
        <v>493</v>
      </c>
      <c r="C1040" s="794" t="s">
        <v>494</v>
      </c>
      <c r="D1040" s="125"/>
      <c r="E1040" s="125"/>
      <c r="F1040" s="125">
        <f>4.06+0.98+3+2.96+3.84+5.31</f>
        <v>20.149999999999999</v>
      </c>
      <c r="G1040" s="138">
        <v>3.3</v>
      </c>
      <c r="H1040" s="154">
        <f t="shared" si="29"/>
        <v>66.49499999999999</v>
      </c>
      <c r="I1040" s="746"/>
      <c r="J1040" s="747"/>
      <c r="K1040" s="748"/>
      <c r="L1040" s="746"/>
      <c r="M1040" s="747"/>
      <c r="N1040" s="753"/>
    </row>
    <row r="1041" spans="2:14" ht="14.25" hidden="1" customHeight="1" x14ac:dyDescent="0.25">
      <c r="B1041" s="156" t="s">
        <v>495</v>
      </c>
      <c r="C1041" s="780"/>
      <c r="D1041" s="125"/>
      <c r="E1041" s="125"/>
      <c r="F1041" s="138">
        <f>3.48+2.99+2.01+3+2.96+1.85+2.84+3.3+3.3+2</f>
        <v>27.730000000000004</v>
      </c>
      <c r="G1041" s="138">
        <v>3.3</v>
      </c>
      <c r="H1041" s="154">
        <f t="shared" si="29"/>
        <v>91.509000000000015</v>
      </c>
      <c r="I1041" s="746"/>
      <c r="J1041" s="747"/>
      <c r="K1041" s="748"/>
      <c r="L1041" s="746"/>
      <c r="M1041" s="747"/>
      <c r="N1041" s="753"/>
    </row>
    <row r="1042" spans="2:14" ht="14.25" hidden="1" customHeight="1" x14ac:dyDescent="0.25">
      <c r="B1042" s="156" t="s">
        <v>496</v>
      </c>
      <c r="C1042" s="780"/>
      <c r="D1042" s="125"/>
      <c r="E1042" s="125"/>
      <c r="F1042" s="138">
        <f>3.3+3.3+2.76+2</f>
        <v>11.36</v>
      </c>
      <c r="G1042" s="138">
        <v>3.3</v>
      </c>
      <c r="H1042" s="154">
        <f t="shared" si="29"/>
        <v>37.488</v>
      </c>
      <c r="I1042" s="746"/>
      <c r="J1042" s="747"/>
      <c r="K1042" s="748"/>
      <c r="L1042" s="746"/>
      <c r="M1042" s="747"/>
      <c r="N1042" s="753"/>
    </row>
    <row r="1043" spans="2:14" ht="14.25" hidden="1" customHeight="1" x14ac:dyDescent="0.25">
      <c r="B1043" s="156" t="s">
        <v>497</v>
      </c>
      <c r="C1043" s="780"/>
      <c r="D1043" s="125"/>
      <c r="E1043" s="125"/>
      <c r="F1043" s="138">
        <f>3.75+6.08+3.44+3.03</f>
        <v>16.3</v>
      </c>
      <c r="G1043" s="138">
        <v>3.3</v>
      </c>
      <c r="H1043" s="154">
        <f t="shared" si="29"/>
        <v>53.79</v>
      </c>
      <c r="I1043" s="746"/>
      <c r="J1043" s="747"/>
      <c r="K1043" s="748"/>
      <c r="L1043" s="746"/>
      <c r="M1043" s="747"/>
      <c r="N1043" s="753"/>
    </row>
    <row r="1044" spans="2:14" ht="14.25" hidden="1" customHeight="1" x14ac:dyDescent="0.25">
      <c r="B1044" s="156" t="s">
        <v>498</v>
      </c>
      <c r="C1044" s="780"/>
      <c r="D1044" s="125"/>
      <c r="E1044" s="125"/>
      <c r="F1044" s="138">
        <f>3.54+3.03+3.18+2.49+2.66+3.04+3.48</f>
        <v>21.42</v>
      </c>
      <c r="G1044" s="138">
        <v>3.3</v>
      </c>
      <c r="H1044" s="154">
        <f t="shared" si="29"/>
        <v>70.686000000000007</v>
      </c>
      <c r="I1044" s="746"/>
      <c r="J1044" s="747"/>
      <c r="K1044" s="748"/>
      <c r="L1044" s="746"/>
      <c r="M1044" s="747"/>
      <c r="N1044" s="753"/>
    </row>
    <row r="1045" spans="2:14" ht="14.25" hidden="1" customHeight="1" x14ac:dyDescent="0.25">
      <c r="B1045" s="153" t="s">
        <v>492</v>
      </c>
      <c r="C1045" s="781"/>
      <c r="D1045" s="125"/>
      <c r="E1045" s="125"/>
      <c r="F1045" s="125">
        <f>4.15+4.15+4.15+4.15+4.15+4.15+0.98+2.15+1.91+0.95+0.95</f>
        <v>31.839999999999996</v>
      </c>
      <c r="G1045" s="138">
        <v>3.3</v>
      </c>
      <c r="H1045" s="154">
        <f t="shared" si="29"/>
        <v>105.07199999999999</v>
      </c>
      <c r="I1045" s="746"/>
      <c r="J1045" s="747"/>
      <c r="K1045" s="748"/>
      <c r="L1045" s="746"/>
      <c r="M1045" s="747"/>
      <c r="N1045" s="753"/>
    </row>
    <row r="1046" spans="2:14" ht="14.25" hidden="1" customHeight="1" x14ac:dyDescent="0.25">
      <c r="B1046" s="158" t="s">
        <v>500</v>
      </c>
      <c r="C1046" s="125"/>
      <c r="D1046" s="134">
        <v>-137</v>
      </c>
      <c r="E1046" s="125"/>
      <c r="F1046" s="125">
        <v>1</v>
      </c>
      <c r="G1046" s="125">
        <v>1.9</v>
      </c>
      <c r="H1046" s="159">
        <f>D1046*F1046*G1046</f>
        <v>-260.3</v>
      </c>
      <c r="I1046" s="746"/>
      <c r="J1046" s="747"/>
      <c r="K1046" s="748"/>
      <c r="L1046" s="746"/>
      <c r="M1046" s="747"/>
      <c r="N1046" s="753"/>
    </row>
    <row r="1047" spans="2:14" ht="14.25" hidden="1" customHeight="1" x14ac:dyDescent="0.25">
      <c r="B1047" s="153" t="s">
        <v>499</v>
      </c>
      <c r="C1047" s="205"/>
      <c r="D1047" s="125"/>
      <c r="E1047" s="125"/>
      <c r="F1047" s="125">
        <v>3</v>
      </c>
      <c r="G1047" s="138">
        <v>1.5</v>
      </c>
      <c r="H1047" s="154">
        <f>F1047*G1047</f>
        <v>4.5</v>
      </c>
      <c r="I1047" s="749"/>
      <c r="J1047" s="750"/>
      <c r="K1047" s="751"/>
      <c r="L1047" s="749"/>
      <c r="M1047" s="750"/>
      <c r="N1047" s="754"/>
    </row>
    <row r="1048" spans="2:14" ht="14.25" hidden="1" customHeight="1" x14ac:dyDescent="0.25">
      <c r="B1048" s="209"/>
      <c r="C1048" s="118"/>
      <c r="D1048" s="118"/>
      <c r="E1048" s="118"/>
      <c r="F1048" s="118"/>
      <c r="G1048" s="118"/>
      <c r="H1048" s="118"/>
      <c r="I1048" s="118"/>
      <c r="J1048" s="118"/>
      <c r="K1048" s="118"/>
      <c r="L1048" s="118"/>
      <c r="M1048" s="118"/>
      <c r="N1048" s="210"/>
    </row>
    <row r="1049" spans="2:14" ht="14.25" hidden="1" customHeight="1" x14ac:dyDescent="0.25">
      <c r="B1049" s="209"/>
      <c r="C1049" s="118"/>
      <c r="D1049" s="118"/>
      <c r="E1049" s="118"/>
      <c r="F1049" s="118"/>
      <c r="G1049" s="118"/>
      <c r="H1049" s="118"/>
      <c r="I1049" s="118"/>
      <c r="J1049" s="118"/>
      <c r="K1049" s="118"/>
      <c r="L1049" s="118"/>
      <c r="M1049" s="118"/>
      <c r="N1049" s="210"/>
    </row>
    <row r="1050" spans="2:14" ht="14.25" hidden="1" customHeight="1" x14ac:dyDescent="0.25">
      <c r="B1050" s="209"/>
      <c r="C1050" s="118"/>
      <c r="D1050" s="118"/>
      <c r="E1050" s="118"/>
      <c r="F1050" s="118"/>
      <c r="G1050" s="118"/>
      <c r="H1050" s="118"/>
      <c r="I1050" s="118"/>
      <c r="J1050" s="118"/>
      <c r="K1050" s="118"/>
      <c r="L1050" s="118"/>
      <c r="M1050" s="118"/>
      <c r="N1050" s="210"/>
    </row>
    <row r="1051" spans="2:14" ht="14.25" hidden="1" customHeight="1" x14ac:dyDescent="0.25">
      <c r="B1051" s="209"/>
      <c r="C1051" s="118"/>
      <c r="D1051" s="118"/>
      <c r="E1051" s="118"/>
      <c r="F1051" s="118"/>
      <c r="G1051" s="118"/>
      <c r="H1051" s="118"/>
      <c r="I1051" s="118"/>
      <c r="J1051" s="118"/>
      <c r="K1051" s="118"/>
      <c r="L1051" s="118"/>
      <c r="M1051" s="118"/>
      <c r="N1051" s="210"/>
    </row>
    <row r="1052" spans="2:14" ht="14.25" hidden="1" customHeight="1" x14ac:dyDescent="0.25">
      <c r="B1052" s="775" t="s">
        <v>414</v>
      </c>
      <c r="C1052" s="747"/>
      <c r="D1052" s="747"/>
      <c r="E1052" s="128"/>
      <c r="F1052" s="128"/>
      <c r="G1052" s="128"/>
      <c r="H1052" s="128"/>
      <c r="I1052" s="776"/>
      <c r="J1052" s="747"/>
      <c r="K1052" s="747"/>
      <c r="L1052" s="118"/>
      <c r="M1052" s="118"/>
      <c r="N1052" s="210"/>
    </row>
    <row r="1053" spans="2:14" ht="14.25" hidden="1" customHeight="1" x14ac:dyDescent="0.25">
      <c r="B1053" s="129"/>
      <c r="C1053" s="130"/>
      <c r="D1053" s="130"/>
      <c r="E1053" s="130"/>
      <c r="F1053" s="130"/>
      <c r="G1053" s="130"/>
      <c r="H1053" s="130"/>
      <c r="I1053" s="130"/>
      <c r="J1053" s="130"/>
      <c r="K1053" s="130"/>
      <c r="L1053" s="130"/>
      <c r="M1053" s="130"/>
      <c r="N1053" s="131"/>
    </row>
    <row r="1054" spans="2:14" ht="14.25" hidden="1" customHeight="1" x14ac:dyDescent="0.25"/>
    <row r="1055" spans="2:14" ht="39" hidden="1" customHeight="1" x14ac:dyDescent="0.25">
      <c r="B1055" s="728"/>
      <c r="C1055" s="729"/>
      <c r="D1055" s="730" t="s">
        <v>393</v>
      </c>
      <c r="E1055" s="729"/>
      <c r="F1055" s="729"/>
      <c r="G1055" s="729"/>
      <c r="H1055" s="729"/>
      <c r="I1055" s="729"/>
      <c r="J1055" s="729"/>
      <c r="K1055" s="729"/>
      <c r="L1055" s="729"/>
      <c r="M1055" s="729"/>
      <c r="N1055" s="731"/>
    </row>
    <row r="1056" spans="2:14" ht="14.25" hidden="1" customHeight="1" x14ac:dyDescent="0.25">
      <c r="B1056" s="732" t="s">
        <v>394</v>
      </c>
      <c r="C1056" s="733"/>
      <c r="D1056" s="733"/>
      <c r="E1056" s="733"/>
      <c r="F1056" s="733"/>
      <c r="G1056" s="733"/>
      <c r="H1056" s="733"/>
      <c r="I1056" s="733"/>
      <c r="J1056" s="733"/>
      <c r="K1056" s="733"/>
      <c r="L1056" s="733"/>
      <c r="M1056" s="733"/>
      <c r="N1056" s="734"/>
    </row>
    <row r="1057" spans="2:14" ht="14.25" hidden="1" customHeight="1" x14ac:dyDescent="0.25">
      <c r="B1057" s="735" t="s">
        <v>395</v>
      </c>
      <c r="C1057" s="736"/>
      <c r="D1057" s="779" t="s">
        <v>119</v>
      </c>
      <c r="E1057" s="733"/>
      <c r="F1057" s="733"/>
      <c r="G1057" s="733"/>
      <c r="H1057" s="733"/>
      <c r="I1057" s="733"/>
      <c r="J1057" s="733"/>
      <c r="K1057" s="733"/>
      <c r="L1057" s="733"/>
      <c r="M1057" s="733"/>
      <c r="N1057" s="734"/>
    </row>
    <row r="1058" spans="2:14" ht="14.25" hidden="1" customHeight="1" x14ac:dyDescent="0.25">
      <c r="B1058" s="740" t="s">
        <v>26</v>
      </c>
      <c r="C1058" s="741"/>
      <c r="D1058" s="119" t="s">
        <v>396</v>
      </c>
      <c r="E1058" s="742" t="s">
        <v>397</v>
      </c>
      <c r="F1058" s="733"/>
      <c r="G1058" s="733"/>
      <c r="H1058" s="736"/>
      <c r="I1058" s="742" t="s">
        <v>398</v>
      </c>
      <c r="J1058" s="733"/>
      <c r="K1058" s="736"/>
      <c r="L1058" s="742" t="s">
        <v>399</v>
      </c>
      <c r="M1058" s="733"/>
      <c r="N1058" s="734"/>
    </row>
    <row r="1059" spans="2:14" ht="14.25" hidden="1" customHeight="1" x14ac:dyDescent="0.25">
      <c r="B1059" s="777">
        <v>26</v>
      </c>
      <c r="C1059" s="736"/>
      <c r="D1059" s="123">
        <f>ROUND(SUM(H1062:H1095),0)</f>
        <v>1836</v>
      </c>
      <c r="E1059" s="778" t="s">
        <v>51</v>
      </c>
      <c r="F1059" s="733"/>
      <c r="G1059" s="733"/>
      <c r="H1059" s="736"/>
      <c r="I1059" s="744"/>
      <c r="J1059" s="745"/>
      <c r="K1059" s="741"/>
      <c r="L1059" s="744"/>
      <c r="M1059" s="745"/>
      <c r="N1059" s="752"/>
    </row>
    <row r="1060" spans="2:14" ht="14.25" hidden="1" customHeight="1" x14ac:dyDescent="0.25">
      <c r="B1060" s="755" t="s">
        <v>416</v>
      </c>
      <c r="C1060" s="733"/>
      <c r="D1060" s="733"/>
      <c r="E1060" s="733"/>
      <c r="F1060" s="733"/>
      <c r="G1060" s="733"/>
      <c r="H1060" s="736"/>
      <c r="I1060" s="746"/>
      <c r="J1060" s="747"/>
      <c r="K1060" s="748"/>
      <c r="L1060" s="746"/>
      <c r="M1060" s="747"/>
      <c r="N1060" s="753"/>
    </row>
    <row r="1061" spans="2:14" ht="14.25" hidden="1" customHeight="1" x14ac:dyDescent="0.25">
      <c r="B1061" s="121" t="s">
        <v>400</v>
      </c>
      <c r="C1061" s="122" t="s">
        <v>401</v>
      </c>
      <c r="D1061" s="123" t="s">
        <v>402</v>
      </c>
      <c r="E1061" s="123" t="s">
        <v>403</v>
      </c>
      <c r="F1061" s="123" t="s">
        <v>404</v>
      </c>
      <c r="G1061" s="123" t="s">
        <v>405</v>
      </c>
      <c r="H1061" s="123" t="s">
        <v>406</v>
      </c>
      <c r="I1061" s="746"/>
      <c r="J1061" s="747"/>
      <c r="K1061" s="748"/>
      <c r="L1061" s="746"/>
      <c r="M1061" s="747"/>
      <c r="N1061" s="753"/>
    </row>
    <row r="1062" spans="2:14" ht="14.25" hidden="1" customHeight="1" x14ac:dyDescent="0.25">
      <c r="B1062" s="150" t="s">
        <v>463</v>
      </c>
      <c r="C1062" s="765" t="s">
        <v>464</v>
      </c>
      <c r="D1062" s="151"/>
      <c r="E1062" s="151"/>
      <c r="F1062" s="125">
        <f>3.04+0.93+1.39</f>
        <v>5.36</v>
      </c>
      <c r="G1062" s="125">
        <v>2.15</v>
      </c>
      <c r="H1062" s="160">
        <f t="shared" ref="H1062:H1075" si="30">F1062*G1062</f>
        <v>11.524000000000001</v>
      </c>
      <c r="I1062" s="746"/>
      <c r="J1062" s="747"/>
      <c r="K1062" s="748"/>
      <c r="L1062" s="746"/>
      <c r="M1062" s="747"/>
      <c r="N1062" s="753"/>
    </row>
    <row r="1063" spans="2:14" ht="14.25" hidden="1" customHeight="1" x14ac:dyDescent="0.25">
      <c r="B1063" s="150" t="s">
        <v>465</v>
      </c>
      <c r="C1063" s="781"/>
      <c r="D1063" s="151"/>
      <c r="E1063" s="151"/>
      <c r="F1063" s="125">
        <f>3.63+4.92+2.02+3.13+3.79+3.35+1.39+2</f>
        <v>24.23</v>
      </c>
      <c r="G1063" s="125">
        <v>2.15</v>
      </c>
      <c r="H1063" s="160">
        <f t="shared" si="30"/>
        <v>52.094499999999996</v>
      </c>
      <c r="I1063" s="746"/>
      <c r="J1063" s="747"/>
      <c r="K1063" s="748"/>
      <c r="L1063" s="746"/>
      <c r="M1063" s="747"/>
      <c r="N1063" s="753"/>
    </row>
    <row r="1064" spans="2:14" ht="14.25" hidden="1" customHeight="1" x14ac:dyDescent="0.25">
      <c r="B1064" s="153" t="s">
        <v>466</v>
      </c>
      <c r="C1064" s="765" t="s">
        <v>467</v>
      </c>
      <c r="D1064" s="125"/>
      <c r="E1064" s="125"/>
      <c r="F1064" s="125">
        <f>1.36+0.83+0.83+0.65</f>
        <v>3.67</v>
      </c>
      <c r="G1064" s="125">
        <v>3.5</v>
      </c>
      <c r="H1064" s="125">
        <f t="shared" si="30"/>
        <v>12.844999999999999</v>
      </c>
      <c r="I1064" s="746"/>
      <c r="J1064" s="747"/>
      <c r="K1064" s="748"/>
      <c r="L1064" s="746"/>
      <c r="M1064" s="747"/>
      <c r="N1064" s="753"/>
    </row>
    <row r="1065" spans="2:14" ht="14.25" hidden="1" customHeight="1" x14ac:dyDescent="0.25">
      <c r="B1065" s="153" t="s">
        <v>468</v>
      </c>
      <c r="C1065" s="780"/>
      <c r="D1065" s="125"/>
      <c r="E1065" s="125"/>
      <c r="F1065" s="125">
        <f>0.83+1.02+1.95+0.3</f>
        <v>4.0999999999999996</v>
      </c>
      <c r="G1065" s="125">
        <v>3.5</v>
      </c>
      <c r="H1065" s="125">
        <f t="shared" si="30"/>
        <v>14.349999999999998</v>
      </c>
      <c r="I1065" s="746"/>
      <c r="J1065" s="747"/>
      <c r="K1065" s="748"/>
      <c r="L1065" s="746"/>
      <c r="M1065" s="747"/>
      <c r="N1065" s="753"/>
    </row>
    <row r="1066" spans="2:14" ht="14.25" hidden="1" customHeight="1" x14ac:dyDescent="0.25">
      <c r="B1066" s="153" t="s">
        <v>459</v>
      </c>
      <c r="C1066" s="780"/>
      <c r="D1066" s="125"/>
      <c r="E1066" s="125"/>
      <c r="F1066" s="125">
        <f>1.58+2.97+1.58+4.03</f>
        <v>10.16</v>
      </c>
      <c r="G1066" s="125">
        <v>3.5</v>
      </c>
      <c r="H1066" s="125">
        <f t="shared" si="30"/>
        <v>35.56</v>
      </c>
      <c r="I1066" s="746"/>
      <c r="J1066" s="747"/>
      <c r="K1066" s="748"/>
      <c r="L1066" s="746"/>
      <c r="M1066" s="747"/>
      <c r="N1066" s="753"/>
    </row>
    <row r="1067" spans="2:14" ht="14.25" hidden="1" customHeight="1" x14ac:dyDescent="0.25">
      <c r="B1067" s="153" t="s">
        <v>469</v>
      </c>
      <c r="C1067" s="780"/>
      <c r="D1067" s="125"/>
      <c r="E1067" s="125"/>
      <c r="F1067" s="125">
        <f>1.47+7.87+4.08+3.78+3.32+3.32+3.96+2.45+1.09</f>
        <v>31.34</v>
      </c>
      <c r="G1067" s="125">
        <v>5.14</v>
      </c>
      <c r="H1067" s="125">
        <f t="shared" si="30"/>
        <v>161.08759999999998</v>
      </c>
      <c r="I1067" s="746"/>
      <c r="J1067" s="747"/>
      <c r="K1067" s="748"/>
      <c r="L1067" s="746"/>
      <c r="M1067" s="747"/>
      <c r="N1067" s="753"/>
    </row>
    <row r="1068" spans="2:14" ht="14.25" hidden="1" customHeight="1" x14ac:dyDescent="0.25">
      <c r="B1068" s="155" t="s">
        <v>470</v>
      </c>
      <c r="C1068" s="780"/>
      <c r="D1068" s="125"/>
      <c r="E1068" s="125"/>
      <c r="F1068" s="138">
        <f>7.89+3.96+2.25+1+4.27+1.96+3.25+3.11</f>
        <v>27.689999999999998</v>
      </c>
      <c r="G1068" s="138">
        <v>5.14</v>
      </c>
      <c r="H1068" s="138">
        <f t="shared" si="30"/>
        <v>142.32659999999998</v>
      </c>
      <c r="I1068" s="746"/>
      <c r="J1068" s="747"/>
      <c r="K1068" s="748"/>
      <c r="L1068" s="746"/>
      <c r="M1068" s="747"/>
      <c r="N1068" s="753"/>
    </row>
    <row r="1069" spans="2:14" ht="14.25" hidden="1" customHeight="1" x14ac:dyDescent="0.25">
      <c r="B1069" s="153" t="s">
        <v>471</v>
      </c>
      <c r="C1069" s="780"/>
      <c r="D1069" s="125"/>
      <c r="E1069" s="125"/>
      <c r="F1069" s="125">
        <f>3.15+3.15+1.9+0.91</f>
        <v>9.11</v>
      </c>
      <c r="G1069" s="138">
        <v>3.14</v>
      </c>
      <c r="H1069" s="125">
        <f t="shared" si="30"/>
        <v>28.605399999999999</v>
      </c>
      <c r="I1069" s="746"/>
      <c r="J1069" s="747"/>
      <c r="K1069" s="748"/>
      <c r="L1069" s="746"/>
      <c r="M1069" s="747"/>
      <c r="N1069" s="753"/>
    </row>
    <row r="1070" spans="2:14" ht="14.25" hidden="1" customHeight="1" x14ac:dyDescent="0.25">
      <c r="B1070" s="153" t="s">
        <v>472</v>
      </c>
      <c r="C1070" s="780"/>
      <c r="D1070" s="125"/>
      <c r="E1070" s="125"/>
      <c r="F1070" s="125">
        <f>1.9+1+3+3</f>
        <v>8.9</v>
      </c>
      <c r="G1070" s="138">
        <v>3.14</v>
      </c>
      <c r="H1070" s="125">
        <f t="shared" si="30"/>
        <v>27.946000000000002</v>
      </c>
      <c r="I1070" s="746"/>
      <c r="J1070" s="747"/>
      <c r="K1070" s="748"/>
      <c r="L1070" s="746"/>
      <c r="M1070" s="747"/>
      <c r="N1070" s="753"/>
    </row>
    <row r="1071" spans="2:14" ht="14.25" hidden="1" customHeight="1" x14ac:dyDescent="0.25">
      <c r="B1071" s="156" t="s">
        <v>473</v>
      </c>
      <c r="C1071" s="780"/>
      <c r="D1071" s="125"/>
      <c r="E1071" s="125"/>
      <c r="F1071" s="125">
        <v>4</v>
      </c>
      <c r="G1071" s="138">
        <v>5.14</v>
      </c>
      <c r="H1071" s="125">
        <f t="shared" si="30"/>
        <v>20.56</v>
      </c>
      <c r="I1071" s="746"/>
      <c r="J1071" s="747"/>
      <c r="K1071" s="748"/>
      <c r="L1071" s="746"/>
      <c r="M1071" s="747"/>
      <c r="N1071" s="753"/>
    </row>
    <row r="1072" spans="2:14" ht="14.25" hidden="1" customHeight="1" x14ac:dyDescent="0.25">
      <c r="B1072" s="153" t="s">
        <v>474</v>
      </c>
      <c r="C1072" s="780"/>
      <c r="D1072" s="125"/>
      <c r="E1072" s="125"/>
      <c r="F1072" s="125">
        <f>2.25+2+1.99+1</f>
        <v>7.24</v>
      </c>
      <c r="G1072" s="138">
        <v>3.14</v>
      </c>
      <c r="H1072" s="125">
        <f t="shared" si="30"/>
        <v>22.733600000000003</v>
      </c>
      <c r="I1072" s="746"/>
      <c r="J1072" s="747"/>
      <c r="K1072" s="748"/>
      <c r="L1072" s="746"/>
      <c r="M1072" s="747"/>
      <c r="N1072" s="753"/>
    </row>
    <row r="1073" spans="2:14" ht="14.25" hidden="1" customHeight="1" x14ac:dyDescent="0.25">
      <c r="B1073" s="153" t="s">
        <v>475</v>
      </c>
      <c r="C1073" s="781"/>
      <c r="D1073" s="125"/>
      <c r="E1073" s="125"/>
      <c r="F1073" s="125">
        <f>2.45+2.22+2+1.09</f>
        <v>7.76</v>
      </c>
      <c r="G1073" s="138">
        <v>3.14</v>
      </c>
      <c r="H1073" s="125">
        <f t="shared" si="30"/>
        <v>24.366399999999999</v>
      </c>
      <c r="I1073" s="746"/>
      <c r="J1073" s="747"/>
      <c r="K1073" s="748"/>
      <c r="L1073" s="746"/>
      <c r="M1073" s="747"/>
      <c r="N1073" s="753"/>
    </row>
    <row r="1074" spans="2:14" ht="14.25" hidden="1" customHeight="1" x14ac:dyDescent="0.25">
      <c r="B1074" s="155" t="s">
        <v>476</v>
      </c>
      <c r="C1074" s="765" t="s">
        <v>477</v>
      </c>
      <c r="D1074" s="125"/>
      <c r="E1074" s="125"/>
      <c r="F1074" s="138">
        <f>4.59+4.99+2.78+3.55+2.66+2.28+1.08+1.67+2.66</f>
        <v>26.26</v>
      </c>
      <c r="G1074" s="138">
        <v>3</v>
      </c>
      <c r="H1074" s="138">
        <f t="shared" si="30"/>
        <v>78.78</v>
      </c>
      <c r="I1074" s="746"/>
      <c r="J1074" s="747"/>
      <c r="K1074" s="748"/>
      <c r="L1074" s="746"/>
      <c r="M1074" s="747"/>
      <c r="N1074" s="753"/>
    </row>
    <row r="1075" spans="2:14" ht="14.25" hidden="1" customHeight="1" x14ac:dyDescent="0.25">
      <c r="B1075" s="155" t="s">
        <v>478</v>
      </c>
      <c r="C1075" s="780"/>
      <c r="D1075" s="125"/>
      <c r="E1075" s="125"/>
      <c r="F1075" s="138">
        <f>3.14+10.2+7.43+2.78</f>
        <v>23.55</v>
      </c>
      <c r="G1075" s="138">
        <v>3</v>
      </c>
      <c r="H1075" s="138">
        <f t="shared" si="30"/>
        <v>70.650000000000006</v>
      </c>
      <c r="I1075" s="746"/>
      <c r="J1075" s="747"/>
      <c r="K1075" s="748"/>
      <c r="L1075" s="746"/>
      <c r="M1075" s="747"/>
      <c r="N1075" s="753"/>
    </row>
    <row r="1076" spans="2:14" ht="14.25" hidden="1" customHeight="1" x14ac:dyDescent="0.25">
      <c r="B1076" s="156" t="s">
        <v>479</v>
      </c>
      <c r="C1076" s="781"/>
      <c r="D1076" s="138">
        <v>2</v>
      </c>
      <c r="E1076" s="125"/>
      <c r="F1076" s="138">
        <f>1+1.21+1.51</f>
        <v>3.7199999999999998</v>
      </c>
      <c r="G1076" s="138">
        <v>1</v>
      </c>
      <c r="H1076" s="125">
        <f>F1076*G1076*D1076</f>
        <v>7.4399999999999995</v>
      </c>
      <c r="I1076" s="746"/>
      <c r="J1076" s="747"/>
      <c r="K1076" s="748"/>
      <c r="L1076" s="746"/>
      <c r="M1076" s="747"/>
      <c r="N1076" s="753"/>
    </row>
    <row r="1077" spans="2:14" ht="14.25" hidden="1" customHeight="1" x14ac:dyDescent="0.25">
      <c r="B1077" s="156" t="s">
        <v>480</v>
      </c>
      <c r="C1077" s="789" t="s">
        <v>481</v>
      </c>
      <c r="D1077" s="138"/>
      <c r="E1077" s="138"/>
      <c r="F1077" s="138">
        <f>2.99+3.4+2.03+3.4+2.93+3.04+2.4+1.94+1.38+2.93+2.03</f>
        <v>28.47</v>
      </c>
      <c r="G1077" s="138">
        <v>3.3</v>
      </c>
      <c r="H1077" s="138">
        <f t="shared" ref="H1077:H1094" si="31">F1077*G1077</f>
        <v>93.950999999999993</v>
      </c>
      <c r="I1077" s="746"/>
      <c r="J1077" s="747"/>
      <c r="K1077" s="748"/>
      <c r="L1077" s="746"/>
      <c r="M1077" s="747"/>
      <c r="N1077" s="753"/>
    </row>
    <row r="1078" spans="2:14" ht="14.25" hidden="1" customHeight="1" x14ac:dyDescent="0.25">
      <c r="B1078" s="156" t="s">
        <v>482</v>
      </c>
      <c r="C1078" s="780"/>
      <c r="D1078" s="138"/>
      <c r="E1078" s="138"/>
      <c r="F1078" s="138">
        <f>7.25+2.12+2.9+3.2+3.38+4.08+3.24+3.83+3.2+3.38</f>
        <v>36.580000000000005</v>
      </c>
      <c r="G1078" s="138">
        <v>3.3</v>
      </c>
      <c r="H1078" s="138">
        <f t="shared" si="31"/>
        <v>120.71400000000001</v>
      </c>
      <c r="I1078" s="746"/>
      <c r="J1078" s="747"/>
      <c r="K1078" s="748"/>
      <c r="L1078" s="746"/>
      <c r="M1078" s="747"/>
      <c r="N1078" s="753"/>
    </row>
    <row r="1079" spans="2:14" ht="14.25" hidden="1" customHeight="1" x14ac:dyDescent="0.25">
      <c r="B1079" s="156" t="s">
        <v>483</v>
      </c>
      <c r="C1079" s="780"/>
      <c r="D1079" s="138"/>
      <c r="E1079" s="138"/>
      <c r="F1079" s="138">
        <f>3.67+4.08+2.78+2.78+1.37+3.47+3.88+2.88+4.11+3.37+2.61+2.78</f>
        <v>37.779999999999994</v>
      </c>
      <c r="G1079" s="138">
        <v>3.3</v>
      </c>
      <c r="H1079" s="138">
        <f t="shared" si="31"/>
        <v>124.67399999999998</v>
      </c>
      <c r="I1079" s="746"/>
      <c r="J1079" s="747"/>
      <c r="K1079" s="748"/>
      <c r="L1079" s="746"/>
      <c r="M1079" s="747"/>
      <c r="N1079" s="753"/>
    </row>
    <row r="1080" spans="2:14" ht="14.25" hidden="1" customHeight="1" x14ac:dyDescent="0.25">
      <c r="B1080" s="156" t="s">
        <v>484</v>
      </c>
      <c r="C1080" s="780"/>
      <c r="D1080" s="138"/>
      <c r="E1080" s="138"/>
      <c r="F1080" s="138">
        <f>1.53+3.08+3.57+3.22+3.71+2.34+3.71+3.68+5.31+2.18+3.45</f>
        <v>35.78</v>
      </c>
      <c r="G1080" s="138">
        <v>3.3</v>
      </c>
      <c r="H1080" s="138">
        <f t="shared" si="31"/>
        <v>118.074</v>
      </c>
      <c r="I1080" s="746"/>
      <c r="J1080" s="747"/>
      <c r="K1080" s="748"/>
      <c r="L1080" s="746"/>
      <c r="M1080" s="747"/>
      <c r="N1080" s="753"/>
    </row>
    <row r="1081" spans="2:14" ht="14.25" hidden="1" customHeight="1" x14ac:dyDescent="0.25">
      <c r="B1081" s="156" t="s">
        <v>485</v>
      </c>
      <c r="C1081" s="780"/>
      <c r="D1081" s="138"/>
      <c r="E1081" s="138"/>
      <c r="F1081" s="138">
        <f>3.58+3.44+2.58+2.69+2.73+2.96+3.25+3.02+3.62+3.44</f>
        <v>31.310000000000002</v>
      </c>
      <c r="G1081" s="138">
        <v>3.3</v>
      </c>
      <c r="H1081" s="138">
        <f t="shared" si="31"/>
        <v>103.32300000000001</v>
      </c>
      <c r="I1081" s="746"/>
      <c r="J1081" s="747"/>
      <c r="K1081" s="748"/>
      <c r="L1081" s="746"/>
      <c r="M1081" s="747"/>
      <c r="N1081" s="753"/>
    </row>
    <row r="1082" spans="2:14" ht="14.25" hidden="1" customHeight="1" x14ac:dyDescent="0.25">
      <c r="B1082" s="156" t="s">
        <v>486</v>
      </c>
      <c r="C1082" s="781"/>
      <c r="D1082" s="138"/>
      <c r="E1082" s="138"/>
      <c r="F1082" s="138">
        <f>3.04+2.24+3.13+3.04+3.16+2.98+3.33+1.23+1.83+1+1.52</f>
        <v>26.500000000000004</v>
      </c>
      <c r="G1082" s="138">
        <v>1.3</v>
      </c>
      <c r="H1082" s="138">
        <f t="shared" si="31"/>
        <v>34.450000000000003</v>
      </c>
      <c r="I1082" s="746"/>
      <c r="J1082" s="747"/>
      <c r="K1082" s="748"/>
      <c r="L1082" s="746"/>
      <c r="M1082" s="747"/>
      <c r="N1082" s="753"/>
    </row>
    <row r="1083" spans="2:14" ht="14.25" hidden="1" customHeight="1" x14ac:dyDescent="0.25">
      <c r="B1083" s="156" t="s">
        <v>487</v>
      </c>
      <c r="C1083" s="789" t="s">
        <v>488</v>
      </c>
      <c r="D1083" s="138"/>
      <c r="E1083" s="138"/>
      <c r="F1083" s="138">
        <f>3.45+3.85+3.04+4.06+2</f>
        <v>16.399999999999999</v>
      </c>
      <c r="G1083" s="138">
        <v>3.3</v>
      </c>
      <c r="H1083" s="138">
        <f t="shared" si="31"/>
        <v>54.11999999999999</v>
      </c>
      <c r="I1083" s="746"/>
      <c r="J1083" s="747"/>
      <c r="K1083" s="748"/>
      <c r="L1083" s="746"/>
      <c r="M1083" s="747"/>
      <c r="N1083" s="753"/>
    </row>
    <row r="1084" spans="2:14" ht="14.25" hidden="1" customHeight="1" x14ac:dyDescent="0.25">
      <c r="B1084" s="156" t="s">
        <v>489</v>
      </c>
      <c r="C1084" s="780"/>
      <c r="D1084" s="138"/>
      <c r="E1084" s="138"/>
      <c r="F1084" s="138">
        <f>1.29+3.79+4.15+2.96+2.96+2.85+2.85+3.31</f>
        <v>24.160000000000004</v>
      </c>
      <c r="G1084" s="138">
        <v>3.3</v>
      </c>
      <c r="H1084" s="138">
        <f t="shared" si="31"/>
        <v>79.728000000000009</v>
      </c>
      <c r="I1084" s="746"/>
      <c r="J1084" s="747"/>
      <c r="K1084" s="748"/>
      <c r="L1084" s="746"/>
      <c r="M1084" s="747"/>
      <c r="N1084" s="753"/>
    </row>
    <row r="1085" spans="2:14" ht="14.25" hidden="1" customHeight="1" x14ac:dyDescent="0.25">
      <c r="B1085" s="156" t="s">
        <v>490</v>
      </c>
      <c r="C1085" s="780"/>
      <c r="D1085" s="138"/>
      <c r="E1085" s="138"/>
      <c r="F1085" s="138">
        <f>3.12+3.52+3.07+2.49+2.49+2.5+2.32+3.1+0.97</f>
        <v>23.580000000000002</v>
      </c>
      <c r="G1085" s="138">
        <v>3.3</v>
      </c>
      <c r="H1085" s="138">
        <f t="shared" si="31"/>
        <v>77.814000000000007</v>
      </c>
      <c r="I1085" s="746"/>
      <c r="J1085" s="747"/>
      <c r="K1085" s="748"/>
      <c r="L1085" s="746"/>
      <c r="M1085" s="747"/>
      <c r="N1085" s="753"/>
    </row>
    <row r="1086" spans="2:14" ht="14.25" hidden="1" customHeight="1" x14ac:dyDescent="0.25">
      <c r="B1086" s="156" t="s">
        <v>491</v>
      </c>
      <c r="C1086" s="780"/>
      <c r="D1086" s="138"/>
      <c r="E1086" s="138"/>
      <c r="F1086" s="138">
        <f>2.98+3.76+5.95+3.76</f>
        <v>16.450000000000003</v>
      </c>
      <c r="G1086" s="138">
        <v>3.3</v>
      </c>
      <c r="H1086" s="138">
        <f t="shared" si="31"/>
        <v>54.285000000000004</v>
      </c>
      <c r="I1086" s="746"/>
      <c r="J1086" s="747"/>
      <c r="K1086" s="748"/>
      <c r="L1086" s="746"/>
      <c r="M1086" s="747"/>
      <c r="N1086" s="753"/>
    </row>
    <row r="1087" spans="2:14" ht="14.25" hidden="1" customHeight="1" x14ac:dyDescent="0.25">
      <c r="B1087" s="157" t="s">
        <v>492</v>
      </c>
      <c r="C1087" s="781"/>
      <c r="D1087" s="138"/>
      <c r="E1087" s="138"/>
      <c r="F1087" s="138">
        <f>3.76+3.76+3.76+3.76+3.76+3.76+4.28+2</f>
        <v>28.839999999999996</v>
      </c>
      <c r="G1087" s="138">
        <v>3.3</v>
      </c>
      <c r="H1087" s="138">
        <f t="shared" si="31"/>
        <v>95.171999999999983</v>
      </c>
      <c r="I1087" s="746"/>
      <c r="J1087" s="747"/>
      <c r="K1087" s="748"/>
      <c r="L1087" s="746"/>
      <c r="M1087" s="747"/>
      <c r="N1087" s="753"/>
    </row>
    <row r="1088" spans="2:14" ht="14.25" hidden="1" customHeight="1" x14ac:dyDescent="0.25">
      <c r="B1088" s="156" t="s">
        <v>493</v>
      </c>
      <c r="C1088" s="794" t="s">
        <v>494</v>
      </c>
      <c r="D1088" s="125"/>
      <c r="E1088" s="125"/>
      <c r="F1088" s="125">
        <f>4.06+0.98+3+2.96+3.84+5.31</f>
        <v>20.149999999999999</v>
      </c>
      <c r="G1088" s="138">
        <v>3.3</v>
      </c>
      <c r="H1088" s="138">
        <f t="shared" si="31"/>
        <v>66.49499999999999</v>
      </c>
      <c r="I1088" s="746"/>
      <c r="J1088" s="747"/>
      <c r="K1088" s="748"/>
      <c r="L1088" s="746"/>
      <c r="M1088" s="747"/>
      <c r="N1088" s="753"/>
    </row>
    <row r="1089" spans="2:14" ht="14.25" hidden="1" customHeight="1" x14ac:dyDescent="0.25">
      <c r="B1089" s="156" t="s">
        <v>495</v>
      </c>
      <c r="C1089" s="780"/>
      <c r="D1089" s="125"/>
      <c r="E1089" s="125"/>
      <c r="F1089" s="138">
        <f>3.48+2.99+2.01+3+2.96+1.85+2.84+3.3+3.3+2</f>
        <v>27.730000000000004</v>
      </c>
      <c r="G1089" s="138">
        <v>3.3</v>
      </c>
      <c r="H1089" s="138">
        <f t="shared" si="31"/>
        <v>91.509000000000015</v>
      </c>
      <c r="I1089" s="746"/>
      <c r="J1089" s="747"/>
      <c r="K1089" s="748"/>
      <c r="L1089" s="746"/>
      <c r="M1089" s="747"/>
      <c r="N1089" s="753"/>
    </row>
    <row r="1090" spans="2:14" ht="14.25" hidden="1" customHeight="1" x14ac:dyDescent="0.25">
      <c r="B1090" s="156" t="s">
        <v>496</v>
      </c>
      <c r="C1090" s="780"/>
      <c r="D1090" s="125"/>
      <c r="E1090" s="125"/>
      <c r="F1090" s="138">
        <f>3.3+3.3+2.76+2</f>
        <v>11.36</v>
      </c>
      <c r="G1090" s="138">
        <v>3.3</v>
      </c>
      <c r="H1090" s="125">
        <f t="shared" si="31"/>
        <v>37.488</v>
      </c>
      <c r="I1090" s="746"/>
      <c r="J1090" s="747"/>
      <c r="K1090" s="748"/>
      <c r="L1090" s="746"/>
      <c r="M1090" s="747"/>
      <c r="N1090" s="753"/>
    </row>
    <row r="1091" spans="2:14" ht="14.25" hidden="1" customHeight="1" x14ac:dyDescent="0.25">
      <c r="B1091" s="156" t="s">
        <v>497</v>
      </c>
      <c r="C1091" s="780"/>
      <c r="D1091" s="125"/>
      <c r="E1091" s="125"/>
      <c r="F1091" s="138">
        <f>3.75+6.08+3.44+3.03</f>
        <v>16.3</v>
      </c>
      <c r="G1091" s="138">
        <v>3.3</v>
      </c>
      <c r="H1091" s="125">
        <f t="shared" si="31"/>
        <v>53.79</v>
      </c>
      <c r="I1091" s="746"/>
      <c r="J1091" s="747"/>
      <c r="K1091" s="748"/>
      <c r="L1091" s="746"/>
      <c r="M1091" s="747"/>
      <c r="N1091" s="753"/>
    </row>
    <row r="1092" spans="2:14" ht="14.25" hidden="1" customHeight="1" x14ac:dyDescent="0.25">
      <c r="B1092" s="156" t="s">
        <v>498</v>
      </c>
      <c r="C1092" s="780"/>
      <c r="D1092" s="125"/>
      <c r="E1092" s="125"/>
      <c r="F1092" s="138">
        <f>3.54+3.03+3.18+2.49+2.66+3.04+3.48</f>
        <v>21.42</v>
      </c>
      <c r="G1092" s="138">
        <v>3.3</v>
      </c>
      <c r="H1092" s="125">
        <f t="shared" si="31"/>
        <v>70.686000000000007</v>
      </c>
      <c r="I1092" s="746"/>
      <c r="J1092" s="747"/>
      <c r="K1092" s="748"/>
      <c r="L1092" s="746"/>
      <c r="M1092" s="747"/>
      <c r="N1092" s="753"/>
    </row>
    <row r="1093" spans="2:14" ht="14.25" hidden="1" customHeight="1" x14ac:dyDescent="0.25">
      <c r="B1093" s="153" t="s">
        <v>492</v>
      </c>
      <c r="C1093" s="781"/>
      <c r="D1093" s="125"/>
      <c r="E1093" s="125"/>
      <c r="F1093" s="125">
        <f>4.15+4.15+4.15+4.15+4.15+4.15+0.98+2.15+1.91+0.95+0.95</f>
        <v>31.839999999999996</v>
      </c>
      <c r="G1093" s="138">
        <v>3.3</v>
      </c>
      <c r="H1093" s="125">
        <f t="shared" si="31"/>
        <v>105.07199999999999</v>
      </c>
      <c r="I1093" s="746"/>
      <c r="J1093" s="747"/>
      <c r="K1093" s="748"/>
      <c r="L1093" s="746"/>
      <c r="M1093" s="747"/>
      <c r="N1093" s="753"/>
    </row>
    <row r="1094" spans="2:14" ht="14.25" hidden="1" customHeight="1" x14ac:dyDescent="0.25">
      <c r="B1094" s="153" t="s">
        <v>499</v>
      </c>
      <c r="C1094" s="205"/>
      <c r="D1094" s="125"/>
      <c r="E1094" s="125"/>
      <c r="F1094" s="125">
        <v>3</v>
      </c>
      <c r="G1094" s="138">
        <v>1.5</v>
      </c>
      <c r="H1094" s="125">
        <f t="shared" si="31"/>
        <v>4.5</v>
      </c>
      <c r="I1094" s="746"/>
      <c r="J1094" s="747"/>
      <c r="K1094" s="748"/>
      <c r="L1094" s="746"/>
      <c r="M1094" s="747"/>
      <c r="N1094" s="753"/>
    </row>
    <row r="1095" spans="2:14" ht="14.25" hidden="1" customHeight="1" x14ac:dyDescent="0.25">
      <c r="B1095" s="158" t="s">
        <v>500</v>
      </c>
      <c r="C1095" s="125"/>
      <c r="D1095" s="134">
        <v>-137</v>
      </c>
      <c r="E1095" s="125"/>
      <c r="F1095" s="125">
        <v>1</v>
      </c>
      <c r="G1095" s="125">
        <v>1.9</v>
      </c>
      <c r="H1095" s="134">
        <f>D1095*F1095*G1095</f>
        <v>-260.3</v>
      </c>
      <c r="I1095" s="749"/>
      <c r="J1095" s="750"/>
      <c r="K1095" s="751"/>
      <c r="L1095" s="749"/>
      <c r="M1095" s="750"/>
      <c r="N1095" s="754"/>
    </row>
    <row r="1096" spans="2:14" ht="14.25" hidden="1" customHeight="1" x14ac:dyDescent="0.25">
      <c r="B1096" s="209"/>
      <c r="C1096" s="118"/>
      <c r="D1096" s="118"/>
      <c r="E1096" s="118"/>
      <c r="F1096" s="118"/>
      <c r="G1096" s="118"/>
      <c r="H1096" s="118"/>
      <c r="I1096" s="118"/>
      <c r="J1096" s="118"/>
      <c r="K1096" s="118"/>
      <c r="L1096" s="118"/>
      <c r="M1096" s="118"/>
      <c r="N1096" s="210"/>
    </row>
    <row r="1097" spans="2:14" ht="14.25" hidden="1" customHeight="1" x14ac:dyDescent="0.25">
      <c r="B1097" s="209"/>
      <c r="C1097" s="118"/>
      <c r="D1097" s="118"/>
      <c r="E1097" s="118"/>
      <c r="F1097" s="118"/>
      <c r="G1097" s="118"/>
      <c r="H1097" s="118"/>
      <c r="I1097" s="118"/>
      <c r="J1097" s="118"/>
      <c r="K1097" s="118"/>
      <c r="L1097" s="118"/>
      <c r="M1097" s="118"/>
      <c r="N1097" s="210"/>
    </row>
    <row r="1098" spans="2:14" ht="14.25" hidden="1" customHeight="1" x14ac:dyDescent="0.25">
      <c r="B1098" s="209"/>
      <c r="C1098" s="118"/>
      <c r="D1098" s="118"/>
      <c r="E1098" s="118"/>
      <c r="F1098" s="118"/>
      <c r="G1098" s="118"/>
      <c r="H1098" s="118"/>
      <c r="I1098" s="118"/>
      <c r="J1098" s="118"/>
      <c r="K1098" s="118"/>
      <c r="L1098" s="118"/>
      <c r="M1098" s="118"/>
      <c r="N1098" s="210"/>
    </row>
    <row r="1099" spans="2:14" ht="14.25" hidden="1" customHeight="1" x14ac:dyDescent="0.25">
      <c r="B1099" s="209"/>
      <c r="C1099" s="118"/>
      <c r="D1099" s="118"/>
      <c r="E1099" s="118"/>
      <c r="F1099" s="118"/>
      <c r="G1099" s="118"/>
      <c r="H1099" s="118"/>
      <c r="I1099" s="118"/>
      <c r="J1099" s="118"/>
      <c r="K1099" s="118"/>
      <c r="L1099" s="118"/>
      <c r="M1099" s="118"/>
      <c r="N1099" s="210"/>
    </row>
    <row r="1100" spans="2:14" ht="14.25" hidden="1" customHeight="1" x14ac:dyDescent="0.25">
      <c r="B1100" s="775" t="s">
        <v>414</v>
      </c>
      <c r="C1100" s="747"/>
      <c r="D1100" s="747"/>
      <c r="E1100" s="128"/>
      <c r="F1100" s="128"/>
      <c r="G1100" s="128"/>
      <c r="H1100" s="128"/>
      <c r="I1100" s="776"/>
      <c r="J1100" s="747"/>
      <c r="K1100" s="747"/>
      <c r="L1100" s="118"/>
      <c r="M1100" s="118"/>
      <c r="N1100" s="210"/>
    </row>
    <row r="1101" spans="2:14" ht="14.25" hidden="1" customHeight="1" x14ac:dyDescent="0.25">
      <c r="B1101" s="129"/>
      <c r="C1101" s="130"/>
      <c r="D1101" s="130"/>
      <c r="E1101" s="130"/>
      <c r="F1101" s="130"/>
      <c r="G1101" s="130"/>
      <c r="H1101" s="130"/>
      <c r="I1101" s="130"/>
      <c r="J1101" s="130"/>
      <c r="K1101" s="130"/>
      <c r="L1101" s="130"/>
      <c r="M1101" s="130"/>
      <c r="N1101" s="131"/>
    </row>
    <row r="1102" spans="2:14" ht="14.25" hidden="1" customHeight="1" x14ac:dyDescent="0.25"/>
    <row r="1103" spans="2:14" ht="14.25" hidden="1" customHeight="1" x14ac:dyDescent="0.25"/>
    <row r="1104" spans="2:14" ht="39.75" hidden="1" customHeight="1" x14ac:dyDescent="0.25">
      <c r="B1104" s="728"/>
      <c r="C1104" s="729"/>
      <c r="D1104" s="730" t="s">
        <v>393</v>
      </c>
      <c r="E1104" s="729"/>
      <c r="F1104" s="729"/>
      <c r="G1104" s="729"/>
      <c r="H1104" s="729"/>
      <c r="I1104" s="729"/>
      <c r="J1104" s="729"/>
      <c r="K1104" s="729"/>
      <c r="L1104" s="729"/>
      <c r="M1104" s="729"/>
      <c r="N1104" s="731"/>
    </row>
    <row r="1105" spans="2:14" ht="14.25" hidden="1" customHeight="1" x14ac:dyDescent="0.25">
      <c r="B1105" s="732" t="s">
        <v>394</v>
      </c>
      <c r="C1105" s="733"/>
      <c r="D1105" s="733"/>
      <c r="E1105" s="733"/>
      <c r="F1105" s="733"/>
      <c r="G1105" s="733"/>
      <c r="H1105" s="733"/>
      <c r="I1105" s="733"/>
      <c r="J1105" s="733"/>
      <c r="K1105" s="733"/>
      <c r="L1105" s="733"/>
      <c r="M1105" s="733"/>
      <c r="N1105" s="734"/>
    </row>
    <row r="1106" spans="2:14" ht="14.25" hidden="1" customHeight="1" x14ac:dyDescent="0.25">
      <c r="B1106" s="735" t="s">
        <v>395</v>
      </c>
      <c r="C1106" s="736"/>
      <c r="D1106" s="779" t="s">
        <v>121</v>
      </c>
      <c r="E1106" s="733"/>
      <c r="F1106" s="733"/>
      <c r="G1106" s="733"/>
      <c r="H1106" s="733"/>
      <c r="I1106" s="733"/>
      <c r="J1106" s="733"/>
      <c r="K1106" s="733"/>
      <c r="L1106" s="733"/>
      <c r="M1106" s="733"/>
      <c r="N1106" s="734"/>
    </row>
    <row r="1107" spans="2:14" ht="14.25" hidden="1" customHeight="1" x14ac:dyDescent="0.25">
      <c r="B1107" s="740" t="s">
        <v>26</v>
      </c>
      <c r="C1107" s="741"/>
      <c r="D1107" s="119" t="s">
        <v>396</v>
      </c>
      <c r="E1107" s="742" t="s">
        <v>397</v>
      </c>
      <c r="F1107" s="733"/>
      <c r="G1107" s="733"/>
      <c r="H1107" s="736"/>
      <c r="I1107" s="742" t="s">
        <v>398</v>
      </c>
      <c r="J1107" s="733"/>
      <c r="K1107" s="736"/>
      <c r="L1107" s="742" t="s">
        <v>399</v>
      </c>
      <c r="M1107" s="733"/>
      <c r="N1107" s="734"/>
    </row>
    <row r="1108" spans="2:14" ht="14.25" hidden="1" customHeight="1" x14ac:dyDescent="0.25">
      <c r="B1108" s="777">
        <v>27</v>
      </c>
      <c r="C1108" s="736"/>
      <c r="D1108" s="123">
        <f>ROUND(SUM(H1111:H1129),0)</f>
        <v>63</v>
      </c>
      <c r="E1108" s="778" t="s">
        <v>51</v>
      </c>
      <c r="F1108" s="733"/>
      <c r="G1108" s="733"/>
      <c r="H1108" s="736"/>
      <c r="I1108" s="744"/>
      <c r="J1108" s="745"/>
      <c r="K1108" s="741"/>
      <c r="L1108" s="744"/>
      <c r="M1108" s="745"/>
      <c r="N1108" s="752"/>
    </row>
    <row r="1109" spans="2:14" ht="14.25" hidden="1" customHeight="1" x14ac:dyDescent="0.25">
      <c r="B1109" s="755" t="s">
        <v>416</v>
      </c>
      <c r="C1109" s="733"/>
      <c r="D1109" s="733"/>
      <c r="E1109" s="733"/>
      <c r="F1109" s="733"/>
      <c r="G1109" s="733"/>
      <c r="H1109" s="736"/>
      <c r="I1109" s="746"/>
      <c r="J1109" s="747"/>
      <c r="K1109" s="748"/>
      <c r="L1109" s="746"/>
      <c r="M1109" s="747"/>
      <c r="N1109" s="753"/>
    </row>
    <row r="1110" spans="2:14" ht="14.25" hidden="1" customHeight="1" x14ac:dyDescent="0.25">
      <c r="B1110" s="121" t="s">
        <v>400</v>
      </c>
      <c r="C1110" s="122" t="s">
        <v>401</v>
      </c>
      <c r="D1110" s="123" t="s">
        <v>402</v>
      </c>
      <c r="E1110" s="123" t="s">
        <v>403</v>
      </c>
      <c r="F1110" s="123" t="s">
        <v>404</v>
      </c>
      <c r="G1110" s="123" t="s">
        <v>405</v>
      </c>
      <c r="H1110" s="123" t="s">
        <v>406</v>
      </c>
      <c r="I1110" s="746"/>
      <c r="J1110" s="747"/>
      <c r="K1110" s="748"/>
      <c r="L1110" s="746"/>
      <c r="M1110" s="747"/>
      <c r="N1110" s="753"/>
    </row>
    <row r="1111" spans="2:14" ht="14.25" hidden="1" customHeight="1" x14ac:dyDescent="0.25">
      <c r="B1111" s="124" t="s">
        <v>501</v>
      </c>
      <c r="C1111" s="125" t="s">
        <v>502</v>
      </c>
      <c r="D1111" s="125"/>
      <c r="E1111" s="125"/>
      <c r="F1111" s="125">
        <f>6.12+6.12</f>
        <v>12.24</v>
      </c>
      <c r="G1111" s="125">
        <v>1.2</v>
      </c>
      <c r="H1111" s="125">
        <f>F1111*G1111</f>
        <v>14.687999999999999</v>
      </c>
      <c r="I1111" s="746"/>
      <c r="J1111" s="747"/>
      <c r="K1111" s="748"/>
      <c r="L1111" s="746"/>
      <c r="M1111" s="747"/>
      <c r="N1111" s="753"/>
    </row>
    <row r="1112" spans="2:14" ht="14.25" hidden="1" customHeight="1" x14ac:dyDescent="0.25">
      <c r="B1112" s="124"/>
      <c r="C1112" s="765" t="s">
        <v>503</v>
      </c>
      <c r="D1112" s="125">
        <v>2</v>
      </c>
      <c r="E1112" s="125">
        <v>2.6</v>
      </c>
      <c r="F1112" s="125"/>
      <c r="G1112" s="125">
        <v>0.4</v>
      </c>
      <c r="H1112" s="125">
        <f t="shared" ref="H1112:H1113" si="32">D1112*E1112*G1112</f>
        <v>2.08</v>
      </c>
      <c r="I1112" s="746"/>
      <c r="J1112" s="747"/>
      <c r="K1112" s="748"/>
      <c r="L1112" s="746"/>
      <c r="M1112" s="747"/>
      <c r="N1112" s="753"/>
    </row>
    <row r="1113" spans="2:14" ht="14.25" hidden="1" customHeight="1" x14ac:dyDescent="0.25">
      <c r="B1113" s="124"/>
      <c r="C1113" s="780"/>
      <c r="D1113" s="125">
        <v>2</v>
      </c>
      <c r="E1113" s="125">
        <v>6</v>
      </c>
      <c r="F1113" s="125"/>
      <c r="G1113" s="125">
        <v>0.4</v>
      </c>
      <c r="H1113" s="125">
        <f t="shared" si="32"/>
        <v>4.8000000000000007</v>
      </c>
      <c r="I1113" s="746"/>
      <c r="J1113" s="747"/>
      <c r="K1113" s="748"/>
      <c r="L1113" s="746"/>
      <c r="M1113" s="747"/>
      <c r="N1113" s="753"/>
    </row>
    <row r="1114" spans="2:14" ht="14.25" hidden="1" customHeight="1" x14ac:dyDescent="0.25">
      <c r="B1114" s="124"/>
      <c r="C1114" s="161"/>
      <c r="D1114" s="125"/>
      <c r="E1114" s="125">
        <v>6</v>
      </c>
      <c r="F1114" s="125">
        <v>2.6</v>
      </c>
      <c r="G1114" s="125"/>
      <c r="H1114" s="125">
        <f>F1114*E1114</f>
        <v>15.600000000000001</v>
      </c>
      <c r="I1114" s="746"/>
      <c r="J1114" s="747"/>
      <c r="K1114" s="748"/>
      <c r="L1114" s="746"/>
      <c r="M1114" s="747"/>
      <c r="N1114" s="753"/>
    </row>
    <row r="1115" spans="2:14" ht="14.25" hidden="1" customHeight="1" x14ac:dyDescent="0.25">
      <c r="B1115" s="124"/>
      <c r="C1115" s="125" t="s">
        <v>504</v>
      </c>
      <c r="D1115" s="125"/>
      <c r="E1115" s="125">
        <v>3.6</v>
      </c>
      <c r="F1115" s="125"/>
      <c r="G1115" s="125">
        <v>4.1900000000000004</v>
      </c>
      <c r="H1115" s="125">
        <f>E1115*G1115</f>
        <v>15.084000000000001</v>
      </c>
      <c r="I1115" s="746"/>
      <c r="J1115" s="747"/>
      <c r="K1115" s="748"/>
      <c r="L1115" s="746"/>
      <c r="M1115" s="747"/>
      <c r="N1115" s="753"/>
    </row>
    <row r="1116" spans="2:14" ht="14.25" hidden="1" customHeight="1" x14ac:dyDescent="0.25">
      <c r="B1116" s="124"/>
      <c r="C1116" s="125"/>
      <c r="D1116" s="125">
        <v>2</v>
      </c>
      <c r="E1116" s="125">
        <v>3.6</v>
      </c>
      <c r="F1116" s="125"/>
      <c r="G1116" s="125">
        <v>0.7</v>
      </c>
      <c r="H1116" s="125">
        <f t="shared" ref="H1116:H1117" si="33">D1116*E1116*G1116</f>
        <v>5.04</v>
      </c>
      <c r="I1116" s="746"/>
      <c r="J1116" s="747"/>
      <c r="K1116" s="748"/>
      <c r="L1116" s="746"/>
      <c r="M1116" s="747"/>
      <c r="N1116" s="753"/>
    </row>
    <row r="1117" spans="2:14" ht="14.25" hidden="1" customHeight="1" x14ac:dyDescent="0.25">
      <c r="B1117" s="124"/>
      <c r="C1117" s="125"/>
      <c r="D1117" s="125">
        <v>2</v>
      </c>
      <c r="E1117" s="125">
        <v>4.1900000000000004</v>
      </c>
      <c r="F1117" s="125"/>
      <c r="G1117" s="125">
        <v>0.7</v>
      </c>
      <c r="H1117" s="125">
        <f t="shared" si="33"/>
        <v>5.8660000000000005</v>
      </c>
      <c r="I1117" s="746"/>
      <c r="J1117" s="747"/>
      <c r="K1117" s="748"/>
      <c r="L1117" s="746"/>
      <c r="M1117" s="747"/>
      <c r="N1117" s="753"/>
    </row>
    <row r="1118" spans="2:14" ht="14.25" hidden="1" customHeight="1" x14ac:dyDescent="0.25">
      <c r="B1118" s="124"/>
      <c r="C1118" s="125"/>
      <c r="D1118" s="125"/>
      <c r="E1118" s="125"/>
      <c r="F1118" s="125"/>
      <c r="G1118" s="125"/>
      <c r="H1118" s="125"/>
      <c r="I1118" s="746"/>
      <c r="J1118" s="747"/>
      <c r="K1118" s="748"/>
      <c r="L1118" s="746"/>
      <c r="M1118" s="747"/>
      <c r="N1118" s="753"/>
    </row>
    <row r="1119" spans="2:14" ht="14.25" hidden="1" customHeight="1" x14ac:dyDescent="0.25">
      <c r="B1119" s="124"/>
      <c r="C1119" s="125"/>
      <c r="D1119" s="125"/>
      <c r="E1119" s="125"/>
      <c r="F1119" s="125"/>
      <c r="G1119" s="125"/>
      <c r="H1119" s="125"/>
      <c r="I1119" s="746"/>
      <c r="J1119" s="747"/>
      <c r="K1119" s="748"/>
      <c r="L1119" s="746"/>
      <c r="M1119" s="747"/>
      <c r="N1119" s="753"/>
    </row>
    <row r="1120" spans="2:14" ht="14.25" hidden="1" customHeight="1" x14ac:dyDescent="0.25">
      <c r="B1120" s="124"/>
      <c r="C1120" s="125"/>
      <c r="D1120" s="125"/>
      <c r="E1120" s="125"/>
      <c r="F1120" s="125"/>
      <c r="G1120" s="125"/>
      <c r="H1120" s="125"/>
      <c r="I1120" s="746"/>
      <c r="J1120" s="747"/>
      <c r="K1120" s="748"/>
      <c r="L1120" s="746"/>
      <c r="M1120" s="747"/>
      <c r="N1120" s="753"/>
    </row>
    <row r="1121" spans="2:14" ht="14.25" hidden="1" customHeight="1" x14ac:dyDescent="0.25">
      <c r="B1121" s="124"/>
      <c r="C1121" s="125"/>
      <c r="D1121" s="125"/>
      <c r="E1121" s="125"/>
      <c r="F1121" s="125"/>
      <c r="G1121" s="125"/>
      <c r="H1121" s="125"/>
      <c r="I1121" s="746"/>
      <c r="J1121" s="747"/>
      <c r="K1121" s="748"/>
      <c r="L1121" s="746"/>
      <c r="M1121" s="747"/>
      <c r="N1121" s="753"/>
    </row>
    <row r="1122" spans="2:14" ht="14.25" hidden="1" customHeight="1" x14ac:dyDescent="0.25">
      <c r="B1122" s="124"/>
      <c r="C1122" s="125"/>
      <c r="D1122" s="125"/>
      <c r="E1122" s="125"/>
      <c r="F1122" s="125"/>
      <c r="G1122" s="125"/>
      <c r="H1122" s="125"/>
      <c r="I1122" s="746"/>
      <c r="J1122" s="747"/>
      <c r="K1122" s="748"/>
      <c r="L1122" s="746"/>
      <c r="M1122" s="747"/>
      <c r="N1122" s="753"/>
    </row>
    <row r="1123" spans="2:14" ht="14.25" hidden="1" customHeight="1" x14ac:dyDescent="0.25">
      <c r="B1123" s="124"/>
      <c r="C1123" s="125"/>
      <c r="D1123" s="125"/>
      <c r="E1123" s="125"/>
      <c r="F1123" s="125"/>
      <c r="G1123" s="125"/>
      <c r="H1123" s="125"/>
      <c r="I1123" s="746"/>
      <c r="J1123" s="747"/>
      <c r="K1123" s="748"/>
      <c r="L1123" s="746"/>
      <c r="M1123" s="747"/>
      <c r="N1123" s="753"/>
    </row>
    <row r="1124" spans="2:14" ht="14.25" hidden="1" customHeight="1" x14ac:dyDescent="0.25">
      <c r="B1124" s="124"/>
      <c r="C1124" s="125"/>
      <c r="D1124" s="125"/>
      <c r="E1124" s="125"/>
      <c r="F1124" s="125"/>
      <c r="G1124" s="125"/>
      <c r="H1124" s="125"/>
      <c r="I1124" s="746"/>
      <c r="J1124" s="747"/>
      <c r="K1124" s="748"/>
      <c r="L1124" s="746"/>
      <c r="M1124" s="747"/>
      <c r="N1124" s="753"/>
    </row>
    <row r="1125" spans="2:14" ht="14.25" hidden="1" customHeight="1" x14ac:dyDescent="0.25">
      <c r="B1125" s="124"/>
      <c r="C1125" s="125"/>
      <c r="D1125" s="125"/>
      <c r="E1125" s="125"/>
      <c r="F1125" s="125"/>
      <c r="G1125" s="125"/>
      <c r="H1125" s="125"/>
      <c r="I1125" s="746"/>
      <c r="J1125" s="747"/>
      <c r="K1125" s="748"/>
      <c r="L1125" s="746"/>
      <c r="M1125" s="747"/>
      <c r="N1125" s="753"/>
    </row>
    <row r="1126" spans="2:14" ht="14.25" hidden="1" customHeight="1" x14ac:dyDescent="0.25">
      <c r="B1126" s="124"/>
      <c r="C1126" s="125"/>
      <c r="D1126" s="125"/>
      <c r="E1126" s="125"/>
      <c r="F1126" s="125"/>
      <c r="G1126" s="125"/>
      <c r="H1126" s="125"/>
      <c r="I1126" s="746"/>
      <c r="J1126" s="747"/>
      <c r="K1126" s="748"/>
      <c r="L1126" s="746"/>
      <c r="M1126" s="747"/>
      <c r="N1126" s="753"/>
    </row>
    <row r="1127" spans="2:14" ht="14.25" hidden="1" customHeight="1" x14ac:dyDescent="0.25">
      <c r="B1127" s="124"/>
      <c r="C1127" s="125"/>
      <c r="D1127" s="125"/>
      <c r="E1127" s="125"/>
      <c r="F1127" s="125"/>
      <c r="G1127" s="125"/>
      <c r="H1127" s="125"/>
      <c r="I1127" s="746"/>
      <c r="J1127" s="747"/>
      <c r="K1127" s="748"/>
      <c r="L1127" s="746"/>
      <c r="M1127" s="747"/>
      <c r="N1127" s="753"/>
    </row>
    <row r="1128" spans="2:14" ht="14.25" hidden="1" customHeight="1" x14ac:dyDescent="0.25">
      <c r="B1128" s="124"/>
      <c r="C1128" s="125"/>
      <c r="D1128" s="125"/>
      <c r="E1128" s="125"/>
      <c r="F1128" s="125"/>
      <c r="G1128" s="125"/>
      <c r="H1128" s="125"/>
      <c r="I1128" s="746"/>
      <c r="J1128" s="747"/>
      <c r="K1128" s="748"/>
      <c r="L1128" s="746"/>
      <c r="M1128" s="747"/>
      <c r="N1128" s="753"/>
    </row>
    <row r="1129" spans="2:14" ht="14.25" hidden="1" customHeight="1" x14ac:dyDescent="0.25">
      <c r="B1129" s="127"/>
      <c r="C1129" s="125"/>
      <c r="D1129" s="125"/>
      <c r="E1129" s="125"/>
      <c r="F1129" s="125"/>
      <c r="G1129" s="125"/>
      <c r="H1129" s="125"/>
      <c r="I1129" s="749"/>
      <c r="J1129" s="750"/>
      <c r="K1129" s="751"/>
      <c r="L1129" s="749"/>
      <c r="M1129" s="750"/>
      <c r="N1129" s="754"/>
    </row>
    <row r="1130" spans="2:14" ht="14.25" hidden="1" customHeight="1" x14ac:dyDescent="0.25">
      <c r="B1130" s="209"/>
      <c r="C1130" s="118"/>
      <c r="D1130" s="118"/>
      <c r="E1130" s="118"/>
      <c r="F1130" s="118"/>
      <c r="G1130" s="118"/>
      <c r="H1130" s="118"/>
      <c r="I1130" s="118"/>
      <c r="J1130" s="118"/>
      <c r="K1130" s="118"/>
      <c r="L1130" s="118"/>
      <c r="M1130" s="118"/>
      <c r="N1130" s="210"/>
    </row>
    <row r="1131" spans="2:14" ht="14.25" hidden="1" customHeight="1" x14ac:dyDescent="0.25">
      <c r="B1131" s="209"/>
      <c r="C1131" s="118"/>
      <c r="D1131" s="118"/>
      <c r="E1131" s="118"/>
      <c r="F1131" s="118"/>
      <c r="G1131" s="118"/>
      <c r="H1131" s="118"/>
      <c r="I1131" s="118"/>
      <c r="J1131" s="118"/>
      <c r="K1131" s="118"/>
      <c r="L1131" s="118"/>
      <c r="M1131" s="118"/>
      <c r="N1131" s="210"/>
    </row>
    <row r="1132" spans="2:14" ht="14.25" hidden="1" customHeight="1" x14ac:dyDescent="0.25">
      <c r="B1132" s="209"/>
      <c r="C1132" s="118"/>
      <c r="D1132" s="118"/>
      <c r="E1132" s="118"/>
      <c r="F1132" s="118"/>
      <c r="G1132" s="118"/>
      <c r="H1132" s="118"/>
      <c r="I1132" s="118"/>
      <c r="J1132" s="118"/>
      <c r="K1132" s="118"/>
      <c r="L1132" s="118"/>
      <c r="M1132" s="118"/>
      <c r="N1132" s="210"/>
    </row>
    <row r="1133" spans="2:14" ht="14.25" hidden="1" customHeight="1" x14ac:dyDescent="0.25">
      <c r="B1133" s="209"/>
      <c r="C1133" s="118"/>
      <c r="D1133" s="118"/>
      <c r="E1133" s="118"/>
      <c r="F1133" s="118"/>
      <c r="G1133" s="118"/>
      <c r="H1133" s="118"/>
      <c r="I1133" s="118"/>
      <c r="J1133" s="118"/>
      <c r="K1133" s="118"/>
      <c r="L1133" s="118"/>
      <c r="M1133" s="118"/>
      <c r="N1133" s="210"/>
    </row>
    <row r="1134" spans="2:14" ht="14.25" hidden="1" customHeight="1" x14ac:dyDescent="0.25">
      <c r="B1134" s="775" t="s">
        <v>414</v>
      </c>
      <c r="C1134" s="747"/>
      <c r="D1134" s="747"/>
      <c r="E1134" s="128"/>
      <c r="F1134" s="128"/>
      <c r="G1134" s="128"/>
      <c r="H1134" s="128"/>
      <c r="I1134" s="776"/>
      <c r="J1134" s="747"/>
      <c r="K1134" s="747"/>
      <c r="L1134" s="118"/>
      <c r="M1134" s="118"/>
      <c r="N1134" s="210"/>
    </row>
    <row r="1135" spans="2:14" ht="14.25" hidden="1" customHeight="1" x14ac:dyDescent="0.25">
      <c r="B1135" s="129"/>
      <c r="C1135" s="130"/>
      <c r="D1135" s="130"/>
      <c r="E1135" s="130"/>
      <c r="F1135" s="130"/>
      <c r="G1135" s="130"/>
      <c r="H1135" s="130"/>
      <c r="I1135" s="130"/>
      <c r="J1135" s="130"/>
      <c r="K1135" s="130"/>
      <c r="L1135" s="130"/>
      <c r="M1135" s="130"/>
      <c r="N1135" s="131"/>
    </row>
    <row r="1136" spans="2:14" ht="14.25" hidden="1" customHeight="1" x14ac:dyDescent="0.25">
      <c r="B1136" s="132"/>
      <c r="C1136" s="132"/>
      <c r="D1136" s="132"/>
      <c r="E1136" s="132"/>
      <c r="F1136" s="132"/>
      <c r="G1136" s="132"/>
      <c r="H1136" s="132"/>
      <c r="I1136" s="132"/>
      <c r="J1136" s="132"/>
      <c r="K1136" s="132"/>
      <c r="L1136" s="132"/>
      <c r="M1136" s="132"/>
      <c r="N1136" s="132"/>
    </row>
    <row r="1137" spans="2:14" ht="39.75" hidden="1" customHeight="1" x14ac:dyDescent="0.25">
      <c r="B1137" s="728"/>
      <c r="C1137" s="729"/>
      <c r="D1137" s="730" t="s">
        <v>393</v>
      </c>
      <c r="E1137" s="729"/>
      <c r="F1137" s="729"/>
      <c r="G1137" s="729"/>
      <c r="H1137" s="729"/>
      <c r="I1137" s="729"/>
      <c r="J1137" s="729"/>
      <c r="K1137" s="729"/>
      <c r="L1137" s="729"/>
      <c r="M1137" s="729"/>
      <c r="N1137" s="731"/>
    </row>
    <row r="1138" spans="2:14" ht="14.25" hidden="1" customHeight="1" x14ac:dyDescent="0.25">
      <c r="B1138" s="732" t="s">
        <v>394</v>
      </c>
      <c r="C1138" s="733"/>
      <c r="D1138" s="733"/>
      <c r="E1138" s="733"/>
      <c r="F1138" s="733"/>
      <c r="G1138" s="733"/>
      <c r="H1138" s="733"/>
      <c r="I1138" s="733"/>
      <c r="J1138" s="733"/>
      <c r="K1138" s="733"/>
      <c r="L1138" s="733"/>
      <c r="M1138" s="733"/>
      <c r="N1138" s="734"/>
    </row>
    <row r="1139" spans="2:14" ht="14.25" hidden="1" customHeight="1" x14ac:dyDescent="0.25">
      <c r="B1139" s="735" t="s">
        <v>395</v>
      </c>
      <c r="C1139" s="736"/>
      <c r="D1139" s="779" t="s">
        <v>123</v>
      </c>
      <c r="E1139" s="733"/>
      <c r="F1139" s="733"/>
      <c r="G1139" s="733"/>
      <c r="H1139" s="733"/>
      <c r="I1139" s="733"/>
      <c r="J1139" s="733"/>
      <c r="K1139" s="733"/>
      <c r="L1139" s="733"/>
      <c r="M1139" s="733"/>
      <c r="N1139" s="734"/>
    </row>
    <row r="1140" spans="2:14" ht="14.25" hidden="1" customHeight="1" x14ac:dyDescent="0.25">
      <c r="B1140" s="740" t="s">
        <v>26</v>
      </c>
      <c r="C1140" s="741"/>
      <c r="D1140" s="119" t="s">
        <v>396</v>
      </c>
      <c r="E1140" s="742" t="s">
        <v>397</v>
      </c>
      <c r="F1140" s="733"/>
      <c r="G1140" s="733"/>
      <c r="H1140" s="736"/>
      <c r="I1140" s="742" t="s">
        <v>398</v>
      </c>
      <c r="J1140" s="733"/>
      <c r="K1140" s="736"/>
      <c r="L1140" s="742" t="s">
        <v>399</v>
      </c>
      <c r="M1140" s="733"/>
      <c r="N1140" s="734"/>
    </row>
    <row r="1141" spans="2:14" ht="14.25" hidden="1" customHeight="1" x14ac:dyDescent="0.25">
      <c r="B1141" s="777">
        <v>28</v>
      </c>
      <c r="C1141" s="736"/>
      <c r="D1141" s="123">
        <f>SUM(H1144:H1180)</f>
        <v>801.39</v>
      </c>
      <c r="E1141" s="778" t="s">
        <v>51</v>
      </c>
      <c r="F1141" s="733"/>
      <c r="G1141" s="733"/>
      <c r="H1141" s="736"/>
      <c r="I1141" s="744"/>
      <c r="J1141" s="745"/>
      <c r="K1141" s="741"/>
      <c r="L1141" s="744"/>
      <c r="M1141" s="745"/>
      <c r="N1141" s="752"/>
    </row>
    <row r="1142" spans="2:14" ht="14.25" hidden="1" customHeight="1" x14ac:dyDescent="0.25">
      <c r="B1142" s="755" t="s">
        <v>416</v>
      </c>
      <c r="C1142" s="733"/>
      <c r="D1142" s="733"/>
      <c r="E1142" s="733"/>
      <c r="F1142" s="733"/>
      <c r="G1142" s="733"/>
      <c r="H1142" s="736"/>
      <c r="I1142" s="746"/>
      <c r="J1142" s="747"/>
      <c r="K1142" s="748"/>
      <c r="L1142" s="746"/>
      <c r="M1142" s="747"/>
      <c r="N1142" s="753"/>
    </row>
    <row r="1143" spans="2:14" ht="14.25" hidden="1" customHeight="1" x14ac:dyDescent="0.25">
      <c r="B1143" s="121" t="s">
        <v>400</v>
      </c>
      <c r="C1143" s="122" t="s">
        <v>401</v>
      </c>
      <c r="D1143" s="123" t="s">
        <v>402</v>
      </c>
      <c r="E1143" s="123" t="s">
        <v>403</v>
      </c>
      <c r="F1143" s="123" t="s">
        <v>404</v>
      </c>
      <c r="G1143" s="123" t="s">
        <v>405</v>
      </c>
      <c r="H1143" s="123" t="s">
        <v>406</v>
      </c>
      <c r="I1143" s="746"/>
      <c r="J1143" s="747"/>
      <c r="K1143" s="748"/>
      <c r="L1143" s="746"/>
      <c r="M1143" s="747"/>
      <c r="N1143" s="753"/>
    </row>
    <row r="1144" spans="2:14" ht="14.25" hidden="1" customHeight="1" x14ac:dyDescent="0.25">
      <c r="B1144" s="153" t="s">
        <v>466</v>
      </c>
      <c r="C1144" s="765" t="s">
        <v>467</v>
      </c>
      <c r="D1144" s="138">
        <v>1.1200000000000001</v>
      </c>
      <c r="E1144" s="138"/>
      <c r="F1144" s="138"/>
      <c r="G1144" s="138"/>
      <c r="H1144" s="138">
        <f t="shared" ref="H1144:H1150" si="34">D1144</f>
        <v>1.1200000000000001</v>
      </c>
      <c r="I1144" s="746"/>
      <c r="J1144" s="747"/>
      <c r="K1144" s="748"/>
      <c r="L1144" s="746"/>
      <c r="M1144" s="747"/>
      <c r="N1144" s="753"/>
    </row>
    <row r="1145" spans="2:14" ht="14.25" hidden="1" customHeight="1" x14ac:dyDescent="0.25">
      <c r="B1145" s="153" t="s">
        <v>468</v>
      </c>
      <c r="C1145" s="780"/>
      <c r="D1145" s="138" t="s">
        <v>505</v>
      </c>
      <c r="E1145" s="138"/>
      <c r="F1145" s="138"/>
      <c r="G1145" s="138"/>
      <c r="H1145" s="138" t="str">
        <f t="shared" si="34"/>
        <v>1.16</v>
      </c>
      <c r="I1145" s="746"/>
      <c r="J1145" s="747"/>
      <c r="K1145" s="748"/>
      <c r="L1145" s="746"/>
      <c r="M1145" s="747"/>
      <c r="N1145" s="753"/>
    </row>
    <row r="1146" spans="2:14" ht="14.25" hidden="1" customHeight="1" x14ac:dyDescent="0.25">
      <c r="B1146" s="153" t="s">
        <v>459</v>
      </c>
      <c r="C1146" s="780"/>
      <c r="D1146" s="138">
        <v>5.97</v>
      </c>
      <c r="E1146" s="138"/>
      <c r="F1146" s="138"/>
      <c r="G1146" s="138"/>
      <c r="H1146" s="138">
        <f t="shared" si="34"/>
        <v>5.97</v>
      </c>
      <c r="I1146" s="746"/>
      <c r="J1146" s="747"/>
      <c r="K1146" s="748"/>
      <c r="L1146" s="746"/>
      <c r="M1146" s="747"/>
      <c r="N1146" s="753"/>
    </row>
    <row r="1147" spans="2:14" ht="14.25" hidden="1" customHeight="1" x14ac:dyDescent="0.25">
      <c r="B1147" s="153" t="s">
        <v>469</v>
      </c>
      <c r="C1147" s="780"/>
      <c r="D1147" s="138">
        <v>63.4</v>
      </c>
      <c r="E1147" s="138"/>
      <c r="F1147" s="138"/>
      <c r="G1147" s="138"/>
      <c r="H1147" s="138">
        <f t="shared" si="34"/>
        <v>63.4</v>
      </c>
      <c r="I1147" s="746"/>
      <c r="J1147" s="747"/>
      <c r="K1147" s="748"/>
      <c r="L1147" s="746"/>
      <c r="M1147" s="747"/>
      <c r="N1147" s="753"/>
    </row>
    <row r="1148" spans="2:14" ht="32.25" hidden="1" customHeight="1" x14ac:dyDescent="0.25">
      <c r="B1148" s="155" t="s">
        <v>470</v>
      </c>
      <c r="C1148" s="780"/>
      <c r="D1148" s="138">
        <v>60.84</v>
      </c>
      <c r="E1148" s="138"/>
      <c r="F1148" s="138"/>
      <c r="G1148" s="138"/>
      <c r="H1148" s="138">
        <f t="shared" si="34"/>
        <v>60.84</v>
      </c>
      <c r="I1148" s="746"/>
      <c r="J1148" s="747"/>
      <c r="K1148" s="748"/>
      <c r="L1148" s="746"/>
      <c r="M1148" s="747"/>
      <c r="N1148" s="753"/>
    </row>
    <row r="1149" spans="2:14" ht="14.25" hidden="1" customHeight="1" x14ac:dyDescent="0.25">
      <c r="B1149" s="153" t="s">
        <v>471</v>
      </c>
      <c r="C1149" s="780"/>
      <c r="D1149" s="138">
        <v>5.7</v>
      </c>
      <c r="E1149" s="138"/>
      <c r="F1149" s="138"/>
      <c r="G1149" s="138"/>
      <c r="H1149" s="138">
        <f t="shared" si="34"/>
        <v>5.7</v>
      </c>
      <c r="I1149" s="746"/>
      <c r="J1149" s="747"/>
      <c r="K1149" s="748"/>
      <c r="L1149" s="746"/>
      <c r="M1149" s="747"/>
      <c r="N1149" s="753"/>
    </row>
    <row r="1150" spans="2:14" ht="14.25" hidden="1" customHeight="1" x14ac:dyDescent="0.25">
      <c r="B1150" s="153" t="s">
        <v>472</v>
      </c>
      <c r="C1150" s="780"/>
      <c r="D1150" s="765">
        <v>26.230000000000125</v>
      </c>
      <c r="E1150" s="138"/>
      <c r="F1150" s="138"/>
      <c r="G1150" s="138"/>
      <c r="H1150" s="765">
        <f t="shared" si="34"/>
        <v>26.230000000000125</v>
      </c>
      <c r="I1150" s="746"/>
      <c r="J1150" s="747"/>
      <c r="K1150" s="748"/>
      <c r="L1150" s="746"/>
      <c r="M1150" s="747"/>
      <c r="N1150" s="753"/>
    </row>
    <row r="1151" spans="2:14" ht="14.25" hidden="1" customHeight="1" x14ac:dyDescent="0.25">
      <c r="B1151" s="156" t="s">
        <v>473</v>
      </c>
      <c r="C1151" s="781"/>
      <c r="D1151" s="781"/>
      <c r="E1151" s="138"/>
      <c r="F1151" s="138"/>
      <c r="G1151" s="138"/>
      <c r="H1151" s="781"/>
      <c r="I1151" s="746"/>
      <c r="J1151" s="747"/>
      <c r="K1151" s="748"/>
      <c r="L1151" s="746"/>
      <c r="M1151" s="747"/>
      <c r="N1151" s="753"/>
    </row>
    <row r="1152" spans="2:14" ht="14.25" hidden="1" customHeight="1" x14ac:dyDescent="0.25">
      <c r="B1152" s="156" t="s">
        <v>480</v>
      </c>
      <c r="C1152" s="789" t="s">
        <v>481</v>
      </c>
      <c r="D1152" s="138">
        <v>45.75</v>
      </c>
      <c r="E1152" s="138"/>
      <c r="F1152" s="138"/>
      <c r="G1152" s="138"/>
      <c r="H1152" s="138">
        <f t="shared" ref="H1152:H1169" si="35">D1152</f>
        <v>45.75</v>
      </c>
      <c r="I1152" s="746"/>
      <c r="J1152" s="747"/>
      <c r="K1152" s="748"/>
      <c r="L1152" s="746"/>
      <c r="M1152" s="747"/>
      <c r="N1152" s="753"/>
    </row>
    <row r="1153" spans="2:14" ht="14.25" hidden="1" customHeight="1" x14ac:dyDescent="0.25">
      <c r="B1153" s="156" t="s">
        <v>482</v>
      </c>
      <c r="C1153" s="780"/>
      <c r="D1153" s="138">
        <v>51.14</v>
      </c>
      <c r="E1153" s="138"/>
      <c r="F1153" s="138"/>
      <c r="G1153" s="138"/>
      <c r="H1153" s="138">
        <f t="shared" si="35"/>
        <v>51.14</v>
      </c>
      <c r="I1153" s="746"/>
      <c r="J1153" s="747"/>
      <c r="K1153" s="748"/>
      <c r="L1153" s="746"/>
      <c r="M1153" s="747"/>
      <c r="N1153" s="753"/>
    </row>
    <row r="1154" spans="2:14" ht="14.25" hidden="1" customHeight="1" x14ac:dyDescent="0.25">
      <c r="B1154" s="156" t="s">
        <v>483</v>
      </c>
      <c r="C1154" s="780"/>
      <c r="D1154" s="138">
        <v>56.95</v>
      </c>
      <c r="E1154" s="138"/>
      <c r="F1154" s="138"/>
      <c r="G1154" s="138"/>
      <c r="H1154" s="138">
        <f t="shared" si="35"/>
        <v>56.95</v>
      </c>
      <c r="I1154" s="746"/>
      <c r="J1154" s="747"/>
      <c r="K1154" s="748"/>
      <c r="L1154" s="746"/>
      <c r="M1154" s="747"/>
      <c r="N1154" s="753"/>
    </row>
    <row r="1155" spans="2:14" ht="14.25" hidden="1" customHeight="1" x14ac:dyDescent="0.25">
      <c r="B1155" s="156" t="s">
        <v>484</v>
      </c>
      <c r="C1155" s="780"/>
      <c r="D1155" s="138">
        <v>62.94</v>
      </c>
      <c r="E1155" s="138"/>
      <c r="F1155" s="138"/>
      <c r="G1155" s="138"/>
      <c r="H1155" s="138">
        <f t="shared" si="35"/>
        <v>62.94</v>
      </c>
      <c r="I1155" s="746"/>
      <c r="J1155" s="747"/>
      <c r="K1155" s="748"/>
      <c r="L1155" s="746"/>
      <c r="M1155" s="747"/>
      <c r="N1155" s="753"/>
    </row>
    <row r="1156" spans="2:14" ht="14.25" hidden="1" customHeight="1" x14ac:dyDescent="0.25">
      <c r="B1156" s="156" t="s">
        <v>485</v>
      </c>
      <c r="C1156" s="780"/>
      <c r="D1156" s="138">
        <v>52.33</v>
      </c>
      <c r="E1156" s="138"/>
      <c r="F1156" s="138"/>
      <c r="G1156" s="138"/>
      <c r="H1156" s="138">
        <f t="shared" si="35"/>
        <v>52.33</v>
      </c>
      <c r="I1156" s="746"/>
      <c r="J1156" s="747"/>
      <c r="K1156" s="748"/>
      <c r="L1156" s="746"/>
      <c r="M1156" s="747"/>
      <c r="N1156" s="753"/>
    </row>
    <row r="1157" spans="2:14" ht="14.25" hidden="1" customHeight="1" x14ac:dyDescent="0.25">
      <c r="B1157" s="156" t="s">
        <v>486</v>
      </c>
      <c r="C1157" s="781"/>
      <c r="D1157" s="138">
        <v>34.159999999999997</v>
      </c>
      <c r="E1157" s="138"/>
      <c r="F1157" s="138"/>
      <c r="G1157" s="138"/>
      <c r="H1157" s="138">
        <f t="shared" si="35"/>
        <v>34.159999999999997</v>
      </c>
      <c r="I1157" s="746"/>
      <c r="J1157" s="747"/>
      <c r="K1157" s="748"/>
      <c r="L1157" s="746"/>
      <c r="M1157" s="747"/>
      <c r="N1157" s="753"/>
    </row>
    <row r="1158" spans="2:14" ht="14.25" hidden="1" customHeight="1" x14ac:dyDescent="0.25">
      <c r="B1158" s="156" t="s">
        <v>487</v>
      </c>
      <c r="C1158" s="789" t="s">
        <v>488</v>
      </c>
      <c r="D1158" s="138">
        <v>40.74</v>
      </c>
      <c r="E1158" s="138"/>
      <c r="F1158" s="138"/>
      <c r="G1158" s="138"/>
      <c r="H1158" s="138">
        <f t="shared" si="35"/>
        <v>40.74</v>
      </c>
      <c r="I1158" s="746"/>
      <c r="J1158" s="747"/>
      <c r="K1158" s="748"/>
      <c r="L1158" s="746"/>
      <c r="M1158" s="747"/>
      <c r="N1158" s="753"/>
    </row>
    <row r="1159" spans="2:14" ht="14.25" hidden="1" customHeight="1" x14ac:dyDescent="0.25">
      <c r="B1159" s="156" t="s">
        <v>489</v>
      </c>
      <c r="C1159" s="780"/>
      <c r="D1159" s="138">
        <v>36.42</v>
      </c>
      <c r="E1159" s="138"/>
      <c r="F1159" s="138"/>
      <c r="G1159" s="138"/>
      <c r="H1159" s="138">
        <f t="shared" si="35"/>
        <v>36.42</v>
      </c>
      <c r="I1159" s="746"/>
      <c r="J1159" s="747"/>
      <c r="K1159" s="748"/>
      <c r="L1159" s="746"/>
      <c r="M1159" s="747"/>
      <c r="N1159" s="753"/>
    </row>
    <row r="1160" spans="2:14" ht="14.25" hidden="1" customHeight="1" x14ac:dyDescent="0.25">
      <c r="B1160" s="156" t="s">
        <v>490</v>
      </c>
      <c r="C1160" s="780"/>
      <c r="D1160" s="138">
        <v>40.090000000000003</v>
      </c>
      <c r="E1160" s="138"/>
      <c r="F1160" s="138"/>
      <c r="G1160" s="138"/>
      <c r="H1160" s="138">
        <f t="shared" si="35"/>
        <v>40.090000000000003</v>
      </c>
      <c r="I1160" s="746"/>
      <c r="J1160" s="747"/>
      <c r="K1160" s="748"/>
      <c r="L1160" s="746"/>
      <c r="M1160" s="747"/>
      <c r="N1160" s="753"/>
    </row>
    <row r="1161" spans="2:14" ht="14.25" hidden="1" customHeight="1" x14ac:dyDescent="0.25">
      <c r="B1161" s="156" t="s">
        <v>491</v>
      </c>
      <c r="C1161" s="780"/>
      <c r="D1161" s="138">
        <v>24.55</v>
      </c>
      <c r="E1161" s="138"/>
      <c r="F1161" s="138"/>
      <c r="G1161" s="138"/>
      <c r="H1161" s="138">
        <f t="shared" si="35"/>
        <v>24.55</v>
      </c>
      <c r="I1161" s="746"/>
      <c r="J1161" s="747"/>
      <c r="K1161" s="748"/>
      <c r="L1161" s="746"/>
      <c r="M1161" s="747"/>
      <c r="N1161" s="753"/>
    </row>
    <row r="1162" spans="2:14" ht="14.25" hidden="1" customHeight="1" x14ac:dyDescent="0.25">
      <c r="B1162" s="157" t="s">
        <v>492</v>
      </c>
      <c r="C1162" s="781"/>
      <c r="D1162" s="138">
        <v>23.3</v>
      </c>
      <c r="E1162" s="138"/>
      <c r="F1162" s="138"/>
      <c r="G1162" s="138"/>
      <c r="H1162" s="138">
        <f t="shared" si="35"/>
        <v>23.3</v>
      </c>
      <c r="I1162" s="746"/>
      <c r="J1162" s="747"/>
      <c r="K1162" s="748"/>
      <c r="L1162" s="746"/>
      <c r="M1162" s="747"/>
      <c r="N1162" s="753"/>
    </row>
    <row r="1163" spans="2:14" ht="14.25" hidden="1" customHeight="1" x14ac:dyDescent="0.25">
      <c r="B1163" s="156" t="s">
        <v>493</v>
      </c>
      <c r="C1163" s="794" t="s">
        <v>494</v>
      </c>
      <c r="D1163" s="138">
        <v>39.58</v>
      </c>
      <c r="E1163" s="138"/>
      <c r="F1163" s="138"/>
      <c r="G1163" s="138"/>
      <c r="H1163" s="138">
        <f t="shared" si="35"/>
        <v>39.58</v>
      </c>
      <c r="I1163" s="746"/>
      <c r="J1163" s="747"/>
      <c r="K1163" s="748"/>
      <c r="L1163" s="746"/>
      <c r="M1163" s="747"/>
      <c r="N1163" s="753"/>
    </row>
    <row r="1164" spans="2:14" ht="14.25" hidden="1" customHeight="1" x14ac:dyDescent="0.25">
      <c r="B1164" s="156" t="s">
        <v>495</v>
      </c>
      <c r="C1164" s="780"/>
      <c r="D1164" s="138">
        <v>29.75</v>
      </c>
      <c r="E1164" s="138"/>
      <c r="F1164" s="138"/>
      <c r="G1164" s="138"/>
      <c r="H1164" s="138">
        <f t="shared" si="35"/>
        <v>29.75</v>
      </c>
      <c r="I1164" s="746"/>
      <c r="J1164" s="747"/>
      <c r="K1164" s="748"/>
      <c r="L1164" s="746"/>
      <c r="M1164" s="747"/>
      <c r="N1164" s="753"/>
    </row>
    <row r="1165" spans="2:14" ht="14.25" hidden="1" customHeight="1" x14ac:dyDescent="0.25">
      <c r="B1165" s="156" t="s">
        <v>496</v>
      </c>
      <c r="C1165" s="780"/>
      <c r="D1165" s="138">
        <v>9.23</v>
      </c>
      <c r="E1165" s="138"/>
      <c r="F1165" s="138"/>
      <c r="G1165" s="138"/>
      <c r="H1165" s="138">
        <f t="shared" si="35"/>
        <v>9.23</v>
      </c>
      <c r="I1165" s="746"/>
      <c r="J1165" s="747"/>
      <c r="K1165" s="748"/>
      <c r="L1165" s="746"/>
      <c r="M1165" s="747"/>
      <c r="N1165" s="753"/>
    </row>
    <row r="1166" spans="2:14" ht="14.25" hidden="1" customHeight="1" x14ac:dyDescent="0.25">
      <c r="B1166" s="156" t="s">
        <v>497</v>
      </c>
      <c r="C1166" s="780"/>
      <c r="D1166" s="138">
        <v>24.75</v>
      </c>
      <c r="E1166" s="138"/>
      <c r="F1166" s="138"/>
      <c r="G1166" s="138"/>
      <c r="H1166" s="138">
        <f t="shared" si="35"/>
        <v>24.75</v>
      </c>
      <c r="I1166" s="746"/>
      <c r="J1166" s="747"/>
      <c r="K1166" s="748"/>
      <c r="L1166" s="746"/>
      <c r="M1166" s="747"/>
      <c r="N1166" s="753"/>
    </row>
    <row r="1167" spans="2:14" ht="14.25" hidden="1" customHeight="1" x14ac:dyDescent="0.25">
      <c r="B1167" s="156" t="s">
        <v>498</v>
      </c>
      <c r="C1167" s="780"/>
      <c r="D1167" s="138">
        <v>36.11</v>
      </c>
      <c r="E1167" s="138"/>
      <c r="F1167" s="138"/>
      <c r="G1167" s="138"/>
      <c r="H1167" s="138">
        <f t="shared" si="35"/>
        <v>36.11</v>
      </c>
      <c r="I1167" s="746"/>
      <c r="J1167" s="747"/>
      <c r="K1167" s="748"/>
      <c r="L1167" s="746"/>
      <c r="M1167" s="747"/>
      <c r="N1167" s="753"/>
    </row>
    <row r="1168" spans="2:14" ht="14.25" hidden="1" customHeight="1" x14ac:dyDescent="0.25">
      <c r="B1168" s="153" t="s">
        <v>492</v>
      </c>
      <c r="C1168" s="781"/>
      <c r="D1168" s="138">
        <v>22.18</v>
      </c>
      <c r="E1168" s="138"/>
      <c r="F1168" s="138"/>
      <c r="G1168" s="138"/>
      <c r="H1168" s="138">
        <f t="shared" si="35"/>
        <v>22.18</v>
      </c>
      <c r="I1168" s="746"/>
      <c r="J1168" s="747"/>
      <c r="K1168" s="748"/>
      <c r="L1168" s="746"/>
      <c r="M1168" s="747"/>
      <c r="N1168" s="753"/>
    </row>
    <row r="1169" spans="2:14" ht="14.25" hidden="1" customHeight="1" x14ac:dyDescent="0.25">
      <c r="B1169" s="153" t="s">
        <v>499</v>
      </c>
      <c r="C1169" s="205"/>
      <c r="D1169" s="125">
        <v>8.16</v>
      </c>
      <c r="E1169" s="125"/>
      <c r="F1169" s="125"/>
      <c r="G1169" s="125"/>
      <c r="H1169" s="138">
        <f t="shared" si="35"/>
        <v>8.16</v>
      </c>
      <c r="I1169" s="746"/>
      <c r="J1169" s="747"/>
      <c r="K1169" s="748"/>
      <c r="L1169" s="746"/>
      <c r="M1169" s="747"/>
      <c r="N1169" s="753"/>
    </row>
    <row r="1170" spans="2:14" ht="14.25" hidden="1" customHeight="1" x14ac:dyDescent="0.25">
      <c r="B1170" s="124"/>
      <c r="C1170" s="125"/>
      <c r="D1170" s="125"/>
      <c r="E1170" s="125"/>
      <c r="F1170" s="125"/>
      <c r="G1170" s="125"/>
      <c r="H1170" s="138"/>
      <c r="I1170" s="746"/>
      <c r="J1170" s="747"/>
      <c r="K1170" s="748"/>
      <c r="L1170" s="746"/>
      <c r="M1170" s="747"/>
      <c r="N1170" s="753"/>
    </row>
    <row r="1171" spans="2:14" ht="14.25" hidden="1" customHeight="1" x14ac:dyDescent="0.25">
      <c r="B1171" s="124"/>
      <c r="C1171" s="125"/>
      <c r="D1171" s="125"/>
      <c r="E1171" s="125"/>
      <c r="F1171" s="125"/>
      <c r="G1171" s="125"/>
      <c r="H1171" s="138"/>
      <c r="I1171" s="746"/>
      <c r="J1171" s="747"/>
      <c r="K1171" s="748"/>
      <c r="L1171" s="746"/>
      <c r="M1171" s="747"/>
      <c r="N1171" s="753"/>
    </row>
    <row r="1172" spans="2:14" ht="14.25" hidden="1" customHeight="1" x14ac:dyDescent="0.25">
      <c r="B1172" s="124"/>
      <c r="C1172" s="125"/>
      <c r="D1172" s="125"/>
      <c r="E1172" s="125"/>
      <c r="F1172" s="125"/>
      <c r="G1172" s="125"/>
      <c r="H1172" s="125"/>
      <c r="I1172" s="746"/>
      <c r="J1172" s="747"/>
      <c r="K1172" s="748"/>
      <c r="L1172" s="746"/>
      <c r="M1172" s="747"/>
      <c r="N1172" s="753"/>
    </row>
    <row r="1173" spans="2:14" ht="14.25" hidden="1" customHeight="1" x14ac:dyDescent="0.25">
      <c r="B1173" s="124"/>
      <c r="C1173" s="125"/>
      <c r="D1173" s="125"/>
      <c r="E1173" s="125"/>
      <c r="F1173" s="125"/>
      <c r="G1173" s="125"/>
      <c r="H1173" s="125"/>
      <c r="I1173" s="746"/>
      <c r="J1173" s="747"/>
      <c r="K1173" s="748"/>
      <c r="L1173" s="746"/>
      <c r="M1173" s="747"/>
      <c r="N1173" s="753"/>
    </row>
    <row r="1174" spans="2:14" ht="14.25" hidden="1" customHeight="1" x14ac:dyDescent="0.25">
      <c r="B1174" s="124"/>
      <c r="C1174" s="125"/>
      <c r="D1174" s="125"/>
      <c r="E1174" s="125"/>
      <c r="F1174" s="125"/>
      <c r="G1174" s="125"/>
      <c r="H1174" s="125"/>
      <c r="I1174" s="746"/>
      <c r="J1174" s="747"/>
      <c r="K1174" s="748"/>
      <c r="L1174" s="746"/>
      <c r="M1174" s="747"/>
      <c r="N1174" s="753"/>
    </row>
    <row r="1175" spans="2:14" ht="14.25" hidden="1" customHeight="1" x14ac:dyDescent="0.25">
      <c r="B1175" s="124"/>
      <c r="C1175" s="125"/>
      <c r="D1175" s="125"/>
      <c r="E1175" s="125"/>
      <c r="F1175" s="125"/>
      <c r="G1175" s="125"/>
      <c r="H1175" s="125"/>
      <c r="I1175" s="746"/>
      <c r="J1175" s="747"/>
      <c r="K1175" s="748"/>
      <c r="L1175" s="746"/>
      <c r="M1175" s="747"/>
      <c r="N1175" s="753"/>
    </row>
    <row r="1176" spans="2:14" ht="14.25" hidden="1" customHeight="1" x14ac:dyDescent="0.25">
      <c r="B1176" s="124"/>
      <c r="C1176" s="125"/>
      <c r="D1176" s="125"/>
      <c r="E1176" s="125"/>
      <c r="F1176" s="125"/>
      <c r="G1176" s="125"/>
      <c r="H1176" s="125"/>
      <c r="I1176" s="746"/>
      <c r="J1176" s="747"/>
      <c r="K1176" s="748"/>
      <c r="L1176" s="746"/>
      <c r="M1176" s="747"/>
      <c r="N1176" s="753"/>
    </row>
    <row r="1177" spans="2:14" ht="14.25" hidden="1" customHeight="1" x14ac:dyDescent="0.25">
      <c r="B1177" s="124"/>
      <c r="C1177" s="125"/>
      <c r="D1177" s="125"/>
      <c r="E1177" s="125"/>
      <c r="F1177" s="125"/>
      <c r="G1177" s="125"/>
      <c r="H1177" s="125"/>
      <c r="I1177" s="746"/>
      <c r="J1177" s="747"/>
      <c r="K1177" s="748"/>
      <c r="L1177" s="746"/>
      <c r="M1177" s="747"/>
      <c r="N1177" s="753"/>
    </row>
    <row r="1178" spans="2:14" ht="14.25" hidden="1" customHeight="1" x14ac:dyDescent="0.25">
      <c r="B1178" s="124"/>
      <c r="C1178" s="125"/>
      <c r="D1178" s="125"/>
      <c r="E1178" s="125"/>
      <c r="F1178" s="125"/>
      <c r="G1178" s="125"/>
      <c r="H1178" s="125"/>
      <c r="I1178" s="746"/>
      <c r="J1178" s="747"/>
      <c r="K1178" s="748"/>
      <c r="L1178" s="746"/>
      <c r="M1178" s="747"/>
      <c r="N1178" s="753"/>
    </row>
    <row r="1179" spans="2:14" ht="14.25" hidden="1" customHeight="1" x14ac:dyDescent="0.25">
      <c r="B1179" s="124"/>
      <c r="C1179" s="125"/>
      <c r="D1179" s="125"/>
      <c r="E1179" s="125"/>
      <c r="F1179" s="125"/>
      <c r="G1179" s="125"/>
      <c r="H1179" s="125"/>
      <c r="I1179" s="746"/>
      <c r="J1179" s="747"/>
      <c r="K1179" s="748"/>
      <c r="L1179" s="746"/>
      <c r="M1179" s="747"/>
      <c r="N1179" s="753"/>
    </row>
    <row r="1180" spans="2:14" ht="14.25" hidden="1" customHeight="1" x14ac:dyDescent="0.25">
      <c r="B1180" s="127"/>
      <c r="C1180" s="125"/>
      <c r="D1180" s="125"/>
      <c r="E1180" s="125"/>
      <c r="F1180" s="125"/>
      <c r="G1180" s="125"/>
      <c r="H1180" s="125"/>
      <c r="I1180" s="749"/>
      <c r="J1180" s="750"/>
      <c r="K1180" s="751"/>
      <c r="L1180" s="749"/>
      <c r="M1180" s="750"/>
      <c r="N1180" s="754"/>
    </row>
    <row r="1181" spans="2:14" ht="14.25" hidden="1" customHeight="1" x14ac:dyDescent="0.25">
      <c r="B1181" s="209"/>
      <c r="C1181" s="118"/>
      <c r="D1181" s="118"/>
      <c r="E1181" s="118"/>
      <c r="F1181" s="118"/>
      <c r="G1181" s="118"/>
      <c r="H1181" s="118"/>
      <c r="I1181" s="118"/>
      <c r="J1181" s="118"/>
      <c r="K1181" s="118"/>
      <c r="L1181" s="118"/>
      <c r="M1181" s="118"/>
      <c r="N1181" s="210"/>
    </row>
    <row r="1182" spans="2:14" ht="14.25" hidden="1" customHeight="1" x14ac:dyDescent="0.25">
      <c r="B1182" s="209"/>
      <c r="C1182" s="118"/>
      <c r="D1182" s="118"/>
      <c r="E1182" s="118"/>
      <c r="F1182" s="118"/>
      <c r="G1182" s="118"/>
      <c r="H1182" s="118"/>
      <c r="I1182" s="118"/>
      <c r="J1182" s="118"/>
      <c r="K1182" s="118"/>
      <c r="L1182" s="118"/>
      <c r="M1182" s="118"/>
      <c r="N1182" s="210"/>
    </row>
    <row r="1183" spans="2:14" ht="14.25" hidden="1" customHeight="1" x14ac:dyDescent="0.25">
      <c r="B1183" s="209"/>
      <c r="C1183" s="118"/>
      <c r="D1183" s="118"/>
      <c r="E1183" s="118"/>
      <c r="F1183" s="118"/>
      <c r="G1183" s="118"/>
      <c r="H1183" s="118"/>
      <c r="I1183" s="118"/>
      <c r="J1183" s="118"/>
      <c r="K1183" s="118"/>
      <c r="L1183" s="118"/>
      <c r="M1183" s="118"/>
      <c r="N1183" s="210"/>
    </row>
    <row r="1184" spans="2:14" ht="14.25" hidden="1" customHeight="1" x14ac:dyDescent="0.25">
      <c r="B1184" s="209"/>
      <c r="C1184" s="118"/>
      <c r="D1184" s="118"/>
      <c r="E1184" s="118"/>
      <c r="F1184" s="118"/>
      <c r="G1184" s="118"/>
      <c r="H1184" s="118"/>
      <c r="I1184" s="118"/>
      <c r="J1184" s="118"/>
      <c r="K1184" s="118"/>
      <c r="L1184" s="118"/>
      <c r="M1184" s="118"/>
      <c r="N1184" s="210"/>
    </row>
    <row r="1185" spans="2:14" ht="14.25" hidden="1" customHeight="1" x14ac:dyDescent="0.25">
      <c r="B1185" s="775" t="s">
        <v>414</v>
      </c>
      <c r="C1185" s="747"/>
      <c r="D1185" s="747"/>
      <c r="E1185" s="128"/>
      <c r="F1185" s="128"/>
      <c r="G1185" s="128"/>
      <c r="H1185" s="128"/>
      <c r="I1185" s="776"/>
      <c r="J1185" s="747"/>
      <c r="K1185" s="747"/>
      <c r="L1185" s="118"/>
      <c r="M1185" s="118"/>
      <c r="N1185" s="210"/>
    </row>
    <row r="1186" spans="2:14" ht="14.25" hidden="1" customHeight="1" x14ac:dyDescent="0.25">
      <c r="B1186" s="129"/>
      <c r="C1186" s="130"/>
      <c r="D1186" s="130"/>
      <c r="E1186" s="130"/>
      <c r="F1186" s="130"/>
      <c r="G1186" s="130"/>
      <c r="H1186" s="130"/>
      <c r="I1186" s="130"/>
      <c r="J1186" s="130"/>
      <c r="K1186" s="130"/>
      <c r="L1186" s="130"/>
      <c r="M1186" s="130"/>
      <c r="N1186" s="131"/>
    </row>
    <row r="1187" spans="2:14" ht="14.25" hidden="1" customHeight="1" x14ac:dyDescent="0.25">
      <c r="B1187" s="132"/>
      <c r="C1187" s="132"/>
      <c r="D1187" s="132"/>
      <c r="E1187" s="132"/>
      <c r="F1187" s="132"/>
      <c r="G1187" s="132"/>
      <c r="H1187" s="132"/>
      <c r="I1187" s="132"/>
      <c r="J1187" s="132"/>
      <c r="K1187" s="132"/>
      <c r="L1187" s="132"/>
      <c r="M1187" s="132"/>
      <c r="N1187" s="132"/>
    </row>
    <row r="1188" spans="2:14" ht="38.25" hidden="1" customHeight="1" x14ac:dyDescent="0.25">
      <c r="B1188" s="728"/>
      <c r="C1188" s="729"/>
      <c r="D1188" s="730" t="s">
        <v>393</v>
      </c>
      <c r="E1188" s="729"/>
      <c r="F1188" s="729"/>
      <c r="G1188" s="729"/>
      <c r="H1188" s="729"/>
      <c r="I1188" s="729"/>
      <c r="J1188" s="729"/>
      <c r="K1188" s="729"/>
      <c r="L1188" s="729"/>
      <c r="M1188" s="729"/>
      <c r="N1188" s="731"/>
    </row>
    <row r="1189" spans="2:14" ht="14.25" hidden="1" customHeight="1" x14ac:dyDescent="0.25">
      <c r="B1189" s="732" t="s">
        <v>394</v>
      </c>
      <c r="C1189" s="733"/>
      <c r="D1189" s="733"/>
      <c r="E1189" s="733"/>
      <c r="F1189" s="733"/>
      <c r="G1189" s="733"/>
      <c r="H1189" s="733"/>
      <c r="I1189" s="733"/>
      <c r="J1189" s="733"/>
      <c r="K1189" s="733"/>
      <c r="L1189" s="733"/>
      <c r="M1189" s="733"/>
      <c r="N1189" s="734"/>
    </row>
    <row r="1190" spans="2:14" ht="14.25" hidden="1" customHeight="1" x14ac:dyDescent="0.25">
      <c r="B1190" s="735" t="s">
        <v>395</v>
      </c>
      <c r="C1190" s="736"/>
      <c r="D1190" s="779" t="s">
        <v>113</v>
      </c>
      <c r="E1190" s="733"/>
      <c r="F1190" s="733"/>
      <c r="G1190" s="733"/>
      <c r="H1190" s="733"/>
      <c r="I1190" s="733"/>
      <c r="J1190" s="733"/>
      <c r="K1190" s="733"/>
      <c r="L1190" s="733"/>
      <c r="M1190" s="733"/>
      <c r="N1190" s="734"/>
    </row>
    <row r="1191" spans="2:14" ht="14.25" hidden="1" customHeight="1" x14ac:dyDescent="0.25">
      <c r="B1191" s="740" t="s">
        <v>26</v>
      </c>
      <c r="C1191" s="741"/>
      <c r="D1191" s="119" t="s">
        <v>396</v>
      </c>
      <c r="E1191" s="742" t="s">
        <v>397</v>
      </c>
      <c r="F1191" s="733"/>
      <c r="G1191" s="733"/>
      <c r="H1191" s="736"/>
      <c r="I1191" s="742" t="s">
        <v>398</v>
      </c>
      <c r="J1191" s="733"/>
      <c r="K1191" s="736"/>
      <c r="L1191" s="742" t="s">
        <v>399</v>
      </c>
      <c r="M1191" s="733"/>
      <c r="N1191" s="734"/>
    </row>
    <row r="1192" spans="2:14" ht="14.25" hidden="1" customHeight="1" x14ac:dyDescent="0.25">
      <c r="B1192" s="777">
        <v>29</v>
      </c>
      <c r="C1192" s="736"/>
      <c r="D1192" s="123">
        <f>SUM(H1195:H1213)</f>
        <v>351.5</v>
      </c>
      <c r="E1192" s="778" t="s">
        <v>46</v>
      </c>
      <c r="F1192" s="733"/>
      <c r="G1192" s="733"/>
      <c r="H1192" s="736"/>
      <c r="I1192" s="744"/>
      <c r="J1192" s="745"/>
      <c r="K1192" s="741"/>
      <c r="L1192" s="744"/>
      <c r="M1192" s="745"/>
      <c r="N1192" s="752"/>
    </row>
    <row r="1193" spans="2:14" ht="14.25" hidden="1" customHeight="1" x14ac:dyDescent="0.25">
      <c r="B1193" s="755" t="s">
        <v>416</v>
      </c>
      <c r="C1193" s="733"/>
      <c r="D1193" s="733"/>
      <c r="E1193" s="733"/>
      <c r="F1193" s="733"/>
      <c r="G1193" s="733"/>
      <c r="H1193" s="736"/>
      <c r="I1193" s="746"/>
      <c r="J1193" s="747"/>
      <c r="K1193" s="748"/>
      <c r="L1193" s="746"/>
      <c r="M1193" s="747"/>
      <c r="N1193" s="753"/>
    </row>
    <row r="1194" spans="2:14" ht="14.25" hidden="1" customHeight="1" x14ac:dyDescent="0.25">
      <c r="B1194" s="121" t="s">
        <v>400</v>
      </c>
      <c r="C1194" s="122" t="s">
        <v>401</v>
      </c>
      <c r="D1194" s="123" t="s">
        <v>402</v>
      </c>
      <c r="E1194" s="123" t="s">
        <v>403</v>
      </c>
      <c r="F1194" s="123" t="s">
        <v>404</v>
      </c>
      <c r="G1194" s="123" t="s">
        <v>405</v>
      </c>
      <c r="H1194" s="123" t="s">
        <v>406</v>
      </c>
      <c r="I1194" s="746"/>
      <c r="J1194" s="747"/>
      <c r="K1194" s="748"/>
      <c r="L1194" s="746"/>
      <c r="M1194" s="747"/>
      <c r="N1194" s="753"/>
    </row>
    <row r="1195" spans="2:14" ht="14.25" hidden="1" customHeight="1" x14ac:dyDescent="0.25">
      <c r="B1195" s="124" t="s">
        <v>506</v>
      </c>
      <c r="C1195" s="125" t="s">
        <v>502</v>
      </c>
      <c r="D1195" s="125">
        <v>30</v>
      </c>
      <c r="E1195" s="125"/>
      <c r="F1195" s="125"/>
      <c r="G1195" s="125">
        <v>3.3</v>
      </c>
      <c r="H1195" s="125">
        <f t="shared" ref="H1195:H1198" si="36">D1195*G1195</f>
        <v>99</v>
      </c>
      <c r="I1195" s="746"/>
      <c r="J1195" s="747"/>
      <c r="K1195" s="748"/>
      <c r="L1195" s="746"/>
      <c r="M1195" s="747"/>
      <c r="N1195" s="753"/>
    </row>
    <row r="1196" spans="2:14" ht="14.25" hidden="1" customHeight="1" x14ac:dyDescent="0.25">
      <c r="B1196" s="124"/>
      <c r="C1196" s="125" t="s">
        <v>488</v>
      </c>
      <c r="D1196" s="125">
        <v>33</v>
      </c>
      <c r="E1196" s="125"/>
      <c r="F1196" s="125"/>
      <c r="G1196" s="125">
        <v>3.3</v>
      </c>
      <c r="H1196" s="125">
        <f t="shared" si="36"/>
        <v>108.89999999999999</v>
      </c>
      <c r="I1196" s="746"/>
      <c r="J1196" s="747"/>
      <c r="K1196" s="748"/>
      <c r="L1196" s="746"/>
      <c r="M1196" s="747"/>
      <c r="N1196" s="753"/>
    </row>
    <row r="1197" spans="2:14" ht="14.25" hidden="1" customHeight="1" x14ac:dyDescent="0.25">
      <c r="B1197" s="124"/>
      <c r="C1197" s="765" t="s">
        <v>494</v>
      </c>
      <c r="D1197" s="125">
        <v>42</v>
      </c>
      <c r="E1197" s="125"/>
      <c r="F1197" s="125"/>
      <c r="G1197" s="125">
        <v>3.3</v>
      </c>
      <c r="H1197" s="125">
        <f t="shared" si="36"/>
        <v>138.6</v>
      </c>
      <c r="I1197" s="746"/>
      <c r="J1197" s="747"/>
      <c r="K1197" s="748"/>
      <c r="L1197" s="746"/>
      <c r="M1197" s="747"/>
      <c r="N1197" s="753"/>
    </row>
    <row r="1198" spans="2:14" ht="14.25" hidden="1" customHeight="1" x14ac:dyDescent="0.25">
      <c r="B1198" s="124"/>
      <c r="C1198" s="781"/>
      <c r="D1198" s="125">
        <v>2</v>
      </c>
      <c r="E1198" s="125"/>
      <c r="F1198" s="125"/>
      <c r="G1198" s="125">
        <v>2.5</v>
      </c>
      <c r="H1198" s="125">
        <f t="shared" si="36"/>
        <v>5</v>
      </c>
      <c r="I1198" s="746"/>
      <c r="J1198" s="747"/>
      <c r="K1198" s="748"/>
      <c r="L1198" s="746"/>
      <c r="M1198" s="747"/>
      <c r="N1198" s="753"/>
    </row>
    <row r="1199" spans="2:14" ht="14.25" hidden="1" customHeight="1" x14ac:dyDescent="0.25">
      <c r="B1199" s="124"/>
      <c r="C1199" s="125"/>
      <c r="D1199" s="125"/>
      <c r="E1199" s="125"/>
      <c r="F1199" s="125"/>
      <c r="G1199" s="125"/>
      <c r="H1199" s="125"/>
      <c r="I1199" s="746"/>
      <c r="J1199" s="747"/>
      <c r="K1199" s="748"/>
      <c r="L1199" s="746"/>
      <c r="M1199" s="747"/>
      <c r="N1199" s="753"/>
    </row>
    <row r="1200" spans="2:14" ht="14.25" hidden="1" customHeight="1" x14ac:dyDescent="0.25">
      <c r="B1200" s="124"/>
      <c r="C1200" s="125"/>
      <c r="D1200" s="125"/>
      <c r="E1200" s="125"/>
      <c r="F1200" s="125"/>
      <c r="G1200" s="125"/>
      <c r="H1200" s="125"/>
      <c r="I1200" s="746"/>
      <c r="J1200" s="747"/>
      <c r="K1200" s="748"/>
      <c r="L1200" s="746"/>
      <c r="M1200" s="747"/>
      <c r="N1200" s="753"/>
    </row>
    <row r="1201" spans="2:14" ht="14.25" hidden="1" customHeight="1" x14ac:dyDescent="0.25">
      <c r="B1201" s="124"/>
      <c r="C1201" s="125"/>
      <c r="D1201" s="125"/>
      <c r="E1201" s="125"/>
      <c r="F1201" s="125"/>
      <c r="G1201" s="125"/>
      <c r="H1201" s="125"/>
      <c r="I1201" s="746"/>
      <c r="J1201" s="747"/>
      <c r="K1201" s="748"/>
      <c r="L1201" s="746"/>
      <c r="M1201" s="747"/>
      <c r="N1201" s="753"/>
    </row>
    <row r="1202" spans="2:14" ht="14.25" hidden="1" customHeight="1" x14ac:dyDescent="0.25">
      <c r="B1202" s="124"/>
      <c r="C1202" s="125"/>
      <c r="D1202" s="125"/>
      <c r="E1202" s="125"/>
      <c r="F1202" s="125"/>
      <c r="G1202" s="125"/>
      <c r="H1202" s="125"/>
      <c r="I1202" s="746"/>
      <c r="J1202" s="747"/>
      <c r="K1202" s="748"/>
      <c r="L1202" s="746"/>
      <c r="M1202" s="747"/>
      <c r="N1202" s="753"/>
    </row>
    <row r="1203" spans="2:14" ht="14.25" hidden="1" customHeight="1" x14ac:dyDescent="0.25">
      <c r="B1203" s="124"/>
      <c r="C1203" s="125"/>
      <c r="D1203" s="125"/>
      <c r="E1203" s="125"/>
      <c r="F1203" s="125"/>
      <c r="G1203" s="125"/>
      <c r="H1203" s="125"/>
      <c r="I1203" s="746"/>
      <c r="J1203" s="747"/>
      <c r="K1203" s="748"/>
      <c r="L1203" s="746"/>
      <c r="M1203" s="747"/>
      <c r="N1203" s="753"/>
    </row>
    <row r="1204" spans="2:14" ht="14.25" hidden="1" customHeight="1" x14ac:dyDescent="0.25">
      <c r="B1204" s="124"/>
      <c r="C1204" s="125"/>
      <c r="D1204" s="125"/>
      <c r="E1204" s="125"/>
      <c r="F1204" s="125"/>
      <c r="G1204" s="125"/>
      <c r="H1204" s="125"/>
      <c r="I1204" s="746"/>
      <c r="J1204" s="747"/>
      <c r="K1204" s="748"/>
      <c r="L1204" s="746"/>
      <c r="M1204" s="747"/>
      <c r="N1204" s="753"/>
    </row>
    <row r="1205" spans="2:14" ht="14.25" hidden="1" customHeight="1" x14ac:dyDescent="0.25">
      <c r="B1205" s="124"/>
      <c r="C1205" s="125"/>
      <c r="D1205" s="125"/>
      <c r="E1205" s="125"/>
      <c r="F1205" s="125"/>
      <c r="G1205" s="125"/>
      <c r="H1205" s="125"/>
      <c r="I1205" s="746"/>
      <c r="J1205" s="747"/>
      <c r="K1205" s="748"/>
      <c r="L1205" s="746"/>
      <c r="M1205" s="747"/>
      <c r="N1205" s="753"/>
    </row>
    <row r="1206" spans="2:14" ht="14.25" hidden="1" customHeight="1" x14ac:dyDescent="0.25">
      <c r="B1206" s="124"/>
      <c r="C1206" s="125"/>
      <c r="D1206" s="125"/>
      <c r="E1206" s="125"/>
      <c r="F1206" s="125"/>
      <c r="G1206" s="125"/>
      <c r="H1206" s="125"/>
      <c r="I1206" s="746"/>
      <c r="J1206" s="747"/>
      <c r="K1206" s="748"/>
      <c r="L1206" s="746"/>
      <c r="M1206" s="747"/>
      <c r="N1206" s="753"/>
    </row>
    <row r="1207" spans="2:14" ht="14.25" hidden="1" customHeight="1" x14ac:dyDescent="0.25">
      <c r="B1207" s="124"/>
      <c r="C1207" s="125"/>
      <c r="D1207" s="125"/>
      <c r="E1207" s="125"/>
      <c r="F1207" s="125"/>
      <c r="G1207" s="125"/>
      <c r="H1207" s="125"/>
      <c r="I1207" s="746"/>
      <c r="J1207" s="747"/>
      <c r="K1207" s="748"/>
      <c r="L1207" s="746"/>
      <c r="M1207" s="747"/>
      <c r="N1207" s="753"/>
    </row>
    <row r="1208" spans="2:14" ht="14.25" hidden="1" customHeight="1" x14ac:dyDescent="0.25">
      <c r="B1208" s="124"/>
      <c r="C1208" s="125"/>
      <c r="D1208" s="125"/>
      <c r="E1208" s="125"/>
      <c r="F1208" s="125"/>
      <c r="G1208" s="125"/>
      <c r="H1208" s="125"/>
      <c r="I1208" s="746"/>
      <c r="J1208" s="747"/>
      <c r="K1208" s="748"/>
      <c r="L1208" s="746"/>
      <c r="M1208" s="747"/>
      <c r="N1208" s="753"/>
    </row>
    <row r="1209" spans="2:14" ht="14.25" hidden="1" customHeight="1" x14ac:dyDescent="0.25">
      <c r="B1209" s="124"/>
      <c r="C1209" s="125"/>
      <c r="D1209" s="125"/>
      <c r="E1209" s="125"/>
      <c r="F1209" s="125"/>
      <c r="G1209" s="125"/>
      <c r="H1209" s="125"/>
      <c r="I1209" s="746"/>
      <c r="J1209" s="747"/>
      <c r="K1209" s="748"/>
      <c r="L1209" s="746"/>
      <c r="M1209" s="747"/>
      <c r="N1209" s="753"/>
    </row>
    <row r="1210" spans="2:14" ht="14.25" hidden="1" customHeight="1" x14ac:dyDescent="0.25">
      <c r="B1210" s="124"/>
      <c r="C1210" s="125"/>
      <c r="D1210" s="125"/>
      <c r="E1210" s="125"/>
      <c r="F1210" s="125"/>
      <c r="G1210" s="125"/>
      <c r="H1210" s="125"/>
      <c r="I1210" s="746"/>
      <c r="J1210" s="747"/>
      <c r="K1210" s="748"/>
      <c r="L1210" s="746"/>
      <c r="M1210" s="747"/>
      <c r="N1210" s="753"/>
    </row>
    <row r="1211" spans="2:14" ht="14.25" hidden="1" customHeight="1" x14ac:dyDescent="0.25">
      <c r="B1211" s="124"/>
      <c r="C1211" s="125"/>
      <c r="D1211" s="125"/>
      <c r="E1211" s="125"/>
      <c r="F1211" s="125"/>
      <c r="G1211" s="125"/>
      <c r="H1211" s="125"/>
      <c r="I1211" s="746"/>
      <c r="J1211" s="747"/>
      <c r="K1211" s="748"/>
      <c r="L1211" s="746"/>
      <c r="M1211" s="747"/>
      <c r="N1211" s="753"/>
    </row>
    <row r="1212" spans="2:14" ht="14.25" hidden="1" customHeight="1" x14ac:dyDescent="0.25">
      <c r="B1212" s="124"/>
      <c r="C1212" s="125"/>
      <c r="D1212" s="125"/>
      <c r="E1212" s="125"/>
      <c r="F1212" s="125"/>
      <c r="G1212" s="125"/>
      <c r="H1212" s="125"/>
      <c r="I1212" s="746"/>
      <c r="J1212" s="747"/>
      <c r="K1212" s="748"/>
      <c r="L1212" s="746"/>
      <c r="M1212" s="747"/>
      <c r="N1212" s="753"/>
    </row>
    <row r="1213" spans="2:14" ht="14.25" hidden="1" customHeight="1" x14ac:dyDescent="0.25">
      <c r="B1213" s="127"/>
      <c r="C1213" s="125"/>
      <c r="D1213" s="125"/>
      <c r="E1213" s="125"/>
      <c r="F1213" s="125"/>
      <c r="G1213" s="125"/>
      <c r="H1213" s="125"/>
      <c r="I1213" s="749"/>
      <c r="J1213" s="750"/>
      <c r="K1213" s="751"/>
      <c r="L1213" s="749"/>
      <c r="M1213" s="750"/>
      <c r="N1213" s="754"/>
    </row>
    <row r="1214" spans="2:14" ht="14.25" hidden="1" customHeight="1" x14ac:dyDescent="0.25">
      <c r="B1214" s="209"/>
      <c r="C1214" s="118"/>
      <c r="D1214" s="118"/>
      <c r="E1214" s="118"/>
      <c r="F1214" s="118"/>
      <c r="G1214" s="118"/>
      <c r="H1214" s="118"/>
      <c r="I1214" s="118"/>
      <c r="J1214" s="118"/>
      <c r="K1214" s="118"/>
      <c r="L1214" s="118"/>
      <c r="M1214" s="118"/>
      <c r="N1214" s="210"/>
    </row>
    <row r="1215" spans="2:14" ht="14.25" hidden="1" customHeight="1" x14ac:dyDescent="0.25">
      <c r="B1215" s="209"/>
      <c r="C1215" s="118"/>
      <c r="D1215" s="118"/>
      <c r="E1215" s="118"/>
      <c r="F1215" s="118"/>
      <c r="G1215" s="118"/>
      <c r="H1215" s="118"/>
      <c r="I1215" s="118"/>
      <c r="J1215" s="118"/>
      <c r="K1215" s="118"/>
      <c r="L1215" s="118"/>
      <c r="M1215" s="118"/>
      <c r="N1215" s="210"/>
    </row>
    <row r="1216" spans="2:14" ht="14.25" hidden="1" customHeight="1" x14ac:dyDescent="0.25">
      <c r="B1216" s="209"/>
      <c r="C1216" s="118"/>
      <c r="D1216" s="118"/>
      <c r="E1216" s="118"/>
      <c r="F1216" s="118"/>
      <c r="G1216" s="118"/>
      <c r="H1216" s="118"/>
      <c r="I1216" s="118"/>
      <c r="J1216" s="118"/>
      <c r="K1216" s="118"/>
      <c r="L1216" s="118"/>
      <c r="M1216" s="118"/>
      <c r="N1216" s="210"/>
    </row>
    <row r="1217" spans="2:14" ht="14.25" hidden="1" customHeight="1" x14ac:dyDescent="0.25">
      <c r="B1217" s="209"/>
      <c r="C1217" s="118"/>
      <c r="D1217" s="118"/>
      <c r="E1217" s="118"/>
      <c r="F1217" s="118"/>
      <c r="G1217" s="118"/>
      <c r="H1217" s="118"/>
      <c r="I1217" s="118"/>
      <c r="J1217" s="118"/>
      <c r="K1217" s="118"/>
      <c r="L1217" s="118"/>
      <c r="M1217" s="118"/>
      <c r="N1217" s="210"/>
    </row>
    <row r="1218" spans="2:14" ht="14.25" hidden="1" customHeight="1" x14ac:dyDescent="0.25">
      <c r="B1218" s="775" t="s">
        <v>414</v>
      </c>
      <c r="C1218" s="747"/>
      <c r="D1218" s="747"/>
      <c r="E1218" s="128"/>
      <c r="F1218" s="128"/>
      <c r="G1218" s="128"/>
      <c r="H1218" s="128"/>
      <c r="I1218" s="776"/>
      <c r="J1218" s="747"/>
      <c r="K1218" s="747"/>
      <c r="L1218" s="118"/>
      <c r="M1218" s="118"/>
      <c r="N1218" s="210"/>
    </row>
    <row r="1219" spans="2:14" ht="14.25" hidden="1" customHeight="1" x14ac:dyDescent="0.25">
      <c r="B1219" s="129"/>
      <c r="C1219" s="130"/>
      <c r="D1219" s="130"/>
      <c r="E1219" s="130"/>
      <c r="F1219" s="130"/>
      <c r="G1219" s="130"/>
      <c r="H1219" s="130"/>
      <c r="I1219" s="130"/>
      <c r="J1219" s="130"/>
      <c r="K1219" s="130"/>
      <c r="L1219" s="130"/>
      <c r="M1219" s="130"/>
      <c r="N1219" s="131"/>
    </row>
    <row r="1220" spans="2:14" ht="14.25" hidden="1" customHeight="1" x14ac:dyDescent="0.25">
      <c r="B1220" s="132"/>
      <c r="C1220" s="132"/>
      <c r="D1220" s="132"/>
      <c r="E1220" s="132"/>
      <c r="F1220" s="132"/>
      <c r="G1220" s="132"/>
      <c r="H1220" s="132"/>
      <c r="I1220" s="132"/>
      <c r="J1220" s="132"/>
      <c r="K1220" s="132"/>
      <c r="L1220" s="132"/>
      <c r="M1220" s="132"/>
      <c r="N1220" s="132"/>
    </row>
    <row r="1221" spans="2:14" ht="42.75" hidden="1" customHeight="1" x14ac:dyDescent="0.25">
      <c r="B1221" s="728"/>
      <c r="C1221" s="729"/>
      <c r="D1221" s="730" t="s">
        <v>393</v>
      </c>
      <c r="E1221" s="729"/>
      <c r="F1221" s="729"/>
      <c r="G1221" s="729"/>
      <c r="H1221" s="729"/>
      <c r="I1221" s="729"/>
      <c r="J1221" s="729"/>
      <c r="K1221" s="729"/>
      <c r="L1221" s="729"/>
      <c r="M1221" s="729"/>
      <c r="N1221" s="731"/>
    </row>
    <row r="1222" spans="2:14" ht="14.25" hidden="1" customHeight="1" x14ac:dyDescent="0.25">
      <c r="B1222" s="732" t="s">
        <v>394</v>
      </c>
      <c r="C1222" s="733"/>
      <c r="D1222" s="733"/>
      <c r="E1222" s="733"/>
      <c r="F1222" s="733"/>
      <c r="G1222" s="733"/>
      <c r="H1222" s="733"/>
      <c r="I1222" s="733"/>
      <c r="J1222" s="733"/>
      <c r="K1222" s="733"/>
      <c r="L1222" s="733"/>
      <c r="M1222" s="733"/>
      <c r="N1222" s="734"/>
    </row>
    <row r="1223" spans="2:14" ht="14.25" hidden="1" customHeight="1" x14ac:dyDescent="0.25">
      <c r="B1223" s="735" t="s">
        <v>395</v>
      </c>
      <c r="C1223" s="736"/>
      <c r="D1223" s="779" t="s">
        <v>115</v>
      </c>
      <c r="E1223" s="733"/>
      <c r="F1223" s="733"/>
      <c r="G1223" s="733"/>
      <c r="H1223" s="733"/>
      <c r="I1223" s="733"/>
      <c r="J1223" s="733"/>
      <c r="K1223" s="733"/>
      <c r="L1223" s="733"/>
      <c r="M1223" s="733"/>
      <c r="N1223" s="734"/>
    </row>
    <row r="1224" spans="2:14" ht="14.25" hidden="1" customHeight="1" x14ac:dyDescent="0.25">
      <c r="B1224" s="740" t="s">
        <v>26</v>
      </c>
      <c r="C1224" s="741"/>
      <c r="D1224" s="119" t="s">
        <v>396</v>
      </c>
      <c r="E1224" s="742" t="s">
        <v>397</v>
      </c>
      <c r="F1224" s="733"/>
      <c r="G1224" s="733"/>
      <c r="H1224" s="736"/>
      <c r="I1224" s="742" t="s">
        <v>398</v>
      </c>
      <c r="J1224" s="733"/>
      <c r="K1224" s="736"/>
      <c r="L1224" s="742" t="s">
        <v>399</v>
      </c>
      <c r="M1224" s="733"/>
      <c r="N1224" s="734"/>
    </row>
    <row r="1225" spans="2:14" ht="14.25" hidden="1" customHeight="1" x14ac:dyDescent="0.25">
      <c r="B1225" s="777">
        <v>30</v>
      </c>
      <c r="C1225" s="736"/>
      <c r="D1225" s="123">
        <f>SUM(H1228:H1246)*50%</f>
        <v>175.75</v>
      </c>
      <c r="E1225" s="778" t="s">
        <v>46</v>
      </c>
      <c r="F1225" s="733"/>
      <c r="G1225" s="733"/>
      <c r="H1225" s="736"/>
      <c r="I1225" s="744"/>
      <c r="J1225" s="745"/>
      <c r="K1225" s="741"/>
      <c r="L1225" s="744"/>
      <c r="M1225" s="745"/>
      <c r="N1225" s="752"/>
    </row>
    <row r="1226" spans="2:14" ht="14.25" hidden="1" customHeight="1" x14ac:dyDescent="0.25">
      <c r="B1226" s="755" t="s">
        <v>416</v>
      </c>
      <c r="C1226" s="733"/>
      <c r="D1226" s="733"/>
      <c r="E1226" s="733"/>
      <c r="F1226" s="733"/>
      <c r="G1226" s="733"/>
      <c r="H1226" s="736"/>
      <c r="I1226" s="746"/>
      <c r="J1226" s="747"/>
      <c r="K1226" s="748"/>
      <c r="L1226" s="746"/>
      <c r="M1226" s="747"/>
      <c r="N1226" s="753"/>
    </row>
    <row r="1227" spans="2:14" ht="14.25" hidden="1" customHeight="1" x14ac:dyDescent="0.25">
      <c r="B1227" s="121" t="s">
        <v>400</v>
      </c>
      <c r="C1227" s="122" t="s">
        <v>401</v>
      </c>
      <c r="D1227" s="123" t="s">
        <v>402</v>
      </c>
      <c r="E1227" s="123" t="s">
        <v>403</v>
      </c>
      <c r="F1227" s="123" t="s">
        <v>404</v>
      </c>
      <c r="G1227" s="123" t="s">
        <v>405</v>
      </c>
      <c r="H1227" s="123" t="s">
        <v>406</v>
      </c>
      <c r="I1227" s="746"/>
      <c r="J1227" s="747"/>
      <c r="K1227" s="748"/>
      <c r="L1227" s="746"/>
      <c r="M1227" s="747"/>
      <c r="N1227" s="753"/>
    </row>
    <row r="1228" spans="2:14" ht="14.25" hidden="1" customHeight="1" x14ac:dyDescent="0.25">
      <c r="B1228" s="124" t="s">
        <v>506</v>
      </c>
      <c r="C1228" s="125" t="s">
        <v>502</v>
      </c>
      <c r="D1228" s="125">
        <v>30</v>
      </c>
      <c r="E1228" s="125"/>
      <c r="F1228" s="125"/>
      <c r="G1228" s="125">
        <v>3.3</v>
      </c>
      <c r="H1228" s="125">
        <f t="shared" ref="H1228:H1231" si="37">D1228*G1228</f>
        <v>99</v>
      </c>
      <c r="I1228" s="746"/>
      <c r="J1228" s="747"/>
      <c r="K1228" s="748"/>
      <c r="L1228" s="746"/>
      <c r="M1228" s="747"/>
      <c r="N1228" s="753"/>
    </row>
    <row r="1229" spans="2:14" ht="14.25" hidden="1" customHeight="1" x14ac:dyDescent="0.25">
      <c r="B1229" s="124"/>
      <c r="C1229" s="125" t="s">
        <v>488</v>
      </c>
      <c r="D1229" s="125">
        <v>33</v>
      </c>
      <c r="E1229" s="125"/>
      <c r="F1229" s="125"/>
      <c r="G1229" s="125">
        <v>3.3</v>
      </c>
      <c r="H1229" s="125">
        <f t="shared" si="37"/>
        <v>108.89999999999999</v>
      </c>
      <c r="I1229" s="746"/>
      <c r="J1229" s="747"/>
      <c r="K1229" s="748"/>
      <c r="L1229" s="746"/>
      <c r="M1229" s="747"/>
      <c r="N1229" s="753"/>
    </row>
    <row r="1230" spans="2:14" ht="14.25" hidden="1" customHeight="1" x14ac:dyDescent="0.25">
      <c r="B1230" s="124"/>
      <c r="C1230" s="765" t="s">
        <v>494</v>
      </c>
      <c r="D1230" s="125">
        <v>42</v>
      </c>
      <c r="E1230" s="125"/>
      <c r="F1230" s="125"/>
      <c r="G1230" s="125">
        <v>3.3</v>
      </c>
      <c r="H1230" s="125">
        <f t="shared" si="37"/>
        <v>138.6</v>
      </c>
      <c r="I1230" s="746"/>
      <c r="J1230" s="747"/>
      <c r="K1230" s="748"/>
      <c r="L1230" s="746"/>
      <c r="M1230" s="747"/>
      <c r="N1230" s="753"/>
    </row>
    <row r="1231" spans="2:14" ht="14.25" hidden="1" customHeight="1" x14ac:dyDescent="0.25">
      <c r="B1231" s="124"/>
      <c r="C1231" s="781"/>
      <c r="D1231" s="125">
        <v>2</v>
      </c>
      <c r="E1231" s="125"/>
      <c r="F1231" s="125"/>
      <c r="G1231" s="125">
        <v>2.5</v>
      </c>
      <c r="H1231" s="125">
        <f t="shared" si="37"/>
        <v>5</v>
      </c>
      <c r="I1231" s="746"/>
      <c r="J1231" s="747"/>
      <c r="K1231" s="748"/>
      <c r="L1231" s="746"/>
      <c r="M1231" s="747"/>
      <c r="N1231" s="753"/>
    </row>
    <row r="1232" spans="2:14" ht="14.25" hidden="1" customHeight="1" x14ac:dyDescent="0.25">
      <c r="B1232" s="124"/>
      <c r="C1232" s="125"/>
      <c r="D1232" s="125"/>
      <c r="E1232" s="125"/>
      <c r="F1232" s="125"/>
      <c r="G1232" s="125"/>
      <c r="H1232" s="125"/>
      <c r="I1232" s="746"/>
      <c r="J1232" s="747"/>
      <c r="K1232" s="748"/>
      <c r="L1232" s="746"/>
      <c r="M1232" s="747"/>
      <c r="N1232" s="753"/>
    </row>
    <row r="1233" spans="2:14" ht="14.25" hidden="1" customHeight="1" x14ac:dyDescent="0.25">
      <c r="B1233" s="124"/>
      <c r="C1233" s="125"/>
      <c r="D1233" s="125"/>
      <c r="E1233" s="125"/>
      <c r="F1233" s="125"/>
      <c r="G1233" s="125"/>
      <c r="H1233" s="125"/>
      <c r="I1233" s="746"/>
      <c r="J1233" s="747"/>
      <c r="K1233" s="748"/>
      <c r="L1233" s="746"/>
      <c r="M1233" s="747"/>
      <c r="N1233" s="753"/>
    </row>
    <row r="1234" spans="2:14" ht="14.25" hidden="1" customHeight="1" x14ac:dyDescent="0.25">
      <c r="B1234" s="124"/>
      <c r="C1234" s="125"/>
      <c r="D1234" s="125"/>
      <c r="E1234" s="125"/>
      <c r="F1234" s="125"/>
      <c r="G1234" s="125"/>
      <c r="H1234" s="125"/>
      <c r="I1234" s="746"/>
      <c r="J1234" s="747"/>
      <c r="K1234" s="748"/>
      <c r="L1234" s="746"/>
      <c r="M1234" s="747"/>
      <c r="N1234" s="753"/>
    </row>
    <row r="1235" spans="2:14" ht="14.25" hidden="1" customHeight="1" x14ac:dyDescent="0.25">
      <c r="B1235" s="124"/>
      <c r="C1235" s="125"/>
      <c r="D1235" s="125"/>
      <c r="E1235" s="125"/>
      <c r="F1235" s="125"/>
      <c r="G1235" s="125"/>
      <c r="H1235" s="125"/>
      <c r="I1235" s="746"/>
      <c r="J1235" s="747"/>
      <c r="K1235" s="748"/>
      <c r="L1235" s="746"/>
      <c r="M1235" s="747"/>
      <c r="N1235" s="753"/>
    </row>
    <row r="1236" spans="2:14" ht="14.25" hidden="1" customHeight="1" x14ac:dyDescent="0.25">
      <c r="B1236" s="124"/>
      <c r="C1236" s="125"/>
      <c r="D1236" s="125"/>
      <c r="E1236" s="125"/>
      <c r="F1236" s="125"/>
      <c r="G1236" s="125"/>
      <c r="H1236" s="125"/>
      <c r="I1236" s="746"/>
      <c r="J1236" s="747"/>
      <c r="K1236" s="748"/>
      <c r="L1236" s="746"/>
      <c r="M1236" s="747"/>
      <c r="N1236" s="753"/>
    </row>
    <row r="1237" spans="2:14" ht="14.25" hidden="1" customHeight="1" x14ac:dyDescent="0.25">
      <c r="B1237" s="124"/>
      <c r="C1237" s="125"/>
      <c r="D1237" s="125"/>
      <c r="E1237" s="125"/>
      <c r="F1237" s="125"/>
      <c r="G1237" s="125"/>
      <c r="H1237" s="125"/>
      <c r="I1237" s="746"/>
      <c r="J1237" s="747"/>
      <c r="K1237" s="748"/>
      <c r="L1237" s="746"/>
      <c r="M1237" s="747"/>
      <c r="N1237" s="753"/>
    </row>
    <row r="1238" spans="2:14" ht="14.25" hidden="1" customHeight="1" x14ac:dyDescent="0.25">
      <c r="B1238" s="124"/>
      <c r="C1238" s="125"/>
      <c r="D1238" s="125"/>
      <c r="E1238" s="125"/>
      <c r="F1238" s="125"/>
      <c r="G1238" s="125"/>
      <c r="H1238" s="125"/>
      <c r="I1238" s="746"/>
      <c r="J1238" s="747"/>
      <c r="K1238" s="748"/>
      <c r="L1238" s="746"/>
      <c r="M1238" s="747"/>
      <c r="N1238" s="753"/>
    </row>
    <row r="1239" spans="2:14" ht="14.25" hidden="1" customHeight="1" x14ac:dyDescent="0.25">
      <c r="B1239" s="124"/>
      <c r="C1239" s="125"/>
      <c r="D1239" s="125"/>
      <c r="E1239" s="125"/>
      <c r="F1239" s="125"/>
      <c r="G1239" s="125"/>
      <c r="H1239" s="125"/>
      <c r="I1239" s="746"/>
      <c r="J1239" s="747"/>
      <c r="K1239" s="748"/>
      <c r="L1239" s="746"/>
      <c r="M1239" s="747"/>
      <c r="N1239" s="753"/>
    </row>
    <row r="1240" spans="2:14" ht="14.25" hidden="1" customHeight="1" x14ac:dyDescent="0.25">
      <c r="B1240" s="124"/>
      <c r="C1240" s="125"/>
      <c r="D1240" s="125"/>
      <c r="E1240" s="125"/>
      <c r="F1240" s="125"/>
      <c r="G1240" s="125"/>
      <c r="H1240" s="125"/>
      <c r="I1240" s="746"/>
      <c r="J1240" s="747"/>
      <c r="K1240" s="748"/>
      <c r="L1240" s="746"/>
      <c r="M1240" s="747"/>
      <c r="N1240" s="753"/>
    </row>
    <row r="1241" spans="2:14" ht="14.25" hidden="1" customHeight="1" x14ac:dyDescent="0.25">
      <c r="B1241" s="124"/>
      <c r="C1241" s="125"/>
      <c r="D1241" s="125"/>
      <c r="E1241" s="125"/>
      <c r="F1241" s="125"/>
      <c r="G1241" s="125"/>
      <c r="H1241" s="125"/>
      <c r="I1241" s="746"/>
      <c r="J1241" s="747"/>
      <c r="K1241" s="748"/>
      <c r="L1241" s="746"/>
      <c r="M1241" s="747"/>
      <c r="N1241" s="753"/>
    </row>
    <row r="1242" spans="2:14" ht="14.25" hidden="1" customHeight="1" x14ac:dyDescent="0.25">
      <c r="B1242" s="124"/>
      <c r="C1242" s="125"/>
      <c r="D1242" s="125"/>
      <c r="E1242" s="125"/>
      <c r="F1242" s="125"/>
      <c r="G1242" s="125"/>
      <c r="H1242" s="125"/>
      <c r="I1242" s="746"/>
      <c r="J1242" s="747"/>
      <c r="K1242" s="748"/>
      <c r="L1242" s="746"/>
      <c r="M1242" s="747"/>
      <c r="N1242" s="753"/>
    </row>
    <row r="1243" spans="2:14" ht="14.25" hidden="1" customHeight="1" x14ac:dyDescent="0.25">
      <c r="B1243" s="124"/>
      <c r="C1243" s="125"/>
      <c r="D1243" s="125"/>
      <c r="E1243" s="125"/>
      <c r="F1243" s="125"/>
      <c r="G1243" s="125"/>
      <c r="H1243" s="125"/>
      <c r="I1243" s="746"/>
      <c r="J1243" s="747"/>
      <c r="K1243" s="748"/>
      <c r="L1243" s="746"/>
      <c r="M1243" s="747"/>
      <c r="N1243" s="753"/>
    </row>
    <row r="1244" spans="2:14" ht="14.25" hidden="1" customHeight="1" x14ac:dyDescent="0.25">
      <c r="B1244" s="124"/>
      <c r="C1244" s="125"/>
      <c r="D1244" s="125"/>
      <c r="E1244" s="125"/>
      <c r="F1244" s="125"/>
      <c r="G1244" s="125"/>
      <c r="H1244" s="125"/>
      <c r="I1244" s="746"/>
      <c r="J1244" s="747"/>
      <c r="K1244" s="748"/>
      <c r="L1244" s="746"/>
      <c r="M1244" s="747"/>
      <c r="N1244" s="753"/>
    </row>
    <row r="1245" spans="2:14" ht="14.25" hidden="1" customHeight="1" x14ac:dyDescent="0.25">
      <c r="B1245" s="124"/>
      <c r="C1245" s="125"/>
      <c r="D1245" s="125"/>
      <c r="E1245" s="125"/>
      <c r="F1245" s="125"/>
      <c r="G1245" s="125"/>
      <c r="H1245" s="125"/>
      <c r="I1245" s="746"/>
      <c r="J1245" s="747"/>
      <c r="K1245" s="748"/>
      <c r="L1245" s="746"/>
      <c r="M1245" s="747"/>
      <c r="N1245" s="753"/>
    </row>
    <row r="1246" spans="2:14" ht="14.25" hidden="1" customHeight="1" x14ac:dyDescent="0.25">
      <c r="B1246" s="127"/>
      <c r="C1246" s="125"/>
      <c r="D1246" s="125"/>
      <c r="E1246" s="125"/>
      <c r="F1246" s="125"/>
      <c r="G1246" s="125"/>
      <c r="H1246" s="125"/>
      <c r="I1246" s="749"/>
      <c r="J1246" s="750"/>
      <c r="K1246" s="751"/>
      <c r="L1246" s="749"/>
      <c r="M1246" s="750"/>
      <c r="N1246" s="754"/>
    </row>
    <row r="1247" spans="2:14" ht="14.25" hidden="1" customHeight="1" x14ac:dyDescent="0.25">
      <c r="B1247" s="209"/>
      <c r="C1247" s="118"/>
      <c r="D1247" s="118"/>
      <c r="E1247" s="118"/>
      <c r="F1247" s="118"/>
      <c r="G1247" s="118"/>
      <c r="H1247" s="118"/>
      <c r="I1247" s="118"/>
      <c r="J1247" s="118"/>
      <c r="K1247" s="118"/>
      <c r="L1247" s="118"/>
      <c r="M1247" s="118"/>
      <c r="N1247" s="210"/>
    </row>
    <row r="1248" spans="2:14" ht="14.25" hidden="1" customHeight="1" x14ac:dyDescent="0.25">
      <c r="B1248" s="209"/>
      <c r="C1248" s="118"/>
      <c r="D1248" s="118"/>
      <c r="E1248" s="118"/>
      <c r="F1248" s="118"/>
      <c r="G1248" s="118"/>
      <c r="H1248" s="118"/>
      <c r="I1248" s="118"/>
      <c r="J1248" s="118"/>
      <c r="K1248" s="118"/>
      <c r="L1248" s="118"/>
      <c r="M1248" s="118"/>
      <c r="N1248" s="210"/>
    </row>
    <row r="1249" spans="2:14" ht="14.25" hidden="1" customHeight="1" x14ac:dyDescent="0.25">
      <c r="B1249" s="209"/>
      <c r="C1249" s="118"/>
      <c r="D1249" s="118"/>
      <c r="E1249" s="118"/>
      <c r="F1249" s="118"/>
      <c r="G1249" s="118"/>
      <c r="H1249" s="118"/>
      <c r="I1249" s="118"/>
      <c r="J1249" s="118"/>
      <c r="K1249" s="118"/>
      <c r="L1249" s="118"/>
      <c r="M1249" s="118"/>
      <c r="N1249" s="210"/>
    </row>
    <row r="1250" spans="2:14" ht="14.25" hidden="1" customHeight="1" x14ac:dyDescent="0.25">
      <c r="B1250" s="209"/>
      <c r="C1250" s="118"/>
      <c r="D1250" s="118"/>
      <c r="E1250" s="118"/>
      <c r="F1250" s="118"/>
      <c r="G1250" s="118"/>
      <c r="H1250" s="118"/>
      <c r="I1250" s="118"/>
      <c r="J1250" s="118"/>
      <c r="K1250" s="118"/>
      <c r="L1250" s="118"/>
      <c r="M1250" s="118"/>
      <c r="N1250" s="210"/>
    </row>
    <row r="1251" spans="2:14" ht="14.25" hidden="1" customHeight="1" x14ac:dyDescent="0.25">
      <c r="B1251" s="775" t="s">
        <v>414</v>
      </c>
      <c r="C1251" s="747"/>
      <c r="D1251" s="747"/>
      <c r="E1251" s="128"/>
      <c r="F1251" s="128"/>
      <c r="G1251" s="128"/>
      <c r="H1251" s="128"/>
      <c r="I1251" s="776"/>
      <c r="J1251" s="747"/>
      <c r="K1251" s="747"/>
      <c r="L1251" s="118"/>
      <c r="M1251" s="118"/>
      <c r="N1251" s="210"/>
    </row>
    <row r="1252" spans="2:14" ht="14.25" hidden="1" customHeight="1" x14ac:dyDescent="0.25">
      <c r="B1252" s="129"/>
      <c r="C1252" s="130"/>
      <c r="D1252" s="130"/>
      <c r="E1252" s="130"/>
      <c r="F1252" s="130"/>
      <c r="G1252" s="130"/>
      <c r="H1252" s="130"/>
      <c r="I1252" s="130"/>
      <c r="J1252" s="130"/>
      <c r="K1252" s="130"/>
      <c r="L1252" s="130"/>
      <c r="M1252" s="130"/>
      <c r="N1252" s="131"/>
    </row>
    <row r="1253" spans="2:14" ht="14.25" hidden="1" customHeight="1" x14ac:dyDescent="0.25">
      <c r="B1253" s="132"/>
      <c r="C1253" s="132"/>
      <c r="D1253" s="132"/>
      <c r="E1253" s="132"/>
      <c r="F1253" s="132"/>
      <c r="G1253" s="132"/>
      <c r="H1253" s="132"/>
      <c r="I1253" s="132"/>
      <c r="J1253" s="132"/>
      <c r="K1253" s="132"/>
      <c r="L1253" s="132"/>
      <c r="M1253" s="132"/>
      <c r="N1253" s="132"/>
    </row>
    <row r="1254" spans="2:14" ht="42.75" hidden="1" customHeight="1" x14ac:dyDescent="0.25">
      <c r="B1254" s="728"/>
      <c r="C1254" s="729"/>
      <c r="D1254" s="730" t="s">
        <v>393</v>
      </c>
      <c r="E1254" s="729"/>
      <c r="F1254" s="729"/>
      <c r="G1254" s="729"/>
      <c r="H1254" s="729"/>
      <c r="I1254" s="729"/>
      <c r="J1254" s="729"/>
      <c r="K1254" s="729"/>
      <c r="L1254" s="729"/>
      <c r="M1254" s="729"/>
      <c r="N1254" s="731"/>
    </row>
    <row r="1255" spans="2:14" ht="18.75" hidden="1" customHeight="1" x14ac:dyDescent="0.25">
      <c r="B1255" s="732" t="s">
        <v>394</v>
      </c>
      <c r="C1255" s="733"/>
      <c r="D1255" s="733"/>
      <c r="E1255" s="733"/>
      <c r="F1255" s="733"/>
      <c r="G1255" s="733"/>
      <c r="H1255" s="733"/>
      <c r="I1255" s="733"/>
      <c r="J1255" s="733"/>
      <c r="K1255" s="733"/>
      <c r="L1255" s="733"/>
      <c r="M1255" s="733"/>
      <c r="N1255" s="734"/>
    </row>
    <row r="1256" spans="2:14" ht="14.25" hidden="1" customHeight="1" x14ac:dyDescent="0.25">
      <c r="B1256" s="735" t="s">
        <v>395</v>
      </c>
      <c r="C1256" s="736"/>
      <c r="D1256" s="779" t="s">
        <v>124</v>
      </c>
      <c r="E1256" s="733"/>
      <c r="F1256" s="733"/>
      <c r="G1256" s="733"/>
      <c r="H1256" s="733"/>
      <c r="I1256" s="733"/>
      <c r="J1256" s="733"/>
      <c r="K1256" s="733"/>
      <c r="L1256" s="733"/>
      <c r="M1256" s="733"/>
      <c r="N1256" s="734"/>
    </row>
    <row r="1257" spans="2:14" ht="14.25" hidden="1" customHeight="1" x14ac:dyDescent="0.25">
      <c r="B1257" s="740" t="s">
        <v>26</v>
      </c>
      <c r="C1257" s="741"/>
      <c r="D1257" s="119" t="s">
        <v>396</v>
      </c>
      <c r="E1257" s="742" t="s">
        <v>397</v>
      </c>
      <c r="F1257" s="733"/>
      <c r="G1257" s="733"/>
      <c r="H1257" s="736"/>
      <c r="I1257" s="742" t="s">
        <v>398</v>
      </c>
      <c r="J1257" s="733"/>
      <c r="K1257" s="736"/>
      <c r="L1257" s="742" t="s">
        <v>399</v>
      </c>
      <c r="M1257" s="733"/>
      <c r="N1257" s="734"/>
    </row>
    <row r="1258" spans="2:14" ht="14.25" hidden="1" customHeight="1" x14ac:dyDescent="0.25">
      <c r="B1258" s="777">
        <v>31</v>
      </c>
      <c r="C1258" s="736"/>
      <c r="D1258" s="123">
        <f>SUM(H1261:H1279)*50%</f>
        <v>175.75</v>
      </c>
      <c r="E1258" s="778" t="s">
        <v>46</v>
      </c>
      <c r="F1258" s="733"/>
      <c r="G1258" s="733"/>
      <c r="H1258" s="736"/>
      <c r="I1258" s="744"/>
      <c r="J1258" s="745"/>
      <c r="K1258" s="741"/>
      <c r="L1258" s="744"/>
      <c r="M1258" s="745"/>
      <c r="N1258" s="752"/>
    </row>
    <row r="1259" spans="2:14" ht="14.25" hidden="1" customHeight="1" x14ac:dyDescent="0.25">
      <c r="B1259" s="755" t="s">
        <v>416</v>
      </c>
      <c r="C1259" s="733"/>
      <c r="D1259" s="733"/>
      <c r="E1259" s="733"/>
      <c r="F1259" s="733"/>
      <c r="G1259" s="733"/>
      <c r="H1259" s="736"/>
      <c r="I1259" s="746"/>
      <c r="J1259" s="747"/>
      <c r="K1259" s="748"/>
      <c r="L1259" s="746"/>
      <c r="M1259" s="747"/>
      <c r="N1259" s="753"/>
    </row>
    <row r="1260" spans="2:14" ht="14.25" hidden="1" customHeight="1" x14ac:dyDescent="0.25">
      <c r="B1260" s="121" t="s">
        <v>400</v>
      </c>
      <c r="C1260" s="122" t="s">
        <v>401</v>
      </c>
      <c r="D1260" s="123" t="s">
        <v>402</v>
      </c>
      <c r="E1260" s="123" t="s">
        <v>403</v>
      </c>
      <c r="F1260" s="123" t="s">
        <v>404</v>
      </c>
      <c r="G1260" s="123" t="s">
        <v>405</v>
      </c>
      <c r="H1260" s="123" t="s">
        <v>406</v>
      </c>
      <c r="I1260" s="746"/>
      <c r="J1260" s="747"/>
      <c r="K1260" s="748"/>
      <c r="L1260" s="746"/>
      <c r="M1260" s="747"/>
      <c r="N1260" s="753"/>
    </row>
    <row r="1261" spans="2:14" ht="14.25" hidden="1" customHeight="1" x14ac:dyDescent="0.25">
      <c r="B1261" s="124" t="s">
        <v>506</v>
      </c>
      <c r="C1261" s="125" t="s">
        <v>502</v>
      </c>
      <c r="D1261" s="125">
        <v>30</v>
      </c>
      <c r="E1261" s="125"/>
      <c r="F1261" s="125"/>
      <c r="G1261" s="125">
        <v>3.3</v>
      </c>
      <c r="H1261" s="125">
        <f t="shared" ref="H1261:H1264" si="38">D1261*G1261</f>
        <v>99</v>
      </c>
      <c r="I1261" s="746"/>
      <c r="J1261" s="747"/>
      <c r="K1261" s="748"/>
      <c r="L1261" s="746"/>
      <c r="M1261" s="747"/>
      <c r="N1261" s="753"/>
    </row>
    <row r="1262" spans="2:14" ht="14.25" hidden="1" customHeight="1" x14ac:dyDescent="0.25">
      <c r="B1262" s="124"/>
      <c r="C1262" s="125" t="s">
        <v>488</v>
      </c>
      <c r="D1262" s="125">
        <v>33</v>
      </c>
      <c r="E1262" s="125"/>
      <c r="F1262" s="125"/>
      <c r="G1262" s="125">
        <v>3.3</v>
      </c>
      <c r="H1262" s="125">
        <f t="shared" si="38"/>
        <v>108.89999999999999</v>
      </c>
      <c r="I1262" s="746"/>
      <c r="J1262" s="747"/>
      <c r="K1262" s="748"/>
      <c r="L1262" s="746"/>
      <c r="M1262" s="747"/>
      <c r="N1262" s="753"/>
    </row>
    <row r="1263" spans="2:14" ht="14.25" hidden="1" customHeight="1" x14ac:dyDescent="0.25">
      <c r="B1263" s="124"/>
      <c r="C1263" s="765" t="s">
        <v>494</v>
      </c>
      <c r="D1263" s="125">
        <v>42</v>
      </c>
      <c r="E1263" s="125"/>
      <c r="F1263" s="125"/>
      <c r="G1263" s="125">
        <v>3.3</v>
      </c>
      <c r="H1263" s="125">
        <f t="shared" si="38"/>
        <v>138.6</v>
      </c>
      <c r="I1263" s="746"/>
      <c r="J1263" s="747"/>
      <c r="K1263" s="748"/>
      <c r="L1263" s="746"/>
      <c r="M1263" s="747"/>
      <c r="N1263" s="753"/>
    </row>
    <row r="1264" spans="2:14" ht="14.25" hidden="1" customHeight="1" x14ac:dyDescent="0.25">
      <c r="B1264" s="124"/>
      <c r="C1264" s="781"/>
      <c r="D1264" s="125">
        <v>2</v>
      </c>
      <c r="E1264" s="125"/>
      <c r="F1264" s="125"/>
      <c r="G1264" s="125">
        <v>2.5</v>
      </c>
      <c r="H1264" s="125">
        <f t="shared" si="38"/>
        <v>5</v>
      </c>
      <c r="I1264" s="746"/>
      <c r="J1264" s="747"/>
      <c r="K1264" s="748"/>
      <c r="L1264" s="746"/>
      <c r="M1264" s="747"/>
      <c r="N1264" s="753"/>
    </row>
    <row r="1265" spans="2:14" ht="14.25" hidden="1" customHeight="1" x14ac:dyDescent="0.25">
      <c r="B1265" s="124"/>
      <c r="C1265" s="125"/>
      <c r="D1265" s="125"/>
      <c r="E1265" s="125"/>
      <c r="F1265" s="125"/>
      <c r="G1265" s="125"/>
      <c r="H1265" s="125"/>
      <c r="I1265" s="746"/>
      <c r="J1265" s="747"/>
      <c r="K1265" s="748"/>
      <c r="L1265" s="746"/>
      <c r="M1265" s="747"/>
      <c r="N1265" s="753"/>
    </row>
    <row r="1266" spans="2:14" ht="14.25" hidden="1" customHeight="1" x14ac:dyDescent="0.25">
      <c r="B1266" s="124"/>
      <c r="C1266" s="125"/>
      <c r="D1266" s="125"/>
      <c r="E1266" s="125"/>
      <c r="F1266" s="125"/>
      <c r="G1266" s="125"/>
      <c r="H1266" s="125"/>
      <c r="I1266" s="746"/>
      <c r="J1266" s="747"/>
      <c r="K1266" s="748"/>
      <c r="L1266" s="746"/>
      <c r="M1266" s="747"/>
      <c r="N1266" s="753"/>
    </row>
    <row r="1267" spans="2:14" ht="14.25" hidden="1" customHeight="1" x14ac:dyDescent="0.25">
      <c r="B1267" s="124"/>
      <c r="C1267" s="125"/>
      <c r="D1267" s="125"/>
      <c r="E1267" s="125"/>
      <c r="F1267" s="125"/>
      <c r="G1267" s="125"/>
      <c r="H1267" s="125"/>
      <c r="I1267" s="746"/>
      <c r="J1267" s="747"/>
      <c r="K1267" s="748"/>
      <c r="L1267" s="746"/>
      <c r="M1267" s="747"/>
      <c r="N1267" s="753"/>
    </row>
    <row r="1268" spans="2:14" ht="14.25" hidden="1" customHeight="1" x14ac:dyDescent="0.25">
      <c r="B1268" s="124"/>
      <c r="C1268" s="125"/>
      <c r="D1268" s="125"/>
      <c r="E1268" s="125"/>
      <c r="F1268" s="125"/>
      <c r="G1268" s="125"/>
      <c r="H1268" s="125"/>
      <c r="I1268" s="746"/>
      <c r="J1268" s="747"/>
      <c r="K1268" s="748"/>
      <c r="L1268" s="746"/>
      <c r="M1268" s="747"/>
      <c r="N1268" s="753"/>
    </row>
    <row r="1269" spans="2:14" ht="14.25" hidden="1" customHeight="1" x14ac:dyDescent="0.25">
      <c r="B1269" s="124"/>
      <c r="C1269" s="125"/>
      <c r="D1269" s="125"/>
      <c r="E1269" s="125"/>
      <c r="F1269" s="125"/>
      <c r="G1269" s="125"/>
      <c r="H1269" s="125"/>
      <c r="I1269" s="746"/>
      <c r="J1269" s="747"/>
      <c r="K1269" s="748"/>
      <c r="L1269" s="746"/>
      <c r="M1269" s="747"/>
      <c r="N1269" s="753"/>
    </row>
    <row r="1270" spans="2:14" ht="14.25" hidden="1" customHeight="1" x14ac:dyDescent="0.25">
      <c r="B1270" s="124"/>
      <c r="C1270" s="125"/>
      <c r="D1270" s="125"/>
      <c r="E1270" s="125"/>
      <c r="F1270" s="125"/>
      <c r="G1270" s="125"/>
      <c r="H1270" s="125"/>
      <c r="I1270" s="746"/>
      <c r="J1270" s="747"/>
      <c r="K1270" s="748"/>
      <c r="L1270" s="746"/>
      <c r="M1270" s="747"/>
      <c r="N1270" s="753"/>
    </row>
    <row r="1271" spans="2:14" ht="14.25" hidden="1" customHeight="1" x14ac:dyDescent="0.25">
      <c r="B1271" s="124"/>
      <c r="C1271" s="125"/>
      <c r="D1271" s="125"/>
      <c r="E1271" s="125"/>
      <c r="F1271" s="125"/>
      <c r="G1271" s="125"/>
      <c r="H1271" s="125"/>
      <c r="I1271" s="746"/>
      <c r="J1271" s="747"/>
      <c r="K1271" s="748"/>
      <c r="L1271" s="746"/>
      <c r="M1271" s="747"/>
      <c r="N1271" s="753"/>
    </row>
    <row r="1272" spans="2:14" ht="14.25" hidden="1" customHeight="1" x14ac:dyDescent="0.25">
      <c r="B1272" s="124"/>
      <c r="C1272" s="125"/>
      <c r="D1272" s="125"/>
      <c r="E1272" s="125"/>
      <c r="F1272" s="125"/>
      <c r="G1272" s="125"/>
      <c r="H1272" s="125"/>
      <c r="I1272" s="746"/>
      <c r="J1272" s="747"/>
      <c r="K1272" s="748"/>
      <c r="L1272" s="746"/>
      <c r="M1272" s="747"/>
      <c r="N1272" s="753"/>
    </row>
    <row r="1273" spans="2:14" ht="14.25" hidden="1" customHeight="1" x14ac:dyDescent="0.25">
      <c r="B1273" s="124"/>
      <c r="C1273" s="125"/>
      <c r="D1273" s="125"/>
      <c r="E1273" s="125"/>
      <c r="F1273" s="125"/>
      <c r="G1273" s="125"/>
      <c r="H1273" s="125"/>
      <c r="I1273" s="746"/>
      <c r="J1273" s="747"/>
      <c r="K1273" s="748"/>
      <c r="L1273" s="746"/>
      <c r="M1273" s="747"/>
      <c r="N1273" s="753"/>
    </row>
    <row r="1274" spans="2:14" ht="14.25" hidden="1" customHeight="1" x14ac:dyDescent="0.25">
      <c r="B1274" s="124"/>
      <c r="C1274" s="125"/>
      <c r="D1274" s="125"/>
      <c r="E1274" s="125"/>
      <c r="F1274" s="125"/>
      <c r="G1274" s="125"/>
      <c r="H1274" s="125"/>
      <c r="I1274" s="746"/>
      <c r="J1274" s="747"/>
      <c r="K1274" s="748"/>
      <c r="L1274" s="746"/>
      <c r="M1274" s="747"/>
      <c r="N1274" s="753"/>
    </row>
    <row r="1275" spans="2:14" ht="14.25" hidden="1" customHeight="1" x14ac:dyDescent="0.25">
      <c r="B1275" s="124"/>
      <c r="C1275" s="125"/>
      <c r="D1275" s="125"/>
      <c r="E1275" s="125"/>
      <c r="F1275" s="125"/>
      <c r="G1275" s="125"/>
      <c r="H1275" s="125"/>
      <c r="I1275" s="746"/>
      <c r="J1275" s="747"/>
      <c r="K1275" s="748"/>
      <c r="L1275" s="746"/>
      <c r="M1275" s="747"/>
      <c r="N1275" s="753"/>
    </row>
    <row r="1276" spans="2:14" ht="14.25" hidden="1" customHeight="1" x14ac:dyDescent="0.25">
      <c r="B1276" s="124"/>
      <c r="C1276" s="125"/>
      <c r="D1276" s="125"/>
      <c r="E1276" s="125"/>
      <c r="F1276" s="125"/>
      <c r="G1276" s="125"/>
      <c r="H1276" s="125"/>
      <c r="I1276" s="746"/>
      <c r="J1276" s="747"/>
      <c r="K1276" s="748"/>
      <c r="L1276" s="746"/>
      <c r="M1276" s="747"/>
      <c r="N1276" s="753"/>
    </row>
    <row r="1277" spans="2:14" ht="14.25" hidden="1" customHeight="1" x14ac:dyDescent="0.25">
      <c r="B1277" s="124"/>
      <c r="C1277" s="125"/>
      <c r="D1277" s="125"/>
      <c r="E1277" s="125"/>
      <c r="F1277" s="125"/>
      <c r="G1277" s="125"/>
      <c r="H1277" s="125"/>
      <c r="I1277" s="746"/>
      <c r="J1277" s="747"/>
      <c r="K1277" s="748"/>
      <c r="L1277" s="746"/>
      <c r="M1277" s="747"/>
      <c r="N1277" s="753"/>
    </row>
    <row r="1278" spans="2:14" ht="14.25" hidden="1" customHeight="1" x14ac:dyDescent="0.25">
      <c r="B1278" s="124"/>
      <c r="C1278" s="125"/>
      <c r="D1278" s="125"/>
      <c r="E1278" s="125"/>
      <c r="F1278" s="125"/>
      <c r="G1278" s="125"/>
      <c r="H1278" s="125"/>
      <c r="I1278" s="746"/>
      <c r="J1278" s="747"/>
      <c r="K1278" s="748"/>
      <c r="L1278" s="746"/>
      <c r="M1278" s="747"/>
      <c r="N1278" s="753"/>
    </row>
    <row r="1279" spans="2:14" ht="14.25" hidden="1" customHeight="1" x14ac:dyDescent="0.25">
      <c r="B1279" s="127"/>
      <c r="C1279" s="125"/>
      <c r="D1279" s="125"/>
      <c r="E1279" s="125"/>
      <c r="F1279" s="125"/>
      <c r="G1279" s="125"/>
      <c r="H1279" s="125"/>
      <c r="I1279" s="749"/>
      <c r="J1279" s="750"/>
      <c r="K1279" s="751"/>
      <c r="L1279" s="749"/>
      <c r="M1279" s="750"/>
      <c r="N1279" s="754"/>
    </row>
    <row r="1280" spans="2:14" ht="14.25" hidden="1" customHeight="1" x14ac:dyDescent="0.25">
      <c r="B1280" s="209"/>
      <c r="C1280" s="118"/>
      <c r="D1280" s="118"/>
      <c r="E1280" s="118"/>
      <c r="F1280" s="118"/>
      <c r="G1280" s="118"/>
      <c r="H1280" s="118"/>
      <c r="I1280" s="118"/>
      <c r="J1280" s="118"/>
      <c r="K1280" s="118"/>
      <c r="L1280" s="118"/>
      <c r="M1280" s="118"/>
      <c r="N1280" s="210"/>
    </row>
    <row r="1281" spans="2:14" ht="14.25" hidden="1" customHeight="1" x14ac:dyDescent="0.25">
      <c r="B1281" s="209"/>
      <c r="C1281" s="118"/>
      <c r="D1281" s="118"/>
      <c r="E1281" s="118"/>
      <c r="F1281" s="118"/>
      <c r="G1281" s="118"/>
      <c r="H1281" s="118"/>
      <c r="I1281" s="118"/>
      <c r="J1281" s="118"/>
      <c r="K1281" s="118"/>
      <c r="L1281" s="118"/>
      <c r="M1281" s="118"/>
      <c r="N1281" s="210"/>
    </row>
    <row r="1282" spans="2:14" ht="14.25" hidden="1" customHeight="1" x14ac:dyDescent="0.25">
      <c r="B1282" s="209"/>
      <c r="C1282" s="118"/>
      <c r="D1282" s="118"/>
      <c r="E1282" s="118"/>
      <c r="F1282" s="118"/>
      <c r="G1282" s="118"/>
      <c r="H1282" s="118"/>
      <c r="I1282" s="118"/>
      <c r="J1282" s="118"/>
      <c r="K1282" s="118"/>
      <c r="L1282" s="118"/>
      <c r="M1282" s="118"/>
      <c r="N1282" s="210"/>
    </row>
    <row r="1283" spans="2:14" ht="14.25" hidden="1" customHeight="1" x14ac:dyDescent="0.25">
      <c r="B1283" s="209"/>
      <c r="C1283" s="118"/>
      <c r="D1283" s="118"/>
      <c r="E1283" s="118"/>
      <c r="F1283" s="118"/>
      <c r="G1283" s="118"/>
      <c r="H1283" s="118"/>
      <c r="I1283" s="118"/>
      <c r="J1283" s="118"/>
      <c r="K1283" s="118"/>
      <c r="L1283" s="118"/>
      <c r="M1283" s="118"/>
      <c r="N1283" s="210"/>
    </row>
    <row r="1284" spans="2:14" ht="14.25" hidden="1" customHeight="1" x14ac:dyDescent="0.25">
      <c r="B1284" s="775" t="s">
        <v>414</v>
      </c>
      <c r="C1284" s="747"/>
      <c r="D1284" s="747"/>
      <c r="E1284" s="128"/>
      <c r="F1284" s="128"/>
      <c r="G1284" s="128"/>
      <c r="H1284" s="128"/>
      <c r="I1284" s="776"/>
      <c r="J1284" s="747"/>
      <c r="K1284" s="747"/>
      <c r="L1284" s="118"/>
      <c r="M1284" s="118"/>
      <c r="N1284" s="210"/>
    </row>
    <row r="1285" spans="2:14" ht="14.25" hidden="1" customHeight="1" x14ac:dyDescent="0.25">
      <c r="B1285" s="129"/>
      <c r="C1285" s="130"/>
      <c r="D1285" s="130"/>
      <c r="E1285" s="130"/>
      <c r="F1285" s="130"/>
      <c r="G1285" s="130"/>
      <c r="H1285" s="130"/>
      <c r="I1285" s="130"/>
      <c r="J1285" s="130"/>
      <c r="K1285" s="130"/>
      <c r="L1285" s="130"/>
      <c r="M1285" s="130"/>
      <c r="N1285" s="131"/>
    </row>
    <row r="1286" spans="2:14" ht="14.25" hidden="1" customHeight="1" x14ac:dyDescent="0.25">
      <c r="B1286" s="132"/>
      <c r="C1286" s="132"/>
      <c r="D1286" s="132"/>
      <c r="E1286" s="132"/>
      <c r="F1286" s="132"/>
      <c r="G1286" s="132"/>
      <c r="H1286" s="132"/>
      <c r="I1286" s="132"/>
      <c r="J1286" s="132"/>
      <c r="K1286" s="132"/>
      <c r="L1286" s="132"/>
      <c r="M1286" s="132"/>
      <c r="N1286" s="132"/>
    </row>
    <row r="1287" spans="2:14" ht="38.25" hidden="1" customHeight="1" x14ac:dyDescent="0.25">
      <c r="B1287" s="728"/>
      <c r="C1287" s="729"/>
      <c r="D1287" s="730" t="s">
        <v>393</v>
      </c>
      <c r="E1287" s="729"/>
      <c r="F1287" s="729"/>
      <c r="G1287" s="729"/>
      <c r="H1287" s="729"/>
      <c r="I1287" s="729"/>
      <c r="J1287" s="729"/>
      <c r="K1287" s="729"/>
      <c r="L1287" s="729"/>
      <c r="M1287" s="729"/>
      <c r="N1287" s="731"/>
    </row>
    <row r="1288" spans="2:14" ht="14.25" hidden="1" customHeight="1" x14ac:dyDescent="0.25">
      <c r="B1288" s="732" t="s">
        <v>394</v>
      </c>
      <c r="C1288" s="733"/>
      <c r="D1288" s="733"/>
      <c r="E1288" s="733"/>
      <c r="F1288" s="733"/>
      <c r="G1288" s="733"/>
      <c r="H1288" s="733"/>
      <c r="I1288" s="733"/>
      <c r="J1288" s="733"/>
      <c r="K1288" s="733"/>
      <c r="L1288" s="733"/>
      <c r="M1288" s="733"/>
      <c r="N1288" s="734"/>
    </row>
    <row r="1289" spans="2:14" ht="14.25" hidden="1" customHeight="1" x14ac:dyDescent="0.25">
      <c r="B1289" s="735" t="s">
        <v>395</v>
      </c>
      <c r="C1289" s="736"/>
      <c r="D1289" s="779" t="s">
        <v>126</v>
      </c>
      <c r="E1289" s="733"/>
      <c r="F1289" s="733"/>
      <c r="G1289" s="733"/>
      <c r="H1289" s="733"/>
      <c r="I1289" s="733"/>
      <c r="J1289" s="733"/>
      <c r="K1289" s="733"/>
      <c r="L1289" s="733"/>
      <c r="M1289" s="733"/>
      <c r="N1289" s="734"/>
    </row>
    <row r="1290" spans="2:14" ht="14.25" hidden="1" customHeight="1" x14ac:dyDescent="0.25">
      <c r="B1290" s="740" t="s">
        <v>26</v>
      </c>
      <c r="C1290" s="741"/>
      <c r="D1290" s="119" t="s">
        <v>396</v>
      </c>
      <c r="E1290" s="742" t="s">
        <v>397</v>
      </c>
      <c r="F1290" s="733"/>
      <c r="G1290" s="733"/>
      <c r="H1290" s="736"/>
      <c r="I1290" s="742" t="s">
        <v>398</v>
      </c>
      <c r="J1290" s="733"/>
      <c r="K1290" s="736"/>
      <c r="L1290" s="742" t="s">
        <v>399</v>
      </c>
      <c r="M1290" s="733"/>
      <c r="N1290" s="734"/>
    </row>
    <row r="1291" spans="2:14" ht="14.25" hidden="1" customHeight="1" x14ac:dyDescent="0.25">
      <c r="B1291" s="777">
        <v>32</v>
      </c>
      <c r="C1291" s="736"/>
      <c r="D1291" s="123">
        <f>SUM(H1294:H1312)</f>
        <v>351.5</v>
      </c>
      <c r="E1291" s="778" t="s">
        <v>46</v>
      </c>
      <c r="F1291" s="733"/>
      <c r="G1291" s="733"/>
      <c r="H1291" s="736"/>
      <c r="I1291" s="744"/>
      <c r="J1291" s="745"/>
      <c r="K1291" s="741"/>
      <c r="L1291" s="744"/>
      <c r="M1291" s="745"/>
      <c r="N1291" s="752"/>
    </row>
    <row r="1292" spans="2:14" ht="14.25" hidden="1" customHeight="1" x14ac:dyDescent="0.25">
      <c r="B1292" s="755" t="s">
        <v>416</v>
      </c>
      <c r="C1292" s="733"/>
      <c r="D1292" s="733"/>
      <c r="E1292" s="733"/>
      <c r="F1292" s="733"/>
      <c r="G1292" s="733"/>
      <c r="H1292" s="736"/>
      <c r="I1292" s="746"/>
      <c r="J1292" s="747"/>
      <c r="K1292" s="748"/>
      <c r="L1292" s="746"/>
      <c r="M1292" s="747"/>
      <c r="N1292" s="753"/>
    </row>
    <row r="1293" spans="2:14" ht="14.25" hidden="1" customHeight="1" x14ac:dyDescent="0.25">
      <c r="B1293" s="121" t="s">
        <v>400</v>
      </c>
      <c r="C1293" s="122" t="s">
        <v>401</v>
      </c>
      <c r="D1293" s="123" t="s">
        <v>402</v>
      </c>
      <c r="E1293" s="123" t="s">
        <v>403</v>
      </c>
      <c r="F1293" s="123" t="s">
        <v>404</v>
      </c>
      <c r="G1293" s="123" t="s">
        <v>405</v>
      </c>
      <c r="H1293" s="123" t="s">
        <v>406</v>
      </c>
      <c r="I1293" s="746"/>
      <c r="J1293" s="747"/>
      <c r="K1293" s="748"/>
      <c r="L1293" s="746"/>
      <c r="M1293" s="747"/>
      <c r="N1293" s="753"/>
    </row>
    <row r="1294" spans="2:14" ht="14.25" hidden="1" customHeight="1" x14ac:dyDescent="0.25">
      <c r="B1294" s="124" t="s">
        <v>506</v>
      </c>
      <c r="C1294" s="125" t="s">
        <v>502</v>
      </c>
      <c r="D1294" s="125">
        <v>30</v>
      </c>
      <c r="E1294" s="125"/>
      <c r="F1294" s="125"/>
      <c r="G1294" s="125">
        <v>3.3</v>
      </c>
      <c r="H1294" s="125">
        <f t="shared" ref="H1294:H1297" si="39">D1294*G1294</f>
        <v>99</v>
      </c>
      <c r="I1294" s="746"/>
      <c r="J1294" s="747"/>
      <c r="K1294" s="748"/>
      <c r="L1294" s="746"/>
      <c r="M1294" s="747"/>
      <c r="N1294" s="753"/>
    </row>
    <row r="1295" spans="2:14" ht="14.25" hidden="1" customHeight="1" x14ac:dyDescent="0.25">
      <c r="B1295" s="124"/>
      <c r="C1295" s="125" t="s">
        <v>488</v>
      </c>
      <c r="D1295" s="125">
        <v>33</v>
      </c>
      <c r="E1295" s="125"/>
      <c r="F1295" s="125"/>
      <c r="G1295" s="125">
        <v>3.3</v>
      </c>
      <c r="H1295" s="125">
        <f t="shared" si="39"/>
        <v>108.89999999999999</v>
      </c>
      <c r="I1295" s="746"/>
      <c r="J1295" s="747"/>
      <c r="K1295" s="748"/>
      <c r="L1295" s="746"/>
      <c r="M1295" s="747"/>
      <c r="N1295" s="753"/>
    </row>
    <row r="1296" spans="2:14" ht="14.25" hidden="1" customHeight="1" x14ac:dyDescent="0.25">
      <c r="B1296" s="124"/>
      <c r="C1296" s="765" t="s">
        <v>494</v>
      </c>
      <c r="D1296" s="125">
        <v>42</v>
      </c>
      <c r="E1296" s="125"/>
      <c r="F1296" s="125"/>
      <c r="G1296" s="125">
        <v>3.3</v>
      </c>
      <c r="H1296" s="125">
        <f t="shared" si="39"/>
        <v>138.6</v>
      </c>
      <c r="I1296" s="746"/>
      <c r="J1296" s="747"/>
      <c r="K1296" s="748"/>
      <c r="L1296" s="746"/>
      <c r="M1296" s="747"/>
      <c r="N1296" s="753"/>
    </row>
    <row r="1297" spans="2:14" ht="14.25" hidden="1" customHeight="1" x14ac:dyDescent="0.25">
      <c r="B1297" s="124"/>
      <c r="C1297" s="781"/>
      <c r="D1297" s="125">
        <v>2</v>
      </c>
      <c r="E1297" s="125"/>
      <c r="F1297" s="125"/>
      <c r="G1297" s="125">
        <v>2.5</v>
      </c>
      <c r="H1297" s="125">
        <f t="shared" si="39"/>
        <v>5</v>
      </c>
      <c r="I1297" s="746"/>
      <c r="J1297" s="747"/>
      <c r="K1297" s="748"/>
      <c r="L1297" s="746"/>
      <c r="M1297" s="747"/>
      <c r="N1297" s="753"/>
    </row>
    <row r="1298" spans="2:14" ht="14.25" hidden="1" customHeight="1" x14ac:dyDescent="0.25">
      <c r="B1298" s="124"/>
      <c r="C1298" s="125"/>
      <c r="D1298" s="125"/>
      <c r="E1298" s="125"/>
      <c r="F1298" s="125"/>
      <c r="G1298" s="125"/>
      <c r="H1298" s="125"/>
      <c r="I1298" s="746"/>
      <c r="J1298" s="747"/>
      <c r="K1298" s="748"/>
      <c r="L1298" s="746"/>
      <c r="M1298" s="747"/>
      <c r="N1298" s="753"/>
    </row>
    <row r="1299" spans="2:14" ht="14.25" hidden="1" customHeight="1" x14ac:dyDescent="0.25">
      <c r="B1299" s="124"/>
      <c r="C1299" s="125"/>
      <c r="D1299" s="125"/>
      <c r="E1299" s="125"/>
      <c r="F1299" s="125"/>
      <c r="G1299" s="125"/>
      <c r="H1299" s="125"/>
      <c r="I1299" s="746"/>
      <c r="J1299" s="747"/>
      <c r="K1299" s="748"/>
      <c r="L1299" s="746"/>
      <c r="M1299" s="747"/>
      <c r="N1299" s="753"/>
    </row>
    <row r="1300" spans="2:14" ht="14.25" hidden="1" customHeight="1" x14ac:dyDescent="0.25">
      <c r="B1300" s="124"/>
      <c r="C1300" s="125"/>
      <c r="D1300" s="125"/>
      <c r="E1300" s="125"/>
      <c r="F1300" s="125"/>
      <c r="G1300" s="125"/>
      <c r="H1300" s="125"/>
      <c r="I1300" s="746"/>
      <c r="J1300" s="747"/>
      <c r="K1300" s="748"/>
      <c r="L1300" s="746"/>
      <c r="M1300" s="747"/>
      <c r="N1300" s="753"/>
    </row>
    <row r="1301" spans="2:14" ht="14.25" hidden="1" customHeight="1" x14ac:dyDescent="0.25">
      <c r="B1301" s="124"/>
      <c r="C1301" s="125"/>
      <c r="D1301" s="125"/>
      <c r="E1301" s="125"/>
      <c r="F1301" s="125"/>
      <c r="G1301" s="125"/>
      <c r="H1301" s="125"/>
      <c r="I1301" s="746"/>
      <c r="J1301" s="747"/>
      <c r="K1301" s="748"/>
      <c r="L1301" s="746"/>
      <c r="M1301" s="747"/>
      <c r="N1301" s="753"/>
    </row>
    <row r="1302" spans="2:14" ht="14.25" hidden="1" customHeight="1" x14ac:dyDescent="0.25">
      <c r="B1302" s="124"/>
      <c r="C1302" s="125"/>
      <c r="D1302" s="125"/>
      <c r="E1302" s="125"/>
      <c r="F1302" s="125"/>
      <c r="G1302" s="125"/>
      <c r="H1302" s="125"/>
      <c r="I1302" s="746"/>
      <c r="J1302" s="747"/>
      <c r="K1302" s="748"/>
      <c r="L1302" s="746"/>
      <c r="M1302" s="747"/>
      <c r="N1302" s="753"/>
    </row>
    <row r="1303" spans="2:14" ht="14.25" hidden="1" customHeight="1" x14ac:dyDescent="0.25">
      <c r="B1303" s="124"/>
      <c r="C1303" s="125"/>
      <c r="D1303" s="125"/>
      <c r="E1303" s="125"/>
      <c r="F1303" s="125"/>
      <c r="G1303" s="125"/>
      <c r="H1303" s="125"/>
      <c r="I1303" s="746"/>
      <c r="J1303" s="747"/>
      <c r="K1303" s="748"/>
      <c r="L1303" s="746"/>
      <c r="M1303" s="747"/>
      <c r="N1303" s="753"/>
    </row>
    <row r="1304" spans="2:14" ht="14.25" hidden="1" customHeight="1" x14ac:dyDescent="0.25">
      <c r="B1304" s="124"/>
      <c r="C1304" s="125"/>
      <c r="D1304" s="125"/>
      <c r="E1304" s="125"/>
      <c r="F1304" s="125"/>
      <c r="G1304" s="125"/>
      <c r="H1304" s="125"/>
      <c r="I1304" s="746"/>
      <c r="J1304" s="747"/>
      <c r="K1304" s="748"/>
      <c r="L1304" s="746"/>
      <c r="M1304" s="747"/>
      <c r="N1304" s="753"/>
    </row>
    <row r="1305" spans="2:14" ht="14.25" hidden="1" customHeight="1" x14ac:dyDescent="0.25">
      <c r="B1305" s="124"/>
      <c r="C1305" s="125"/>
      <c r="D1305" s="125"/>
      <c r="E1305" s="125"/>
      <c r="F1305" s="125"/>
      <c r="G1305" s="125"/>
      <c r="H1305" s="125"/>
      <c r="I1305" s="746"/>
      <c r="J1305" s="747"/>
      <c r="K1305" s="748"/>
      <c r="L1305" s="746"/>
      <c r="M1305" s="747"/>
      <c r="N1305" s="753"/>
    </row>
    <row r="1306" spans="2:14" ht="14.25" hidden="1" customHeight="1" x14ac:dyDescent="0.25">
      <c r="B1306" s="124"/>
      <c r="C1306" s="125"/>
      <c r="D1306" s="125"/>
      <c r="E1306" s="125"/>
      <c r="F1306" s="125"/>
      <c r="G1306" s="125"/>
      <c r="H1306" s="125"/>
      <c r="I1306" s="746"/>
      <c r="J1306" s="747"/>
      <c r="K1306" s="748"/>
      <c r="L1306" s="746"/>
      <c r="M1306" s="747"/>
      <c r="N1306" s="753"/>
    </row>
    <row r="1307" spans="2:14" ht="14.25" hidden="1" customHeight="1" x14ac:dyDescent="0.25">
      <c r="B1307" s="124"/>
      <c r="C1307" s="125"/>
      <c r="D1307" s="125"/>
      <c r="E1307" s="125"/>
      <c r="F1307" s="125"/>
      <c r="G1307" s="125"/>
      <c r="H1307" s="125"/>
      <c r="I1307" s="746"/>
      <c r="J1307" s="747"/>
      <c r="K1307" s="748"/>
      <c r="L1307" s="746"/>
      <c r="M1307" s="747"/>
      <c r="N1307" s="753"/>
    </row>
    <row r="1308" spans="2:14" ht="14.25" hidden="1" customHeight="1" x14ac:dyDescent="0.25">
      <c r="B1308" s="124"/>
      <c r="C1308" s="125"/>
      <c r="D1308" s="125"/>
      <c r="E1308" s="125"/>
      <c r="F1308" s="125"/>
      <c r="G1308" s="125"/>
      <c r="H1308" s="125"/>
      <c r="I1308" s="746"/>
      <c r="J1308" s="747"/>
      <c r="K1308" s="748"/>
      <c r="L1308" s="746"/>
      <c r="M1308" s="747"/>
      <c r="N1308" s="753"/>
    </row>
    <row r="1309" spans="2:14" ht="14.25" hidden="1" customHeight="1" x14ac:dyDescent="0.25">
      <c r="B1309" s="124"/>
      <c r="C1309" s="125"/>
      <c r="D1309" s="125"/>
      <c r="E1309" s="125"/>
      <c r="F1309" s="125"/>
      <c r="G1309" s="125"/>
      <c r="H1309" s="125"/>
      <c r="I1309" s="746"/>
      <c r="J1309" s="747"/>
      <c r="K1309" s="748"/>
      <c r="L1309" s="746"/>
      <c r="M1309" s="747"/>
      <c r="N1309" s="753"/>
    </row>
    <row r="1310" spans="2:14" ht="14.25" hidden="1" customHeight="1" x14ac:dyDescent="0.25">
      <c r="B1310" s="124"/>
      <c r="C1310" s="125"/>
      <c r="D1310" s="125"/>
      <c r="E1310" s="125"/>
      <c r="F1310" s="125"/>
      <c r="G1310" s="125"/>
      <c r="H1310" s="125"/>
      <c r="I1310" s="746"/>
      <c r="J1310" s="747"/>
      <c r="K1310" s="748"/>
      <c r="L1310" s="746"/>
      <c r="M1310" s="747"/>
      <c r="N1310" s="753"/>
    </row>
    <row r="1311" spans="2:14" ht="14.25" hidden="1" customHeight="1" x14ac:dyDescent="0.25">
      <c r="B1311" s="124"/>
      <c r="C1311" s="125"/>
      <c r="D1311" s="125"/>
      <c r="E1311" s="125"/>
      <c r="F1311" s="125"/>
      <c r="G1311" s="125"/>
      <c r="H1311" s="125"/>
      <c r="I1311" s="746"/>
      <c r="J1311" s="747"/>
      <c r="K1311" s="748"/>
      <c r="L1311" s="746"/>
      <c r="M1311" s="747"/>
      <c r="N1311" s="753"/>
    </row>
    <row r="1312" spans="2:14" ht="14.25" hidden="1" customHeight="1" x14ac:dyDescent="0.25">
      <c r="B1312" s="127"/>
      <c r="C1312" s="125"/>
      <c r="D1312" s="125"/>
      <c r="E1312" s="125"/>
      <c r="F1312" s="125"/>
      <c r="G1312" s="125"/>
      <c r="H1312" s="125"/>
      <c r="I1312" s="749"/>
      <c r="J1312" s="750"/>
      <c r="K1312" s="751"/>
      <c r="L1312" s="749"/>
      <c r="M1312" s="750"/>
      <c r="N1312" s="754"/>
    </row>
    <row r="1313" spans="2:14" ht="14.25" hidden="1" customHeight="1" x14ac:dyDescent="0.25">
      <c r="B1313" s="209"/>
      <c r="C1313" s="118"/>
      <c r="D1313" s="118"/>
      <c r="E1313" s="118"/>
      <c r="F1313" s="118"/>
      <c r="G1313" s="118"/>
      <c r="H1313" s="118"/>
      <c r="I1313" s="118"/>
      <c r="J1313" s="118"/>
      <c r="K1313" s="118"/>
      <c r="L1313" s="118"/>
      <c r="M1313" s="118"/>
      <c r="N1313" s="210"/>
    </row>
    <row r="1314" spans="2:14" ht="14.25" hidden="1" customHeight="1" x14ac:dyDescent="0.25">
      <c r="B1314" s="209"/>
      <c r="C1314" s="118"/>
      <c r="D1314" s="118"/>
      <c r="E1314" s="118"/>
      <c r="F1314" s="118"/>
      <c r="G1314" s="118"/>
      <c r="H1314" s="118"/>
      <c r="I1314" s="118"/>
      <c r="J1314" s="118"/>
      <c r="K1314" s="118"/>
      <c r="L1314" s="118"/>
      <c r="M1314" s="118"/>
      <c r="N1314" s="210"/>
    </row>
    <row r="1315" spans="2:14" ht="14.25" hidden="1" customHeight="1" x14ac:dyDescent="0.25">
      <c r="B1315" s="209"/>
      <c r="C1315" s="118"/>
      <c r="D1315" s="118"/>
      <c r="E1315" s="118"/>
      <c r="F1315" s="118"/>
      <c r="G1315" s="118"/>
      <c r="H1315" s="118"/>
      <c r="I1315" s="118"/>
      <c r="J1315" s="118"/>
      <c r="K1315" s="118"/>
      <c r="L1315" s="118"/>
      <c r="M1315" s="118"/>
      <c r="N1315" s="210"/>
    </row>
    <row r="1316" spans="2:14" ht="14.25" hidden="1" customHeight="1" x14ac:dyDescent="0.25">
      <c r="B1316" s="209"/>
      <c r="C1316" s="118"/>
      <c r="D1316" s="118"/>
      <c r="E1316" s="118"/>
      <c r="F1316" s="118"/>
      <c r="G1316" s="118"/>
      <c r="H1316" s="118"/>
      <c r="I1316" s="118"/>
      <c r="J1316" s="118"/>
      <c r="K1316" s="118"/>
      <c r="L1316" s="118"/>
      <c r="M1316" s="118"/>
      <c r="N1316" s="210"/>
    </row>
    <row r="1317" spans="2:14" ht="14.25" hidden="1" customHeight="1" x14ac:dyDescent="0.25">
      <c r="B1317" s="775" t="s">
        <v>414</v>
      </c>
      <c r="C1317" s="747"/>
      <c r="D1317" s="747"/>
      <c r="E1317" s="128"/>
      <c r="F1317" s="128"/>
      <c r="G1317" s="128"/>
      <c r="H1317" s="128"/>
      <c r="I1317" s="776"/>
      <c r="J1317" s="747"/>
      <c r="K1317" s="747"/>
      <c r="L1317" s="118"/>
      <c r="M1317" s="118"/>
      <c r="N1317" s="210"/>
    </row>
    <row r="1318" spans="2:14" ht="14.25" hidden="1" customHeight="1" x14ac:dyDescent="0.25">
      <c r="B1318" s="129"/>
      <c r="C1318" s="130"/>
      <c r="D1318" s="130"/>
      <c r="E1318" s="130"/>
      <c r="F1318" s="130"/>
      <c r="G1318" s="130"/>
      <c r="H1318" s="130"/>
      <c r="I1318" s="130"/>
      <c r="J1318" s="130"/>
      <c r="K1318" s="130"/>
      <c r="L1318" s="130"/>
      <c r="M1318" s="130"/>
      <c r="N1318" s="131"/>
    </row>
    <row r="1319" spans="2:14" ht="14.25" hidden="1" customHeight="1" x14ac:dyDescent="0.25">
      <c r="B1319" s="132"/>
      <c r="C1319" s="132"/>
      <c r="D1319" s="132"/>
      <c r="E1319" s="132"/>
      <c r="F1319" s="132"/>
      <c r="G1319" s="132"/>
      <c r="H1319" s="132"/>
      <c r="I1319" s="132"/>
      <c r="J1319" s="132"/>
      <c r="K1319" s="132"/>
      <c r="L1319" s="132"/>
      <c r="M1319" s="132"/>
      <c r="N1319" s="132"/>
    </row>
    <row r="1320" spans="2:14" ht="40.5" hidden="1" customHeight="1" x14ac:dyDescent="0.25">
      <c r="B1320" s="728"/>
      <c r="C1320" s="729"/>
      <c r="D1320" s="730" t="s">
        <v>393</v>
      </c>
      <c r="E1320" s="729"/>
      <c r="F1320" s="729"/>
      <c r="G1320" s="729"/>
      <c r="H1320" s="729"/>
      <c r="I1320" s="729"/>
      <c r="J1320" s="729"/>
      <c r="K1320" s="729"/>
      <c r="L1320" s="729"/>
      <c r="M1320" s="729"/>
      <c r="N1320" s="731"/>
    </row>
    <row r="1321" spans="2:14" ht="14.25" hidden="1" customHeight="1" x14ac:dyDescent="0.25">
      <c r="B1321" s="732" t="s">
        <v>394</v>
      </c>
      <c r="C1321" s="733"/>
      <c r="D1321" s="733"/>
      <c r="E1321" s="733"/>
      <c r="F1321" s="733"/>
      <c r="G1321" s="733"/>
      <c r="H1321" s="733"/>
      <c r="I1321" s="733"/>
      <c r="J1321" s="733"/>
      <c r="K1321" s="733"/>
      <c r="L1321" s="733"/>
      <c r="M1321" s="733"/>
      <c r="N1321" s="734"/>
    </row>
    <row r="1322" spans="2:14" ht="14.25" hidden="1" customHeight="1" x14ac:dyDescent="0.25">
      <c r="B1322" s="735" t="s">
        <v>395</v>
      </c>
      <c r="C1322" s="736"/>
      <c r="D1322" s="779" t="s">
        <v>128</v>
      </c>
      <c r="E1322" s="733"/>
      <c r="F1322" s="733"/>
      <c r="G1322" s="733"/>
      <c r="H1322" s="733"/>
      <c r="I1322" s="733"/>
      <c r="J1322" s="733"/>
      <c r="K1322" s="733"/>
      <c r="L1322" s="733"/>
      <c r="M1322" s="733"/>
      <c r="N1322" s="734"/>
    </row>
    <row r="1323" spans="2:14" ht="14.25" hidden="1" customHeight="1" x14ac:dyDescent="0.25">
      <c r="B1323" s="740" t="s">
        <v>26</v>
      </c>
      <c r="C1323" s="741"/>
      <c r="D1323" s="119" t="s">
        <v>396</v>
      </c>
      <c r="E1323" s="742" t="s">
        <v>397</v>
      </c>
      <c r="F1323" s="733"/>
      <c r="G1323" s="733"/>
      <c r="H1323" s="736"/>
      <c r="I1323" s="742" t="s">
        <v>398</v>
      </c>
      <c r="J1323" s="733"/>
      <c r="K1323" s="736"/>
      <c r="L1323" s="742" t="s">
        <v>399</v>
      </c>
      <c r="M1323" s="733"/>
      <c r="N1323" s="734"/>
    </row>
    <row r="1324" spans="2:14" ht="14.25" hidden="1" customHeight="1" x14ac:dyDescent="0.25">
      <c r="B1324" s="777">
        <v>33</v>
      </c>
      <c r="C1324" s="736"/>
      <c r="D1324" s="123">
        <f>SUM(H1327:H1345)</f>
        <v>7</v>
      </c>
      <c r="E1324" s="778" t="s">
        <v>46</v>
      </c>
      <c r="F1324" s="733"/>
      <c r="G1324" s="733"/>
      <c r="H1324" s="736"/>
      <c r="I1324" s="744"/>
      <c r="J1324" s="745"/>
      <c r="K1324" s="741"/>
      <c r="L1324" s="744"/>
      <c r="M1324" s="745"/>
      <c r="N1324" s="752"/>
    </row>
    <row r="1325" spans="2:14" ht="14.25" hidden="1" customHeight="1" x14ac:dyDescent="0.25">
      <c r="B1325" s="755" t="s">
        <v>416</v>
      </c>
      <c r="C1325" s="733"/>
      <c r="D1325" s="733"/>
      <c r="E1325" s="733"/>
      <c r="F1325" s="733"/>
      <c r="G1325" s="733"/>
      <c r="H1325" s="736"/>
      <c r="I1325" s="746"/>
      <c r="J1325" s="747"/>
      <c r="K1325" s="748"/>
      <c r="L1325" s="746"/>
      <c r="M1325" s="747"/>
      <c r="N1325" s="753"/>
    </row>
    <row r="1326" spans="2:14" ht="14.25" hidden="1" customHeight="1" x14ac:dyDescent="0.25">
      <c r="B1326" s="121" t="s">
        <v>400</v>
      </c>
      <c r="C1326" s="122" t="s">
        <v>401</v>
      </c>
      <c r="D1326" s="123" t="s">
        <v>402</v>
      </c>
      <c r="E1326" s="123" t="s">
        <v>403</v>
      </c>
      <c r="F1326" s="123" t="s">
        <v>404</v>
      </c>
      <c r="G1326" s="123" t="s">
        <v>405</v>
      </c>
      <c r="H1326" s="123" t="s">
        <v>406</v>
      </c>
      <c r="I1326" s="746"/>
      <c r="J1326" s="747"/>
      <c r="K1326" s="748"/>
      <c r="L1326" s="746"/>
      <c r="M1326" s="747"/>
      <c r="N1326" s="753"/>
    </row>
    <row r="1327" spans="2:14" ht="14.25" hidden="1" customHeight="1" x14ac:dyDescent="0.25">
      <c r="B1327" s="124" t="s">
        <v>507</v>
      </c>
      <c r="C1327" s="125" t="s">
        <v>431</v>
      </c>
      <c r="D1327" s="125"/>
      <c r="E1327" s="125"/>
      <c r="F1327" s="125">
        <v>7</v>
      </c>
      <c r="G1327" s="125"/>
      <c r="H1327" s="125">
        <f>F1327</f>
        <v>7</v>
      </c>
      <c r="I1327" s="746"/>
      <c r="J1327" s="747"/>
      <c r="K1327" s="748"/>
      <c r="L1327" s="746"/>
      <c r="M1327" s="747"/>
      <c r="N1327" s="753"/>
    </row>
    <row r="1328" spans="2:14" ht="14.25" hidden="1" customHeight="1" x14ac:dyDescent="0.25">
      <c r="B1328" s="124"/>
      <c r="C1328" s="125"/>
      <c r="D1328" s="125"/>
      <c r="E1328" s="125"/>
      <c r="F1328" s="125"/>
      <c r="G1328" s="125"/>
      <c r="H1328" s="125"/>
      <c r="I1328" s="746"/>
      <c r="J1328" s="747"/>
      <c r="K1328" s="748"/>
      <c r="L1328" s="746"/>
      <c r="M1328" s="747"/>
      <c r="N1328" s="753"/>
    </row>
    <row r="1329" spans="2:14" ht="14.25" hidden="1" customHeight="1" x14ac:dyDescent="0.25">
      <c r="B1329" s="124"/>
      <c r="C1329" s="125"/>
      <c r="D1329" s="125"/>
      <c r="E1329" s="125"/>
      <c r="F1329" s="125"/>
      <c r="G1329" s="125"/>
      <c r="H1329" s="125"/>
      <c r="I1329" s="746"/>
      <c r="J1329" s="747"/>
      <c r="K1329" s="748"/>
      <c r="L1329" s="746"/>
      <c r="M1329" s="747"/>
      <c r="N1329" s="753"/>
    </row>
    <row r="1330" spans="2:14" ht="14.25" hidden="1" customHeight="1" x14ac:dyDescent="0.25">
      <c r="B1330" s="124"/>
      <c r="C1330" s="125"/>
      <c r="D1330" s="125"/>
      <c r="E1330" s="125"/>
      <c r="F1330" s="125"/>
      <c r="G1330" s="125"/>
      <c r="H1330" s="125"/>
      <c r="I1330" s="746"/>
      <c r="J1330" s="747"/>
      <c r="K1330" s="748"/>
      <c r="L1330" s="746"/>
      <c r="M1330" s="747"/>
      <c r="N1330" s="753"/>
    </row>
    <row r="1331" spans="2:14" ht="14.25" hidden="1" customHeight="1" x14ac:dyDescent="0.25">
      <c r="B1331" s="124"/>
      <c r="C1331" s="125"/>
      <c r="D1331" s="125"/>
      <c r="E1331" s="125"/>
      <c r="F1331" s="125"/>
      <c r="G1331" s="125"/>
      <c r="H1331" s="125"/>
      <c r="I1331" s="746"/>
      <c r="J1331" s="747"/>
      <c r="K1331" s="748"/>
      <c r="L1331" s="746"/>
      <c r="M1331" s="747"/>
      <c r="N1331" s="753"/>
    </row>
    <row r="1332" spans="2:14" ht="14.25" hidden="1" customHeight="1" x14ac:dyDescent="0.25">
      <c r="B1332" s="124"/>
      <c r="C1332" s="125"/>
      <c r="D1332" s="125"/>
      <c r="E1332" s="125"/>
      <c r="F1332" s="125"/>
      <c r="G1332" s="125"/>
      <c r="H1332" s="125"/>
      <c r="I1332" s="746"/>
      <c r="J1332" s="747"/>
      <c r="K1332" s="748"/>
      <c r="L1332" s="746"/>
      <c r="M1332" s="747"/>
      <c r="N1332" s="753"/>
    </row>
    <row r="1333" spans="2:14" ht="14.25" hidden="1" customHeight="1" x14ac:dyDescent="0.25">
      <c r="B1333" s="124"/>
      <c r="C1333" s="125"/>
      <c r="D1333" s="125"/>
      <c r="E1333" s="125"/>
      <c r="F1333" s="125"/>
      <c r="G1333" s="125"/>
      <c r="H1333" s="125"/>
      <c r="I1333" s="746"/>
      <c r="J1333" s="747"/>
      <c r="K1333" s="748"/>
      <c r="L1333" s="746"/>
      <c r="M1333" s="747"/>
      <c r="N1333" s="753"/>
    </row>
    <row r="1334" spans="2:14" ht="14.25" hidden="1" customHeight="1" x14ac:dyDescent="0.25">
      <c r="B1334" s="124"/>
      <c r="C1334" s="125"/>
      <c r="D1334" s="125"/>
      <c r="E1334" s="125"/>
      <c r="F1334" s="125"/>
      <c r="G1334" s="125"/>
      <c r="H1334" s="125"/>
      <c r="I1334" s="746"/>
      <c r="J1334" s="747"/>
      <c r="K1334" s="748"/>
      <c r="L1334" s="746"/>
      <c r="M1334" s="747"/>
      <c r="N1334" s="753"/>
    </row>
    <row r="1335" spans="2:14" ht="14.25" hidden="1" customHeight="1" x14ac:dyDescent="0.25">
      <c r="B1335" s="124"/>
      <c r="C1335" s="125"/>
      <c r="D1335" s="125"/>
      <c r="E1335" s="125"/>
      <c r="F1335" s="125"/>
      <c r="G1335" s="125"/>
      <c r="H1335" s="125"/>
      <c r="I1335" s="746"/>
      <c r="J1335" s="747"/>
      <c r="K1335" s="748"/>
      <c r="L1335" s="746"/>
      <c r="M1335" s="747"/>
      <c r="N1335" s="753"/>
    </row>
    <row r="1336" spans="2:14" ht="14.25" hidden="1" customHeight="1" x14ac:dyDescent="0.25">
      <c r="B1336" s="124"/>
      <c r="C1336" s="125"/>
      <c r="D1336" s="125"/>
      <c r="E1336" s="125"/>
      <c r="F1336" s="125"/>
      <c r="G1336" s="125"/>
      <c r="H1336" s="125"/>
      <c r="I1336" s="746"/>
      <c r="J1336" s="747"/>
      <c r="K1336" s="748"/>
      <c r="L1336" s="746"/>
      <c r="M1336" s="747"/>
      <c r="N1336" s="753"/>
    </row>
    <row r="1337" spans="2:14" ht="14.25" hidden="1" customHeight="1" x14ac:dyDescent="0.25">
      <c r="B1337" s="124"/>
      <c r="C1337" s="125"/>
      <c r="D1337" s="125"/>
      <c r="E1337" s="125"/>
      <c r="F1337" s="125"/>
      <c r="G1337" s="125"/>
      <c r="H1337" s="125"/>
      <c r="I1337" s="746"/>
      <c r="J1337" s="747"/>
      <c r="K1337" s="748"/>
      <c r="L1337" s="746"/>
      <c r="M1337" s="747"/>
      <c r="N1337" s="753"/>
    </row>
    <row r="1338" spans="2:14" ht="14.25" hidden="1" customHeight="1" x14ac:dyDescent="0.25">
      <c r="B1338" s="124"/>
      <c r="C1338" s="125"/>
      <c r="D1338" s="125"/>
      <c r="E1338" s="125"/>
      <c r="F1338" s="125"/>
      <c r="G1338" s="125"/>
      <c r="H1338" s="125"/>
      <c r="I1338" s="746"/>
      <c r="J1338" s="747"/>
      <c r="K1338" s="748"/>
      <c r="L1338" s="746"/>
      <c r="M1338" s="747"/>
      <c r="N1338" s="753"/>
    </row>
    <row r="1339" spans="2:14" ht="14.25" hidden="1" customHeight="1" x14ac:dyDescent="0.25">
      <c r="B1339" s="124"/>
      <c r="C1339" s="125"/>
      <c r="D1339" s="125"/>
      <c r="E1339" s="125"/>
      <c r="F1339" s="125"/>
      <c r="G1339" s="125"/>
      <c r="H1339" s="125"/>
      <c r="I1339" s="746"/>
      <c r="J1339" s="747"/>
      <c r="K1339" s="748"/>
      <c r="L1339" s="746"/>
      <c r="M1339" s="747"/>
      <c r="N1339" s="753"/>
    </row>
    <row r="1340" spans="2:14" ht="14.25" hidden="1" customHeight="1" x14ac:dyDescent="0.25">
      <c r="B1340" s="124"/>
      <c r="C1340" s="125"/>
      <c r="D1340" s="125"/>
      <c r="E1340" s="125"/>
      <c r="F1340" s="125"/>
      <c r="G1340" s="125"/>
      <c r="H1340" s="125"/>
      <c r="I1340" s="746"/>
      <c r="J1340" s="747"/>
      <c r="K1340" s="748"/>
      <c r="L1340" s="746"/>
      <c r="M1340" s="747"/>
      <c r="N1340" s="753"/>
    </row>
    <row r="1341" spans="2:14" ht="14.25" hidden="1" customHeight="1" x14ac:dyDescent="0.25">
      <c r="B1341" s="124"/>
      <c r="C1341" s="125"/>
      <c r="D1341" s="125"/>
      <c r="E1341" s="125"/>
      <c r="F1341" s="125"/>
      <c r="G1341" s="125"/>
      <c r="H1341" s="125"/>
      <c r="I1341" s="746"/>
      <c r="J1341" s="747"/>
      <c r="K1341" s="748"/>
      <c r="L1341" s="746"/>
      <c r="M1341" s="747"/>
      <c r="N1341" s="753"/>
    </row>
    <row r="1342" spans="2:14" ht="14.25" hidden="1" customHeight="1" x14ac:dyDescent="0.25">
      <c r="B1342" s="124"/>
      <c r="C1342" s="125"/>
      <c r="D1342" s="125"/>
      <c r="E1342" s="125"/>
      <c r="F1342" s="125"/>
      <c r="G1342" s="125"/>
      <c r="H1342" s="125"/>
      <c r="I1342" s="746"/>
      <c r="J1342" s="747"/>
      <c r="K1342" s="748"/>
      <c r="L1342" s="746"/>
      <c r="M1342" s="747"/>
      <c r="N1342" s="753"/>
    </row>
    <row r="1343" spans="2:14" ht="14.25" hidden="1" customHeight="1" x14ac:dyDescent="0.25">
      <c r="B1343" s="124"/>
      <c r="C1343" s="125"/>
      <c r="D1343" s="125"/>
      <c r="E1343" s="125"/>
      <c r="F1343" s="125"/>
      <c r="G1343" s="125"/>
      <c r="H1343" s="125"/>
      <c r="I1343" s="746"/>
      <c r="J1343" s="747"/>
      <c r="K1343" s="748"/>
      <c r="L1343" s="746"/>
      <c r="M1343" s="747"/>
      <c r="N1343" s="753"/>
    </row>
    <row r="1344" spans="2:14" ht="14.25" hidden="1" customHeight="1" x14ac:dyDescent="0.25">
      <c r="B1344" s="124"/>
      <c r="C1344" s="125"/>
      <c r="D1344" s="125"/>
      <c r="E1344" s="125"/>
      <c r="F1344" s="125"/>
      <c r="G1344" s="125"/>
      <c r="H1344" s="125"/>
      <c r="I1344" s="746"/>
      <c r="J1344" s="747"/>
      <c r="K1344" s="748"/>
      <c r="L1344" s="746"/>
      <c r="M1344" s="747"/>
      <c r="N1344" s="753"/>
    </row>
    <row r="1345" spans="2:14" ht="14.25" hidden="1" customHeight="1" x14ac:dyDescent="0.25">
      <c r="B1345" s="127"/>
      <c r="C1345" s="125"/>
      <c r="D1345" s="125"/>
      <c r="E1345" s="125"/>
      <c r="F1345" s="125"/>
      <c r="G1345" s="125"/>
      <c r="H1345" s="125"/>
      <c r="I1345" s="749"/>
      <c r="J1345" s="750"/>
      <c r="K1345" s="751"/>
      <c r="L1345" s="749"/>
      <c r="M1345" s="750"/>
      <c r="N1345" s="754"/>
    </row>
    <row r="1346" spans="2:14" ht="14.25" hidden="1" customHeight="1" x14ac:dyDescent="0.25">
      <c r="B1346" s="209"/>
      <c r="C1346" s="118"/>
      <c r="D1346" s="118"/>
      <c r="E1346" s="118"/>
      <c r="F1346" s="118"/>
      <c r="G1346" s="118"/>
      <c r="H1346" s="118"/>
      <c r="I1346" s="118"/>
      <c r="J1346" s="118"/>
      <c r="K1346" s="118"/>
      <c r="L1346" s="118"/>
      <c r="M1346" s="118"/>
      <c r="N1346" s="210"/>
    </row>
    <row r="1347" spans="2:14" ht="14.25" hidden="1" customHeight="1" x14ac:dyDescent="0.25">
      <c r="B1347" s="209"/>
      <c r="C1347" s="118"/>
      <c r="D1347" s="118"/>
      <c r="E1347" s="118"/>
      <c r="F1347" s="118"/>
      <c r="G1347" s="118"/>
      <c r="H1347" s="118"/>
      <c r="I1347" s="118"/>
      <c r="J1347" s="118"/>
      <c r="K1347" s="118"/>
      <c r="L1347" s="118"/>
      <c r="M1347" s="118"/>
      <c r="N1347" s="210"/>
    </row>
    <row r="1348" spans="2:14" ht="14.25" hidden="1" customHeight="1" x14ac:dyDescent="0.25">
      <c r="B1348" s="209"/>
      <c r="C1348" s="118"/>
      <c r="D1348" s="118"/>
      <c r="E1348" s="118"/>
      <c r="F1348" s="118"/>
      <c r="G1348" s="118"/>
      <c r="H1348" s="118"/>
      <c r="I1348" s="118"/>
      <c r="J1348" s="118"/>
      <c r="K1348" s="118"/>
      <c r="L1348" s="118"/>
      <c r="M1348" s="118"/>
      <c r="N1348" s="210"/>
    </row>
    <row r="1349" spans="2:14" ht="14.25" hidden="1" customHeight="1" x14ac:dyDescent="0.25">
      <c r="B1349" s="209"/>
      <c r="C1349" s="118"/>
      <c r="D1349" s="118"/>
      <c r="E1349" s="118"/>
      <c r="F1349" s="118"/>
      <c r="G1349" s="118"/>
      <c r="H1349" s="118"/>
      <c r="I1349" s="118"/>
      <c r="J1349" s="118"/>
      <c r="K1349" s="118"/>
      <c r="L1349" s="118"/>
      <c r="M1349" s="118"/>
      <c r="N1349" s="210"/>
    </row>
    <row r="1350" spans="2:14" ht="14.25" hidden="1" customHeight="1" x14ac:dyDescent="0.25">
      <c r="B1350" s="775" t="s">
        <v>414</v>
      </c>
      <c r="C1350" s="747"/>
      <c r="D1350" s="747"/>
      <c r="E1350" s="128"/>
      <c r="F1350" s="128"/>
      <c r="G1350" s="128"/>
      <c r="H1350" s="128"/>
      <c r="I1350" s="776"/>
      <c r="J1350" s="747"/>
      <c r="K1350" s="747"/>
      <c r="L1350" s="118"/>
      <c r="M1350" s="118"/>
      <c r="N1350" s="210"/>
    </row>
    <row r="1351" spans="2:14" ht="14.25" hidden="1" customHeight="1" x14ac:dyDescent="0.25">
      <c r="B1351" s="129"/>
      <c r="C1351" s="130"/>
      <c r="D1351" s="130"/>
      <c r="E1351" s="130"/>
      <c r="F1351" s="130"/>
      <c r="G1351" s="130"/>
      <c r="H1351" s="130"/>
      <c r="I1351" s="130"/>
      <c r="J1351" s="130"/>
      <c r="K1351" s="130"/>
      <c r="L1351" s="130"/>
      <c r="M1351" s="130"/>
      <c r="N1351" s="131"/>
    </row>
    <row r="1352" spans="2:14" ht="14.25" hidden="1" customHeight="1" x14ac:dyDescent="0.25">
      <c r="B1352" s="132"/>
      <c r="C1352" s="132"/>
      <c r="D1352" s="132"/>
      <c r="E1352" s="132"/>
      <c r="F1352" s="132"/>
      <c r="G1352" s="132"/>
      <c r="H1352" s="132"/>
      <c r="I1352" s="132"/>
      <c r="J1352" s="132"/>
      <c r="K1352" s="132"/>
      <c r="L1352" s="132"/>
      <c r="M1352" s="132"/>
      <c r="N1352" s="132"/>
    </row>
    <row r="1353" spans="2:14" ht="40.5" customHeight="1" x14ac:dyDescent="0.25">
      <c r="B1353" s="728"/>
      <c r="C1353" s="729"/>
      <c r="D1353" s="730" t="s">
        <v>393</v>
      </c>
      <c r="E1353" s="729"/>
      <c r="F1353" s="729"/>
      <c r="G1353" s="729"/>
      <c r="H1353" s="729"/>
      <c r="I1353" s="729"/>
      <c r="J1353" s="729"/>
      <c r="K1353" s="729"/>
      <c r="L1353" s="729"/>
      <c r="M1353" s="729"/>
      <c r="N1353" s="731"/>
    </row>
    <row r="1354" spans="2:14" ht="14.25" customHeight="1" x14ac:dyDescent="0.25">
      <c r="B1354" s="732" t="s">
        <v>394</v>
      </c>
      <c r="C1354" s="733"/>
      <c r="D1354" s="733"/>
      <c r="E1354" s="733"/>
      <c r="F1354" s="733"/>
      <c r="G1354" s="733"/>
      <c r="H1354" s="733"/>
      <c r="I1354" s="733"/>
      <c r="J1354" s="733"/>
      <c r="K1354" s="733"/>
      <c r="L1354" s="733"/>
      <c r="M1354" s="733"/>
      <c r="N1354" s="734"/>
    </row>
    <row r="1355" spans="2:14" ht="14.25" customHeight="1" x14ac:dyDescent="0.25">
      <c r="B1355" s="735" t="s">
        <v>395</v>
      </c>
      <c r="C1355" s="736"/>
      <c r="D1355" s="737" t="str">
        <f>VLOOKUP(B1357,Buenaventura!A9:G1551,3,FALSE)</f>
        <v>Desmonte de marcos en madera (puertas y/o ventanas), incluye retiro y disposición final en centro autorizado</v>
      </c>
      <c r="E1355" s="738"/>
      <c r="F1355" s="738"/>
      <c r="G1355" s="738"/>
      <c r="H1355" s="738"/>
      <c r="I1355" s="738"/>
      <c r="J1355" s="738"/>
      <c r="K1355" s="738"/>
      <c r="L1355" s="738"/>
      <c r="M1355" s="738"/>
      <c r="N1355" s="739"/>
    </row>
    <row r="1356" spans="2:14" ht="14.25" customHeight="1" x14ac:dyDescent="0.25">
      <c r="B1356" s="740" t="s">
        <v>26</v>
      </c>
      <c r="C1356" s="741"/>
      <c r="D1356" s="119" t="s">
        <v>396</v>
      </c>
      <c r="E1356" s="742" t="s">
        <v>397</v>
      </c>
      <c r="F1356" s="733"/>
      <c r="G1356" s="733"/>
      <c r="H1356" s="736"/>
      <c r="I1356" s="742" t="s">
        <v>398</v>
      </c>
      <c r="J1356" s="733"/>
      <c r="K1356" s="736"/>
      <c r="L1356" s="742" t="s">
        <v>399</v>
      </c>
      <c r="M1356" s="733"/>
      <c r="N1356" s="734"/>
    </row>
    <row r="1357" spans="2:14" ht="14.25" customHeight="1" x14ac:dyDescent="0.25">
      <c r="B1357" s="283">
        <v>15</v>
      </c>
      <c r="C1357" s="284" t="str">
        <f>VLOOKUP(B1357,Buenaventura!A9:G1551,2,FALSE)</f>
        <v>PR-40</v>
      </c>
      <c r="D1357" s="285">
        <f>SUM(H1360:H1363)</f>
        <v>32</v>
      </c>
      <c r="E1357" s="743" t="str">
        <f>VLOOKUP(B1357,Buenaventura!A9:G1550,4,FALSE)</f>
        <v>UND</v>
      </c>
      <c r="F1357" s="743"/>
      <c r="G1357" s="743"/>
      <c r="H1357" s="743"/>
      <c r="I1357" s="744"/>
      <c r="J1357" s="745"/>
      <c r="K1357" s="741"/>
      <c r="L1357" s="744"/>
      <c r="M1357" s="745"/>
      <c r="N1357" s="752"/>
    </row>
    <row r="1358" spans="2:14" ht="14.25" customHeight="1" x14ac:dyDescent="0.25">
      <c r="B1358" s="755" t="s">
        <v>416</v>
      </c>
      <c r="C1358" s="733"/>
      <c r="D1358" s="733"/>
      <c r="E1358" s="733"/>
      <c r="F1358" s="733"/>
      <c r="G1358" s="733"/>
      <c r="H1358" s="736"/>
      <c r="I1358" s="746"/>
      <c r="J1358" s="747"/>
      <c r="K1358" s="748"/>
      <c r="L1358" s="746"/>
      <c r="M1358" s="747"/>
      <c r="N1358" s="753"/>
    </row>
    <row r="1359" spans="2:14" ht="14.25" customHeight="1" x14ac:dyDescent="0.25">
      <c r="B1359" s="121" t="s">
        <v>400</v>
      </c>
      <c r="C1359" s="122" t="s">
        <v>401</v>
      </c>
      <c r="D1359" s="123" t="s">
        <v>402</v>
      </c>
      <c r="E1359" s="123" t="s">
        <v>403</v>
      </c>
      <c r="F1359" s="123" t="s">
        <v>404</v>
      </c>
      <c r="G1359" s="123" t="s">
        <v>405</v>
      </c>
      <c r="H1359" s="123" t="s">
        <v>406</v>
      </c>
      <c r="I1359" s="746"/>
      <c r="J1359" s="747"/>
      <c r="K1359" s="748"/>
      <c r="L1359" s="746"/>
      <c r="M1359" s="747"/>
      <c r="N1359" s="753"/>
    </row>
    <row r="1360" spans="2:14" ht="14.25" customHeight="1" x14ac:dyDescent="0.25">
      <c r="B1360" s="136"/>
      <c r="C1360" s="125" t="s">
        <v>508</v>
      </c>
      <c r="D1360" s="125">
        <v>6</v>
      </c>
      <c r="E1360" s="125"/>
      <c r="F1360" s="125"/>
      <c r="G1360" s="125"/>
      <c r="H1360" s="125">
        <f>D1360</f>
        <v>6</v>
      </c>
      <c r="I1360" s="746"/>
      <c r="J1360" s="747"/>
      <c r="K1360" s="748"/>
      <c r="L1360" s="746"/>
      <c r="M1360" s="747"/>
      <c r="N1360" s="753"/>
    </row>
    <row r="1361" spans="2:14" ht="14.25" customHeight="1" x14ac:dyDescent="0.25">
      <c r="B1361" s="136"/>
      <c r="C1361" s="125" t="s">
        <v>509</v>
      </c>
      <c r="D1361" s="125">
        <v>13</v>
      </c>
      <c r="E1361" s="125"/>
      <c r="F1361" s="125"/>
      <c r="G1361" s="125"/>
      <c r="H1361" s="125">
        <f t="shared" ref="H1361:H1362" si="40">D1361</f>
        <v>13</v>
      </c>
      <c r="I1361" s="746"/>
      <c r="J1361" s="747"/>
      <c r="K1361" s="748"/>
      <c r="L1361" s="746"/>
      <c r="M1361" s="747"/>
      <c r="N1361" s="753"/>
    </row>
    <row r="1362" spans="2:14" ht="14.25" customHeight="1" x14ac:dyDescent="0.25">
      <c r="B1362" s="136"/>
      <c r="C1362" s="125" t="s">
        <v>510</v>
      </c>
      <c r="D1362" s="125">
        <v>13</v>
      </c>
      <c r="E1362" s="125"/>
      <c r="F1362" s="125"/>
      <c r="G1362" s="125"/>
      <c r="H1362" s="125">
        <f t="shared" si="40"/>
        <v>13</v>
      </c>
      <c r="I1362" s="746"/>
      <c r="J1362" s="747"/>
      <c r="K1362" s="748"/>
      <c r="L1362" s="746"/>
      <c r="M1362" s="747"/>
      <c r="N1362" s="753"/>
    </row>
    <row r="1363" spans="2:14" ht="14.25" customHeight="1" x14ac:dyDescent="0.25">
      <c r="B1363" s="136"/>
      <c r="C1363" s="125"/>
      <c r="D1363" s="125"/>
      <c r="E1363" s="125"/>
      <c r="F1363" s="125"/>
      <c r="G1363" s="125"/>
      <c r="H1363" s="125"/>
      <c r="I1363" s="746"/>
      <c r="J1363" s="747"/>
      <c r="K1363" s="748"/>
      <c r="L1363" s="746"/>
      <c r="M1363" s="747"/>
      <c r="N1363" s="753"/>
    </row>
    <row r="1364" spans="2:14" ht="14.25" customHeight="1" x14ac:dyDescent="0.25">
      <c r="B1364" s="136"/>
      <c r="C1364" s="125"/>
      <c r="D1364" s="125"/>
      <c r="E1364" s="125"/>
      <c r="F1364" s="125"/>
      <c r="G1364" s="125"/>
      <c r="H1364" s="125"/>
      <c r="I1364" s="746"/>
      <c r="J1364" s="747"/>
      <c r="K1364" s="748"/>
      <c r="L1364" s="746"/>
      <c r="M1364" s="747"/>
      <c r="N1364" s="753"/>
    </row>
    <row r="1365" spans="2:14" ht="14.25" customHeight="1" x14ac:dyDescent="0.25">
      <c r="B1365" s="124"/>
      <c r="C1365" s="125"/>
      <c r="D1365" s="125"/>
      <c r="E1365" s="125"/>
      <c r="F1365" s="125"/>
      <c r="G1365" s="125"/>
      <c r="H1365" s="125"/>
      <c r="I1365" s="746"/>
      <c r="J1365" s="747"/>
      <c r="K1365" s="748"/>
      <c r="L1365" s="746"/>
      <c r="M1365" s="747"/>
      <c r="N1365" s="753"/>
    </row>
    <row r="1366" spans="2:14" ht="14.25" customHeight="1" x14ac:dyDescent="0.25">
      <c r="B1366" s="124"/>
      <c r="C1366" s="125"/>
      <c r="D1366" s="125"/>
      <c r="E1366" s="125"/>
      <c r="F1366" s="125"/>
      <c r="G1366" s="125"/>
      <c r="H1366" s="125"/>
      <c r="I1366" s="746"/>
      <c r="J1366" s="747"/>
      <c r="K1366" s="748"/>
      <c r="L1366" s="746"/>
      <c r="M1366" s="747"/>
      <c r="N1366" s="753"/>
    </row>
    <row r="1367" spans="2:14" ht="14.25" customHeight="1" x14ac:dyDescent="0.25">
      <c r="B1367" s="124"/>
      <c r="C1367" s="125"/>
      <c r="D1367" s="125"/>
      <c r="E1367" s="125"/>
      <c r="F1367" s="125"/>
      <c r="G1367" s="125"/>
      <c r="H1367" s="125"/>
      <c r="I1367" s="746"/>
      <c r="J1367" s="747"/>
      <c r="K1367" s="748"/>
      <c r="L1367" s="746"/>
      <c r="M1367" s="747"/>
      <c r="N1367" s="753"/>
    </row>
    <row r="1368" spans="2:14" ht="14.25" customHeight="1" x14ac:dyDescent="0.25">
      <c r="B1368" s="124"/>
      <c r="C1368" s="125"/>
      <c r="D1368" s="125"/>
      <c r="E1368" s="125"/>
      <c r="F1368" s="125"/>
      <c r="G1368" s="125"/>
      <c r="H1368" s="125"/>
      <c r="I1368" s="746"/>
      <c r="J1368" s="747"/>
      <c r="K1368" s="748"/>
      <c r="L1368" s="746"/>
      <c r="M1368" s="747"/>
      <c r="N1368" s="753"/>
    </row>
    <row r="1369" spans="2:14" ht="14.25" customHeight="1" x14ac:dyDescent="0.25">
      <c r="B1369" s="124"/>
      <c r="C1369" s="125"/>
      <c r="D1369" s="125"/>
      <c r="E1369" s="125"/>
      <c r="F1369" s="125"/>
      <c r="G1369" s="125"/>
      <c r="H1369" s="125"/>
      <c r="I1369" s="746"/>
      <c r="J1369" s="747"/>
      <c r="K1369" s="748"/>
      <c r="L1369" s="746"/>
      <c r="M1369" s="747"/>
      <c r="N1369" s="753"/>
    </row>
    <row r="1370" spans="2:14" ht="14.25" customHeight="1" x14ac:dyDescent="0.25">
      <c r="B1370" s="124"/>
      <c r="C1370" s="125"/>
      <c r="D1370" s="125"/>
      <c r="E1370" s="125"/>
      <c r="F1370" s="125"/>
      <c r="G1370" s="125"/>
      <c r="H1370" s="125"/>
      <c r="I1370" s="746"/>
      <c r="J1370" s="747"/>
      <c r="K1370" s="748"/>
      <c r="L1370" s="746"/>
      <c r="M1370" s="747"/>
      <c r="N1370" s="753"/>
    </row>
    <row r="1371" spans="2:14" ht="14.25" customHeight="1" x14ac:dyDescent="0.25">
      <c r="B1371" s="124"/>
      <c r="C1371" s="125"/>
      <c r="D1371" s="125"/>
      <c r="E1371" s="125"/>
      <c r="F1371" s="125"/>
      <c r="G1371" s="125"/>
      <c r="H1371" s="125"/>
      <c r="I1371" s="746"/>
      <c r="J1371" s="747"/>
      <c r="K1371" s="748"/>
      <c r="L1371" s="746"/>
      <c r="M1371" s="747"/>
      <c r="N1371" s="753"/>
    </row>
    <row r="1372" spans="2:14" ht="14.25" customHeight="1" x14ac:dyDescent="0.25">
      <c r="B1372" s="124"/>
      <c r="C1372" s="125"/>
      <c r="D1372" s="125"/>
      <c r="E1372" s="125"/>
      <c r="F1372" s="125"/>
      <c r="G1372" s="125"/>
      <c r="H1372" s="125"/>
      <c r="I1372" s="746"/>
      <c r="J1372" s="747"/>
      <c r="K1372" s="748"/>
      <c r="L1372" s="746"/>
      <c r="M1372" s="747"/>
      <c r="N1372" s="753"/>
    </row>
    <row r="1373" spans="2:14" ht="14.25" customHeight="1" x14ac:dyDescent="0.25">
      <c r="B1373" s="124"/>
      <c r="C1373" s="125"/>
      <c r="D1373" s="125"/>
      <c r="E1373" s="125"/>
      <c r="F1373" s="125"/>
      <c r="G1373" s="125"/>
      <c r="H1373" s="125"/>
      <c r="I1373" s="746"/>
      <c r="J1373" s="747"/>
      <c r="K1373" s="748"/>
      <c r="L1373" s="746"/>
      <c r="M1373" s="747"/>
      <c r="N1373" s="753"/>
    </row>
    <row r="1374" spans="2:14" ht="14.25" customHeight="1" x14ac:dyDescent="0.25">
      <c r="B1374" s="124"/>
      <c r="C1374" s="125"/>
      <c r="D1374" s="125"/>
      <c r="E1374" s="125"/>
      <c r="F1374" s="125"/>
      <c r="G1374" s="125"/>
      <c r="H1374" s="125"/>
      <c r="I1374" s="746"/>
      <c r="J1374" s="747"/>
      <c r="K1374" s="748"/>
      <c r="L1374" s="746"/>
      <c r="M1374" s="747"/>
      <c r="N1374" s="753"/>
    </row>
    <row r="1375" spans="2:14" ht="14.25" customHeight="1" x14ac:dyDescent="0.25">
      <c r="B1375" s="124"/>
      <c r="C1375" s="125"/>
      <c r="D1375" s="125"/>
      <c r="E1375" s="125"/>
      <c r="F1375" s="125"/>
      <c r="G1375" s="125"/>
      <c r="H1375" s="125"/>
      <c r="I1375" s="746"/>
      <c r="J1375" s="747"/>
      <c r="K1375" s="748"/>
      <c r="L1375" s="746"/>
      <c r="M1375" s="747"/>
      <c r="N1375" s="753"/>
    </row>
    <row r="1376" spans="2:14" ht="14.25" customHeight="1" x14ac:dyDescent="0.25">
      <c r="B1376" s="124"/>
      <c r="C1376" s="125"/>
      <c r="D1376" s="125"/>
      <c r="E1376" s="125"/>
      <c r="F1376" s="125"/>
      <c r="G1376" s="125"/>
      <c r="H1376" s="125"/>
      <c r="I1376" s="746"/>
      <c r="J1376" s="747"/>
      <c r="K1376" s="748"/>
      <c r="L1376" s="746"/>
      <c r="M1376" s="747"/>
      <c r="N1376" s="753"/>
    </row>
    <row r="1377" spans="2:14" ht="14.25" customHeight="1" x14ac:dyDescent="0.25">
      <c r="B1377" s="124"/>
      <c r="C1377" s="125"/>
      <c r="D1377" s="125"/>
      <c r="E1377" s="125"/>
      <c r="F1377" s="125"/>
      <c r="G1377" s="125"/>
      <c r="H1377" s="125"/>
      <c r="I1377" s="746"/>
      <c r="J1377" s="747"/>
      <c r="K1377" s="748"/>
      <c r="L1377" s="746"/>
      <c r="M1377" s="747"/>
      <c r="N1377" s="753"/>
    </row>
    <row r="1378" spans="2:14" ht="14.25" customHeight="1" x14ac:dyDescent="0.25">
      <c r="B1378" s="124"/>
      <c r="C1378" s="125"/>
      <c r="D1378" s="125"/>
      <c r="E1378" s="125"/>
      <c r="F1378" s="125"/>
      <c r="G1378" s="125"/>
      <c r="H1378" s="125"/>
      <c r="I1378" s="746"/>
      <c r="J1378" s="747"/>
      <c r="K1378" s="748"/>
      <c r="L1378" s="746"/>
      <c r="M1378" s="747"/>
      <c r="N1378" s="753"/>
    </row>
    <row r="1379" spans="2:14" ht="14.25" customHeight="1" x14ac:dyDescent="0.25">
      <c r="B1379" s="124"/>
      <c r="C1379" s="125"/>
      <c r="D1379" s="125"/>
      <c r="E1379" s="125"/>
      <c r="F1379" s="125"/>
      <c r="G1379" s="125"/>
      <c r="H1379" s="125"/>
      <c r="I1379" s="746"/>
      <c r="J1379" s="747"/>
      <c r="K1379" s="748"/>
      <c r="L1379" s="746"/>
      <c r="M1379" s="747"/>
      <c r="N1379" s="753"/>
    </row>
    <row r="1380" spans="2:14" ht="14.25" customHeight="1" x14ac:dyDescent="0.25">
      <c r="B1380" s="124"/>
      <c r="C1380" s="125"/>
      <c r="D1380" s="125"/>
      <c r="E1380" s="125"/>
      <c r="F1380" s="125"/>
      <c r="G1380" s="125"/>
      <c r="H1380" s="125"/>
      <c r="I1380" s="746"/>
      <c r="J1380" s="747"/>
      <c r="K1380" s="748"/>
      <c r="L1380" s="746"/>
      <c r="M1380" s="747"/>
      <c r="N1380" s="753"/>
    </row>
    <row r="1381" spans="2:14" ht="14.25" customHeight="1" x14ac:dyDescent="0.25">
      <c r="B1381" s="127"/>
      <c r="C1381" s="125"/>
      <c r="D1381" s="125"/>
      <c r="E1381" s="125"/>
      <c r="F1381" s="125"/>
      <c r="G1381" s="125"/>
      <c r="H1381" s="125"/>
      <c r="I1381" s="749"/>
      <c r="J1381" s="750"/>
      <c r="K1381" s="751"/>
      <c r="L1381" s="749"/>
      <c r="M1381" s="750"/>
      <c r="N1381" s="754"/>
    </row>
    <row r="1382" spans="2:14" ht="14.25" customHeight="1" x14ac:dyDescent="0.25">
      <c r="B1382" s="209"/>
      <c r="C1382" s="118"/>
      <c r="D1382" s="118"/>
      <c r="E1382" s="118"/>
      <c r="F1382" s="118"/>
      <c r="G1382" s="118"/>
      <c r="H1382" s="118"/>
      <c r="I1382" s="118"/>
      <c r="J1382" s="118"/>
      <c r="K1382" s="118"/>
      <c r="L1382" s="118"/>
      <c r="M1382" s="118"/>
      <c r="N1382" s="210"/>
    </row>
    <row r="1383" spans="2:14" ht="14.25" customHeight="1" x14ac:dyDescent="0.25">
      <c r="B1383" s="209"/>
      <c r="C1383" s="118"/>
      <c r="D1383" s="118"/>
      <c r="E1383" s="118"/>
      <c r="F1383" s="118"/>
      <c r="G1383" s="118"/>
      <c r="H1383" s="118"/>
      <c r="I1383" s="118"/>
      <c r="J1383" s="118"/>
      <c r="K1383" s="118"/>
      <c r="L1383" s="118"/>
      <c r="M1383" s="118"/>
      <c r="N1383" s="210"/>
    </row>
    <row r="1384" spans="2:14" ht="14.25" customHeight="1" x14ac:dyDescent="0.25">
      <c r="B1384" s="209"/>
      <c r="C1384" s="118"/>
      <c r="D1384" s="118"/>
      <c r="E1384" s="118"/>
      <c r="F1384" s="118"/>
      <c r="G1384" s="118"/>
      <c r="H1384" s="118"/>
      <c r="I1384" s="118"/>
      <c r="J1384" s="118"/>
      <c r="K1384" s="118"/>
      <c r="L1384" s="118"/>
      <c r="M1384" s="118"/>
      <c r="N1384" s="210"/>
    </row>
    <row r="1385" spans="2:14" ht="14.25" customHeight="1" x14ac:dyDescent="0.25">
      <c r="B1385" s="209"/>
      <c r="C1385" s="118"/>
      <c r="D1385" s="118"/>
      <c r="E1385" s="118"/>
      <c r="F1385" s="118"/>
      <c r="G1385" s="118"/>
      <c r="H1385" s="118"/>
      <c r="I1385" s="118"/>
      <c r="J1385" s="118"/>
      <c r="K1385" s="118"/>
      <c r="L1385" s="118"/>
      <c r="M1385" s="118"/>
      <c r="N1385" s="210"/>
    </row>
    <row r="1386" spans="2:14" ht="14.25" customHeight="1" x14ac:dyDescent="0.25">
      <c r="B1386" s="775" t="s">
        <v>414</v>
      </c>
      <c r="C1386" s="747"/>
      <c r="D1386" s="747"/>
      <c r="E1386" s="128"/>
      <c r="F1386" s="128"/>
      <c r="G1386" s="128"/>
      <c r="H1386" s="128"/>
      <c r="I1386" s="776"/>
      <c r="J1386" s="747"/>
      <c r="K1386" s="747"/>
      <c r="L1386" s="118"/>
      <c r="M1386" s="118"/>
      <c r="N1386" s="210"/>
    </row>
    <row r="1387" spans="2:14" ht="14.25" customHeight="1" thickBot="1" x14ac:dyDescent="0.3">
      <c r="B1387" s="129"/>
      <c r="C1387" s="130"/>
      <c r="D1387" s="130"/>
      <c r="E1387" s="130"/>
      <c r="F1387" s="130"/>
      <c r="G1387" s="130"/>
      <c r="H1387" s="130"/>
      <c r="I1387" s="130"/>
      <c r="J1387" s="130"/>
      <c r="K1387" s="130"/>
      <c r="L1387" s="130"/>
      <c r="M1387" s="130"/>
      <c r="N1387" s="131"/>
    </row>
    <row r="1388" spans="2:14" ht="14.25" customHeight="1" thickBot="1" x14ac:dyDescent="0.3">
      <c r="B1388" s="132"/>
      <c r="C1388" s="132"/>
      <c r="D1388" s="132"/>
      <c r="E1388" s="132"/>
      <c r="F1388" s="132"/>
      <c r="G1388" s="132"/>
      <c r="H1388" s="132"/>
      <c r="I1388" s="132"/>
      <c r="J1388" s="132"/>
      <c r="K1388" s="132"/>
      <c r="L1388" s="132"/>
      <c r="M1388" s="132"/>
      <c r="N1388" s="132"/>
    </row>
    <row r="1389" spans="2:14" ht="53.25" customHeight="1" x14ac:dyDescent="0.25">
      <c r="B1389" s="728"/>
      <c r="C1389" s="729"/>
      <c r="D1389" s="730" t="s">
        <v>393</v>
      </c>
      <c r="E1389" s="729"/>
      <c r="F1389" s="729"/>
      <c r="G1389" s="729"/>
      <c r="H1389" s="729"/>
      <c r="I1389" s="729"/>
      <c r="J1389" s="729"/>
      <c r="K1389" s="729"/>
      <c r="L1389" s="729"/>
      <c r="M1389" s="729"/>
      <c r="N1389" s="731"/>
    </row>
    <row r="1390" spans="2:14" ht="21.6" customHeight="1" x14ac:dyDescent="0.25">
      <c r="B1390" s="732" t="s">
        <v>394</v>
      </c>
      <c r="C1390" s="733"/>
      <c r="D1390" s="733"/>
      <c r="E1390" s="733"/>
      <c r="F1390" s="733"/>
      <c r="G1390" s="733"/>
      <c r="H1390" s="733"/>
      <c r="I1390" s="733"/>
      <c r="J1390" s="733"/>
      <c r="K1390" s="733"/>
      <c r="L1390" s="733"/>
      <c r="M1390" s="733"/>
      <c r="N1390" s="734"/>
    </row>
    <row r="1391" spans="2:14" ht="30" customHeight="1" x14ac:dyDescent="0.25">
      <c r="B1391" s="735" t="s">
        <v>395</v>
      </c>
      <c r="C1391" s="736"/>
      <c r="D1391" s="737" t="str">
        <f>VLOOKUP(B1393,Buenaventura!A9:G1587,3,FALSE)</f>
        <v>Desmonte de celosia en madera incluye retiro y dispoción final en centro de acopio autorizado, cuyas dimensiones oscilan entre 0.40m y 0.50m de alto x 0,80m y 1.00 de largo</v>
      </c>
      <c r="E1391" s="738"/>
      <c r="F1391" s="738"/>
      <c r="G1391" s="738"/>
      <c r="H1391" s="738"/>
      <c r="I1391" s="738"/>
      <c r="J1391" s="738"/>
      <c r="K1391" s="738"/>
      <c r="L1391" s="738"/>
      <c r="M1391" s="738"/>
      <c r="N1391" s="739"/>
    </row>
    <row r="1392" spans="2:14" ht="14.25" customHeight="1" x14ac:dyDescent="0.25">
      <c r="B1392" s="740" t="s">
        <v>26</v>
      </c>
      <c r="C1392" s="741"/>
      <c r="D1392" s="119" t="s">
        <v>396</v>
      </c>
      <c r="E1392" s="742" t="s">
        <v>397</v>
      </c>
      <c r="F1392" s="733"/>
      <c r="G1392" s="733"/>
      <c r="H1392" s="736"/>
      <c r="I1392" s="742" t="s">
        <v>398</v>
      </c>
      <c r="J1392" s="733"/>
      <c r="K1392" s="736"/>
      <c r="L1392" s="742" t="s">
        <v>399</v>
      </c>
      <c r="M1392" s="733"/>
      <c r="N1392" s="734"/>
    </row>
    <row r="1393" spans="2:15" ht="14.25" customHeight="1" x14ac:dyDescent="0.25">
      <c r="B1393" s="283">
        <v>16</v>
      </c>
      <c r="C1393" s="284" t="str">
        <f>VLOOKUP(B1393,Buenaventura!A9:G1587,2,FALSE)</f>
        <v>PR-71</v>
      </c>
      <c r="D1393" s="285">
        <f>SUM(H1396:H1399)</f>
        <v>26</v>
      </c>
      <c r="E1393" s="743" t="str">
        <f>VLOOKUP(B1393,Buenaventura!A9:G1586,4,FALSE)</f>
        <v>UND</v>
      </c>
      <c r="F1393" s="743"/>
      <c r="G1393" s="743"/>
      <c r="H1393" s="743"/>
      <c r="I1393" s="744"/>
      <c r="J1393" s="745"/>
      <c r="K1393" s="741"/>
      <c r="L1393" s="744"/>
      <c r="M1393" s="745"/>
      <c r="N1393" s="752"/>
    </row>
    <row r="1394" spans="2:15" ht="14.25" customHeight="1" x14ac:dyDescent="0.25">
      <c r="B1394" s="755" t="s">
        <v>416</v>
      </c>
      <c r="C1394" s="733"/>
      <c r="D1394" s="733"/>
      <c r="E1394" s="733"/>
      <c r="F1394" s="733"/>
      <c r="G1394" s="733"/>
      <c r="H1394" s="736"/>
      <c r="I1394" s="746"/>
      <c r="J1394" s="747"/>
      <c r="K1394" s="748"/>
      <c r="L1394" s="746"/>
      <c r="M1394" s="747"/>
      <c r="N1394" s="753"/>
    </row>
    <row r="1395" spans="2:15" ht="14.25" customHeight="1" x14ac:dyDescent="0.25">
      <c r="B1395" s="121" t="s">
        <v>400</v>
      </c>
      <c r="C1395" s="122" t="s">
        <v>401</v>
      </c>
      <c r="D1395" s="123" t="s">
        <v>402</v>
      </c>
      <c r="E1395" s="123" t="s">
        <v>403</v>
      </c>
      <c r="F1395" s="123" t="s">
        <v>404</v>
      </c>
      <c r="G1395" s="123" t="s">
        <v>405</v>
      </c>
      <c r="H1395" s="123" t="s">
        <v>406</v>
      </c>
      <c r="I1395" s="746"/>
      <c r="J1395" s="747"/>
      <c r="K1395" s="748"/>
      <c r="L1395" s="746"/>
      <c r="M1395" s="747"/>
      <c r="N1395" s="753"/>
    </row>
    <row r="1396" spans="2:15" ht="14.25" customHeight="1" x14ac:dyDescent="0.25">
      <c r="B1396" s="124"/>
      <c r="C1396" s="215" t="s">
        <v>511</v>
      </c>
      <c r="D1396" s="125">
        <v>13</v>
      </c>
      <c r="E1396" s="125"/>
      <c r="F1396" s="125"/>
      <c r="G1396" s="125"/>
      <c r="H1396" s="125">
        <f>D1396</f>
        <v>13</v>
      </c>
      <c r="I1396" s="746"/>
      <c r="J1396" s="747"/>
      <c r="K1396" s="748"/>
      <c r="L1396" s="746"/>
      <c r="M1396" s="747"/>
      <c r="N1396" s="753"/>
    </row>
    <row r="1397" spans="2:15" ht="14.25" customHeight="1" x14ac:dyDescent="0.25">
      <c r="B1397" s="124"/>
      <c r="C1397" s="215" t="s">
        <v>512</v>
      </c>
      <c r="D1397" s="125">
        <v>13</v>
      </c>
      <c r="E1397" s="125"/>
      <c r="F1397" s="125"/>
      <c r="G1397" s="125"/>
      <c r="H1397" s="125">
        <f t="shared" ref="H1397:H1398" si="41">D1397</f>
        <v>13</v>
      </c>
      <c r="I1397" s="746"/>
      <c r="J1397" s="747"/>
      <c r="K1397" s="748"/>
      <c r="L1397" s="746"/>
      <c r="M1397" s="747"/>
      <c r="N1397" s="753"/>
      <c r="O1397" s="133"/>
    </row>
    <row r="1398" spans="2:15" ht="14.25" customHeight="1" x14ac:dyDescent="0.25">
      <c r="B1398" s="124"/>
      <c r="C1398" s="286"/>
      <c r="D1398" s="125"/>
      <c r="E1398" s="125"/>
      <c r="F1398" s="125"/>
      <c r="G1398" s="125"/>
      <c r="H1398" s="125">
        <f t="shared" si="41"/>
        <v>0</v>
      </c>
      <c r="I1398" s="746"/>
      <c r="J1398" s="747"/>
      <c r="K1398" s="748"/>
      <c r="L1398" s="746"/>
      <c r="M1398" s="747"/>
      <c r="N1398" s="753"/>
    </row>
    <row r="1399" spans="2:15" ht="14.25" customHeight="1" x14ac:dyDescent="0.25">
      <c r="B1399" s="124"/>
      <c r="C1399" s="286"/>
      <c r="D1399" s="125"/>
      <c r="E1399" s="125"/>
      <c r="F1399" s="125"/>
      <c r="G1399" s="125"/>
      <c r="H1399" s="125"/>
      <c r="I1399" s="746"/>
      <c r="J1399" s="747"/>
      <c r="K1399" s="748"/>
      <c r="L1399" s="746"/>
      <c r="M1399" s="747"/>
      <c r="N1399" s="753"/>
    </row>
    <row r="1400" spans="2:15" ht="14.25" customHeight="1" x14ac:dyDescent="0.25">
      <c r="B1400" s="124"/>
      <c r="C1400" s="215"/>
      <c r="D1400" s="125"/>
      <c r="E1400" s="125"/>
      <c r="F1400" s="125"/>
      <c r="G1400" s="125"/>
      <c r="H1400" s="125"/>
      <c r="I1400" s="746"/>
      <c r="J1400" s="747"/>
      <c r="K1400" s="748"/>
      <c r="L1400" s="746"/>
      <c r="M1400" s="747"/>
      <c r="N1400" s="753"/>
    </row>
    <row r="1401" spans="2:15" ht="14.25" customHeight="1" x14ac:dyDescent="0.25">
      <c r="B1401" s="124"/>
      <c r="C1401" s="287"/>
      <c r="D1401" s="125"/>
      <c r="E1401" s="125"/>
      <c r="F1401" s="125"/>
      <c r="G1401" s="125"/>
      <c r="H1401" s="125"/>
      <c r="I1401" s="746"/>
      <c r="J1401" s="747"/>
      <c r="K1401" s="748"/>
      <c r="L1401" s="746"/>
      <c r="M1401" s="747"/>
      <c r="N1401" s="753"/>
    </row>
    <row r="1402" spans="2:15" ht="14.25" customHeight="1" x14ac:dyDescent="0.25">
      <c r="B1402" s="124"/>
      <c r="C1402" s="215"/>
      <c r="D1402" s="125"/>
      <c r="E1402" s="125"/>
      <c r="F1402" s="125"/>
      <c r="G1402" s="125"/>
      <c r="H1402" s="125"/>
      <c r="I1402" s="746"/>
      <c r="J1402" s="747"/>
      <c r="K1402" s="748"/>
      <c r="L1402" s="746"/>
      <c r="M1402" s="747"/>
      <c r="N1402" s="753"/>
    </row>
    <row r="1403" spans="2:15" ht="14.25" customHeight="1" x14ac:dyDescent="0.25">
      <c r="B1403" s="124"/>
      <c r="C1403" s="286"/>
      <c r="D1403" s="125"/>
      <c r="E1403" s="125"/>
      <c r="F1403" s="125"/>
      <c r="G1403" s="125"/>
      <c r="H1403" s="125"/>
      <c r="I1403" s="746"/>
      <c r="J1403" s="747"/>
      <c r="K1403" s="748"/>
      <c r="L1403" s="746"/>
      <c r="M1403" s="747"/>
      <c r="N1403" s="753"/>
    </row>
    <row r="1404" spans="2:15" ht="14.25" customHeight="1" x14ac:dyDescent="0.25">
      <c r="B1404" s="124"/>
      <c r="C1404" s="286"/>
      <c r="D1404" s="125"/>
      <c r="E1404" s="125"/>
      <c r="F1404" s="125"/>
      <c r="G1404" s="125"/>
      <c r="H1404" s="125"/>
      <c r="I1404" s="746"/>
      <c r="J1404" s="747"/>
      <c r="K1404" s="748"/>
      <c r="L1404" s="746"/>
      <c r="M1404" s="747"/>
      <c r="N1404" s="753"/>
    </row>
    <row r="1405" spans="2:15" ht="14.25" customHeight="1" x14ac:dyDescent="0.25">
      <c r="B1405" s="124"/>
      <c r="C1405" s="287"/>
      <c r="D1405" s="125"/>
      <c r="E1405" s="125"/>
      <c r="F1405" s="125"/>
      <c r="G1405" s="125"/>
      <c r="H1405" s="125"/>
      <c r="I1405" s="746"/>
      <c r="J1405" s="747"/>
      <c r="K1405" s="748"/>
      <c r="L1405" s="746"/>
      <c r="M1405" s="747"/>
      <c r="N1405" s="753"/>
    </row>
    <row r="1406" spans="2:15" ht="14.25" customHeight="1" x14ac:dyDescent="0.25">
      <c r="B1406" s="124"/>
      <c r="C1406" s="215"/>
      <c r="D1406" s="125"/>
      <c r="E1406" s="125"/>
      <c r="F1406" s="125"/>
      <c r="G1406" s="125"/>
      <c r="H1406" s="125"/>
      <c r="I1406" s="746"/>
      <c r="J1406" s="747"/>
      <c r="K1406" s="748"/>
      <c r="L1406" s="746"/>
      <c r="M1406" s="747"/>
      <c r="N1406" s="753"/>
    </row>
    <row r="1407" spans="2:15" ht="14.25" customHeight="1" x14ac:dyDescent="0.25">
      <c r="B1407" s="127"/>
      <c r="C1407" s="204"/>
      <c r="D1407" s="125"/>
      <c r="E1407" s="125"/>
      <c r="F1407" s="125"/>
      <c r="G1407" s="125"/>
      <c r="H1407" s="125"/>
      <c r="I1407" s="746"/>
      <c r="J1407" s="747"/>
      <c r="K1407" s="748"/>
      <c r="L1407" s="746"/>
      <c r="M1407" s="747"/>
      <c r="N1407" s="753"/>
    </row>
    <row r="1408" spans="2:15" ht="14.25" customHeight="1" x14ac:dyDescent="0.25">
      <c r="B1408" s="127"/>
      <c r="C1408" s="204"/>
      <c r="D1408" s="125"/>
      <c r="E1408" s="125"/>
      <c r="F1408" s="125"/>
      <c r="G1408" s="125"/>
      <c r="H1408" s="125"/>
      <c r="I1408" s="746"/>
      <c r="J1408" s="747"/>
      <c r="K1408" s="748"/>
      <c r="L1408" s="746"/>
      <c r="M1408" s="747"/>
      <c r="N1408" s="753"/>
    </row>
    <row r="1409" spans="2:14" ht="14.25" customHeight="1" x14ac:dyDescent="0.25">
      <c r="B1409" s="127"/>
      <c r="C1409" s="125"/>
      <c r="D1409" s="125"/>
      <c r="E1409" s="125"/>
      <c r="F1409" s="125"/>
      <c r="G1409" s="125"/>
      <c r="H1409" s="125"/>
      <c r="I1409" s="749"/>
      <c r="J1409" s="750"/>
      <c r="K1409" s="751"/>
      <c r="L1409" s="749"/>
      <c r="M1409" s="750"/>
      <c r="N1409" s="754"/>
    </row>
    <row r="1410" spans="2:14" ht="14.25" customHeight="1" x14ac:dyDescent="0.25">
      <c r="B1410" s="209"/>
      <c r="C1410" s="118"/>
      <c r="D1410" s="118"/>
      <c r="E1410" s="118"/>
      <c r="F1410" s="118"/>
      <c r="G1410" s="118"/>
      <c r="H1410" s="118"/>
      <c r="I1410" s="118"/>
      <c r="J1410" s="118"/>
      <c r="K1410" s="118"/>
      <c r="L1410" s="118"/>
      <c r="M1410" s="118"/>
      <c r="N1410" s="210"/>
    </row>
    <row r="1411" spans="2:14" ht="14.25" customHeight="1" x14ac:dyDescent="0.25">
      <c r="B1411" s="209"/>
      <c r="C1411" s="118"/>
      <c r="D1411" s="118"/>
      <c r="E1411" s="118"/>
      <c r="F1411" s="118"/>
      <c r="G1411" s="118"/>
      <c r="H1411" s="118"/>
      <c r="I1411" s="118"/>
      <c r="J1411" s="118"/>
      <c r="K1411" s="118"/>
      <c r="L1411" s="118"/>
      <c r="M1411" s="118"/>
      <c r="N1411" s="210"/>
    </row>
    <row r="1412" spans="2:14" ht="14.25" customHeight="1" x14ac:dyDescent="0.25">
      <c r="B1412" s="209"/>
      <c r="C1412" s="118"/>
      <c r="D1412" s="118"/>
      <c r="E1412" s="118"/>
      <c r="F1412" s="118"/>
      <c r="G1412" s="118"/>
      <c r="H1412" s="118"/>
      <c r="I1412" s="118"/>
      <c r="J1412" s="118"/>
      <c r="K1412" s="118"/>
      <c r="L1412" s="118"/>
      <c r="M1412" s="118"/>
      <c r="N1412" s="210"/>
    </row>
    <row r="1413" spans="2:14" ht="14.25" customHeight="1" x14ac:dyDescent="0.25">
      <c r="B1413" s="209"/>
      <c r="C1413" s="118"/>
      <c r="D1413" s="118"/>
      <c r="E1413" s="118"/>
      <c r="F1413" s="118"/>
      <c r="G1413" s="118"/>
      <c r="H1413" s="118"/>
      <c r="I1413" s="118"/>
      <c r="J1413" s="118"/>
      <c r="K1413" s="118"/>
      <c r="L1413" s="118"/>
      <c r="M1413" s="118"/>
      <c r="N1413" s="210"/>
    </row>
    <row r="1414" spans="2:14" ht="14.25" customHeight="1" x14ac:dyDescent="0.25">
      <c r="B1414" s="775" t="s">
        <v>414</v>
      </c>
      <c r="C1414" s="747"/>
      <c r="D1414" s="747"/>
      <c r="E1414" s="128"/>
      <c r="F1414" s="128"/>
      <c r="G1414" s="128"/>
      <c r="H1414" s="128"/>
      <c r="I1414" s="776"/>
      <c r="J1414" s="747"/>
      <c r="K1414" s="747"/>
      <c r="L1414" s="118"/>
      <c r="M1414" s="118"/>
      <c r="N1414" s="210"/>
    </row>
    <row r="1415" spans="2:14" ht="14.25" customHeight="1" thickBot="1" x14ac:dyDescent="0.3">
      <c r="B1415" s="129"/>
      <c r="C1415" s="130"/>
      <c r="D1415" s="130"/>
      <c r="E1415" s="130"/>
      <c r="F1415" s="130"/>
      <c r="G1415" s="130"/>
      <c r="H1415" s="130"/>
      <c r="I1415" s="130"/>
      <c r="J1415" s="130"/>
      <c r="K1415" s="130"/>
      <c r="L1415" s="130"/>
      <c r="M1415" s="130"/>
      <c r="N1415" s="131"/>
    </row>
    <row r="1416" spans="2:14" ht="14.25" customHeight="1" thickBot="1" x14ac:dyDescent="0.3">
      <c r="B1416" s="132"/>
      <c r="C1416" s="132"/>
      <c r="D1416" s="132"/>
      <c r="E1416" s="132"/>
      <c r="F1416" s="132"/>
      <c r="G1416" s="132"/>
      <c r="H1416" s="132"/>
      <c r="I1416" s="132"/>
      <c r="J1416" s="132"/>
      <c r="K1416" s="132"/>
      <c r="L1416" s="132"/>
      <c r="M1416" s="132"/>
      <c r="N1416" s="132"/>
    </row>
    <row r="1417" spans="2:14" ht="40.5" customHeight="1" x14ac:dyDescent="0.25">
      <c r="B1417" s="728"/>
      <c r="C1417" s="729"/>
      <c r="D1417" s="730" t="s">
        <v>393</v>
      </c>
      <c r="E1417" s="729"/>
      <c r="F1417" s="729"/>
      <c r="G1417" s="729"/>
      <c r="H1417" s="729"/>
      <c r="I1417" s="729"/>
      <c r="J1417" s="729"/>
      <c r="K1417" s="729"/>
      <c r="L1417" s="729"/>
      <c r="M1417" s="729"/>
      <c r="N1417" s="731"/>
    </row>
    <row r="1418" spans="2:14" ht="14.25" customHeight="1" x14ac:dyDescent="0.25">
      <c r="B1418" s="732" t="s">
        <v>394</v>
      </c>
      <c r="C1418" s="733"/>
      <c r="D1418" s="733"/>
      <c r="E1418" s="733"/>
      <c r="F1418" s="733"/>
      <c r="G1418" s="733"/>
      <c r="H1418" s="733"/>
      <c r="I1418" s="733"/>
      <c r="J1418" s="733"/>
      <c r="K1418" s="733"/>
      <c r="L1418" s="733"/>
      <c r="M1418" s="733"/>
      <c r="N1418" s="734"/>
    </row>
    <row r="1419" spans="2:14" ht="29.45" customHeight="1" x14ac:dyDescent="0.25">
      <c r="B1419" s="735" t="s">
        <v>395</v>
      </c>
      <c r="C1419" s="736"/>
      <c r="D1419" s="737" t="str">
        <f>VLOOKUP(B1421,Buenaventura!A37:G1615,3,FALSE)</f>
        <v>Desmonte de puerta de madera, incluye retiroy disposición final en centro de acopio autorizado</v>
      </c>
      <c r="E1419" s="738"/>
      <c r="F1419" s="738"/>
      <c r="G1419" s="738"/>
      <c r="H1419" s="738"/>
      <c r="I1419" s="738"/>
      <c r="J1419" s="738"/>
      <c r="K1419" s="738"/>
      <c r="L1419" s="738"/>
      <c r="M1419" s="738"/>
      <c r="N1419" s="739"/>
    </row>
    <row r="1420" spans="2:14" ht="14.25" customHeight="1" x14ac:dyDescent="0.25">
      <c r="B1420" s="740" t="s">
        <v>26</v>
      </c>
      <c r="C1420" s="741"/>
      <c r="D1420" s="119" t="s">
        <v>396</v>
      </c>
      <c r="E1420" s="742" t="s">
        <v>397</v>
      </c>
      <c r="F1420" s="733"/>
      <c r="G1420" s="733"/>
      <c r="H1420" s="736"/>
      <c r="I1420" s="742" t="s">
        <v>398</v>
      </c>
      <c r="J1420" s="733"/>
      <c r="K1420" s="736"/>
      <c r="L1420" s="742" t="s">
        <v>399</v>
      </c>
      <c r="M1420" s="733"/>
      <c r="N1420" s="734"/>
    </row>
    <row r="1421" spans="2:14" ht="14.25" customHeight="1" x14ac:dyDescent="0.25">
      <c r="B1421" s="283">
        <v>17</v>
      </c>
      <c r="C1421" s="284" t="str">
        <f>VLOOKUP(B1421,Buenaventura!A9:G1623,2,FALSE)</f>
        <v>PR-68</v>
      </c>
      <c r="D1421" s="285">
        <f>SUM(H1424:H1426)</f>
        <v>19</v>
      </c>
      <c r="E1421" s="743" t="str">
        <f>VLOOKUP(B1421,Buenaventura!A9:G1622,4,FALSE)</f>
        <v>UND</v>
      </c>
      <c r="F1421" s="743"/>
      <c r="G1421" s="743"/>
      <c r="H1421" s="743"/>
      <c r="I1421" s="744"/>
      <c r="J1421" s="745"/>
      <c r="K1421" s="741"/>
      <c r="L1421" s="744"/>
      <c r="M1421" s="745"/>
      <c r="N1421" s="752"/>
    </row>
    <row r="1422" spans="2:14" ht="14.25" customHeight="1" x14ac:dyDescent="0.25">
      <c r="B1422" s="755" t="s">
        <v>416</v>
      </c>
      <c r="C1422" s="733"/>
      <c r="D1422" s="733"/>
      <c r="E1422" s="733"/>
      <c r="F1422" s="733"/>
      <c r="G1422" s="733"/>
      <c r="H1422" s="736"/>
      <c r="I1422" s="746"/>
      <c r="J1422" s="747"/>
      <c r="K1422" s="748"/>
      <c r="L1422" s="746"/>
      <c r="M1422" s="747"/>
      <c r="N1422" s="753"/>
    </row>
    <row r="1423" spans="2:14" ht="14.25" customHeight="1" x14ac:dyDescent="0.25">
      <c r="B1423" s="121" t="s">
        <v>400</v>
      </c>
      <c r="C1423" s="122" t="s">
        <v>401</v>
      </c>
      <c r="D1423" s="123" t="s">
        <v>402</v>
      </c>
      <c r="E1423" s="123" t="s">
        <v>403</v>
      </c>
      <c r="F1423" s="123" t="s">
        <v>404</v>
      </c>
      <c r="G1423" s="123" t="s">
        <v>405</v>
      </c>
      <c r="H1423" s="123" t="s">
        <v>406</v>
      </c>
      <c r="I1423" s="746"/>
      <c r="J1423" s="747"/>
      <c r="K1423" s="748"/>
      <c r="L1423" s="746"/>
      <c r="M1423" s="747"/>
      <c r="N1423" s="753"/>
    </row>
    <row r="1424" spans="2:14" ht="14.25" customHeight="1" x14ac:dyDescent="0.25">
      <c r="B1424" s="124"/>
      <c r="C1424" s="125" t="s">
        <v>508</v>
      </c>
      <c r="D1424" s="125">
        <v>6</v>
      </c>
      <c r="E1424" s="125"/>
      <c r="F1424" s="125"/>
      <c r="G1424" s="125"/>
      <c r="H1424" s="125">
        <f>D1424</f>
        <v>6</v>
      </c>
      <c r="I1424" s="746"/>
      <c r="J1424" s="747"/>
      <c r="K1424" s="748"/>
      <c r="L1424" s="746"/>
      <c r="M1424" s="747"/>
      <c r="N1424" s="753"/>
    </row>
    <row r="1425" spans="2:15" ht="14.25" customHeight="1" x14ac:dyDescent="0.25">
      <c r="B1425" s="124"/>
      <c r="C1425" s="125" t="s">
        <v>510</v>
      </c>
      <c r="D1425" s="125">
        <v>13</v>
      </c>
      <c r="E1425" s="125"/>
      <c r="F1425" s="125"/>
      <c r="G1425" s="125"/>
      <c r="H1425" s="125">
        <f t="shared" ref="H1425:H1427" si="42">D1425</f>
        <v>13</v>
      </c>
      <c r="I1425" s="746"/>
      <c r="J1425" s="747"/>
      <c r="K1425" s="748"/>
      <c r="L1425" s="746"/>
      <c r="M1425" s="747"/>
      <c r="N1425" s="753"/>
      <c r="O1425" s="133"/>
    </row>
    <row r="1426" spans="2:15" ht="14.25" customHeight="1" x14ac:dyDescent="0.25">
      <c r="B1426" s="124"/>
      <c r="C1426" s="215"/>
      <c r="D1426" s="125"/>
      <c r="E1426" s="125"/>
      <c r="F1426" s="125"/>
      <c r="G1426" s="125"/>
      <c r="H1426" s="125">
        <f t="shared" si="42"/>
        <v>0</v>
      </c>
      <c r="I1426" s="746"/>
      <c r="J1426" s="747"/>
      <c r="K1426" s="748"/>
      <c r="L1426" s="746"/>
      <c r="M1426" s="747"/>
      <c r="N1426" s="753"/>
    </row>
    <row r="1427" spans="2:15" ht="14.25" customHeight="1" x14ac:dyDescent="0.25">
      <c r="B1427" s="124"/>
      <c r="C1427" s="215"/>
      <c r="D1427" s="125"/>
      <c r="E1427" s="125"/>
      <c r="F1427" s="125"/>
      <c r="G1427" s="125"/>
      <c r="H1427" s="125">
        <f t="shared" si="42"/>
        <v>0</v>
      </c>
      <c r="I1427" s="746"/>
      <c r="J1427" s="747"/>
      <c r="K1427" s="748"/>
      <c r="L1427" s="746"/>
      <c r="M1427" s="747"/>
      <c r="N1427" s="753"/>
    </row>
    <row r="1428" spans="2:15" ht="14.25" customHeight="1" x14ac:dyDescent="0.25">
      <c r="B1428" s="124"/>
      <c r="C1428" s="215"/>
      <c r="D1428" s="125"/>
      <c r="E1428" s="125"/>
      <c r="F1428" s="125"/>
      <c r="G1428" s="125"/>
      <c r="H1428" s="125"/>
      <c r="I1428" s="746"/>
      <c r="J1428" s="747"/>
      <c r="K1428" s="748"/>
      <c r="L1428" s="746"/>
      <c r="M1428" s="747"/>
      <c r="N1428" s="753"/>
    </row>
    <row r="1429" spans="2:15" ht="14.25" customHeight="1" x14ac:dyDescent="0.25">
      <c r="B1429" s="124"/>
      <c r="C1429" s="215"/>
      <c r="D1429" s="125"/>
      <c r="E1429" s="125"/>
      <c r="F1429" s="125"/>
      <c r="G1429" s="125"/>
      <c r="H1429" s="125"/>
      <c r="I1429" s="746"/>
      <c r="J1429" s="747"/>
      <c r="K1429" s="748"/>
      <c r="L1429" s="746"/>
      <c r="M1429" s="747"/>
      <c r="N1429" s="753"/>
    </row>
    <row r="1430" spans="2:15" ht="14.25" customHeight="1" x14ac:dyDescent="0.25">
      <c r="B1430" s="124"/>
      <c r="C1430" s="215"/>
      <c r="D1430" s="125"/>
      <c r="E1430" s="125"/>
      <c r="F1430" s="125"/>
      <c r="G1430" s="125"/>
      <c r="H1430" s="125"/>
      <c r="I1430" s="746"/>
      <c r="J1430" s="747"/>
      <c r="K1430" s="748"/>
      <c r="L1430" s="746"/>
      <c r="M1430" s="747"/>
      <c r="N1430" s="753"/>
    </row>
    <row r="1431" spans="2:15" ht="14.25" customHeight="1" x14ac:dyDescent="0.25">
      <c r="B1431" s="124"/>
      <c r="C1431" s="215"/>
      <c r="D1431" s="125"/>
      <c r="E1431" s="125"/>
      <c r="F1431" s="125"/>
      <c r="G1431" s="125"/>
      <c r="H1431" s="125"/>
      <c r="I1431" s="746"/>
      <c r="J1431" s="747"/>
      <c r="K1431" s="748"/>
      <c r="L1431" s="746"/>
      <c r="M1431" s="747"/>
      <c r="N1431" s="753"/>
    </row>
    <row r="1432" spans="2:15" ht="14.25" customHeight="1" x14ac:dyDescent="0.25">
      <c r="B1432" s="163"/>
      <c r="C1432" s="215"/>
      <c r="D1432" s="134"/>
      <c r="E1432" s="134"/>
      <c r="F1432" s="134"/>
      <c r="G1432" s="134"/>
      <c r="H1432" s="134"/>
      <c r="I1432" s="746"/>
      <c r="J1432" s="747"/>
      <c r="K1432" s="748"/>
      <c r="L1432" s="746"/>
      <c r="M1432" s="747"/>
      <c r="N1432" s="753"/>
    </row>
    <row r="1433" spans="2:15" ht="14.25" customHeight="1" x14ac:dyDescent="0.25">
      <c r="B1433" s="163"/>
      <c r="C1433" s="215"/>
      <c r="D1433" s="134"/>
      <c r="E1433" s="125"/>
      <c r="F1433" s="134"/>
      <c r="G1433" s="134"/>
      <c r="H1433" s="134"/>
      <c r="I1433" s="746"/>
      <c r="J1433" s="747"/>
      <c r="K1433" s="748"/>
      <c r="L1433" s="746"/>
      <c r="M1433" s="747"/>
      <c r="N1433" s="753"/>
    </row>
    <row r="1434" spans="2:15" ht="14.25" customHeight="1" x14ac:dyDescent="0.25">
      <c r="B1434" s="163"/>
      <c r="C1434" s="215"/>
      <c r="D1434" s="134"/>
      <c r="E1434" s="134"/>
      <c r="F1434" s="134"/>
      <c r="G1434" s="134"/>
      <c r="H1434" s="134"/>
      <c r="I1434" s="746"/>
      <c r="J1434" s="747"/>
      <c r="K1434" s="748"/>
      <c r="L1434" s="746"/>
      <c r="M1434" s="747"/>
      <c r="N1434" s="753"/>
    </row>
    <row r="1435" spans="2:15" ht="14.25" customHeight="1" x14ac:dyDescent="0.25">
      <c r="B1435" s="124"/>
      <c r="C1435" s="215"/>
      <c r="D1435" s="125"/>
      <c r="E1435" s="125"/>
      <c r="F1435" s="125"/>
      <c r="G1435" s="125"/>
      <c r="H1435" s="125"/>
      <c r="I1435" s="746"/>
      <c r="J1435" s="747"/>
      <c r="K1435" s="748"/>
      <c r="L1435" s="746"/>
      <c r="M1435" s="747"/>
      <c r="N1435" s="753"/>
    </row>
    <row r="1436" spans="2:15" ht="14.25" customHeight="1" x14ac:dyDescent="0.25">
      <c r="B1436" s="124"/>
      <c r="C1436" s="215"/>
      <c r="D1436" s="125"/>
      <c r="E1436" s="125"/>
      <c r="F1436" s="125"/>
      <c r="G1436" s="125"/>
      <c r="H1436" s="125"/>
      <c r="I1436" s="746"/>
      <c r="J1436" s="747"/>
      <c r="K1436" s="748"/>
      <c r="L1436" s="746"/>
      <c r="M1436" s="747"/>
      <c r="N1436" s="753"/>
    </row>
    <row r="1437" spans="2:15" ht="14.25" customHeight="1" x14ac:dyDescent="0.25">
      <c r="B1437" s="124"/>
      <c r="C1437" s="215"/>
      <c r="D1437" s="125"/>
      <c r="E1437" s="125"/>
      <c r="F1437" s="125"/>
      <c r="G1437" s="125"/>
      <c r="H1437" s="126"/>
      <c r="I1437" s="746"/>
      <c r="J1437" s="747"/>
      <c r="K1437" s="748"/>
      <c r="L1437" s="746"/>
      <c r="M1437" s="747"/>
      <c r="N1437" s="753"/>
    </row>
    <row r="1438" spans="2:15" ht="14.25" customHeight="1" x14ac:dyDescent="0.25">
      <c r="B1438" s="124"/>
      <c r="C1438" s="215"/>
      <c r="D1438" s="125"/>
      <c r="E1438" s="125"/>
      <c r="F1438" s="125"/>
      <c r="G1438" s="125"/>
      <c r="H1438" s="126"/>
      <c r="I1438" s="746"/>
      <c r="J1438" s="747"/>
      <c r="K1438" s="748"/>
      <c r="L1438" s="746"/>
      <c r="M1438" s="747"/>
      <c r="N1438" s="753"/>
    </row>
    <row r="1439" spans="2:15" ht="14.25" customHeight="1" x14ac:dyDescent="0.25">
      <c r="B1439" s="127"/>
      <c r="C1439" s="125"/>
      <c r="D1439" s="125"/>
      <c r="E1439" s="125"/>
      <c r="F1439" s="125"/>
      <c r="G1439" s="125"/>
      <c r="H1439" s="125"/>
      <c r="I1439" s="749"/>
      <c r="J1439" s="750"/>
      <c r="K1439" s="751"/>
      <c r="L1439" s="749"/>
      <c r="M1439" s="750"/>
      <c r="N1439" s="754"/>
    </row>
    <row r="1440" spans="2:15" ht="14.25" customHeight="1" x14ac:dyDescent="0.25">
      <c r="B1440" s="209"/>
      <c r="C1440" s="128"/>
      <c r="D1440" s="128"/>
      <c r="E1440" s="128"/>
      <c r="F1440" s="128"/>
      <c r="G1440" s="128"/>
      <c r="H1440" s="128"/>
      <c r="I1440" s="118"/>
      <c r="J1440" s="118"/>
      <c r="K1440" s="118"/>
      <c r="L1440" s="118"/>
      <c r="M1440" s="118"/>
      <c r="N1440" s="210"/>
    </row>
    <row r="1441" spans="2:15" ht="14.25" customHeight="1" x14ac:dyDescent="0.25">
      <c r="B1441" s="209"/>
      <c r="C1441" s="128"/>
      <c r="D1441" s="128"/>
      <c r="E1441" s="128"/>
      <c r="F1441" s="128"/>
      <c r="G1441" s="128"/>
      <c r="H1441" s="128"/>
      <c r="I1441" s="118"/>
      <c r="J1441" s="118"/>
      <c r="K1441" s="118"/>
      <c r="L1441" s="118"/>
      <c r="M1441" s="118"/>
      <c r="N1441" s="210"/>
    </row>
    <row r="1442" spans="2:15" ht="14.25" customHeight="1" x14ac:dyDescent="0.25">
      <c r="B1442" s="209"/>
      <c r="C1442" s="118"/>
      <c r="D1442" s="128"/>
      <c r="E1442" s="128"/>
      <c r="F1442" s="128"/>
      <c r="G1442" s="128"/>
      <c r="H1442" s="128"/>
      <c r="I1442" s="118"/>
      <c r="J1442" s="118"/>
      <c r="K1442" s="118"/>
      <c r="L1442" s="118"/>
      <c r="M1442" s="118"/>
      <c r="N1442" s="210"/>
    </row>
    <row r="1443" spans="2:15" ht="14.25" customHeight="1" x14ac:dyDescent="0.25">
      <c r="B1443" s="775" t="s">
        <v>414</v>
      </c>
      <c r="C1443" s="747"/>
      <c r="D1443" s="747"/>
      <c r="E1443" s="128"/>
      <c r="F1443" s="128"/>
      <c r="G1443" s="128"/>
      <c r="H1443" s="128"/>
      <c r="I1443" s="776"/>
      <c r="J1443" s="747"/>
      <c r="K1443" s="747"/>
      <c r="L1443" s="118"/>
      <c r="M1443" s="118"/>
      <c r="N1443" s="210"/>
    </row>
    <row r="1444" spans="2:15" ht="14.25" customHeight="1" thickBot="1" x14ac:dyDescent="0.3">
      <c r="B1444" s="129"/>
      <c r="C1444" s="130"/>
      <c r="D1444" s="130"/>
      <c r="E1444" s="130"/>
      <c r="F1444" s="130"/>
      <c r="G1444" s="130"/>
      <c r="H1444" s="130"/>
      <c r="I1444" s="130"/>
      <c r="J1444" s="130"/>
      <c r="K1444" s="130"/>
      <c r="L1444" s="130"/>
      <c r="M1444" s="130"/>
      <c r="N1444" s="131"/>
    </row>
    <row r="1445" spans="2:15" ht="14.25" customHeight="1" thickBot="1" x14ac:dyDescent="0.3">
      <c r="B1445" s="132"/>
      <c r="C1445" s="132"/>
      <c r="D1445" s="132"/>
      <c r="E1445" s="132"/>
      <c r="F1445" s="132"/>
      <c r="G1445" s="132"/>
      <c r="H1445" s="132"/>
      <c r="I1445" s="132"/>
      <c r="J1445" s="132"/>
      <c r="K1445" s="132"/>
      <c r="L1445" s="132"/>
      <c r="M1445" s="132"/>
      <c r="N1445" s="132"/>
    </row>
    <row r="1446" spans="2:15" ht="38.25" customHeight="1" x14ac:dyDescent="0.25">
      <c r="B1446" s="728"/>
      <c r="C1446" s="729"/>
      <c r="D1446" s="730" t="s">
        <v>393</v>
      </c>
      <c r="E1446" s="729"/>
      <c r="F1446" s="729"/>
      <c r="G1446" s="729"/>
      <c r="H1446" s="729"/>
      <c r="I1446" s="729"/>
      <c r="J1446" s="729"/>
      <c r="K1446" s="729"/>
      <c r="L1446" s="729"/>
      <c r="M1446" s="729"/>
      <c r="N1446" s="731"/>
    </row>
    <row r="1447" spans="2:15" ht="14.25" customHeight="1" x14ac:dyDescent="0.25">
      <c r="B1447" s="732" t="s">
        <v>394</v>
      </c>
      <c r="C1447" s="733"/>
      <c r="D1447" s="733"/>
      <c r="E1447" s="733"/>
      <c r="F1447" s="733"/>
      <c r="G1447" s="733"/>
      <c r="H1447" s="733"/>
      <c r="I1447" s="733"/>
      <c r="J1447" s="733"/>
      <c r="K1447" s="733"/>
      <c r="L1447" s="733"/>
      <c r="M1447" s="733"/>
      <c r="N1447" s="734"/>
    </row>
    <row r="1448" spans="2:15" ht="28.9" customHeight="1" x14ac:dyDescent="0.25">
      <c r="B1448" s="735" t="s">
        <v>395</v>
      </c>
      <c r="C1448" s="736"/>
      <c r="D1448" s="737" t="str">
        <f>VLOOKUP(B1450,Buenaventura!A9:G1645,3,FALSE)</f>
        <v>Demonte de vidrio, incluye retiro y disposición final en centro de acopio autorizado</v>
      </c>
      <c r="E1448" s="738"/>
      <c r="F1448" s="738"/>
      <c r="G1448" s="738"/>
      <c r="H1448" s="738"/>
      <c r="I1448" s="738"/>
      <c r="J1448" s="738"/>
      <c r="K1448" s="738"/>
      <c r="L1448" s="738"/>
      <c r="M1448" s="738"/>
      <c r="N1448" s="739"/>
    </row>
    <row r="1449" spans="2:15" ht="14.25" customHeight="1" x14ac:dyDescent="0.25">
      <c r="B1449" s="740" t="s">
        <v>26</v>
      </c>
      <c r="C1449" s="741"/>
      <c r="D1449" s="119" t="s">
        <v>396</v>
      </c>
      <c r="E1449" s="742" t="s">
        <v>397</v>
      </c>
      <c r="F1449" s="733"/>
      <c r="G1449" s="733"/>
      <c r="H1449" s="736"/>
      <c r="I1449" s="742" t="s">
        <v>398</v>
      </c>
      <c r="J1449" s="733"/>
      <c r="K1449" s="736"/>
      <c r="L1449" s="742" t="s">
        <v>399</v>
      </c>
      <c r="M1449" s="733"/>
      <c r="N1449" s="734"/>
    </row>
    <row r="1450" spans="2:15" ht="16.149999999999999" customHeight="1" x14ac:dyDescent="0.25">
      <c r="B1450" s="283">
        <v>18</v>
      </c>
      <c r="C1450" s="284" t="str">
        <f>VLOOKUP(B1450,Buenaventura!A9:G1658,2,FALSE)</f>
        <v>PR-70</v>
      </c>
      <c r="D1450" s="285">
        <f>SUM(H1453:H1456)</f>
        <v>30.107999999999997</v>
      </c>
      <c r="E1450" s="743" t="str">
        <f>VLOOKUP(B1450,Buenaventura!A9:G1657,4,FALSE)</f>
        <v>M2</v>
      </c>
      <c r="F1450" s="743"/>
      <c r="G1450" s="743"/>
      <c r="H1450" s="743"/>
      <c r="I1450" s="744"/>
      <c r="J1450" s="745"/>
      <c r="K1450" s="745"/>
      <c r="L1450" s="744"/>
      <c r="M1450" s="745"/>
      <c r="N1450" s="752"/>
    </row>
    <row r="1451" spans="2:15" ht="14.25" customHeight="1" x14ac:dyDescent="0.25">
      <c r="B1451" s="755" t="s">
        <v>416</v>
      </c>
      <c r="C1451" s="733"/>
      <c r="D1451" s="733"/>
      <c r="E1451" s="733"/>
      <c r="F1451" s="733"/>
      <c r="G1451" s="733"/>
      <c r="H1451" s="736"/>
      <c r="I1451" s="746"/>
      <c r="J1451" s="747"/>
      <c r="K1451" s="782"/>
      <c r="L1451" s="746"/>
      <c r="M1451" s="747"/>
      <c r="N1451" s="753"/>
    </row>
    <row r="1452" spans="2:15" ht="14.25" customHeight="1" x14ac:dyDescent="0.25">
      <c r="B1452" s="121" t="s">
        <v>400</v>
      </c>
      <c r="C1452" s="122" t="s">
        <v>401</v>
      </c>
      <c r="D1452" s="123" t="s">
        <v>402</v>
      </c>
      <c r="E1452" s="123" t="s">
        <v>403</v>
      </c>
      <c r="F1452" s="123" t="s">
        <v>404</v>
      </c>
      <c r="G1452" s="123" t="s">
        <v>405</v>
      </c>
      <c r="H1452" s="123" t="s">
        <v>406</v>
      </c>
      <c r="I1452" s="746"/>
      <c r="J1452" s="747"/>
      <c r="K1452" s="782"/>
      <c r="L1452" s="746"/>
      <c r="M1452" s="747"/>
      <c r="N1452" s="753"/>
    </row>
    <row r="1453" spans="2:15" ht="14.25" customHeight="1" x14ac:dyDescent="0.25">
      <c r="B1453" s="124"/>
      <c r="C1453" s="125" t="s">
        <v>510</v>
      </c>
      <c r="D1453" s="125">
        <v>13</v>
      </c>
      <c r="E1453" s="125">
        <v>0.6</v>
      </c>
      <c r="F1453" s="125"/>
      <c r="G1453" s="125">
        <v>1.2</v>
      </c>
      <c r="H1453" s="162">
        <f>D1453*E1453*G1453</f>
        <v>9.36</v>
      </c>
      <c r="I1453" s="746"/>
      <c r="J1453" s="747"/>
      <c r="K1453" s="782"/>
      <c r="L1453" s="746"/>
      <c r="M1453" s="747"/>
      <c r="N1453" s="753"/>
      <c r="O1453" s="133"/>
    </row>
    <row r="1454" spans="2:15" ht="14.25" customHeight="1" x14ac:dyDescent="0.25">
      <c r="B1454" s="124"/>
      <c r="C1454" s="125" t="s">
        <v>509</v>
      </c>
      <c r="D1454" s="125">
        <v>13</v>
      </c>
      <c r="E1454" s="125">
        <v>0.95</v>
      </c>
      <c r="F1454" s="125"/>
      <c r="G1454" s="125">
        <v>1.68</v>
      </c>
      <c r="H1454" s="162">
        <f t="shared" ref="H1454:H1456" si="43">D1454*E1454*G1454</f>
        <v>20.747999999999998</v>
      </c>
      <c r="I1454" s="746"/>
      <c r="J1454" s="747"/>
      <c r="K1454" s="782"/>
      <c r="L1454" s="746"/>
      <c r="M1454" s="747"/>
      <c r="N1454" s="753"/>
    </row>
    <row r="1455" spans="2:15" ht="14.25" customHeight="1" x14ac:dyDescent="0.25">
      <c r="B1455" s="124"/>
      <c r="C1455" s="215"/>
      <c r="D1455" s="125"/>
      <c r="E1455" s="125"/>
      <c r="F1455" s="125"/>
      <c r="G1455" s="125"/>
      <c r="H1455" s="162">
        <f t="shared" si="43"/>
        <v>0</v>
      </c>
      <c r="I1455" s="746"/>
      <c r="J1455" s="747"/>
      <c r="K1455" s="782"/>
      <c r="L1455" s="746"/>
      <c r="M1455" s="747"/>
      <c r="N1455" s="753"/>
    </row>
    <row r="1456" spans="2:15" ht="14.25" customHeight="1" x14ac:dyDescent="0.25">
      <c r="B1456" s="124"/>
      <c r="C1456" s="215"/>
      <c r="D1456" s="125"/>
      <c r="E1456" s="125"/>
      <c r="F1456" s="125"/>
      <c r="G1456" s="125"/>
      <c r="H1456" s="162">
        <f t="shared" si="43"/>
        <v>0</v>
      </c>
      <c r="I1456" s="746"/>
      <c r="J1456" s="747"/>
      <c r="K1456" s="782"/>
      <c r="L1456" s="746"/>
      <c r="M1456" s="747"/>
      <c r="N1456" s="753"/>
    </row>
    <row r="1457" spans="2:14" ht="14.25" customHeight="1" x14ac:dyDescent="0.25">
      <c r="B1457" s="124"/>
      <c r="C1457" s="215"/>
      <c r="D1457" s="125"/>
      <c r="E1457" s="125"/>
      <c r="F1457" s="125"/>
      <c r="G1457" s="125"/>
      <c r="H1457" s="125"/>
      <c r="I1457" s="746"/>
      <c r="J1457" s="747"/>
      <c r="K1457" s="782"/>
      <c r="L1457" s="746"/>
      <c r="M1457" s="747"/>
      <c r="N1457" s="753"/>
    </row>
    <row r="1458" spans="2:14" ht="14.25" customHeight="1" x14ac:dyDescent="0.25">
      <c r="B1458" s="124"/>
      <c r="C1458" s="215"/>
      <c r="D1458" s="125"/>
      <c r="E1458" s="125"/>
      <c r="F1458" s="125"/>
      <c r="G1458" s="125"/>
      <c r="H1458" s="125"/>
      <c r="I1458" s="746"/>
      <c r="J1458" s="747"/>
      <c r="K1458" s="782"/>
      <c r="L1458" s="746"/>
      <c r="M1458" s="747"/>
      <c r="N1458" s="753"/>
    </row>
    <row r="1459" spans="2:14" ht="14.25" customHeight="1" x14ac:dyDescent="0.25">
      <c r="B1459" s="124"/>
      <c r="C1459" s="215"/>
      <c r="D1459" s="125"/>
      <c r="E1459" s="125"/>
      <c r="F1459" s="125"/>
      <c r="G1459" s="125"/>
      <c r="H1459" s="125"/>
      <c r="I1459" s="746"/>
      <c r="J1459" s="747"/>
      <c r="K1459" s="782"/>
      <c r="L1459" s="746"/>
      <c r="M1459" s="747"/>
      <c r="N1459" s="753"/>
    </row>
    <row r="1460" spans="2:14" ht="14.25" customHeight="1" x14ac:dyDescent="0.25">
      <c r="B1460" s="124"/>
      <c r="C1460" s="215"/>
      <c r="D1460" s="125"/>
      <c r="E1460" s="125"/>
      <c r="F1460" s="125"/>
      <c r="G1460" s="125"/>
      <c r="H1460" s="125"/>
      <c r="I1460" s="746"/>
      <c r="J1460" s="747"/>
      <c r="K1460" s="782"/>
      <c r="L1460" s="746"/>
      <c r="M1460" s="747"/>
      <c r="N1460" s="753"/>
    </row>
    <row r="1461" spans="2:14" ht="14.25" customHeight="1" x14ac:dyDescent="0.25">
      <c r="B1461" s="124"/>
      <c r="C1461" s="215"/>
      <c r="D1461" s="125"/>
      <c r="E1461" s="125"/>
      <c r="F1461" s="125"/>
      <c r="G1461" s="125"/>
      <c r="H1461" s="125"/>
      <c r="I1461" s="746"/>
      <c r="J1461" s="747"/>
      <c r="K1461" s="782"/>
      <c r="L1461" s="746"/>
      <c r="M1461" s="747"/>
      <c r="N1461" s="753"/>
    </row>
    <row r="1462" spans="2:14" ht="14.25" customHeight="1" x14ac:dyDescent="0.25">
      <c r="B1462" s="124"/>
      <c r="C1462" s="215"/>
      <c r="D1462" s="125"/>
      <c r="E1462" s="125"/>
      <c r="F1462" s="125"/>
      <c r="G1462" s="125"/>
      <c r="H1462" s="125"/>
      <c r="I1462" s="746"/>
      <c r="J1462" s="747"/>
      <c r="K1462" s="782"/>
      <c r="L1462" s="746"/>
      <c r="M1462" s="747"/>
      <c r="N1462" s="753"/>
    </row>
    <row r="1463" spans="2:14" ht="14.25" customHeight="1" x14ac:dyDescent="0.25">
      <c r="B1463" s="124"/>
      <c r="C1463" s="215"/>
      <c r="D1463" s="125"/>
      <c r="E1463" s="125"/>
      <c r="F1463" s="125"/>
      <c r="G1463" s="125"/>
      <c r="H1463" s="125"/>
      <c r="I1463" s="746"/>
      <c r="J1463" s="747"/>
      <c r="K1463" s="782"/>
      <c r="L1463" s="746"/>
      <c r="M1463" s="747"/>
      <c r="N1463" s="753"/>
    </row>
    <row r="1464" spans="2:14" ht="14.25" customHeight="1" x14ac:dyDescent="0.25">
      <c r="B1464" s="124"/>
      <c r="C1464" s="215"/>
      <c r="D1464" s="125"/>
      <c r="E1464" s="125"/>
      <c r="F1464" s="125"/>
      <c r="G1464" s="125"/>
      <c r="H1464" s="125"/>
      <c r="I1464" s="746"/>
      <c r="J1464" s="747"/>
      <c r="K1464" s="782"/>
      <c r="L1464" s="746"/>
      <c r="M1464" s="747"/>
      <c r="N1464" s="753"/>
    </row>
    <row r="1465" spans="2:14" ht="14.25" customHeight="1" x14ac:dyDescent="0.25">
      <c r="B1465" s="124"/>
      <c r="C1465" s="215"/>
      <c r="D1465" s="125"/>
      <c r="E1465" s="125"/>
      <c r="F1465" s="125"/>
      <c r="G1465" s="125"/>
      <c r="H1465" s="125"/>
      <c r="I1465" s="746"/>
      <c r="J1465" s="747"/>
      <c r="K1465" s="782"/>
      <c r="L1465" s="746"/>
      <c r="M1465" s="747"/>
      <c r="N1465" s="753"/>
    </row>
    <row r="1466" spans="2:14" ht="14.25" customHeight="1" x14ac:dyDescent="0.25">
      <c r="B1466" s="124"/>
      <c r="C1466" s="215"/>
      <c r="D1466" s="125"/>
      <c r="E1466" s="125"/>
      <c r="F1466" s="125"/>
      <c r="G1466" s="125"/>
      <c r="H1466" s="125"/>
      <c r="I1466" s="746"/>
      <c r="J1466" s="747"/>
      <c r="K1466" s="782"/>
      <c r="L1466" s="746"/>
      <c r="M1466" s="747"/>
      <c r="N1466" s="753"/>
    </row>
    <row r="1467" spans="2:14" ht="14.25" customHeight="1" x14ac:dyDescent="0.25">
      <c r="B1467" s="124"/>
      <c r="C1467" s="215"/>
      <c r="D1467" s="125"/>
      <c r="E1467" s="125"/>
      <c r="F1467" s="125"/>
      <c r="G1467" s="125"/>
      <c r="H1467" s="125"/>
      <c r="I1467" s="746"/>
      <c r="J1467" s="747"/>
      <c r="K1467" s="782"/>
      <c r="L1467" s="746"/>
      <c r="M1467" s="747"/>
      <c r="N1467" s="753"/>
    </row>
    <row r="1468" spans="2:14" ht="14.25" customHeight="1" x14ac:dyDescent="0.25">
      <c r="B1468" s="124"/>
      <c r="C1468" s="215"/>
      <c r="D1468" s="125"/>
      <c r="E1468" s="125"/>
      <c r="F1468" s="125"/>
      <c r="G1468" s="125"/>
      <c r="H1468" s="125"/>
      <c r="I1468" s="746"/>
      <c r="J1468" s="747"/>
      <c r="K1468" s="782"/>
      <c r="L1468" s="746"/>
      <c r="M1468" s="747"/>
      <c r="N1468" s="753"/>
    </row>
    <row r="1469" spans="2:14" ht="14.25" customHeight="1" x14ac:dyDescent="0.25">
      <c r="B1469" s="124"/>
      <c r="C1469" s="215"/>
      <c r="D1469" s="125"/>
      <c r="E1469" s="125"/>
      <c r="F1469" s="125"/>
      <c r="G1469" s="125"/>
      <c r="H1469" s="125"/>
      <c r="I1469" s="746"/>
      <c r="J1469" s="747"/>
      <c r="K1469" s="782"/>
      <c r="L1469" s="746"/>
      <c r="M1469" s="747"/>
      <c r="N1469" s="753"/>
    </row>
    <row r="1470" spans="2:14" ht="14.25" customHeight="1" x14ac:dyDescent="0.25">
      <c r="B1470" s="124"/>
      <c r="C1470" s="215"/>
      <c r="D1470" s="125"/>
      <c r="E1470" s="125"/>
      <c r="F1470" s="125"/>
      <c r="G1470" s="125"/>
      <c r="H1470" s="125"/>
      <c r="I1470" s="746"/>
      <c r="J1470" s="747"/>
      <c r="K1470" s="782"/>
      <c r="L1470" s="746"/>
      <c r="M1470" s="747"/>
      <c r="N1470" s="753"/>
    </row>
    <row r="1471" spans="2:14" ht="14.25" customHeight="1" x14ac:dyDescent="0.25">
      <c r="B1471" s="127"/>
      <c r="C1471" s="204"/>
      <c r="D1471" s="125"/>
      <c r="E1471" s="125"/>
      <c r="F1471" s="125"/>
      <c r="G1471" s="125"/>
      <c r="H1471" s="125"/>
      <c r="I1471" s="746"/>
      <c r="J1471" s="747"/>
      <c r="K1471" s="782"/>
      <c r="L1471" s="746"/>
      <c r="M1471" s="747"/>
      <c r="N1471" s="753"/>
    </row>
    <row r="1472" spans="2:14" ht="14.25" customHeight="1" x14ac:dyDescent="0.25">
      <c r="B1472" s="127"/>
      <c r="C1472" s="204"/>
      <c r="D1472" s="125"/>
      <c r="E1472" s="125"/>
      <c r="F1472" s="125"/>
      <c r="G1472" s="125"/>
      <c r="H1472" s="125"/>
      <c r="I1472" s="746"/>
      <c r="J1472" s="747"/>
      <c r="K1472" s="782"/>
      <c r="L1472" s="746"/>
      <c r="M1472" s="747"/>
      <c r="N1472" s="753"/>
    </row>
    <row r="1473" spans="2:14" ht="14.25" customHeight="1" x14ac:dyDescent="0.25">
      <c r="B1473" s="127"/>
      <c r="C1473" s="204"/>
      <c r="D1473" s="125"/>
      <c r="E1473" s="125"/>
      <c r="F1473" s="125"/>
      <c r="G1473" s="125"/>
      <c r="H1473" s="125"/>
      <c r="I1473" s="746"/>
      <c r="J1473" s="747"/>
      <c r="K1473" s="782"/>
      <c r="L1473" s="746"/>
      <c r="M1473" s="747"/>
      <c r="N1473" s="753"/>
    </row>
    <row r="1474" spans="2:14" ht="14.25" customHeight="1" x14ac:dyDescent="0.25">
      <c r="B1474" s="127"/>
      <c r="C1474" s="125"/>
      <c r="D1474" s="125"/>
      <c r="E1474" s="125"/>
      <c r="F1474" s="125"/>
      <c r="G1474" s="125"/>
      <c r="H1474" s="125"/>
      <c r="I1474" s="749"/>
      <c r="J1474" s="750"/>
      <c r="K1474" s="750"/>
      <c r="L1474" s="749"/>
      <c r="M1474" s="750"/>
      <c r="N1474" s="754"/>
    </row>
    <row r="1475" spans="2:14" ht="14.25" customHeight="1" x14ac:dyDescent="0.25">
      <c r="B1475" s="227"/>
      <c r="C1475" s="128"/>
      <c r="D1475" s="128"/>
      <c r="E1475" s="128"/>
      <c r="F1475" s="128"/>
      <c r="G1475" s="128"/>
      <c r="H1475" s="128"/>
      <c r="I1475" s="128"/>
      <c r="J1475" s="128"/>
      <c r="K1475" s="128"/>
      <c r="L1475" s="128"/>
      <c r="M1475" s="128"/>
      <c r="N1475" s="228"/>
    </row>
    <row r="1476" spans="2:14" ht="14.25" customHeight="1" x14ac:dyDescent="0.25">
      <c r="B1476" s="227"/>
      <c r="C1476" s="128"/>
      <c r="D1476" s="128"/>
      <c r="E1476" s="128"/>
      <c r="F1476" s="128"/>
      <c r="G1476" s="128"/>
      <c r="H1476" s="128"/>
      <c r="I1476" s="128"/>
      <c r="J1476" s="128"/>
      <c r="K1476" s="128"/>
      <c r="L1476" s="128"/>
      <c r="M1476" s="128"/>
      <c r="N1476" s="228"/>
    </row>
    <row r="1477" spans="2:14" ht="14.25" customHeight="1" x14ac:dyDescent="0.25">
      <c r="B1477" s="209"/>
      <c r="C1477" s="118"/>
      <c r="D1477" s="118"/>
      <c r="E1477" s="118"/>
      <c r="F1477" s="118"/>
      <c r="G1477" s="118"/>
      <c r="H1477" s="118"/>
      <c r="I1477" s="118"/>
      <c r="J1477" s="118"/>
      <c r="K1477" s="118"/>
      <c r="L1477" s="118"/>
      <c r="M1477" s="118"/>
      <c r="N1477" s="210"/>
    </row>
    <row r="1478" spans="2:14" ht="14.25" customHeight="1" x14ac:dyDescent="0.25">
      <c r="B1478" s="775" t="s">
        <v>414</v>
      </c>
      <c r="C1478" s="747"/>
      <c r="D1478" s="747"/>
      <c r="E1478" s="128"/>
      <c r="F1478" s="128"/>
      <c r="G1478" s="128"/>
      <c r="H1478" s="128"/>
      <c r="I1478" s="776"/>
      <c r="J1478" s="747"/>
      <c r="K1478" s="747"/>
      <c r="L1478" s="118"/>
      <c r="M1478" s="118"/>
      <c r="N1478" s="210"/>
    </row>
    <row r="1479" spans="2:14" ht="14.25" customHeight="1" thickBot="1" x14ac:dyDescent="0.3">
      <c r="B1479" s="129"/>
      <c r="C1479" s="130"/>
      <c r="D1479" s="130"/>
      <c r="E1479" s="130"/>
      <c r="F1479" s="130"/>
      <c r="G1479" s="130"/>
      <c r="H1479" s="130"/>
      <c r="I1479" s="130"/>
      <c r="J1479" s="130"/>
      <c r="K1479" s="130"/>
      <c r="L1479" s="130"/>
      <c r="M1479" s="130"/>
      <c r="N1479" s="131"/>
    </row>
    <row r="1480" spans="2:14" ht="14.25" customHeight="1" thickBot="1" x14ac:dyDescent="0.3">
      <c r="B1480" s="132"/>
      <c r="C1480" s="132"/>
      <c r="D1480" s="132"/>
      <c r="E1480" s="132"/>
      <c r="F1480" s="132"/>
      <c r="G1480" s="132"/>
      <c r="H1480" s="132"/>
      <c r="I1480" s="132"/>
      <c r="J1480" s="132"/>
      <c r="K1480" s="132"/>
      <c r="L1480" s="132"/>
      <c r="M1480" s="132"/>
      <c r="N1480" s="132"/>
    </row>
    <row r="1481" spans="2:14" ht="54" customHeight="1" x14ac:dyDescent="0.25">
      <c r="B1481" s="728"/>
      <c r="C1481" s="729"/>
      <c r="D1481" s="730" t="s">
        <v>393</v>
      </c>
      <c r="E1481" s="729"/>
      <c r="F1481" s="729"/>
      <c r="G1481" s="729"/>
      <c r="H1481" s="729"/>
      <c r="I1481" s="729"/>
      <c r="J1481" s="729"/>
      <c r="K1481" s="729"/>
      <c r="L1481" s="729"/>
      <c r="M1481" s="729"/>
      <c r="N1481" s="731"/>
    </row>
    <row r="1482" spans="2:14" ht="14.25" customHeight="1" x14ac:dyDescent="0.25">
      <c r="B1482" s="732" t="s">
        <v>394</v>
      </c>
      <c r="C1482" s="733"/>
      <c r="D1482" s="733"/>
      <c r="E1482" s="733"/>
      <c r="F1482" s="733"/>
      <c r="G1482" s="733"/>
      <c r="H1482" s="733"/>
      <c r="I1482" s="733"/>
      <c r="J1482" s="733"/>
      <c r="K1482" s="733"/>
      <c r="L1482" s="733"/>
      <c r="M1482" s="733"/>
      <c r="N1482" s="734"/>
    </row>
    <row r="1483" spans="2:14" ht="54.6" customHeight="1" x14ac:dyDescent="0.25">
      <c r="B1483" s="735" t="s">
        <v>395</v>
      </c>
      <c r="C1483" s="736"/>
      <c r="D1483" s="737" t="str">
        <f>VLOOKUP(B1485,Buenaventura!A9:G1680,3,FALSE)</f>
        <v>Mantenimiento de ventana en madera tipo celosia, incluye marco, cambio de piezas en mal estado, limpieza, masillado,  barniz y pintura en poliuretano color similiar al existente, cuyas dimensiones oscilan entre 0.40m y 0.50m de alto x 0,80m y 1.00 de largo</v>
      </c>
      <c r="E1483" s="738"/>
      <c r="F1483" s="738"/>
      <c r="G1483" s="738"/>
      <c r="H1483" s="738"/>
      <c r="I1483" s="738"/>
      <c r="J1483" s="738"/>
      <c r="K1483" s="738"/>
      <c r="L1483" s="738"/>
      <c r="M1483" s="738"/>
      <c r="N1483" s="739"/>
    </row>
    <row r="1484" spans="2:14" ht="14.25" customHeight="1" x14ac:dyDescent="0.25">
      <c r="B1484" s="740" t="s">
        <v>26</v>
      </c>
      <c r="C1484" s="741"/>
      <c r="D1484" s="119" t="s">
        <v>396</v>
      </c>
      <c r="E1484" s="742" t="s">
        <v>397</v>
      </c>
      <c r="F1484" s="733"/>
      <c r="G1484" s="733"/>
      <c r="H1484" s="736"/>
      <c r="I1484" s="742" t="s">
        <v>398</v>
      </c>
      <c r="J1484" s="733"/>
      <c r="K1484" s="736"/>
      <c r="L1484" s="742" t="s">
        <v>399</v>
      </c>
      <c r="M1484" s="733"/>
      <c r="N1484" s="734"/>
    </row>
    <row r="1485" spans="2:14" ht="14.25" customHeight="1" x14ac:dyDescent="0.25">
      <c r="B1485" s="283">
        <v>19</v>
      </c>
      <c r="C1485" s="284" t="str">
        <f>VLOOKUP(B1485,Buenaventura!A9:G1693,2,FALSE)</f>
        <v>CA-47</v>
      </c>
      <c r="D1485" s="285">
        <f>SUM(H1488:H1491)</f>
        <v>4</v>
      </c>
      <c r="E1485" s="743" t="str">
        <f>VLOOKUP(B1485,Buenaventura!A9:G1692,4,FALSE)</f>
        <v>UND</v>
      </c>
      <c r="F1485" s="743"/>
      <c r="G1485" s="743"/>
      <c r="H1485" s="743"/>
      <c r="I1485" s="744"/>
      <c r="J1485" s="745"/>
      <c r="K1485" s="741"/>
      <c r="L1485" s="744"/>
      <c r="M1485" s="745"/>
      <c r="N1485" s="752"/>
    </row>
    <row r="1486" spans="2:14" ht="14.25" customHeight="1" x14ac:dyDescent="0.25">
      <c r="B1486" s="755" t="s">
        <v>416</v>
      </c>
      <c r="C1486" s="733"/>
      <c r="D1486" s="733"/>
      <c r="E1486" s="733"/>
      <c r="F1486" s="733"/>
      <c r="G1486" s="733"/>
      <c r="H1486" s="736"/>
      <c r="I1486" s="746"/>
      <c r="J1486" s="747"/>
      <c r="K1486" s="748"/>
      <c r="L1486" s="746"/>
      <c r="M1486" s="747"/>
      <c r="N1486" s="753"/>
    </row>
    <row r="1487" spans="2:14" ht="14.25" customHeight="1" x14ac:dyDescent="0.25">
      <c r="B1487" s="121" t="s">
        <v>400</v>
      </c>
      <c r="C1487" s="122" t="s">
        <v>401</v>
      </c>
      <c r="D1487" s="123" t="s">
        <v>402</v>
      </c>
      <c r="E1487" s="123" t="s">
        <v>403</v>
      </c>
      <c r="F1487" s="123" t="s">
        <v>404</v>
      </c>
      <c r="G1487" s="123" t="s">
        <v>405</v>
      </c>
      <c r="H1487" s="123" t="s">
        <v>406</v>
      </c>
      <c r="I1487" s="746"/>
      <c r="J1487" s="747"/>
      <c r="K1487" s="748"/>
      <c r="L1487" s="746"/>
      <c r="M1487" s="747"/>
      <c r="N1487" s="753"/>
    </row>
    <row r="1488" spans="2:14" ht="14.25" customHeight="1" x14ac:dyDescent="0.25">
      <c r="B1488" s="124"/>
      <c r="C1488" s="125"/>
      <c r="D1488" s="125">
        <v>4</v>
      </c>
      <c r="E1488" s="125"/>
      <c r="F1488" s="125"/>
      <c r="G1488" s="125"/>
      <c r="H1488" s="164">
        <f>D1488</f>
        <v>4</v>
      </c>
      <c r="I1488" s="746"/>
      <c r="J1488" s="747"/>
      <c r="K1488" s="748"/>
      <c r="L1488" s="746"/>
      <c r="M1488" s="747"/>
      <c r="N1488" s="753"/>
    </row>
    <row r="1489" spans="2:14" ht="14.25" customHeight="1" x14ac:dyDescent="0.25">
      <c r="B1489" s="124"/>
      <c r="C1489" s="125"/>
      <c r="D1489" s="125"/>
      <c r="E1489" s="125"/>
      <c r="F1489" s="125"/>
      <c r="G1489" s="125"/>
      <c r="H1489" s="125"/>
      <c r="I1489" s="746"/>
      <c r="J1489" s="747"/>
      <c r="K1489" s="748"/>
      <c r="L1489" s="746"/>
      <c r="M1489" s="747"/>
      <c r="N1489" s="753"/>
    </row>
    <row r="1490" spans="2:14" ht="14.25" customHeight="1" x14ac:dyDescent="0.25">
      <c r="B1490" s="124"/>
      <c r="C1490" s="125"/>
      <c r="D1490" s="125"/>
      <c r="E1490" s="125"/>
      <c r="F1490" s="125"/>
      <c r="G1490" s="125"/>
      <c r="H1490" s="125"/>
      <c r="I1490" s="746"/>
      <c r="J1490" s="747"/>
      <c r="K1490" s="748"/>
      <c r="L1490" s="746"/>
      <c r="M1490" s="747"/>
      <c r="N1490" s="753"/>
    </row>
    <row r="1491" spans="2:14" ht="14.25" customHeight="1" x14ac:dyDescent="0.25">
      <c r="B1491" s="124"/>
      <c r="C1491" s="125"/>
      <c r="D1491" s="125"/>
      <c r="E1491" s="125"/>
      <c r="F1491" s="125"/>
      <c r="G1491" s="125"/>
      <c r="H1491" s="125"/>
      <c r="I1491" s="746"/>
      <c r="J1491" s="747"/>
      <c r="K1491" s="748"/>
      <c r="L1491" s="746"/>
      <c r="M1491" s="747"/>
      <c r="N1491" s="753"/>
    </row>
    <row r="1492" spans="2:14" ht="14.25" customHeight="1" x14ac:dyDescent="0.25">
      <c r="B1492" s="124"/>
      <c r="C1492" s="125"/>
      <c r="D1492" s="125"/>
      <c r="E1492" s="125"/>
      <c r="F1492" s="125"/>
      <c r="G1492" s="125"/>
      <c r="H1492" s="125"/>
      <c r="I1492" s="746"/>
      <c r="J1492" s="747"/>
      <c r="K1492" s="748"/>
      <c r="L1492" s="746"/>
      <c r="M1492" s="747"/>
      <c r="N1492" s="753"/>
    </row>
    <row r="1493" spans="2:14" ht="14.25" customHeight="1" x14ac:dyDescent="0.25">
      <c r="B1493" s="124"/>
      <c r="C1493" s="125"/>
      <c r="D1493" s="125"/>
      <c r="E1493" s="125"/>
      <c r="F1493" s="125"/>
      <c r="G1493" s="125"/>
      <c r="H1493" s="125"/>
      <c r="I1493" s="746"/>
      <c r="J1493" s="747"/>
      <c r="K1493" s="748"/>
      <c r="L1493" s="746"/>
      <c r="M1493" s="747"/>
      <c r="N1493" s="753"/>
    </row>
    <row r="1494" spans="2:14" ht="14.25" customHeight="1" x14ac:dyDescent="0.25">
      <c r="B1494" s="124"/>
      <c r="C1494" s="125"/>
      <c r="D1494" s="125"/>
      <c r="E1494" s="125"/>
      <c r="F1494" s="125"/>
      <c r="G1494" s="125"/>
      <c r="H1494" s="125"/>
      <c r="I1494" s="746"/>
      <c r="J1494" s="747"/>
      <c r="K1494" s="748"/>
      <c r="L1494" s="746"/>
      <c r="M1494" s="747"/>
      <c r="N1494" s="753"/>
    </row>
    <row r="1495" spans="2:14" ht="14.25" customHeight="1" x14ac:dyDescent="0.25">
      <c r="B1495" s="124"/>
      <c r="C1495" s="125"/>
      <c r="D1495" s="125"/>
      <c r="E1495" s="125"/>
      <c r="F1495" s="125"/>
      <c r="G1495" s="125"/>
      <c r="H1495" s="125"/>
      <c r="I1495" s="746"/>
      <c r="J1495" s="747"/>
      <c r="K1495" s="748"/>
      <c r="L1495" s="746"/>
      <c r="M1495" s="747"/>
      <c r="N1495" s="753"/>
    </row>
    <row r="1496" spans="2:14" ht="14.25" customHeight="1" x14ac:dyDescent="0.25">
      <c r="B1496" s="124"/>
      <c r="C1496" s="125"/>
      <c r="D1496" s="125"/>
      <c r="E1496" s="125"/>
      <c r="F1496" s="125"/>
      <c r="G1496" s="125"/>
      <c r="H1496" s="125"/>
      <c r="I1496" s="746"/>
      <c r="J1496" s="747"/>
      <c r="K1496" s="748"/>
      <c r="L1496" s="746"/>
      <c r="M1496" s="747"/>
      <c r="N1496" s="753"/>
    </row>
    <row r="1497" spans="2:14" ht="14.25" customHeight="1" x14ac:dyDescent="0.25">
      <c r="B1497" s="124"/>
      <c r="C1497" s="125"/>
      <c r="D1497" s="125"/>
      <c r="E1497" s="125"/>
      <c r="F1497" s="125"/>
      <c r="G1497" s="125"/>
      <c r="H1497" s="125"/>
      <c r="I1497" s="746"/>
      <c r="J1497" s="747"/>
      <c r="K1497" s="748"/>
      <c r="L1497" s="746"/>
      <c r="M1497" s="747"/>
      <c r="N1497" s="753"/>
    </row>
    <row r="1498" spans="2:14" ht="14.25" customHeight="1" x14ac:dyDescent="0.25">
      <c r="B1498" s="124"/>
      <c r="C1498" s="125"/>
      <c r="D1498" s="125"/>
      <c r="E1498" s="125"/>
      <c r="F1498" s="125"/>
      <c r="G1498" s="125"/>
      <c r="H1498" s="125"/>
      <c r="I1498" s="746"/>
      <c r="J1498" s="747"/>
      <c r="K1498" s="748"/>
      <c r="L1498" s="746"/>
      <c r="M1498" s="747"/>
      <c r="N1498" s="753"/>
    </row>
    <row r="1499" spans="2:14" ht="14.25" customHeight="1" x14ac:dyDescent="0.25">
      <c r="B1499" s="127"/>
      <c r="C1499" s="125"/>
      <c r="D1499" s="125"/>
      <c r="E1499" s="125"/>
      <c r="F1499" s="125"/>
      <c r="G1499" s="125"/>
      <c r="H1499" s="125"/>
      <c r="I1499" s="749"/>
      <c r="J1499" s="750"/>
      <c r="K1499" s="751"/>
      <c r="L1499" s="749"/>
      <c r="M1499" s="750"/>
      <c r="N1499" s="754"/>
    </row>
    <row r="1500" spans="2:14" ht="14.25" customHeight="1" x14ac:dyDescent="0.25">
      <c r="B1500" s="209"/>
      <c r="C1500" s="118"/>
      <c r="D1500" s="118"/>
      <c r="E1500" s="118"/>
      <c r="F1500" s="118"/>
      <c r="G1500" s="118"/>
      <c r="H1500" s="118"/>
      <c r="I1500" s="118"/>
      <c r="J1500" s="118"/>
      <c r="K1500" s="118"/>
      <c r="L1500" s="118"/>
      <c r="M1500" s="118"/>
      <c r="N1500" s="210"/>
    </row>
    <row r="1501" spans="2:14" ht="14.25" customHeight="1" x14ac:dyDescent="0.25">
      <c r="B1501" s="209"/>
      <c r="C1501" s="118"/>
      <c r="D1501" s="118"/>
      <c r="E1501" s="118"/>
      <c r="F1501" s="118"/>
      <c r="G1501" s="118"/>
      <c r="H1501" s="118"/>
      <c r="I1501" s="118"/>
      <c r="J1501" s="118"/>
      <c r="K1501" s="118"/>
      <c r="L1501" s="118"/>
      <c r="M1501" s="118"/>
      <c r="N1501" s="210"/>
    </row>
    <row r="1502" spans="2:14" ht="14.25" customHeight="1" x14ac:dyDescent="0.25">
      <c r="B1502" s="209"/>
      <c r="C1502" s="118"/>
      <c r="D1502" s="118"/>
      <c r="E1502" s="118"/>
      <c r="F1502" s="118"/>
      <c r="G1502" s="118"/>
      <c r="H1502" s="118"/>
      <c r="I1502" s="118"/>
      <c r="J1502" s="118"/>
      <c r="K1502" s="118"/>
      <c r="L1502" s="118"/>
      <c r="M1502" s="118"/>
      <c r="N1502" s="210"/>
    </row>
    <row r="1503" spans="2:14" ht="14.25" customHeight="1" x14ac:dyDescent="0.25">
      <c r="B1503" s="209"/>
      <c r="C1503" s="118"/>
      <c r="D1503" s="118"/>
      <c r="E1503" s="118"/>
      <c r="F1503" s="118"/>
      <c r="G1503" s="118"/>
      <c r="H1503" s="118"/>
      <c r="I1503" s="118"/>
      <c r="J1503" s="118"/>
      <c r="K1503" s="118"/>
      <c r="L1503" s="118"/>
      <c r="M1503" s="118"/>
      <c r="N1503" s="210"/>
    </row>
    <row r="1504" spans="2:14" ht="14.25" customHeight="1" x14ac:dyDescent="0.25">
      <c r="B1504" s="775" t="s">
        <v>414</v>
      </c>
      <c r="C1504" s="747"/>
      <c r="D1504" s="747"/>
      <c r="E1504" s="128"/>
      <c r="F1504" s="128"/>
      <c r="G1504" s="128"/>
      <c r="H1504" s="128"/>
      <c r="I1504" s="776"/>
      <c r="J1504" s="747"/>
      <c r="K1504" s="747"/>
      <c r="L1504" s="118"/>
      <c r="M1504" s="118"/>
      <c r="N1504" s="210"/>
    </row>
    <row r="1505" spans="2:14" ht="14.25" customHeight="1" thickBot="1" x14ac:dyDescent="0.3">
      <c r="B1505" s="129"/>
      <c r="C1505" s="130"/>
      <c r="D1505" s="130"/>
      <c r="E1505" s="130"/>
      <c r="F1505" s="130"/>
      <c r="G1505" s="130"/>
      <c r="H1505" s="130"/>
      <c r="I1505" s="130"/>
      <c r="J1505" s="130"/>
      <c r="K1505" s="130"/>
      <c r="L1505" s="130"/>
      <c r="M1505" s="130"/>
      <c r="N1505" s="131"/>
    </row>
    <row r="1506" spans="2:14" ht="14.25" customHeight="1" thickBot="1" x14ac:dyDescent="0.3">
      <c r="B1506" s="132"/>
      <c r="C1506" s="132"/>
      <c r="D1506" s="132"/>
      <c r="E1506" s="132"/>
      <c r="F1506" s="132"/>
      <c r="G1506" s="132"/>
      <c r="H1506" s="132"/>
      <c r="I1506" s="132"/>
      <c r="J1506" s="132"/>
      <c r="K1506" s="132"/>
      <c r="L1506" s="132"/>
      <c r="M1506" s="132"/>
      <c r="N1506" s="132"/>
    </row>
    <row r="1507" spans="2:14" ht="48" customHeight="1" x14ac:dyDescent="0.25">
      <c r="B1507" s="728"/>
      <c r="C1507" s="729"/>
      <c r="D1507" s="730" t="s">
        <v>393</v>
      </c>
      <c r="E1507" s="729"/>
      <c r="F1507" s="729"/>
      <c r="G1507" s="729"/>
      <c r="H1507" s="729"/>
      <c r="I1507" s="729"/>
      <c r="J1507" s="729"/>
      <c r="K1507" s="729"/>
      <c r="L1507" s="729"/>
      <c r="M1507" s="729"/>
      <c r="N1507" s="731"/>
    </row>
    <row r="1508" spans="2:14" ht="14.25" customHeight="1" x14ac:dyDescent="0.25">
      <c r="B1508" s="732" t="s">
        <v>394</v>
      </c>
      <c r="C1508" s="733"/>
      <c r="D1508" s="733"/>
      <c r="E1508" s="733"/>
      <c r="F1508" s="733"/>
      <c r="G1508" s="733"/>
      <c r="H1508" s="733"/>
      <c r="I1508" s="733"/>
      <c r="J1508" s="733"/>
      <c r="K1508" s="733"/>
      <c r="L1508" s="733"/>
      <c r="M1508" s="733"/>
      <c r="N1508" s="734"/>
    </row>
    <row r="1509" spans="2:14" ht="52.15" customHeight="1" x14ac:dyDescent="0.25">
      <c r="B1509" s="735" t="s">
        <v>395</v>
      </c>
      <c r="C1509" s="736"/>
      <c r="D1509" s="737" t="str">
        <f>VLOOKUP(B1511,Buenaventura!A9:G1713,3,FALSE)</f>
        <v>Suministro e instalación de ventana tipo  celosia en madera  Chanul o choibá maciza inmunizada  con acabado  en pintura poliuretano díseño y color similiar al existente ,   incluye tornilleria y todo lo necesario para su correcta instalación, cuyas medidas oscilan entre 0.40m y 0.50m de alto x 0,80m y 1.00 de largo</v>
      </c>
      <c r="E1509" s="738"/>
      <c r="F1509" s="738"/>
      <c r="G1509" s="738"/>
      <c r="H1509" s="738"/>
      <c r="I1509" s="738"/>
      <c r="J1509" s="738"/>
      <c r="K1509" s="738"/>
      <c r="L1509" s="738"/>
      <c r="M1509" s="738"/>
      <c r="N1509" s="739"/>
    </row>
    <row r="1510" spans="2:14" ht="14.25" customHeight="1" x14ac:dyDescent="0.25">
      <c r="B1510" s="740" t="s">
        <v>26</v>
      </c>
      <c r="C1510" s="741"/>
      <c r="D1510" s="119" t="s">
        <v>396</v>
      </c>
      <c r="E1510" s="742" t="s">
        <v>397</v>
      </c>
      <c r="F1510" s="733"/>
      <c r="G1510" s="733"/>
      <c r="H1510" s="736"/>
      <c r="I1510" s="742" t="s">
        <v>398</v>
      </c>
      <c r="J1510" s="733"/>
      <c r="K1510" s="736"/>
      <c r="L1510" s="742" t="s">
        <v>399</v>
      </c>
      <c r="M1510" s="733"/>
      <c r="N1510" s="734"/>
    </row>
    <row r="1511" spans="2:14" ht="14.25" customHeight="1" x14ac:dyDescent="0.25">
      <c r="B1511" s="283">
        <v>20</v>
      </c>
      <c r="C1511" s="284" t="str">
        <f>VLOOKUP(B1511,Buenaventura!A9:G1726,2,FALSE)</f>
        <v>CA-08</v>
      </c>
      <c r="D1511" s="285">
        <f>SUM(H1514:H1517)</f>
        <v>26</v>
      </c>
      <c r="E1511" s="743" t="str">
        <f>VLOOKUP(B1511,Buenaventura!A9:G1725,4,FALSE)</f>
        <v>UND</v>
      </c>
      <c r="F1511" s="743"/>
      <c r="G1511" s="743"/>
      <c r="H1511" s="743"/>
      <c r="I1511" s="744"/>
      <c r="J1511" s="745"/>
      <c r="K1511" s="741"/>
      <c r="L1511" s="744"/>
      <c r="M1511" s="745"/>
      <c r="N1511" s="752"/>
    </row>
    <row r="1512" spans="2:14" ht="14.25" customHeight="1" x14ac:dyDescent="0.25">
      <c r="B1512" s="755" t="s">
        <v>416</v>
      </c>
      <c r="C1512" s="733"/>
      <c r="D1512" s="733"/>
      <c r="E1512" s="733"/>
      <c r="F1512" s="733"/>
      <c r="G1512" s="733"/>
      <c r="H1512" s="736"/>
      <c r="I1512" s="746"/>
      <c r="J1512" s="747"/>
      <c r="K1512" s="748"/>
      <c r="L1512" s="746"/>
      <c r="M1512" s="747"/>
      <c r="N1512" s="753"/>
    </row>
    <row r="1513" spans="2:14" ht="14.25" customHeight="1" x14ac:dyDescent="0.25">
      <c r="B1513" s="121" t="s">
        <v>400</v>
      </c>
      <c r="C1513" s="122" t="s">
        <v>401</v>
      </c>
      <c r="D1513" s="123" t="s">
        <v>402</v>
      </c>
      <c r="E1513" s="123" t="s">
        <v>403</v>
      </c>
      <c r="F1513" s="123" t="s">
        <v>404</v>
      </c>
      <c r="G1513" s="123" t="s">
        <v>405</v>
      </c>
      <c r="H1513" s="123" t="s">
        <v>406</v>
      </c>
      <c r="I1513" s="746"/>
      <c r="J1513" s="747"/>
      <c r="K1513" s="748"/>
      <c r="L1513" s="746"/>
      <c r="M1513" s="747"/>
      <c r="N1513" s="753"/>
    </row>
    <row r="1514" spans="2:14" ht="14.25" customHeight="1" x14ac:dyDescent="0.25">
      <c r="B1514" s="124"/>
      <c r="C1514" s="215" t="s">
        <v>511</v>
      </c>
      <c r="D1514" s="125">
        <v>13</v>
      </c>
      <c r="E1514" s="125"/>
      <c r="F1514" s="125"/>
      <c r="G1514" s="125"/>
      <c r="H1514" s="125">
        <f>D1514</f>
        <v>13</v>
      </c>
      <c r="I1514" s="746"/>
      <c r="J1514" s="747"/>
      <c r="K1514" s="748"/>
      <c r="L1514" s="746"/>
      <c r="M1514" s="747"/>
      <c r="N1514" s="753"/>
    </row>
    <row r="1515" spans="2:14" ht="14.25" customHeight="1" x14ac:dyDescent="0.25">
      <c r="B1515" s="124"/>
      <c r="C1515" s="215" t="s">
        <v>512</v>
      </c>
      <c r="D1515" s="125">
        <v>13</v>
      </c>
      <c r="E1515" s="125"/>
      <c r="F1515" s="125"/>
      <c r="G1515" s="125"/>
      <c r="H1515" s="125">
        <f t="shared" ref="H1515" si="44">D1515</f>
        <v>13</v>
      </c>
      <c r="I1515" s="746"/>
      <c r="J1515" s="747"/>
      <c r="K1515" s="748"/>
      <c r="L1515" s="746"/>
      <c r="M1515" s="747"/>
      <c r="N1515" s="753"/>
    </row>
    <row r="1516" spans="2:14" ht="14.25" customHeight="1" x14ac:dyDescent="0.25">
      <c r="B1516" s="124"/>
      <c r="C1516" s="215"/>
      <c r="D1516" s="125"/>
      <c r="E1516" s="125"/>
      <c r="F1516" s="125"/>
      <c r="G1516" s="125"/>
      <c r="H1516" s="125"/>
      <c r="I1516" s="746"/>
      <c r="J1516" s="747"/>
      <c r="K1516" s="748"/>
      <c r="L1516" s="746"/>
      <c r="M1516" s="747"/>
      <c r="N1516" s="753"/>
    </row>
    <row r="1517" spans="2:14" ht="14.25" customHeight="1" x14ac:dyDescent="0.25">
      <c r="B1517" s="124"/>
      <c r="C1517" s="287"/>
      <c r="D1517" s="125"/>
      <c r="E1517" s="125"/>
      <c r="F1517" s="125"/>
      <c r="G1517" s="125"/>
      <c r="H1517" s="125"/>
      <c r="I1517" s="746"/>
      <c r="J1517" s="747"/>
      <c r="K1517" s="748"/>
      <c r="L1517" s="746"/>
      <c r="M1517" s="747"/>
      <c r="N1517" s="753"/>
    </row>
    <row r="1518" spans="2:14" ht="14.25" customHeight="1" x14ac:dyDescent="0.25">
      <c r="B1518" s="124"/>
      <c r="C1518" s="215"/>
      <c r="D1518" s="125"/>
      <c r="E1518" s="125"/>
      <c r="F1518" s="125"/>
      <c r="G1518" s="125"/>
      <c r="H1518" s="125"/>
      <c r="I1518" s="746"/>
      <c r="J1518" s="747"/>
      <c r="K1518" s="748"/>
      <c r="L1518" s="746"/>
      <c r="M1518" s="747"/>
      <c r="N1518" s="753"/>
    </row>
    <row r="1519" spans="2:14" ht="14.25" customHeight="1" x14ac:dyDescent="0.25">
      <c r="B1519" s="124"/>
      <c r="C1519" s="287"/>
      <c r="D1519" s="125"/>
      <c r="E1519" s="125"/>
      <c r="F1519" s="125"/>
      <c r="G1519" s="125"/>
      <c r="H1519" s="125"/>
      <c r="I1519" s="746"/>
      <c r="J1519" s="747"/>
      <c r="K1519" s="748"/>
      <c r="L1519" s="746"/>
      <c r="M1519" s="747"/>
      <c r="N1519" s="753"/>
    </row>
    <row r="1520" spans="2:14" ht="14.25" customHeight="1" x14ac:dyDescent="0.25">
      <c r="B1520" s="124"/>
      <c r="C1520" s="141"/>
      <c r="D1520" s="125"/>
      <c r="E1520" s="125"/>
      <c r="F1520" s="125"/>
      <c r="G1520" s="125"/>
      <c r="H1520" s="125"/>
      <c r="I1520" s="746"/>
      <c r="J1520" s="747"/>
      <c r="K1520" s="748"/>
      <c r="L1520" s="746"/>
      <c r="M1520" s="747"/>
      <c r="N1520" s="753"/>
    </row>
    <row r="1521" spans="2:14" ht="14.25" customHeight="1" x14ac:dyDescent="0.25">
      <c r="B1521" s="124"/>
      <c r="C1521" s="204"/>
      <c r="D1521" s="125"/>
      <c r="E1521" s="125"/>
      <c r="F1521" s="125"/>
      <c r="G1521" s="125"/>
      <c r="H1521" s="125"/>
      <c r="I1521" s="746"/>
      <c r="J1521" s="747"/>
      <c r="K1521" s="748"/>
      <c r="L1521" s="746"/>
      <c r="M1521" s="747"/>
      <c r="N1521" s="753"/>
    </row>
    <row r="1522" spans="2:14" ht="14.25" customHeight="1" x14ac:dyDescent="0.25">
      <c r="B1522" s="124"/>
      <c r="C1522" s="141"/>
      <c r="D1522" s="125"/>
      <c r="E1522" s="125"/>
      <c r="F1522" s="125"/>
      <c r="G1522" s="125"/>
      <c r="H1522" s="125"/>
      <c r="I1522" s="746"/>
      <c r="J1522" s="747"/>
      <c r="K1522" s="748"/>
      <c r="L1522" s="746"/>
      <c r="M1522" s="747"/>
      <c r="N1522" s="753"/>
    </row>
    <row r="1523" spans="2:14" ht="14.25" customHeight="1" x14ac:dyDescent="0.25">
      <c r="B1523" s="124"/>
      <c r="C1523" s="204"/>
      <c r="D1523" s="125"/>
      <c r="E1523" s="125"/>
      <c r="F1523" s="125"/>
      <c r="G1523" s="125"/>
      <c r="H1523" s="125"/>
      <c r="I1523" s="746"/>
      <c r="J1523" s="747"/>
      <c r="K1523" s="748"/>
      <c r="L1523" s="746"/>
      <c r="M1523" s="747"/>
      <c r="N1523" s="753"/>
    </row>
    <row r="1524" spans="2:14" ht="14.25" customHeight="1" x14ac:dyDescent="0.25">
      <c r="B1524" s="124"/>
      <c r="C1524" s="215"/>
      <c r="D1524" s="125"/>
      <c r="E1524" s="125"/>
      <c r="F1524" s="125"/>
      <c r="G1524" s="125"/>
      <c r="H1524" s="125"/>
      <c r="I1524" s="746"/>
      <c r="J1524" s="747"/>
      <c r="K1524" s="748"/>
      <c r="L1524" s="746"/>
      <c r="M1524" s="747"/>
      <c r="N1524" s="753"/>
    </row>
    <row r="1525" spans="2:14" ht="14.25" customHeight="1" x14ac:dyDescent="0.25">
      <c r="B1525" s="124"/>
      <c r="C1525" s="215"/>
      <c r="D1525" s="125"/>
      <c r="E1525" s="125"/>
      <c r="F1525" s="125"/>
      <c r="G1525" s="125"/>
      <c r="H1525" s="125"/>
      <c r="I1525" s="746"/>
      <c r="J1525" s="747"/>
      <c r="K1525" s="748"/>
      <c r="L1525" s="746"/>
      <c r="M1525" s="747"/>
      <c r="N1525" s="753"/>
    </row>
    <row r="1526" spans="2:14" ht="14.25" customHeight="1" x14ac:dyDescent="0.25">
      <c r="B1526" s="124"/>
      <c r="C1526" s="125"/>
      <c r="D1526" s="125"/>
      <c r="E1526" s="125"/>
      <c r="F1526" s="125"/>
      <c r="G1526" s="125"/>
      <c r="H1526" s="125"/>
      <c r="I1526" s="746"/>
      <c r="J1526" s="747"/>
      <c r="K1526" s="748"/>
      <c r="L1526" s="746"/>
      <c r="M1526" s="747"/>
      <c r="N1526" s="753"/>
    </row>
    <row r="1527" spans="2:14" ht="14.25" customHeight="1" x14ac:dyDescent="0.25">
      <c r="B1527" s="124"/>
      <c r="C1527" s="125"/>
      <c r="D1527" s="125"/>
      <c r="E1527" s="125"/>
      <c r="F1527" s="125"/>
      <c r="G1527" s="125"/>
      <c r="H1527" s="125"/>
      <c r="I1527" s="746"/>
      <c r="J1527" s="747"/>
      <c r="K1527" s="748"/>
      <c r="L1527" s="746"/>
      <c r="M1527" s="747"/>
      <c r="N1527" s="753"/>
    </row>
    <row r="1528" spans="2:14" ht="14.25" customHeight="1" x14ac:dyDescent="0.25">
      <c r="B1528" s="124"/>
      <c r="C1528" s="125"/>
      <c r="D1528" s="125"/>
      <c r="E1528" s="125"/>
      <c r="F1528" s="125"/>
      <c r="G1528" s="125"/>
      <c r="H1528" s="125"/>
      <c r="I1528" s="746"/>
      <c r="J1528" s="747"/>
      <c r="K1528" s="748"/>
      <c r="L1528" s="746"/>
      <c r="M1528" s="747"/>
      <c r="N1528" s="753"/>
    </row>
    <row r="1529" spans="2:14" ht="14.25" customHeight="1" x14ac:dyDescent="0.25">
      <c r="B1529" s="124"/>
      <c r="C1529" s="125"/>
      <c r="D1529" s="125"/>
      <c r="E1529" s="125"/>
      <c r="F1529" s="125"/>
      <c r="G1529" s="125"/>
      <c r="H1529" s="125"/>
      <c r="I1529" s="746"/>
      <c r="J1529" s="747"/>
      <c r="K1529" s="748"/>
      <c r="L1529" s="746"/>
      <c r="M1529" s="747"/>
      <c r="N1529" s="753"/>
    </row>
    <row r="1530" spans="2:14" ht="14.25" customHeight="1" x14ac:dyDescent="0.25">
      <c r="B1530" s="124"/>
      <c r="C1530" s="125"/>
      <c r="D1530" s="125"/>
      <c r="E1530" s="125"/>
      <c r="F1530" s="125"/>
      <c r="G1530" s="125"/>
      <c r="H1530" s="125"/>
      <c r="I1530" s="746"/>
      <c r="J1530" s="747"/>
      <c r="K1530" s="748"/>
      <c r="L1530" s="746"/>
      <c r="M1530" s="747"/>
      <c r="N1530" s="753"/>
    </row>
    <row r="1531" spans="2:14" ht="14.25" customHeight="1" x14ac:dyDescent="0.25">
      <c r="B1531" s="124"/>
      <c r="C1531" s="125"/>
      <c r="D1531" s="125"/>
      <c r="E1531" s="125"/>
      <c r="F1531" s="125"/>
      <c r="G1531" s="125"/>
      <c r="H1531" s="125"/>
      <c r="I1531" s="746"/>
      <c r="J1531" s="747"/>
      <c r="K1531" s="748"/>
      <c r="L1531" s="746"/>
      <c r="M1531" s="747"/>
      <c r="N1531" s="753"/>
    </row>
    <row r="1532" spans="2:14" ht="14.25" customHeight="1" x14ac:dyDescent="0.25">
      <c r="B1532" s="127"/>
      <c r="C1532" s="125"/>
      <c r="D1532" s="125"/>
      <c r="E1532" s="125"/>
      <c r="F1532" s="125"/>
      <c r="G1532" s="125"/>
      <c r="H1532" s="125"/>
      <c r="I1532" s="749"/>
      <c r="J1532" s="750"/>
      <c r="K1532" s="751"/>
      <c r="L1532" s="749"/>
      <c r="M1532" s="750"/>
      <c r="N1532" s="754"/>
    </row>
    <row r="1533" spans="2:14" ht="14.25" customHeight="1" x14ac:dyDescent="0.25">
      <c r="B1533" s="209"/>
      <c r="C1533" s="118"/>
      <c r="D1533" s="118"/>
      <c r="E1533" s="118"/>
      <c r="F1533" s="118"/>
      <c r="G1533" s="118"/>
      <c r="H1533" s="118"/>
      <c r="I1533" s="118"/>
      <c r="J1533" s="118"/>
      <c r="K1533" s="118"/>
      <c r="L1533" s="118"/>
      <c r="M1533" s="118"/>
      <c r="N1533" s="210"/>
    </row>
    <row r="1534" spans="2:14" ht="14.25" customHeight="1" x14ac:dyDescent="0.25">
      <c r="B1534" s="209"/>
      <c r="C1534" s="118"/>
      <c r="D1534" s="118"/>
      <c r="E1534" s="118"/>
      <c r="F1534" s="118"/>
      <c r="G1534" s="118"/>
      <c r="H1534" s="118"/>
      <c r="I1534" s="118"/>
      <c r="J1534" s="118"/>
      <c r="K1534" s="118"/>
      <c r="L1534" s="118"/>
      <c r="M1534" s="118"/>
      <c r="N1534" s="210"/>
    </row>
    <row r="1535" spans="2:14" ht="14.25" customHeight="1" x14ac:dyDescent="0.25">
      <c r="B1535" s="209"/>
      <c r="C1535" s="118"/>
      <c r="D1535" s="118"/>
      <c r="E1535" s="118"/>
      <c r="F1535" s="118"/>
      <c r="G1535" s="118"/>
      <c r="H1535" s="118"/>
      <c r="I1535" s="118"/>
      <c r="J1535" s="118"/>
      <c r="K1535" s="118"/>
      <c r="L1535" s="118"/>
      <c r="M1535" s="118"/>
      <c r="N1535" s="210"/>
    </row>
    <row r="1536" spans="2:14" ht="14.25" customHeight="1" x14ac:dyDescent="0.25">
      <c r="B1536" s="209"/>
      <c r="C1536" s="118"/>
      <c r="D1536" s="118"/>
      <c r="E1536" s="118"/>
      <c r="F1536" s="118"/>
      <c r="G1536" s="118"/>
      <c r="H1536" s="118"/>
      <c r="I1536" s="118"/>
      <c r="J1536" s="118"/>
      <c r="K1536" s="118"/>
      <c r="L1536" s="118"/>
      <c r="M1536" s="118"/>
      <c r="N1536" s="210"/>
    </row>
    <row r="1537" spans="2:15" ht="14.25" customHeight="1" x14ac:dyDescent="0.25">
      <c r="B1537" s="775" t="s">
        <v>414</v>
      </c>
      <c r="C1537" s="747"/>
      <c r="D1537" s="747"/>
      <c r="E1537" s="128"/>
      <c r="F1537" s="128"/>
      <c r="G1537" s="128"/>
      <c r="H1537" s="128"/>
      <c r="I1537" s="776"/>
      <c r="J1537" s="747"/>
      <c r="K1537" s="747"/>
      <c r="L1537" s="118"/>
      <c r="M1537" s="118"/>
      <c r="N1537" s="210"/>
    </row>
    <row r="1538" spans="2:15" ht="14.25" customHeight="1" thickBot="1" x14ac:dyDescent="0.3">
      <c r="B1538" s="129"/>
      <c r="C1538" s="130"/>
      <c r="D1538" s="130"/>
      <c r="E1538" s="130"/>
      <c r="F1538" s="130"/>
      <c r="G1538" s="130"/>
      <c r="H1538" s="130"/>
      <c r="I1538" s="130"/>
      <c r="J1538" s="130"/>
      <c r="K1538" s="130"/>
      <c r="L1538" s="130"/>
      <c r="M1538" s="130"/>
      <c r="N1538" s="131"/>
    </row>
    <row r="1539" spans="2:15" ht="14.25" customHeight="1" thickBot="1" x14ac:dyDescent="0.3">
      <c r="B1539" s="132"/>
      <c r="C1539" s="132"/>
      <c r="D1539" s="132"/>
      <c r="E1539" s="132"/>
      <c r="F1539" s="132"/>
      <c r="G1539" s="132"/>
      <c r="H1539" s="132"/>
      <c r="I1539" s="132"/>
      <c r="J1539" s="132"/>
      <c r="K1539" s="132"/>
      <c r="L1539" s="132"/>
      <c r="M1539" s="132"/>
      <c r="N1539" s="132"/>
    </row>
    <row r="1540" spans="2:15" ht="45" customHeight="1" x14ac:dyDescent="0.25">
      <c r="B1540" s="728"/>
      <c r="C1540" s="729"/>
      <c r="D1540" s="730" t="s">
        <v>393</v>
      </c>
      <c r="E1540" s="729"/>
      <c r="F1540" s="729"/>
      <c r="G1540" s="729"/>
      <c r="H1540" s="729"/>
      <c r="I1540" s="729"/>
      <c r="J1540" s="729"/>
      <c r="K1540" s="729"/>
      <c r="L1540" s="729"/>
      <c r="M1540" s="729"/>
      <c r="N1540" s="731"/>
    </row>
    <row r="1541" spans="2:15" ht="14.25" customHeight="1" x14ac:dyDescent="0.25">
      <c r="B1541" s="732" t="s">
        <v>394</v>
      </c>
      <c r="C1541" s="733"/>
      <c r="D1541" s="733"/>
      <c r="E1541" s="733"/>
      <c r="F1541" s="733"/>
      <c r="G1541" s="733"/>
      <c r="H1541" s="733"/>
      <c r="I1541" s="733"/>
      <c r="J1541" s="733"/>
      <c r="K1541" s="733"/>
      <c r="L1541" s="733"/>
      <c r="M1541" s="733"/>
      <c r="N1541" s="734"/>
    </row>
    <row r="1542" spans="2:15" ht="46.15" customHeight="1" x14ac:dyDescent="0.25">
      <c r="B1542" s="735" t="s">
        <v>395</v>
      </c>
      <c r="C1542" s="736"/>
      <c r="D1542" s="737" t="str">
        <f>VLOOKUP(B1544,Buenaventura!A42:G1746,3,FALSE)</f>
        <v>Suministro e instalación de marco de madera  Chanul o choibá maciza inmunizada  con acabado  en pintura poliuretano color similiar al existente ,   incluye tornilleria y todo lo necesario para su correcta instalación, cuyas medidas oscilan entre 0.80m y 1.00m de ancho x 1,90m y 2,20m de alto</v>
      </c>
      <c r="E1542" s="738"/>
      <c r="F1542" s="738"/>
      <c r="G1542" s="738"/>
      <c r="H1542" s="738"/>
      <c r="I1542" s="738"/>
      <c r="J1542" s="738"/>
      <c r="K1542" s="738"/>
      <c r="L1542" s="738"/>
      <c r="M1542" s="738"/>
      <c r="N1542" s="739"/>
    </row>
    <row r="1543" spans="2:15" ht="14.25" customHeight="1" x14ac:dyDescent="0.25">
      <c r="B1543" s="740" t="s">
        <v>26</v>
      </c>
      <c r="C1543" s="741"/>
      <c r="D1543" s="119" t="s">
        <v>396</v>
      </c>
      <c r="E1543" s="742" t="s">
        <v>397</v>
      </c>
      <c r="F1543" s="733"/>
      <c r="G1543" s="733"/>
      <c r="H1543" s="736"/>
      <c r="I1543" s="742" t="s">
        <v>398</v>
      </c>
      <c r="J1543" s="733"/>
      <c r="K1543" s="736"/>
      <c r="L1543" s="742" t="s">
        <v>399</v>
      </c>
      <c r="M1543" s="733"/>
      <c r="N1543" s="734"/>
    </row>
    <row r="1544" spans="2:15" ht="14.25" customHeight="1" x14ac:dyDescent="0.25">
      <c r="B1544" s="283">
        <v>21</v>
      </c>
      <c r="C1544" s="284" t="str">
        <f>VLOOKUP(B1544,Buenaventura!A9:G1759,2,FALSE)</f>
        <v>CA-25</v>
      </c>
      <c r="D1544" s="285">
        <f>SUM(H1547:H1550)</f>
        <v>19</v>
      </c>
      <c r="E1544" s="743" t="str">
        <f>VLOOKUP(B1544,Buenaventura!A42:G1758,4,FALSE)</f>
        <v>UND</v>
      </c>
      <c r="F1544" s="743"/>
      <c r="G1544" s="743"/>
      <c r="H1544" s="743"/>
      <c r="I1544" s="744"/>
      <c r="J1544" s="745"/>
      <c r="K1544" s="741"/>
      <c r="L1544" s="744"/>
      <c r="M1544" s="745"/>
      <c r="N1544" s="752"/>
    </row>
    <row r="1545" spans="2:15" ht="14.25" customHeight="1" x14ac:dyDescent="0.25">
      <c r="B1545" s="755" t="s">
        <v>416</v>
      </c>
      <c r="C1545" s="733"/>
      <c r="D1545" s="733"/>
      <c r="E1545" s="733"/>
      <c r="F1545" s="733"/>
      <c r="G1545" s="733"/>
      <c r="H1545" s="736"/>
      <c r="I1545" s="746"/>
      <c r="J1545" s="747"/>
      <c r="K1545" s="748"/>
      <c r="L1545" s="746"/>
      <c r="M1545" s="747"/>
      <c r="N1545" s="753"/>
    </row>
    <row r="1546" spans="2:15" ht="14.25" customHeight="1" x14ac:dyDescent="0.25">
      <c r="B1546" s="121" t="s">
        <v>400</v>
      </c>
      <c r="C1546" s="122" t="s">
        <v>401</v>
      </c>
      <c r="D1546" s="123" t="s">
        <v>402</v>
      </c>
      <c r="E1546" s="123" t="s">
        <v>403</v>
      </c>
      <c r="F1546" s="123" t="s">
        <v>404</v>
      </c>
      <c r="G1546" s="123" t="s">
        <v>405</v>
      </c>
      <c r="H1546" s="123" t="s">
        <v>406</v>
      </c>
      <c r="I1546" s="746"/>
      <c r="J1546" s="747"/>
      <c r="K1546" s="748"/>
      <c r="L1546" s="746"/>
      <c r="M1546" s="747"/>
      <c r="N1546" s="753"/>
    </row>
    <row r="1547" spans="2:15" ht="14.25" customHeight="1" x14ac:dyDescent="0.25">
      <c r="B1547" s="124"/>
      <c r="C1547" s="125" t="s">
        <v>508</v>
      </c>
      <c r="D1547" s="125">
        <v>6</v>
      </c>
      <c r="E1547" s="125"/>
      <c r="F1547" s="125"/>
      <c r="G1547" s="125"/>
      <c r="H1547" s="125">
        <f>D1547</f>
        <v>6</v>
      </c>
      <c r="I1547" s="746"/>
      <c r="J1547" s="747"/>
      <c r="K1547" s="748"/>
      <c r="L1547" s="746"/>
      <c r="M1547" s="747"/>
      <c r="N1547" s="753"/>
    </row>
    <row r="1548" spans="2:15" ht="14.25" customHeight="1" x14ac:dyDescent="0.25">
      <c r="B1548" s="124"/>
      <c r="C1548" s="125" t="s">
        <v>510</v>
      </c>
      <c r="D1548" s="125">
        <v>13</v>
      </c>
      <c r="E1548" s="125"/>
      <c r="F1548" s="125"/>
      <c r="G1548" s="125"/>
      <c r="H1548" s="125">
        <f t="shared" ref="H1548" si="45">D1548</f>
        <v>13</v>
      </c>
      <c r="I1548" s="746"/>
      <c r="J1548" s="747"/>
      <c r="K1548" s="748"/>
      <c r="L1548" s="746"/>
      <c r="M1548" s="747"/>
      <c r="N1548" s="753"/>
      <c r="O1548" s="133"/>
    </row>
    <row r="1549" spans="2:15" ht="14.25" customHeight="1" x14ac:dyDescent="0.25">
      <c r="B1549" s="124"/>
      <c r="C1549" s="125"/>
      <c r="D1549" s="125"/>
      <c r="E1549" s="125"/>
      <c r="F1549" s="125"/>
      <c r="G1549" s="125"/>
      <c r="H1549" s="125"/>
      <c r="I1549" s="746"/>
      <c r="J1549" s="747"/>
      <c r="K1549" s="748"/>
      <c r="L1549" s="746"/>
      <c r="M1549" s="747"/>
      <c r="N1549" s="753"/>
    </row>
    <row r="1550" spans="2:15" ht="14.25" customHeight="1" x14ac:dyDescent="0.25">
      <c r="B1550" s="124"/>
      <c r="C1550" s="125"/>
      <c r="D1550" s="125"/>
      <c r="E1550" s="125"/>
      <c r="F1550" s="125"/>
      <c r="G1550" s="125"/>
      <c r="H1550" s="125"/>
      <c r="I1550" s="746"/>
      <c r="J1550" s="747"/>
      <c r="K1550" s="748"/>
      <c r="L1550" s="746"/>
      <c r="M1550" s="747"/>
      <c r="N1550" s="753"/>
    </row>
    <row r="1551" spans="2:15" ht="14.25" customHeight="1" x14ac:dyDescent="0.25">
      <c r="B1551" s="124"/>
      <c r="C1551" s="125"/>
      <c r="D1551" s="125"/>
      <c r="E1551" s="125"/>
      <c r="F1551" s="125"/>
      <c r="G1551" s="125"/>
      <c r="H1551" s="125"/>
      <c r="I1551" s="746"/>
      <c r="J1551" s="747"/>
      <c r="K1551" s="748"/>
      <c r="L1551" s="746"/>
      <c r="M1551" s="747"/>
      <c r="N1551" s="753"/>
    </row>
    <row r="1552" spans="2:15" ht="14.25" customHeight="1" x14ac:dyDescent="0.25">
      <c r="B1552" s="124"/>
      <c r="C1552" s="125"/>
      <c r="D1552" s="125"/>
      <c r="E1552" s="125"/>
      <c r="F1552" s="125"/>
      <c r="G1552" s="125"/>
      <c r="H1552" s="125"/>
      <c r="I1552" s="746"/>
      <c r="J1552" s="747"/>
      <c r="K1552" s="748"/>
      <c r="L1552" s="746"/>
      <c r="M1552" s="747"/>
      <c r="N1552" s="753"/>
    </row>
    <row r="1553" spans="2:14" ht="14.25" customHeight="1" x14ac:dyDescent="0.25">
      <c r="B1553" s="124"/>
      <c r="C1553" s="125"/>
      <c r="D1553" s="125"/>
      <c r="E1553" s="125"/>
      <c r="F1553" s="125"/>
      <c r="G1553" s="125"/>
      <c r="H1553" s="125"/>
      <c r="I1553" s="746"/>
      <c r="J1553" s="747"/>
      <c r="K1553" s="748"/>
      <c r="L1553" s="746"/>
      <c r="M1553" s="747"/>
      <c r="N1553" s="753"/>
    </row>
    <row r="1554" spans="2:14" ht="14.25" customHeight="1" x14ac:dyDescent="0.25">
      <c r="B1554" s="124"/>
      <c r="C1554" s="125"/>
      <c r="D1554" s="125"/>
      <c r="E1554" s="125"/>
      <c r="F1554" s="125"/>
      <c r="G1554" s="125"/>
      <c r="H1554" s="125"/>
      <c r="I1554" s="746"/>
      <c r="J1554" s="747"/>
      <c r="K1554" s="748"/>
      <c r="L1554" s="746"/>
      <c r="M1554" s="747"/>
      <c r="N1554" s="753"/>
    </row>
    <row r="1555" spans="2:14" ht="14.25" customHeight="1" x14ac:dyDescent="0.25">
      <c r="B1555" s="124"/>
      <c r="C1555" s="125"/>
      <c r="D1555" s="125"/>
      <c r="E1555" s="125"/>
      <c r="F1555" s="125"/>
      <c r="G1555" s="125"/>
      <c r="H1555" s="125"/>
      <c r="I1555" s="746"/>
      <c r="J1555" s="747"/>
      <c r="K1555" s="748"/>
      <c r="L1555" s="746"/>
      <c r="M1555" s="747"/>
      <c r="N1555" s="753"/>
    </row>
    <row r="1556" spans="2:14" ht="14.25" customHeight="1" x14ac:dyDescent="0.25">
      <c r="B1556" s="124"/>
      <c r="C1556" s="125"/>
      <c r="D1556" s="125"/>
      <c r="E1556" s="125"/>
      <c r="F1556" s="125"/>
      <c r="G1556" s="125"/>
      <c r="H1556" s="125"/>
      <c r="I1556" s="746"/>
      <c r="J1556" s="747"/>
      <c r="K1556" s="748"/>
      <c r="L1556" s="746"/>
      <c r="M1556" s="747"/>
      <c r="N1556" s="753"/>
    </row>
    <row r="1557" spans="2:14" ht="14.25" customHeight="1" x14ac:dyDescent="0.25">
      <c r="B1557" s="124"/>
      <c r="C1557" s="125"/>
      <c r="D1557" s="125"/>
      <c r="E1557" s="125"/>
      <c r="F1557" s="125"/>
      <c r="G1557" s="125"/>
      <c r="H1557" s="125"/>
      <c r="I1557" s="746"/>
      <c r="J1557" s="747"/>
      <c r="K1557" s="748"/>
      <c r="L1557" s="746"/>
      <c r="M1557" s="747"/>
      <c r="N1557" s="753"/>
    </row>
    <row r="1558" spans="2:14" ht="14.25" customHeight="1" x14ac:dyDescent="0.25">
      <c r="B1558" s="124"/>
      <c r="C1558" s="125"/>
      <c r="D1558" s="125"/>
      <c r="E1558" s="125"/>
      <c r="F1558" s="125"/>
      <c r="G1558" s="125"/>
      <c r="H1558" s="125"/>
      <c r="I1558" s="746"/>
      <c r="J1558" s="747"/>
      <c r="K1558" s="748"/>
      <c r="L1558" s="746"/>
      <c r="M1558" s="747"/>
      <c r="N1558" s="753"/>
    </row>
    <row r="1559" spans="2:14" ht="14.25" customHeight="1" x14ac:dyDescent="0.25">
      <c r="B1559" s="124"/>
      <c r="C1559" s="125"/>
      <c r="D1559" s="125"/>
      <c r="E1559" s="125"/>
      <c r="F1559" s="125"/>
      <c r="G1559" s="125"/>
      <c r="H1559" s="125"/>
      <c r="I1559" s="746"/>
      <c r="J1559" s="747"/>
      <c r="K1559" s="748"/>
      <c r="L1559" s="746"/>
      <c r="M1559" s="747"/>
      <c r="N1559" s="753"/>
    </row>
    <row r="1560" spans="2:14" ht="14.25" customHeight="1" x14ac:dyDescent="0.25">
      <c r="B1560" s="124"/>
      <c r="C1560" s="125"/>
      <c r="D1560" s="125"/>
      <c r="E1560" s="125"/>
      <c r="F1560" s="125"/>
      <c r="G1560" s="125"/>
      <c r="H1560" s="125"/>
      <c r="I1560" s="746"/>
      <c r="J1560" s="747"/>
      <c r="K1560" s="748"/>
      <c r="L1560" s="746"/>
      <c r="M1560" s="747"/>
      <c r="N1560" s="753"/>
    </row>
    <row r="1561" spans="2:14" ht="14.25" customHeight="1" x14ac:dyDescent="0.25">
      <c r="B1561" s="124"/>
      <c r="C1561" s="125"/>
      <c r="D1561" s="125"/>
      <c r="E1561" s="125"/>
      <c r="F1561" s="125"/>
      <c r="G1561" s="125"/>
      <c r="H1561" s="125"/>
      <c r="I1561" s="746"/>
      <c r="J1561" s="747"/>
      <c r="K1561" s="748"/>
      <c r="L1561" s="746"/>
      <c r="M1561" s="747"/>
      <c r="N1561" s="753"/>
    </row>
    <row r="1562" spans="2:14" ht="14.25" customHeight="1" x14ac:dyDescent="0.25">
      <c r="B1562" s="124"/>
      <c r="C1562" s="125"/>
      <c r="D1562" s="125"/>
      <c r="E1562" s="125"/>
      <c r="F1562" s="125"/>
      <c r="G1562" s="125"/>
      <c r="H1562" s="125"/>
      <c r="I1562" s="746"/>
      <c r="J1562" s="747"/>
      <c r="K1562" s="748"/>
      <c r="L1562" s="746"/>
      <c r="M1562" s="747"/>
      <c r="N1562" s="753"/>
    </row>
    <row r="1563" spans="2:14" ht="14.25" customHeight="1" x14ac:dyDescent="0.25">
      <c r="B1563" s="124"/>
      <c r="C1563" s="125"/>
      <c r="D1563" s="125"/>
      <c r="E1563" s="125"/>
      <c r="F1563" s="125"/>
      <c r="G1563" s="125"/>
      <c r="H1563" s="125"/>
      <c r="I1563" s="746"/>
      <c r="J1563" s="747"/>
      <c r="K1563" s="748"/>
      <c r="L1563" s="746"/>
      <c r="M1563" s="747"/>
      <c r="N1563" s="753"/>
    </row>
    <row r="1564" spans="2:14" ht="14.25" customHeight="1" x14ac:dyDescent="0.25">
      <c r="B1564" s="124"/>
      <c r="C1564" s="125"/>
      <c r="D1564" s="125"/>
      <c r="E1564" s="125"/>
      <c r="F1564" s="125"/>
      <c r="G1564" s="125"/>
      <c r="H1564" s="125"/>
      <c r="I1564" s="746"/>
      <c r="J1564" s="747"/>
      <c r="K1564" s="748"/>
      <c r="L1564" s="746"/>
      <c r="M1564" s="747"/>
      <c r="N1564" s="753"/>
    </row>
    <row r="1565" spans="2:14" ht="14.25" customHeight="1" x14ac:dyDescent="0.25">
      <c r="B1565" s="124"/>
      <c r="C1565" s="125"/>
      <c r="D1565" s="125"/>
      <c r="E1565" s="125"/>
      <c r="F1565" s="125"/>
      <c r="G1565" s="125"/>
      <c r="H1565" s="125"/>
      <c r="I1565" s="746"/>
      <c r="J1565" s="747"/>
      <c r="K1565" s="748"/>
      <c r="L1565" s="746"/>
      <c r="M1565" s="747"/>
      <c r="N1565" s="753"/>
    </row>
    <row r="1566" spans="2:14" ht="14.25" customHeight="1" x14ac:dyDescent="0.25">
      <c r="B1566" s="124"/>
      <c r="C1566" s="125"/>
      <c r="D1566" s="125"/>
      <c r="E1566" s="125"/>
      <c r="F1566" s="125"/>
      <c r="G1566" s="125"/>
      <c r="H1566" s="125"/>
      <c r="I1566" s="746"/>
      <c r="J1566" s="747"/>
      <c r="K1566" s="748"/>
      <c r="L1566" s="746"/>
      <c r="M1566" s="747"/>
      <c r="N1566" s="753"/>
    </row>
    <row r="1567" spans="2:14" ht="14.25" customHeight="1" x14ac:dyDescent="0.25">
      <c r="B1567" s="124"/>
      <c r="C1567" s="125"/>
      <c r="D1567" s="125"/>
      <c r="E1567" s="125"/>
      <c r="F1567" s="125"/>
      <c r="G1567" s="125"/>
      <c r="H1567" s="125"/>
      <c r="I1567" s="746"/>
      <c r="J1567" s="747"/>
      <c r="K1567" s="748"/>
      <c r="L1567" s="746"/>
      <c r="M1567" s="747"/>
      <c r="N1567" s="753"/>
    </row>
    <row r="1568" spans="2:14" ht="14.25" customHeight="1" x14ac:dyDescent="0.25">
      <c r="B1568" s="127"/>
      <c r="C1568" s="125"/>
      <c r="D1568" s="125"/>
      <c r="E1568" s="125"/>
      <c r="F1568" s="125"/>
      <c r="G1568" s="125"/>
      <c r="H1568" s="125"/>
      <c r="I1568" s="749"/>
      <c r="J1568" s="750"/>
      <c r="K1568" s="751"/>
      <c r="L1568" s="749"/>
      <c r="M1568" s="750"/>
      <c r="N1568" s="754"/>
    </row>
    <row r="1569" spans="2:14" ht="14.25" customHeight="1" x14ac:dyDescent="0.25">
      <c r="B1569" s="209"/>
      <c r="C1569" s="118"/>
      <c r="D1569" s="118"/>
      <c r="E1569" s="118"/>
      <c r="F1569" s="118"/>
      <c r="G1569" s="118"/>
      <c r="H1569" s="118"/>
      <c r="I1569" s="118"/>
      <c r="J1569" s="118"/>
      <c r="K1569" s="118"/>
      <c r="L1569" s="118"/>
      <c r="M1569" s="118"/>
      <c r="N1569" s="210"/>
    </row>
    <row r="1570" spans="2:14" ht="14.25" customHeight="1" x14ac:dyDescent="0.25">
      <c r="B1570" s="209"/>
      <c r="C1570" s="118"/>
      <c r="D1570" s="118"/>
      <c r="E1570" s="118"/>
      <c r="F1570" s="118"/>
      <c r="G1570" s="118"/>
      <c r="H1570" s="118"/>
      <c r="I1570" s="118"/>
      <c r="J1570" s="118"/>
      <c r="K1570" s="118"/>
      <c r="L1570" s="118"/>
      <c r="M1570" s="118"/>
      <c r="N1570" s="210"/>
    </row>
    <row r="1571" spans="2:14" ht="14.25" customHeight="1" x14ac:dyDescent="0.25">
      <c r="B1571" s="209"/>
      <c r="C1571" s="118"/>
      <c r="D1571" s="118"/>
      <c r="E1571" s="118"/>
      <c r="F1571" s="118"/>
      <c r="G1571" s="118"/>
      <c r="H1571" s="118"/>
      <c r="I1571" s="118"/>
      <c r="J1571" s="118"/>
      <c r="K1571" s="118"/>
      <c r="L1571" s="118"/>
      <c r="M1571" s="118"/>
      <c r="N1571" s="210"/>
    </row>
    <row r="1572" spans="2:14" ht="14.25" customHeight="1" x14ac:dyDescent="0.25">
      <c r="B1572" s="209"/>
      <c r="C1572" s="118"/>
      <c r="D1572" s="118"/>
      <c r="E1572" s="118"/>
      <c r="F1572" s="118"/>
      <c r="G1572" s="118"/>
      <c r="H1572" s="118"/>
      <c r="I1572" s="118"/>
      <c r="J1572" s="118"/>
      <c r="K1572" s="118"/>
      <c r="L1572" s="118"/>
      <c r="M1572" s="118"/>
      <c r="N1572" s="210"/>
    </row>
    <row r="1573" spans="2:14" ht="14.25" customHeight="1" x14ac:dyDescent="0.25">
      <c r="B1573" s="775" t="s">
        <v>414</v>
      </c>
      <c r="C1573" s="747"/>
      <c r="D1573" s="747"/>
      <c r="E1573" s="128"/>
      <c r="F1573" s="128"/>
      <c r="G1573" s="128"/>
      <c r="H1573" s="128"/>
      <c r="I1573" s="776"/>
      <c r="J1573" s="747"/>
      <c r="K1573" s="747"/>
      <c r="L1573" s="118"/>
      <c r="M1573" s="118"/>
      <c r="N1573" s="210"/>
    </row>
    <row r="1574" spans="2:14" ht="14.25" customHeight="1" thickBot="1" x14ac:dyDescent="0.3">
      <c r="B1574" s="129"/>
      <c r="C1574" s="130"/>
      <c r="D1574" s="130"/>
      <c r="E1574" s="130"/>
      <c r="F1574" s="130"/>
      <c r="G1574" s="130"/>
      <c r="H1574" s="130"/>
      <c r="I1574" s="130"/>
      <c r="J1574" s="130"/>
      <c r="K1574" s="130"/>
      <c r="L1574" s="130"/>
      <c r="M1574" s="130"/>
      <c r="N1574" s="131"/>
    </row>
    <row r="1575" spans="2:14" ht="14.25" customHeight="1" thickBot="1" x14ac:dyDescent="0.3">
      <c r="B1575" s="132"/>
      <c r="C1575" s="132"/>
      <c r="D1575" s="132"/>
      <c r="E1575" s="132"/>
      <c r="F1575" s="132"/>
      <c r="G1575" s="132"/>
      <c r="H1575" s="132"/>
      <c r="I1575" s="132"/>
      <c r="J1575" s="132"/>
      <c r="K1575" s="132"/>
      <c r="L1575" s="132"/>
      <c r="M1575" s="132"/>
      <c r="N1575" s="132"/>
    </row>
    <row r="1576" spans="2:14" ht="39.75" hidden="1" customHeight="1" x14ac:dyDescent="0.25">
      <c r="B1576" s="728"/>
      <c r="C1576" s="729"/>
      <c r="D1576" s="730" t="s">
        <v>393</v>
      </c>
      <c r="E1576" s="729"/>
      <c r="F1576" s="729"/>
      <c r="G1576" s="729"/>
      <c r="H1576" s="729"/>
      <c r="I1576" s="729"/>
      <c r="J1576" s="729"/>
      <c r="K1576" s="729"/>
      <c r="L1576" s="729"/>
      <c r="M1576" s="729"/>
      <c r="N1576" s="731"/>
    </row>
    <row r="1577" spans="2:14" ht="14.25" hidden="1" customHeight="1" x14ac:dyDescent="0.25">
      <c r="B1577" s="732" t="s">
        <v>394</v>
      </c>
      <c r="C1577" s="733"/>
      <c r="D1577" s="733"/>
      <c r="E1577" s="733"/>
      <c r="F1577" s="733"/>
      <c r="G1577" s="733"/>
      <c r="H1577" s="733"/>
      <c r="I1577" s="733"/>
      <c r="J1577" s="733"/>
      <c r="K1577" s="733"/>
      <c r="L1577" s="733"/>
      <c r="M1577" s="733"/>
      <c r="N1577" s="734"/>
    </row>
    <row r="1578" spans="2:14" ht="14.25" hidden="1" customHeight="1" x14ac:dyDescent="0.25">
      <c r="B1578" s="735" t="s">
        <v>395</v>
      </c>
      <c r="C1578" s="736"/>
      <c r="D1578" s="779" t="s">
        <v>513</v>
      </c>
      <c r="E1578" s="733"/>
      <c r="F1578" s="733"/>
      <c r="G1578" s="733"/>
      <c r="H1578" s="733"/>
      <c r="I1578" s="733"/>
      <c r="J1578" s="733"/>
      <c r="K1578" s="733"/>
      <c r="L1578" s="733"/>
      <c r="M1578" s="733"/>
      <c r="N1578" s="734"/>
    </row>
    <row r="1579" spans="2:14" ht="14.25" hidden="1" customHeight="1" x14ac:dyDescent="0.25">
      <c r="B1579" s="740" t="s">
        <v>26</v>
      </c>
      <c r="C1579" s="741"/>
      <c r="D1579" s="119" t="s">
        <v>396</v>
      </c>
      <c r="E1579" s="742" t="s">
        <v>397</v>
      </c>
      <c r="F1579" s="733"/>
      <c r="G1579" s="733"/>
      <c r="H1579" s="736"/>
      <c r="I1579" s="742" t="s">
        <v>398</v>
      </c>
      <c r="J1579" s="733"/>
      <c r="K1579" s="736"/>
      <c r="L1579" s="742" t="s">
        <v>399</v>
      </c>
      <c r="M1579" s="733"/>
      <c r="N1579" s="734"/>
    </row>
    <row r="1580" spans="2:14" ht="14.25" hidden="1" customHeight="1" x14ac:dyDescent="0.25">
      <c r="B1580" s="777">
        <v>41</v>
      </c>
      <c r="C1580" s="736"/>
      <c r="D1580" s="123">
        <f>SUM(H1583:H1597)</f>
        <v>13</v>
      </c>
      <c r="E1580" s="778" t="s">
        <v>46</v>
      </c>
      <c r="F1580" s="733"/>
      <c r="G1580" s="733"/>
      <c r="H1580" s="736"/>
      <c r="I1580" s="744"/>
      <c r="J1580" s="745"/>
      <c r="K1580" s="741"/>
      <c r="L1580" s="744"/>
      <c r="M1580" s="745"/>
      <c r="N1580" s="752"/>
    </row>
    <row r="1581" spans="2:14" ht="14.25" hidden="1" customHeight="1" x14ac:dyDescent="0.25">
      <c r="B1581" s="755" t="s">
        <v>416</v>
      </c>
      <c r="C1581" s="733"/>
      <c r="D1581" s="733"/>
      <c r="E1581" s="733"/>
      <c r="F1581" s="733"/>
      <c r="G1581" s="733"/>
      <c r="H1581" s="736"/>
      <c r="I1581" s="746"/>
      <c r="J1581" s="747"/>
      <c r="K1581" s="748"/>
      <c r="L1581" s="746"/>
      <c r="M1581" s="747"/>
      <c r="N1581" s="753"/>
    </row>
    <row r="1582" spans="2:14" ht="14.25" hidden="1" customHeight="1" x14ac:dyDescent="0.25">
      <c r="B1582" s="121" t="s">
        <v>400</v>
      </c>
      <c r="C1582" s="122" t="s">
        <v>401</v>
      </c>
      <c r="D1582" s="123" t="s">
        <v>402</v>
      </c>
      <c r="E1582" s="123" t="s">
        <v>403</v>
      </c>
      <c r="F1582" s="123" t="s">
        <v>404</v>
      </c>
      <c r="G1582" s="123" t="s">
        <v>405</v>
      </c>
      <c r="H1582" s="123" t="s">
        <v>406</v>
      </c>
      <c r="I1582" s="746"/>
      <c r="J1582" s="747"/>
      <c r="K1582" s="748"/>
      <c r="L1582" s="746"/>
      <c r="M1582" s="747"/>
      <c r="N1582" s="753"/>
    </row>
    <row r="1583" spans="2:14" ht="14.25" hidden="1" customHeight="1" x14ac:dyDescent="0.25">
      <c r="B1583" s="124" t="s">
        <v>514</v>
      </c>
      <c r="C1583" s="765" t="s">
        <v>515</v>
      </c>
      <c r="D1583" s="141">
        <v>1</v>
      </c>
      <c r="E1583" s="125"/>
      <c r="F1583" s="125"/>
      <c r="G1583" s="125">
        <v>5</v>
      </c>
      <c r="H1583" s="125">
        <f>G1583*D1583</f>
        <v>5</v>
      </c>
      <c r="I1583" s="746"/>
      <c r="J1583" s="747"/>
      <c r="K1583" s="748"/>
      <c r="L1583" s="746"/>
      <c r="M1583" s="747"/>
      <c r="N1583" s="753"/>
    </row>
    <row r="1584" spans="2:14" ht="14.25" hidden="1" customHeight="1" x14ac:dyDescent="0.25">
      <c r="B1584" s="124"/>
      <c r="C1584" s="780"/>
      <c r="D1584" s="141"/>
      <c r="E1584" s="125"/>
      <c r="F1584" s="125"/>
      <c r="G1584" s="125"/>
      <c r="H1584" s="125"/>
      <c r="I1584" s="746"/>
      <c r="J1584" s="747"/>
      <c r="K1584" s="748"/>
      <c r="L1584" s="746"/>
      <c r="M1584" s="747"/>
      <c r="N1584" s="753"/>
    </row>
    <row r="1585" spans="2:14" ht="14.25" hidden="1" customHeight="1" x14ac:dyDescent="0.25">
      <c r="B1585" s="124" t="s">
        <v>516</v>
      </c>
      <c r="C1585" s="780"/>
      <c r="D1585" s="141">
        <v>1</v>
      </c>
      <c r="E1585" s="125"/>
      <c r="F1585" s="125"/>
      <c r="G1585" s="125">
        <v>3.5</v>
      </c>
      <c r="H1585" s="125">
        <f t="shared" ref="H1585:H1586" si="46">G1585*D1585</f>
        <v>3.5</v>
      </c>
      <c r="I1585" s="746"/>
      <c r="J1585" s="747"/>
      <c r="K1585" s="748"/>
      <c r="L1585" s="746"/>
      <c r="M1585" s="747"/>
      <c r="N1585" s="753"/>
    </row>
    <row r="1586" spans="2:14" ht="14.25" hidden="1" customHeight="1" x14ac:dyDescent="0.25">
      <c r="B1586" s="124" t="s">
        <v>517</v>
      </c>
      <c r="C1586" s="781"/>
      <c r="D1586" s="141">
        <v>1</v>
      </c>
      <c r="E1586" s="125"/>
      <c r="F1586" s="125"/>
      <c r="G1586" s="125">
        <v>4.5</v>
      </c>
      <c r="H1586" s="125">
        <f t="shared" si="46"/>
        <v>4.5</v>
      </c>
      <c r="I1586" s="746"/>
      <c r="J1586" s="747"/>
      <c r="K1586" s="748"/>
      <c r="L1586" s="746"/>
      <c r="M1586" s="747"/>
      <c r="N1586" s="753"/>
    </row>
    <row r="1587" spans="2:14" ht="14.25" hidden="1" customHeight="1" x14ac:dyDescent="0.25">
      <c r="B1587" s="124"/>
      <c r="C1587" s="138"/>
      <c r="D1587" s="138"/>
      <c r="E1587" s="125"/>
      <c r="F1587" s="125"/>
      <c r="G1587" s="125"/>
      <c r="H1587" s="125"/>
      <c r="I1587" s="746"/>
      <c r="J1587" s="747"/>
      <c r="K1587" s="748"/>
      <c r="L1587" s="746"/>
      <c r="M1587" s="747"/>
      <c r="N1587" s="753"/>
    </row>
    <row r="1588" spans="2:14" ht="14.25" hidden="1" customHeight="1" x14ac:dyDescent="0.25">
      <c r="B1588" s="124"/>
      <c r="C1588" s="204"/>
      <c r="D1588" s="226"/>
      <c r="E1588" s="125"/>
      <c r="F1588" s="125"/>
      <c r="G1588" s="125"/>
      <c r="H1588" s="125"/>
      <c r="I1588" s="746"/>
      <c r="J1588" s="747"/>
      <c r="K1588" s="748"/>
      <c r="L1588" s="746"/>
      <c r="M1588" s="747"/>
      <c r="N1588" s="753"/>
    </row>
    <row r="1589" spans="2:14" ht="14.25" hidden="1" customHeight="1" x14ac:dyDescent="0.25">
      <c r="B1589" s="124"/>
      <c r="C1589" s="125"/>
      <c r="D1589" s="125"/>
      <c r="E1589" s="125"/>
      <c r="F1589" s="125"/>
      <c r="G1589" s="125"/>
      <c r="H1589" s="125"/>
      <c r="I1589" s="746"/>
      <c r="J1589" s="747"/>
      <c r="K1589" s="748"/>
      <c r="L1589" s="746"/>
      <c r="M1589" s="747"/>
      <c r="N1589" s="753"/>
    </row>
    <row r="1590" spans="2:14" ht="14.25" hidden="1" customHeight="1" x14ac:dyDescent="0.25">
      <c r="B1590" s="124"/>
      <c r="C1590" s="125"/>
      <c r="D1590" s="125"/>
      <c r="E1590" s="125"/>
      <c r="F1590" s="125"/>
      <c r="G1590" s="125"/>
      <c r="H1590" s="125"/>
      <c r="I1590" s="746"/>
      <c r="J1590" s="747"/>
      <c r="K1590" s="748"/>
      <c r="L1590" s="746"/>
      <c r="M1590" s="747"/>
      <c r="N1590" s="753"/>
    </row>
    <row r="1591" spans="2:14" ht="14.25" hidden="1" customHeight="1" x14ac:dyDescent="0.25">
      <c r="B1591" s="124"/>
      <c r="C1591" s="125"/>
      <c r="D1591" s="125"/>
      <c r="E1591" s="125"/>
      <c r="F1591" s="125"/>
      <c r="G1591" s="125"/>
      <c r="H1591" s="125"/>
      <c r="I1591" s="746"/>
      <c r="J1591" s="747"/>
      <c r="K1591" s="748"/>
      <c r="L1591" s="746"/>
      <c r="M1591" s="747"/>
      <c r="N1591" s="753"/>
    </row>
    <row r="1592" spans="2:14" ht="14.25" hidden="1" customHeight="1" x14ac:dyDescent="0.25">
      <c r="B1592" s="124"/>
      <c r="C1592" s="125"/>
      <c r="D1592" s="125"/>
      <c r="E1592" s="125"/>
      <c r="F1592" s="125"/>
      <c r="G1592" s="125"/>
      <c r="H1592" s="125"/>
      <c r="I1592" s="746"/>
      <c r="J1592" s="747"/>
      <c r="K1592" s="748"/>
      <c r="L1592" s="746"/>
      <c r="M1592" s="747"/>
      <c r="N1592" s="753"/>
    </row>
    <row r="1593" spans="2:14" ht="14.25" hidden="1" customHeight="1" x14ac:dyDescent="0.25">
      <c r="B1593" s="124"/>
      <c r="C1593" s="125"/>
      <c r="D1593" s="125"/>
      <c r="E1593" s="125"/>
      <c r="F1593" s="125"/>
      <c r="G1593" s="125"/>
      <c r="H1593" s="125"/>
      <c r="I1593" s="746"/>
      <c r="J1593" s="747"/>
      <c r="K1593" s="748"/>
      <c r="L1593" s="746"/>
      <c r="M1593" s="747"/>
      <c r="N1593" s="753"/>
    </row>
    <row r="1594" spans="2:14" ht="14.25" hidden="1" customHeight="1" x14ac:dyDescent="0.25">
      <c r="B1594" s="124"/>
      <c r="C1594" s="125"/>
      <c r="D1594" s="125"/>
      <c r="E1594" s="125"/>
      <c r="F1594" s="125"/>
      <c r="G1594" s="125"/>
      <c r="H1594" s="125"/>
      <c r="I1594" s="746"/>
      <c r="J1594" s="747"/>
      <c r="K1594" s="748"/>
      <c r="L1594" s="746"/>
      <c r="M1594" s="747"/>
      <c r="N1594" s="753"/>
    </row>
    <row r="1595" spans="2:14" ht="14.25" hidden="1" customHeight="1" x14ac:dyDescent="0.25">
      <c r="B1595" s="124"/>
      <c r="C1595" s="125"/>
      <c r="D1595" s="125"/>
      <c r="E1595" s="125"/>
      <c r="F1595" s="125"/>
      <c r="G1595" s="125"/>
      <c r="H1595" s="125"/>
      <c r="I1595" s="746"/>
      <c r="J1595" s="747"/>
      <c r="K1595" s="748"/>
      <c r="L1595" s="746"/>
      <c r="M1595" s="747"/>
      <c r="N1595" s="753"/>
    </row>
    <row r="1596" spans="2:14" ht="14.25" hidden="1" customHeight="1" x14ac:dyDescent="0.25">
      <c r="B1596" s="124"/>
      <c r="C1596" s="125"/>
      <c r="D1596" s="125"/>
      <c r="E1596" s="125"/>
      <c r="F1596" s="125"/>
      <c r="G1596" s="125"/>
      <c r="H1596" s="125"/>
      <c r="I1596" s="746"/>
      <c r="J1596" s="747"/>
      <c r="K1596" s="748"/>
      <c r="L1596" s="746"/>
      <c r="M1596" s="747"/>
      <c r="N1596" s="753"/>
    </row>
    <row r="1597" spans="2:14" ht="14.25" hidden="1" customHeight="1" x14ac:dyDescent="0.25">
      <c r="B1597" s="127"/>
      <c r="C1597" s="125"/>
      <c r="D1597" s="125"/>
      <c r="E1597" s="125"/>
      <c r="F1597" s="125"/>
      <c r="G1597" s="125"/>
      <c r="H1597" s="125"/>
      <c r="I1597" s="749"/>
      <c r="J1597" s="750"/>
      <c r="K1597" s="751"/>
      <c r="L1597" s="749"/>
      <c r="M1597" s="750"/>
      <c r="N1597" s="754"/>
    </row>
    <row r="1598" spans="2:14" ht="14.25" hidden="1" customHeight="1" x14ac:dyDescent="0.25">
      <c r="B1598" s="209"/>
      <c r="C1598" s="118"/>
      <c r="D1598" s="118"/>
      <c r="E1598" s="118"/>
      <c r="F1598" s="118"/>
      <c r="G1598" s="118"/>
      <c r="H1598" s="118"/>
      <c r="I1598" s="118"/>
      <c r="J1598" s="118"/>
      <c r="K1598" s="118"/>
      <c r="L1598" s="118"/>
      <c r="M1598" s="118"/>
      <c r="N1598" s="210"/>
    </row>
    <row r="1599" spans="2:14" ht="14.25" hidden="1" customHeight="1" x14ac:dyDescent="0.25">
      <c r="B1599" s="209"/>
      <c r="C1599" s="118"/>
      <c r="D1599" s="118"/>
      <c r="E1599" s="118"/>
      <c r="F1599" s="118"/>
      <c r="G1599" s="118"/>
      <c r="H1599" s="118"/>
      <c r="I1599" s="118"/>
      <c r="J1599" s="118"/>
      <c r="K1599" s="118"/>
      <c r="L1599" s="118"/>
      <c r="M1599" s="118"/>
      <c r="N1599" s="210"/>
    </row>
    <row r="1600" spans="2:14" ht="14.25" hidden="1" customHeight="1" x14ac:dyDescent="0.25">
      <c r="B1600" s="209"/>
      <c r="C1600" s="118"/>
      <c r="D1600" s="118"/>
      <c r="E1600" s="118"/>
      <c r="F1600" s="118"/>
      <c r="G1600" s="118"/>
      <c r="H1600" s="118"/>
      <c r="I1600" s="118"/>
      <c r="J1600" s="118"/>
      <c r="K1600" s="118"/>
      <c r="L1600" s="118"/>
      <c r="M1600" s="118"/>
      <c r="N1600" s="210"/>
    </row>
    <row r="1601" spans="2:14" ht="14.25" hidden="1" customHeight="1" x14ac:dyDescent="0.25">
      <c r="B1601" s="209"/>
      <c r="C1601" s="118"/>
      <c r="D1601" s="118"/>
      <c r="E1601" s="118"/>
      <c r="F1601" s="118"/>
      <c r="G1601" s="118"/>
      <c r="H1601" s="118"/>
      <c r="I1601" s="118"/>
      <c r="J1601" s="118"/>
      <c r="K1601" s="118"/>
      <c r="L1601" s="118"/>
      <c r="M1601" s="118"/>
      <c r="N1601" s="210"/>
    </row>
    <row r="1602" spans="2:14" ht="14.25" hidden="1" customHeight="1" x14ac:dyDescent="0.25">
      <c r="B1602" s="775" t="s">
        <v>414</v>
      </c>
      <c r="C1602" s="747"/>
      <c r="D1602" s="747"/>
      <c r="E1602" s="128"/>
      <c r="F1602" s="128"/>
      <c r="G1602" s="128"/>
      <c r="H1602" s="128"/>
      <c r="I1602" s="776"/>
      <c r="J1602" s="747"/>
      <c r="K1602" s="747"/>
      <c r="L1602" s="118"/>
      <c r="M1602" s="118"/>
      <c r="N1602" s="210"/>
    </row>
    <row r="1603" spans="2:14" ht="14.25" hidden="1" customHeight="1" x14ac:dyDescent="0.25">
      <c r="B1603" s="129"/>
      <c r="C1603" s="130"/>
      <c r="D1603" s="130"/>
      <c r="E1603" s="130"/>
      <c r="F1603" s="130"/>
      <c r="G1603" s="130"/>
      <c r="H1603" s="130"/>
      <c r="I1603" s="130"/>
      <c r="J1603" s="130"/>
      <c r="K1603" s="130"/>
      <c r="L1603" s="130"/>
      <c r="M1603" s="130"/>
      <c r="N1603" s="131"/>
    </row>
    <row r="1604" spans="2:14" ht="14.25" hidden="1" customHeight="1" x14ac:dyDescent="0.25">
      <c r="B1604" s="132"/>
      <c r="C1604" s="132"/>
      <c r="D1604" s="132"/>
      <c r="E1604" s="132"/>
      <c r="F1604" s="132"/>
      <c r="G1604" s="132"/>
      <c r="H1604" s="132"/>
      <c r="I1604" s="132"/>
      <c r="J1604" s="132"/>
      <c r="K1604" s="132"/>
      <c r="L1604" s="132"/>
      <c r="M1604" s="132"/>
      <c r="N1604" s="132"/>
    </row>
    <row r="1605" spans="2:14" ht="39.75" customHeight="1" x14ac:dyDescent="0.25">
      <c r="B1605" s="728"/>
      <c r="C1605" s="729"/>
      <c r="D1605" s="730" t="s">
        <v>393</v>
      </c>
      <c r="E1605" s="729"/>
      <c r="F1605" s="729"/>
      <c r="G1605" s="729"/>
      <c r="H1605" s="729"/>
      <c r="I1605" s="729"/>
      <c r="J1605" s="729"/>
      <c r="K1605" s="729"/>
      <c r="L1605" s="729"/>
      <c r="M1605" s="729"/>
      <c r="N1605" s="731"/>
    </row>
    <row r="1606" spans="2:14" ht="14.25" customHeight="1" x14ac:dyDescent="0.25">
      <c r="B1606" s="732" t="s">
        <v>394</v>
      </c>
      <c r="C1606" s="733"/>
      <c r="D1606" s="733"/>
      <c r="E1606" s="733"/>
      <c r="F1606" s="733"/>
      <c r="G1606" s="733"/>
      <c r="H1606" s="733"/>
      <c r="I1606" s="733"/>
      <c r="J1606" s="733"/>
      <c r="K1606" s="733"/>
      <c r="L1606" s="733"/>
      <c r="M1606" s="733"/>
      <c r="N1606" s="734"/>
    </row>
    <row r="1607" spans="2:14" ht="58.9" customHeight="1" x14ac:dyDescent="0.25">
      <c r="B1607" s="735" t="s">
        <v>395</v>
      </c>
      <c r="C1607" s="736"/>
      <c r="D1607" s="737" t="str">
        <f>VLOOKUP(B1609,Buenaventura!A9:G1811,3,FALSE)</f>
        <v>Suministro e instalación de puerta de madera Chanul o choibá maciza inmunizada  con acabado  en pintura poliuretano color similiar al existente, conformada por una nave, cuyas dimensiones oscilan entre 0.80m y 1.00m de ancho x 1.90m y 2.20 m de alto, diseño igual al existente, incluye bisagras, chapa, tragaluz, burlete, vidrio (si es necesario), tornilleria y todo lo necesario para su correcta instalación</v>
      </c>
      <c r="E1607" s="738"/>
      <c r="F1607" s="738"/>
      <c r="G1607" s="738"/>
      <c r="H1607" s="738"/>
      <c r="I1607" s="738"/>
      <c r="J1607" s="738"/>
      <c r="K1607" s="738"/>
      <c r="L1607" s="738"/>
      <c r="M1607" s="738"/>
      <c r="N1607" s="739"/>
    </row>
    <row r="1608" spans="2:14" ht="14.25" customHeight="1" x14ac:dyDescent="0.25">
      <c r="B1608" s="740" t="s">
        <v>26</v>
      </c>
      <c r="C1608" s="741"/>
      <c r="D1608" s="119" t="s">
        <v>396</v>
      </c>
      <c r="E1608" s="742" t="s">
        <v>397</v>
      </c>
      <c r="F1608" s="733"/>
      <c r="G1608" s="733"/>
      <c r="H1608" s="736"/>
      <c r="I1608" s="742" t="s">
        <v>398</v>
      </c>
      <c r="J1608" s="733"/>
      <c r="K1608" s="736"/>
      <c r="L1608" s="742" t="s">
        <v>399</v>
      </c>
      <c r="M1608" s="733"/>
      <c r="N1608" s="734"/>
    </row>
    <row r="1609" spans="2:14" ht="14.25" customHeight="1" x14ac:dyDescent="0.25">
      <c r="B1609" s="283">
        <v>22</v>
      </c>
      <c r="C1609" s="284" t="str">
        <f>VLOOKUP(B1609,Buenaventura!A9:G1824,2,FALSE)</f>
        <v>CA-22</v>
      </c>
      <c r="D1609" s="285">
        <f>SUM(H1612:H1615)</f>
        <v>19</v>
      </c>
      <c r="E1609" s="743" t="str">
        <f>VLOOKUP(B1609,Buenaventura!A9:G1823,4,FALSE)</f>
        <v>UND</v>
      </c>
      <c r="F1609" s="743"/>
      <c r="G1609" s="743"/>
      <c r="H1609" s="743"/>
      <c r="I1609" s="744"/>
      <c r="J1609" s="745"/>
      <c r="K1609" s="741"/>
      <c r="L1609" s="744"/>
      <c r="M1609" s="745"/>
      <c r="N1609" s="752"/>
    </row>
    <row r="1610" spans="2:14" ht="14.25" customHeight="1" x14ac:dyDescent="0.25">
      <c r="B1610" s="755" t="s">
        <v>416</v>
      </c>
      <c r="C1610" s="733"/>
      <c r="D1610" s="733"/>
      <c r="E1610" s="733"/>
      <c r="F1610" s="733"/>
      <c r="G1610" s="733"/>
      <c r="H1610" s="736"/>
      <c r="I1610" s="746"/>
      <c r="J1610" s="747"/>
      <c r="K1610" s="748"/>
      <c r="L1610" s="746"/>
      <c r="M1610" s="747"/>
      <c r="N1610" s="753"/>
    </row>
    <row r="1611" spans="2:14" ht="14.25" customHeight="1" x14ac:dyDescent="0.25">
      <c r="B1611" s="121" t="s">
        <v>400</v>
      </c>
      <c r="C1611" s="122" t="s">
        <v>401</v>
      </c>
      <c r="D1611" s="123" t="s">
        <v>402</v>
      </c>
      <c r="E1611" s="123" t="s">
        <v>403</v>
      </c>
      <c r="F1611" s="123" t="s">
        <v>404</v>
      </c>
      <c r="G1611" s="123" t="s">
        <v>405</v>
      </c>
      <c r="H1611" s="123" t="s">
        <v>406</v>
      </c>
      <c r="I1611" s="746"/>
      <c r="J1611" s="747"/>
      <c r="K1611" s="748"/>
      <c r="L1611" s="746"/>
      <c r="M1611" s="747"/>
      <c r="N1611" s="753"/>
    </row>
    <row r="1612" spans="2:14" ht="14.25" customHeight="1" x14ac:dyDescent="0.25">
      <c r="B1612" s="124"/>
      <c r="C1612" s="125" t="s">
        <v>508</v>
      </c>
      <c r="D1612" s="125">
        <v>6</v>
      </c>
      <c r="E1612" s="125"/>
      <c r="F1612" s="125"/>
      <c r="G1612" s="125"/>
      <c r="H1612" s="125">
        <f>D1612</f>
        <v>6</v>
      </c>
      <c r="I1612" s="746"/>
      <c r="J1612" s="747"/>
      <c r="K1612" s="748"/>
      <c r="L1612" s="746"/>
      <c r="M1612" s="747"/>
      <c r="N1612" s="753"/>
    </row>
    <row r="1613" spans="2:14" ht="14.25" customHeight="1" x14ac:dyDescent="0.25">
      <c r="B1613" s="124"/>
      <c r="C1613" s="125" t="s">
        <v>510</v>
      </c>
      <c r="D1613" s="125">
        <v>13</v>
      </c>
      <c r="E1613" s="125"/>
      <c r="F1613" s="125"/>
      <c r="G1613" s="125"/>
      <c r="H1613" s="125">
        <f t="shared" ref="H1613" si="47">D1613</f>
        <v>13</v>
      </c>
      <c r="I1613" s="746"/>
      <c r="J1613" s="747"/>
      <c r="K1613" s="748"/>
      <c r="L1613" s="746"/>
      <c r="M1613" s="747"/>
      <c r="N1613" s="753"/>
    </row>
    <row r="1614" spans="2:14" ht="14.25" customHeight="1" x14ac:dyDescent="0.25">
      <c r="B1614" s="124"/>
      <c r="C1614" s="145"/>
      <c r="D1614" s="125"/>
      <c r="E1614" s="125"/>
      <c r="F1614" s="125"/>
      <c r="G1614" s="125"/>
      <c r="H1614" s="125"/>
      <c r="I1614" s="746"/>
      <c r="J1614" s="747"/>
      <c r="K1614" s="748"/>
      <c r="L1614" s="746"/>
      <c r="M1614" s="747"/>
      <c r="N1614" s="753"/>
    </row>
    <row r="1615" spans="2:14" ht="14.25" customHeight="1" x14ac:dyDescent="0.25">
      <c r="B1615" s="124"/>
      <c r="C1615" s="226"/>
      <c r="D1615" s="125"/>
      <c r="E1615" s="125"/>
      <c r="F1615" s="125"/>
      <c r="G1615" s="125"/>
      <c r="H1615" s="125"/>
      <c r="I1615" s="746"/>
      <c r="J1615" s="747"/>
      <c r="K1615" s="748"/>
      <c r="L1615" s="746"/>
      <c r="M1615" s="747"/>
      <c r="N1615" s="753"/>
    </row>
    <row r="1616" spans="2:14" ht="14.25" customHeight="1" x14ac:dyDescent="0.25">
      <c r="B1616" s="124"/>
      <c r="C1616" s="145"/>
      <c r="D1616" s="125"/>
      <c r="E1616" s="125"/>
      <c r="F1616" s="125"/>
      <c r="G1616" s="125"/>
      <c r="H1616" s="125"/>
      <c r="I1616" s="746"/>
      <c r="J1616" s="747"/>
      <c r="K1616" s="748"/>
      <c r="L1616" s="746"/>
      <c r="M1616" s="747"/>
      <c r="N1616" s="753"/>
    </row>
    <row r="1617" spans="2:14" ht="14.25" customHeight="1" x14ac:dyDescent="0.25">
      <c r="B1617" s="124"/>
      <c r="C1617" s="226"/>
      <c r="D1617" s="125"/>
      <c r="E1617" s="125"/>
      <c r="F1617" s="125"/>
      <c r="G1617" s="125"/>
      <c r="H1617" s="125"/>
      <c r="I1617" s="746"/>
      <c r="J1617" s="747"/>
      <c r="K1617" s="748"/>
      <c r="L1617" s="746"/>
      <c r="M1617" s="747"/>
      <c r="N1617" s="753"/>
    </row>
    <row r="1618" spans="2:14" ht="14.25" customHeight="1" x14ac:dyDescent="0.25">
      <c r="B1618" s="124"/>
      <c r="C1618" s="138"/>
      <c r="D1618" s="125"/>
      <c r="E1618" s="125"/>
      <c r="F1618" s="125"/>
      <c r="G1618" s="125"/>
      <c r="H1618" s="125"/>
      <c r="I1618" s="746"/>
      <c r="J1618" s="747"/>
      <c r="K1618" s="748"/>
      <c r="L1618" s="746"/>
      <c r="M1618" s="747"/>
      <c r="N1618" s="753"/>
    </row>
    <row r="1619" spans="2:14" ht="14.25" customHeight="1" x14ac:dyDescent="0.25">
      <c r="B1619" s="124"/>
      <c r="C1619" s="204"/>
      <c r="D1619" s="125"/>
      <c r="E1619" s="125"/>
      <c r="F1619" s="125"/>
      <c r="G1619" s="125"/>
      <c r="H1619" s="125"/>
      <c r="I1619" s="746"/>
      <c r="J1619" s="747"/>
      <c r="K1619" s="748"/>
      <c r="L1619" s="746"/>
      <c r="M1619" s="747"/>
      <c r="N1619" s="753"/>
    </row>
    <row r="1620" spans="2:14" ht="14.25" customHeight="1" x14ac:dyDescent="0.25">
      <c r="B1620" s="124"/>
      <c r="C1620" s="138"/>
      <c r="D1620" s="125"/>
      <c r="E1620" s="125"/>
      <c r="F1620" s="125"/>
      <c r="G1620" s="125"/>
      <c r="H1620" s="125"/>
      <c r="I1620" s="746"/>
      <c r="J1620" s="747"/>
      <c r="K1620" s="748"/>
      <c r="L1620" s="746"/>
      <c r="M1620" s="747"/>
      <c r="N1620" s="753"/>
    </row>
    <row r="1621" spans="2:14" ht="14.25" customHeight="1" x14ac:dyDescent="0.25">
      <c r="B1621" s="124"/>
      <c r="C1621" s="204"/>
      <c r="D1621" s="125"/>
      <c r="E1621" s="125"/>
      <c r="F1621" s="125"/>
      <c r="G1621" s="125"/>
      <c r="H1621" s="125"/>
      <c r="I1621" s="746"/>
      <c r="J1621" s="747"/>
      <c r="K1621" s="748"/>
      <c r="L1621" s="746"/>
      <c r="M1621" s="747"/>
      <c r="N1621" s="753"/>
    </row>
    <row r="1622" spans="2:14" ht="14.25" customHeight="1" x14ac:dyDescent="0.25">
      <c r="B1622" s="124"/>
      <c r="C1622" s="125"/>
      <c r="D1622" s="125"/>
      <c r="E1622" s="125"/>
      <c r="F1622" s="125"/>
      <c r="G1622" s="125"/>
      <c r="H1622" s="125"/>
      <c r="I1622" s="746"/>
      <c r="J1622" s="747"/>
      <c r="K1622" s="748"/>
      <c r="L1622" s="746"/>
      <c r="M1622" s="747"/>
      <c r="N1622" s="753"/>
    </row>
    <row r="1623" spans="2:14" ht="14.25" customHeight="1" x14ac:dyDescent="0.25">
      <c r="B1623" s="124"/>
      <c r="C1623" s="125"/>
      <c r="D1623" s="125"/>
      <c r="E1623" s="125"/>
      <c r="F1623" s="125"/>
      <c r="G1623" s="125"/>
      <c r="H1623" s="125"/>
      <c r="I1623" s="746"/>
      <c r="J1623" s="747"/>
      <c r="K1623" s="748"/>
      <c r="L1623" s="746"/>
      <c r="M1623" s="747"/>
      <c r="N1623" s="753"/>
    </row>
    <row r="1624" spans="2:14" ht="14.25" customHeight="1" x14ac:dyDescent="0.25">
      <c r="B1624" s="124"/>
      <c r="C1624" s="125"/>
      <c r="D1624" s="125"/>
      <c r="E1624" s="125"/>
      <c r="F1624" s="125"/>
      <c r="G1624" s="125"/>
      <c r="H1624" s="125"/>
      <c r="I1624" s="746"/>
      <c r="J1624" s="747"/>
      <c r="K1624" s="748"/>
      <c r="L1624" s="746"/>
      <c r="M1624" s="747"/>
      <c r="N1624" s="753"/>
    </row>
    <row r="1625" spans="2:14" ht="14.25" customHeight="1" x14ac:dyDescent="0.25">
      <c r="B1625" s="124"/>
      <c r="C1625" s="125"/>
      <c r="D1625" s="125"/>
      <c r="E1625" s="125"/>
      <c r="F1625" s="125"/>
      <c r="G1625" s="125"/>
      <c r="H1625" s="125"/>
      <c r="I1625" s="746"/>
      <c r="J1625" s="747"/>
      <c r="K1625" s="748"/>
      <c r="L1625" s="746"/>
      <c r="M1625" s="747"/>
      <c r="N1625" s="753"/>
    </row>
    <row r="1626" spans="2:14" ht="14.25" customHeight="1" x14ac:dyDescent="0.25">
      <c r="B1626" s="124"/>
      <c r="C1626" s="125"/>
      <c r="D1626" s="125"/>
      <c r="E1626" s="125"/>
      <c r="F1626" s="125"/>
      <c r="G1626" s="125"/>
      <c r="H1626" s="125"/>
      <c r="I1626" s="746"/>
      <c r="J1626" s="747"/>
      <c r="K1626" s="748"/>
      <c r="L1626" s="746"/>
      <c r="M1626" s="747"/>
      <c r="N1626" s="753"/>
    </row>
    <row r="1627" spans="2:14" ht="14.25" customHeight="1" x14ac:dyDescent="0.25">
      <c r="B1627" s="124"/>
      <c r="C1627" s="125"/>
      <c r="D1627" s="125"/>
      <c r="E1627" s="125"/>
      <c r="F1627" s="125"/>
      <c r="G1627" s="125"/>
      <c r="H1627" s="125"/>
      <c r="I1627" s="746"/>
      <c r="J1627" s="747"/>
      <c r="K1627" s="748"/>
      <c r="L1627" s="746"/>
      <c r="M1627" s="747"/>
      <c r="N1627" s="753"/>
    </row>
    <row r="1628" spans="2:14" ht="14.25" customHeight="1" x14ac:dyDescent="0.25">
      <c r="B1628" s="124"/>
      <c r="C1628" s="125"/>
      <c r="D1628" s="125"/>
      <c r="E1628" s="125"/>
      <c r="F1628" s="125"/>
      <c r="G1628" s="125"/>
      <c r="H1628" s="125"/>
      <c r="I1628" s="746"/>
      <c r="J1628" s="747"/>
      <c r="K1628" s="748"/>
      <c r="L1628" s="746"/>
      <c r="M1628" s="747"/>
      <c r="N1628" s="753"/>
    </row>
    <row r="1629" spans="2:14" ht="14.25" customHeight="1" x14ac:dyDescent="0.25">
      <c r="B1629" s="124"/>
      <c r="C1629" s="125"/>
      <c r="D1629" s="125"/>
      <c r="E1629" s="125"/>
      <c r="F1629" s="125"/>
      <c r="G1629" s="125"/>
      <c r="H1629" s="125"/>
      <c r="I1629" s="746"/>
      <c r="J1629" s="747"/>
      <c r="K1629" s="748"/>
      <c r="L1629" s="746"/>
      <c r="M1629" s="747"/>
      <c r="N1629" s="753"/>
    </row>
    <row r="1630" spans="2:14" ht="14.25" customHeight="1" x14ac:dyDescent="0.25">
      <c r="B1630" s="127"/>
      <c r="C1630" s="125"/>
      <c r="D1630" s="125"/>
      <c r="E1630" s="125"/>
      <c r="F1630" s="125"/>
      <c r="G1630" s="125"/>
      <c r="H1630" s="125"/>
      <c r="I1630" s="749"/>
      <c r="J1630" s="750"/>
      <c r="K1630" s="751"/>
      <c r="L1630" s="749"/>
      <c r="M1630" s="750"/>
      <c r="N1630" s="754"/>
    </row>
    <row r="1631" spans="2:14" ht="14.25" customHeight="1" x14ac:dyDescent="0.25">
      <c r="B1631" s="209"/>
      <c r="C1631" s="118"/>
      <c r="D1631" s="118"/>
      <c r="E1631" s="118"/>
      <c r="F1631" s="118"/>
      <c r="G1631" s="118"/>
      <c r="H1631" s="118"/>
      <c r="I1631" s="118"/>
      <c r="J1631" s="118"/>
      <c r="K1631" s="118"/>
      <c r="L1631" s="118"/>
      <c r="M1631" s="118"/>
      <c r="N1631" s="210"/>
    </row>
    <row r="1632" spans="2:14" ht="14.25" customHeight="1" x14ac:dyDescent="0.25">
      <c r="B1632" s="209"/>
      <c r="C1632" s="118"/>
      <c r="D1632" s="118"/>
      <c r="E1632" s="118"/>
      <c r="F1632" s="118"/>
      <c r="G1632" s="118"/>
      <c r="H1632" s="118"/>
      <c r="I1632" s="118"/>
      <c r="J1632" s="118"/>
      <c r="K1632" s="118"/>
      <c r="L1632" s="118"/>
      <c r="M1632" s="118"/>
      <c r="N1632" s="210"/>
    </row>
    <row r="1633" spans="2:14" ht="14.25" customHeight="1" x14ac:dyDescent="0.25">
      <c r="B1633" s="209"/>
      <c r="C1633" s="118"/>
      <c r="D1633" s="118"/>
      <c r="E1633" s="118"/>
      <c r="F1633" s="118"/>
      <c r="G1633" s="118"/>
      <c r="H1633" s="118"/>
      <c r="I1633" s="118"/>
      <c r="J1633" s="118"/>
      <c r="K1633" s="118"/>
      <c r="L1633" s="118"/>
      <c r="M1633" s="118"/>
      <c r="N1633" s="210"/>
    </row>
    <row r="1634" spans="2:14" ht="14.25" customHeight="1" x14ac:dyDescent="0.25">
      <c r="B1634" s="209"/>
      <c r="C1634" s="118"/>
      <c r="D1634" s="118"/>
      <c r="E1634" s="118"/>
      <c r="F1634" s="118"/>
      <c r="G1634" s="118"/>
      <c r="H1634" s="118"/>
      <c r="I1634" s="118"/>
      <c r="J1634" s="118"/>
      <c r="K1634" s="118"/>
      <c r="L1634" s="118"/>
      <c r="M1634" s="118"/>
      <c r="N1634" s="210"/>
    </row>
    <row r="1635" spans="2:14" ht="14.25" customHeight="1" x14ac:dyDescent="0.25">
      <c r="B1635" s="775" t="s">
        <v>414</v>
      </c>
      <c r="C1635" s="747"/>
      <c r="D1635" s="747"/>
      <c r="E1635" s="128"/>
      <c r="F1635" s="128"/>
      <c r="G1635" s="128"/>
      <c r="H1635" s="128"/>
      <c r="I1635" s="776"/>
      <c r="J1635" s="747"/>
      <c r="K1635" s="747"/>
      <c r="L1635" s="118"/>
      <c r="M1635" s="118"/>
      <c r="N1635" s="210"/>
    </row>
    <row r="1636" spans="2:14" ht="14.25" customHeight="1" thickBot="1" x14ac:dyDescent="0.3">
      <c r="B1636" s="129"/>
      <c r="C1636" s="130"/>
      <c r="D1636" s="130"/>
      <c r="E1636" s="130"/>
      <c r="F1636" s="130"/>
      <c r="G1636" s="130"/>
      <c r="H1636" s="130"/>
      <c r="I1636" s="130"/>
      <c r="J1636" s="130"/>
      <c r="K1636" s="130"/>
      <c r="L1636" s="130"/>
      <c r="M1636" s="130"/>
      <c r="N1636" s="131"/>
    </row>
    <row r="1637" spans="2:14" ht="14.25" customHeight="1" thickBot="1" x14ac:dyDescent="0.3"/>
    <row r="1638" spans="2:14" ht="42" customHeight="1" x14ac:dyDescent="0.25">
      <c r="B1638" s="728"/>
      <c r="C1638" s="729"/>
      <c r="D1638" s="730" t="s">
        <v>393</v>
      </c>
      <c r="E1638" s="729"/>
      <c r="F1638" s="729"/>
      <c r="G1638" s="729"/>
      <c r="H1638" s="729"/>
      <c r="I1638" s="729"/>
      <c r="J1638" s="729"/>
      <c r="K1638" s="729"/>
      <c r="L1638" s="729"/>
      <c r="M1638" s="729"/>
      <c r="N1638" s="731"/>
    </row>
    <row r="1639" spans="2:14" ht="14.25" customHeight="1" x14ac:dyDescent="0.25">
      <c r="B1639" s="732" t="s">
        <v>394</v>
      </c>
      <c r="C1639" s="733"/>
      <c r="D1639" s="733"/>
      <c r="E1639" s="733"/>
      <c r="F1639" s="733"/>
      <c r="G1639" s="733"/>
      <c r="H1639" s="733"/>
      <c r="I1639" s="733"/>
      <c r="J1639" s="733"/>
      <c r="K1639" s="733"/>
      <c r="L1639" s="733"/>
      <c r="M1639" s="733"/>
      <c r="N1639" s="734"/>
    </row>
    <row r="1640" spans="2:14" ht="31.9" customHeight="1" x14ac:dyDescent="0.25">
      <c r="B1640" s="735" t="s">
        <v>395</v>
      </c>
      <c r="C1640" s="736"/>
      <c r="D1640" s="737" t="str">
        <f>VLOOKUP(B1642,Buenaventura!A9:G1844,3,FALSE)</f>
        <v>Reinstalación de vidrio</v>
      </c>
      <c r="E1640" s="738"/>
      <c r="F1640" s="738"/>
      <c r="G1640" s="738"/>
      <c r="H1640" s="738"/>
      <c r="I1640" s="738"/>
      <c r="J1640" s="738"/>
      <c r="K1640" s="738"/>
      <c r="L1640" s="738"/>
      <c r="M1640" s="738"/>
      <c r="N1640" s="739"/>
    </row>
    <row r="1641" spans="2:14" ht="14.25" customHeight="1" x14ac:dyDescent="0.25">
      <c r="B1641" s="740" t="s">
        <v>26</v>
      </c>
      <c r="C1641" s="741"/>
      <c r="D1641" s="119" t="s">
        <v>396</v>
      </c>
      <c r="E1641" s="742" t="s">
        <v>397</v>
      </c>
      <c r="F1641" s="733"/>
      <c r="G1641" s="733"/>
      <c r="H1641" s="736"/>
      <c r="I1641" s="742" t="s">
        <v>398</v>
      </c>
      <c r="J1641" s="733"/>
      <c r="K1641" s="736"/>
      <c r="L1641" s="742" t="s">
        <v>399</v>
      </c>
      <c r="M1641" s="733"/>
      <c r="N1641" s="734"/>
    </row>
    <row r="1642" spans="2:14" ht="14.25" customHeight="1" x14ac:dyDescent="0.25">
      <c r="B1642" s="283">
        <v>23</v>
      </c>
      <c r="C1642" s="284" t="str">
        <f>VLOOKUP(B1642,Buenaventura!A9:G1857,2,FALSE)</f>
        <v>VA-21</v>
      </c>
      <c r="D1642" s="285">
        <f>SUM(H1645:H1648)</f>
        <v>30.107999999999997</v>
      </c>
      <c r="E1642" s="743" t="str">
        <f>VLOOKUP(B1642,Buenaventura!A9:G1856,4,FALSE)</f>
        <v>M2</v>
      </c>
      <c r="F1642" s="743"/>
      <c r="G1642" s="743"/>
      <c r="H1642" s="743"/>
      <c r="I1642" s="744"/>
      <c r="J1642" s="745"/>
      <c r="K1642" s="741"/>
      <c r="L1642" s="744"/>
      <c r="M1642" s="745"/>
      <c r="N1642" s="752"/>
    </row>
    <row r="1643" spans="2:14" ht="14.25" customHeight="1" x14ac:dyDescent="0.25">
      <c r="B1643" s="755" t="s">
        <v>416</v>
      </c>
      <c r="C1643" s="733"/>
      <c r="D1643" s="733"/>
      <c r="E1643" s="733"/>
      <c r="F1643" s="733"/>
      <c r="G1643" s="733"/>
      <c r="H1643" s="736"/>
      <c r="I1643" s="746"/>
      <c r="J1643" s="747"/>
      <c r="K1643" s="748"/>
      <c r="L1643" s="746"/>
      <c r="M1643" s="747"/>
      <c r="N1643" s="753"/>
    </row>
    <row r="1644" spans="2:14" ht="14.25" customHeight="1" x14ac:dyDescent="0.25">
      <c r="B1644" s="121" t="s">
        <v>400</v>
      </c>
      <c r="C1644" s="122" t="s">
        <v>401</v>
      </c>
      <c r="D1644" s="123" t="s">
        <v>402</v>
      </c>
      <c r="E1644" s="123" t="s">
        <v>403</v>
      </c>
      <c r="F1644" s="123" t="s">
        <v>404</v>
      </c>
      <c r="G1644" s="123" t="s">
        <v>405</v>
      </c>
      <c r="H1644" s="123" t="s">
        <v>406</v>
      </c>
      <c r="I1644" s="746"/>
      <c r="J1644" s="747"/>
      <c r="K1644" s="748"/>
      <c r="L1644" s="746"/>
      <c r="M1644" s="747"/>
      <c r="N1644" s="753"/>
    </row>
    <row r="1645" spans="2:14" ht="14.25" customHeight="1" x14ac:dyDescent="0.25">
      <c r="B1645" s="791"/>
      <c r="C1645" s="125" t="s">
        <v>510</v>
      </c>
      <c r="D1645" s="125">
        <v>13</v>
      </c>
      <c r="E1645" s="125">
        <v>0.6</v>
      </c>
      <c r="F1645" s="125"/>
      <c r="G1645" s="125">
        <v>1.2</v>
      </c>
      <c r="H1645" s="125">
        <f>D1645*E1645*G1645</f>
        <v>9.36</v>
      </c>
      <c r="I1645" s="746"/>
      <c r="J1645" s="747"/>
      <c r="K1645" s="748"/>
      <c r="L1645" s="746"/>
      <c r="M1645" s="747"/>
      <c r="N1645" s="753"/>
    </row>
    <row r="1646" spans="2:14" ht="14.25" customHeight="1" x14ac:dyDescent="0.25">
      <c r="B1646" s="793"/>
      <c r="C1646" s="125" t="s">
        <v>509</v>
      </c>
      <c r="D1646" s="125">
        <v>13</v>
      </c>
      <c r="E1646" s="125">
        <v>0.95</v>
      </c>
      <c r="F1646" s="125"/>
      <c r="G1646" s="125">
        <v>1.68</v>
      </c>
      <c r="H1646" s="125">
        <f>D1646*E1646*G1646</f>
        <v>20.747999999999998</v>
      </c>
      <c r="I1646" s="746"/>
      <c r="J1646" s="747"/>
      <c r="K1646" s="748"/>
      <c r="L1646" s="746"/>
      <c r="M1646" s="747"/>
      <c r="N1646" s="753"/>
    </row>
    <row r="1647" spans="2:14" ht="14.25" customHeight="1" x14ac:dyDescent="0.25">
      <c r="B1647" s="793"/>
      <c r="C1647" s="145"/>
      <c r="D1647" s="125"/>
      <c r="E1647" s="125"/>
      <c r="F1647" s="125"/>
      <c r="G1647" s="125"/>
      <c r="H1647" s="125"/>
      <c r="I1647" s="746"/>
      <c r="J1647" s="747"/>
      <c r="K1647" s="748"/>
      <c r="L1647" s="746"/>
      <c r="M1647" s="747"/>
      <c r="N1647" s="753"/>
    </row>
    <row r="1648" spans="2:14" ht="14.25" customHeight="1" x14ac:dyDescent="0.25">
      <c r="B1648" s="793"/>
      <c r="C1648" s="145"/>
      <c r="D1648" s="125"/>
      <c r="E1648" s="125"/>
      <c r="F1648" s="125"/>
      <c r="G1648" s="125"/>
      <c r="H1648" s="125"/>
      <c r="I1648" s="746"/>
      <c r="J1648" s="747"/>
      <c r="K1648" s="748"/>
      <c r="L1648" s="746"/>
      <c r="M1648" s="747"/>
      <c r="N1648" s="753"/>
    </row>
    <row r="1649" spans="2:14" ht="14.25" customHeight="1" x14ac:dyDescent="0.25">
      <c r="B1649" s="792"/>
      <c r="C1649" s="145"/>
      <c r="D1649" s="125"/>
      <c r="E1649" s="125"/>
      <c r="F1649" s="125"/>
      <c r="G1649" s="125"/>
      <c r="H1649" s="125"/>
      <c r="I1649" s="746"/>
      <c r="J1649" s="747"/>
      <c r="K1649" s="748"/>
      <c r="L1649" s="746"/>
      <c r="M1649" s="747"/>
      <c r="N1649" s="753"/>
    </row>
    <row r="1650" spans="2:14" ht="14.25" customHeight="1" x14ac:dyDescent="0.25">
      <c r="B1650" s="229"/>
      <c r="C1650" s="145"/>
      <c r="D1650" s="125"/>
      <c r="E1650" s="125"/>
      <c r="F1650" s="125"/>
      <c r="G1650" s="125"/>
      <c r="H1650" s="125"/>
      <c r="I1650" s="746"/>
      <c r="J1650" s="747"/>
      <c r="K1650" s="748"/>
      <c r="L1650" s="746"/>
      <c r="M1650" s="747"/>
      <c r="N1650" s="753"/>
    </row>
    <row r="1651" spans="2:14" ht="14.25" customHeight="1" x14ac:dyDescent="0.25">
      <c r="B1651" s="791"/>
      <c r="C1651" s="145"/>
      <c r="D1651" s="125"/>
      <c r="E1651" s="125"/>
      <c r="F1651" s="125"/>
      <c r="G1651" s="125"/>
      <c r="H1651" s="125"/>
      <c r="I1651" s="746"/>
      <c r="J1651" s="747"/>
      <c r="K1651" s="748"/>
      <c r="L1651" s="746"/>
      <c r="M1651" s="747"/>
      <c r="N1651" s="753"/>
    </row>
    <row r="1652" spans="2:14" ht="14.25" customHeight="1" x14ac:dyDescent="0.25">
      <c r="B1652" s="793"/>
      <c r="C1652" s="145"/>
      <c r="D1652" s="125"/>
      <c r="E1652" s="125"/>
      <c r="F1652" s="125"/>
      <c r="G1652" s="125"/>
      <c r="H1652" s="125"/>
      <c r="I1652" s="746"/>
      <c r="J1652" s="747"/>
      <c r="K1652" s="748"/>
      <c r="L1652" s="746"/>
      <c r="M1652" s="747"/>
      <c r="N1652" s="753"/>
    </row>
    <row r="1653" spans="2:14" ht="14.25" customHeight="1" x14ac:dyDescent="0.25">
      <c r="B1653" s="792"/>
      <c r="C1653" s="145"/>
      <c r="D1653" s="125"/>
      <c r="E1653" s="125"/>
      <c r="F1653" s="125"/>
      <c r="G1653" s="125"/>
      <c r="H1653" s="125"/>
      <c r="I1653" s="746"/>
      <c r="J1653" s="747"/>
      <c r="K1653" s="748"/>
      <c r="L1653" s="746"/>
      <c r="M1653" s="747"/>
      <c r="N1653" s="753"/>
    </row>
    <row r="1654" spans="2:14" ht="14.25" customHeight="1" x14ac:dyDescent="0.25">
      <c r="B1654" s="214"/>
      <c r="C1654" s="145"/>
      <c r="D1654" s="125"/>
      <c r="E1654" s="125"/>
      <c r="F1654" s="125"/>
      <c r="G1654" s="125"/>
      <c r="H1654" s="125"/>
      <c r="I1654" s="746"/>
      <c r="J1654" s="747"/>
      <c r="K1654" s="748"/>
      <c r="L1654" s="746"/>
      <c r="M1654" s="747"/>
      <c r="N1654" s="753"/>
    </row>
    <row r="1655" spans="2:14" ht="14.25" customHeight="1" x14ac:dyDescent="0.25">
      <c r="B1655" s="124"/>
      <c r="C1655" s="145"/>
      <c r="D1655" s="125"/>
      <c r="E1655" s="125"/>
      <c r="F1655" s="125"/>
      <c r="G1655" s="125"/>
      <c r="H1655" s="125"/>
      <c r="I1655" s="746"/>
      <c r="J1655" s="747"/>
      <c r="K1655" s="748"/>
      <c r="L1655" s="746"/>
      <c r="M1655" s="747"/>
      <c r="N1655" s="753"/>
    </row>
    <row r="1656" spans="2:14" ht="14.25" customHeight="1" x14ac:dyDescent="0.25">
      <c r="B1656" s="124"/>
      <c r="C1656" s="145"/>
      <c r="D1656" s="125"/>
      <c r="E1656" s="125"/>
      <c r="F1656" s="125"/>
      <c r="G1656" s="125"/>
      <c r="H1656" s="125"/>
      <c r="I1656" s="746"/>
      <c r="J1656" s="747"/>
      <c r="K1656" s="748"/>
      <c r="L1656" s="746"/>
      <c r="M1656" s="747"/>
      <c r="N1656" s="753"/>
    </row>
    <row r="1657" spans="2:14" ht="14.25" customHeight="1" x14ac:dyDescent="0.25">
      <c r="B1657" s="124"/>
      <c r="C1657" s="145"/>
      <c r="D1657" s="125"/>
      <c r="E1657" s="125"/>
      <c r="F1657" s="125"/>
      <c r="G1657" s="125"/>
      <c r="H1657" s="125"/>
      <c r="I1657" s="746"/>
      <c r="J1657" s="747"/>
      <c r="K1657" s="748"/>
      <c r="L1657" s="746"/>
      <c r="M1657" s="747"/>
      <c r="N1657" s="753"/>
    </row>
    <row r="1658" spans="2:14" ht="14.25" customHeight="1" x14ac:dyDescent="0.25">
      <c r="B1658" s="124"/>
      <c r="C1658" s="226"/>
      <c r="D1658" s="125"/>
      <c r="E1658" s="125"/>
      <c r="F1658" s="125"/>
      <c r="G1658" s="125"/>
      <c r="H1658" s="125"/>
      <c r="I1658" s="746"/>
      <c r="J1658" s="747"/>
      <c r="K1658" s="748"/>
      <c r="L1658" s="746"/>
      <c r="M1658" s="747"/>
      <c r="N1658" s="753"/>
    </row>
    <row r="1659" spans="2:14" ht="14.25" customHeight="1" x14ac:dyDescent="0.25">
      <c r="B1659" s="124"/>
      <c r="C1659" s="125"/>
      <c r="D1659" s="125"/>
      <c r="E1659" s="125"/>
      <c r="F1659" s="125"/>
      <c r="G1659" s="125"/>
      <c r="H1659" s="125"/>
      <c r="I1659" s="749"/>
      <c r="J1659" s="750"/>
      <c r="K1659" s="751"/>
      <c r="L1659" s="749"/>
      <c r="M1659" s="750"/>
      <c r="N1659" s="754"/>
    </row>
    <row r="1660" spans="2:14" ht="14.25" customHeight="1" x14ac:dyDescent="0.25">
      <c r="B1660" s="209"/>
      <c r="C1660" s="118"/>
      <c r="D1660" s="118"/>
      <c r="E1660" s="118"/>
      <c r="F1660" s="118"/>
      <c r="G1660" s="118"/>
      <c r="H1660" s="118"/>
      <c r="I1660" s="118"/>
      <c r="J1660" s="118"/>
      <c r="K1660" s="118"/>
      <c r="L1660" s="118"/>
      <c r="M1660" s="118"/>
      <c r="N1660" s="210"/>
    </row>
    <row r="1661" spans="2:14" ht="14.25" customHeight="1" x14ac:dyDescent="0.25">
      <c r="B1661" s="209"/>
      <c r="C1661" s="118"/>
      <c r="D1661" s="118"/>
      <c r="E1661" s="118"/>
      <c r="F1661" s="118"/>
      <c r="G1661" s="118"/>
      <c r="H1661" s="118"/>
      <c r="I1661" s="118"/>
      <c r="J1661" s="118"/>
      <c r="K1661" s="118"/>
      <c r="L1661" s="118"/>
      <c r="M1661" s="118"/>
      <c r="N1661" s="210"/>
    </row>
    <row r="1662" spans="2:14" ht="14.25" customHeight="1" x14ac:dyDescent="0.25">
      <c r="B1662" s="209"/>
      <c r="C1662" s="118"/>
      <c r="D1662" s="118"/>
      <c r="E1662" s="118"/>
      <c r="F1662" s="118"/>
      <c r="G1662" s="118"/>
      <c r="H1662" s="118"/>
      <c r="I1662" s="118"/>
      <c r="J1662" s="118"/>
      <c r="K1662" s="118"/>
      <c r="L1662" s="118"/>
      <c r="M1662" s="118"/>
      <c r="N1662" s="210"/>
    </row>
    <row r="1663" spans="2:14" ht="14.25" customHeight="1" x14ac:dyDescent="0.25">
      <c r="B1663" s="775" t="s">
        <v>414</v>
      </c>
      <c r="C1663" s="747"/>
      <c r="D1663" s="747"/>
      <c r="E1663" s="128"/>
      <c r="F1663" s="128"/>
      <c r="G1663" s="128"/>
      <c r="H1663" s="128"/>
      <c r="I1663" s="776"/>
      <c r="J1663" s="747"/>
      <c r="K1663" s="747"/>
      <c r="L1663" s="118"/>
      <c r="M1663" s="118"/>
      <c r="N1663" s="210"/>
    </row>
    <row r="1664" spans="2:14" ht="14.25" customHeight="1" thickBot="1" x14ac:dyDescent="0.3">
      <c r="B1664" s="129"/>
      <c r="C1664" s="130"/>
      <c r="D1664" s="130"/>
      <c r="E1664" s="130"/>
      <c r="F1664" s="130"/>
      <c r="G1664" s="130"/>
      <c r="H1664" s="130"/>
      <c r="I1664" s="130"/>
      <c r="J1664" s="130"/>
      <c r="K1664" s="130"/>
      <c r="L1664" s="130"/>
      <c r="M1664" s="130"/>
      <c r="N1664" s="131"/>
    </row>
    <row r="1665" spans="2:14" ht="14.25" hidden="1" customHeight="1" x14ac:dyDescent="0.25"/>
    <row r="1666" spans="2:14" ht="43.5" hidden="1" customHeight="1" x14ac:dyDescent="0.25">
      <c r="B1666" s="728"/>
      <c r="C1666" s="729"/>
      <c r="D1666" s="730" t="s">
        <v>393</v>
      </c>
      <c r="E1666" s="729"/>
      <c r="F1666" s="729"/>
      <c r="G1666" s="729"/>
      <c r="H1666" s="729"/>
      <c r="I1666" s="729"/>
      <c r="J1666" s="729"/>
      <c r="K1666" s="729"/>
      <c r="L1666" s="729"/>
      <c r="M1666" s="729"/>
      <c r="N1666" s="731"/>
    </row>
    <row r="1667" spans="2:14" ht="14.25" hidden="1" customHeight="1" x14ac:dyDescent="0.25">
      <c r="B1667" s="732" t="s">
        <v>394</v>
      </c>
      <c r="C1667" s="733"/>
      <c r="D1667" s="733"/>
      <c r="E1667" s="733"/>
      <c r="F1667" s="733"/>
      <c r="G1667" s="733"/>
      <c r="H1667" s="733"/>
      <c r="I1667" s="733"/>
      <c r="J1667" s="733"/>
      <c r="K1667" s="733"/>
      <c r="L1667" s="733"/>
      <c r="M1667" s="733"/>
      <c r="N1667" s="734"/>
    </row>
    <row r="1668" spans="2:14" ht="14.25" hidden="1" customHeight="1" x14ac:dyDescent="0.25">
      <c r="B1668" s="735" t="s">
        <v>395</v>
      </c>
      <c r="C1668" s="736"/>
      <c r="D1668" s="779" t="s">
        <v>240</v>
      </c>
      <c r="E1668" s="733"/>
      <c r="F1668" s="733"/>
      <c r="G1668" s="733"/>
      <c r="H1668" s="733"/>
      <c r="I1668" s="733"/>
      <c r="J1668" s="733"/>
      <c r="K1668" s="733"/>
      <c r="L1668" s="733"/>
      <c r="M1668" s="733"/>
      <c r="N1668" s="734"/>
    </row>
    <row r="1669" spans="2:14" ht="14.25" hidden="1" customHeight="1" x14ac:dyDescent="0.25">
      <c r="B1669" s="740" t="s">
        <v>26</v>
      </c>
      <c r="C1669" s="741"/>
      <c r="D1669" s="119" t="s">
        <v>396</v>
      </c>
      <c r="E1669" s="742" t="s">
        <v>397</v>
      </c>
      <c r="F1669" s="733"/>
      <c r="G1669" s="733"/>
      <c r="H1669" s="736"/>
      <c r="I1669" s="742" t="s">
        <v>398</v>
      </c>
      <c r="J1669" s="733"/>
      <c r="K1669" s="736"/>
      <c r="L1669" s="742" t="s">
        <v>399</v>
      </c>
      <c r="M1669" s="733"/>
      <c r="N1669" s="734"/>
    </row>
    <row r="1670" spans="2:14" ht="14.25" hidden="1" customHeight="1" x14ac:dyDescent="0.25">
      <c r="B1670" s="777">
        <v>44</v>
      </c>
      <c r="C1670" s="736"/>
      <c r="D1670" s="123">
        <f>SUM(H1673:H1691)</f>
        <v>120</v>
      </c>
      <c r="E1670" s="778" t="s">
        <v>46</v>
      </c>
      <c r="F1670" s="733"/>
      <c r="G1670" s="733"/>
      <c r="H1670" s="736"/>
      <c r="I1670" s="744"/>
      <c r="J1670" s="745"/>
      <c r="K1670" s="741"/>
      <c r="L1670" s="744"/>
      <c r="M1670" s="745"/>
      <c r="N1670" s="752"/>
    </row>
    <row r="1671" spans="2:14" ht="14.25" hidden="1" customHeight="1" x14ac:dyDescent="0.25">
      <c r="B1671" s="755" t="s">
        <v>416</v>
      </c>
      <c r="C1671" s="733"/>
      <c r="D1671" s="733"/>
      <c r="E1671" s="733"/>
      <c r="F1671" s="733"/>
      <c r="G1671" s="733"/>
      <c r="H1671" s="736"/>
      <c r="I1671" s="746"/>
      <c r="J1671" s="747"/>
      <c r="K1671" s="748"/>
      <c r="L1671" s="746"/>
      <c r="M1671" s="747"/>
      <c r="N1671" s="753"/>
    </row>
    <row r="1672" spans="2:14" ht="14.25" hidden="1" customHeight="1" x14ac:dyDescent="0.25">
      <c r="B1672" s="121" t="s">
        <v>400</v>
      </c>
      <c r="C1672" s="122" t="s">
        <v>401</v>
      </c>
      <c r="D1672" s="123" t="s">
        <v>402</v>
      </c>
      <c r="E1672" s="123" t="s">
        <v>403</v>
      </c>
      <c r="F1672" s="123" t="s">
        <v>404</v>
      </c>
      <c r="G1672" s="123" t="s">
        <v>405</v>
      </c>
      <c r="H1672" s="123" t="s">
        <v>406</v>
      </c>
      <c r="I1672" s="746"/>
      <c r="J1672" s="747"/>
      <c r="K1672" s="748"/>
      <c r="L1672" s="746"/>
      <c r="M1672" s="747"/>
      <c r="N1672" s="753"/>
    </row>
    <row r="1673" spans="2:14" ht="14.25" hidden="1" customHeight="1" x14ac:dyDescent="0.25">
      <c r="B1673" s="124"/>
      <c r="C1673" s="213" t="s">
        <v>464</v>
      </c>
      <c r="D1673" s="125"/>
      <c r="E1673" s="125"/>
      <c r="F1673" s="125">
        <v>2</v>
      </c>
      <c r="G1673" s="125"/>
      <c r="H1673" s="125">
        <f t="shared" ref="H1673:H1674" si="48">F1673</f>
        <v>2</v>
      </c>
      <c r="I1673" s="746"/>
      <c r="J1673" s="747"/>
      <c r="K1673" s="748"/>
      <c r="L1673" s="746"/>
      <c r="M1673" s="747"/>
      <c r="N1673" s="753"/>
    </row>
    <row r="1674" spans="2:14" ht="14.25" hidden="1" customHeight="1" x14ac:dyDescent="0.25">
      <c r="B1674" s="124"/>
      <c r="C1674" s="125" t="s">
        <v>518</v>
      </c>
      <c r="D1674" s="125"/>
      <c r="E1674" s="125"/>
      <c r="F1674" s="125">
        <v>118</v>
      </c>
      <c r="G1674" s="125"/>
      <c r="H1674" s="125">
        <f t="shared" si="48"/>
        <v>118</v>
      </c>
      <c r="I1674" s="746"/>
      <c r="J1674" s="747"/>
      <c r="K1674" s="748"/>
      <c r="L1674" s="746"/>
      <c r="M1674" s="747"/>
      <c r="N1674" s="753"/>
    </row>
    <row r="1675" spans="2:14" ht="14.25" hidden="1" customHeight="1" x14ac:dyDescent="0.25">
      <c r="B1675" s="124"/>
      <c r="C1675" s="125"/>
      <c r="D1675" s="125"/>
      <c r="E1675" s="125"/>
      <c r="F1675" s="125"/>
      <c r="G1675" s="125"/>
      <c r="H1675" s="125"/>
      <c r="I1675" s="746"/>
      <c r="J1675" s="747"/>
      <c r="K1675" s="748"/>
      <c r="L1675" s="746"/>
      <c r="M1675" s="747"/>
      <c r="N1675" s="753"/>
    </row>
    <row r="1676" spans="2:14" ht="14.25" hidden="1" customHeight="1" x14ac:dyDescent="0.25">
      <c r="B1676" s="124"/>
      <c r="C1676" s="125"/>
      <c r="D1676" s="125"/>
      <c r="E1676" s="125"/>
      <c r="F1676" s="125"/>
      <c r="G1676" s="125"/>
      <c r="H1676" s="125"/>
      <c r="I1676" s="746"/>
      <c r="J1676" s="747"/>
      <c r="K1676" s="748"/>
      <c r="L1676" s="746"/>
      <c r="M1676" s="747"/>
      <c r="N1676" s="753"/>
    </row>
    <row r="1677" spans="2:14" ht="14.25" hidden="1" customHeight="1" x14ac:dyDescent="0.25">
      <c r="B1677" s="124"/>
      <c r="C1677" s="125"/>
      <c r="D1677" s="125"/>
      <c r="E1677" s="125"/>
      <c r="F1677" s="125"/>
      <c r="G1677" s="125"/>
      <c r="H1677" s="125"/>
      <c r="I1677" s="746"/>
      <c r="J1677" s="747"/>
      <c r="K1677" s="748"/>
      <c r="L1677" s="746"/>
      <c r="M1677" s="747"/>
      <c r="N1677" s="753"/>
    </row>
    <row r="1678" spans="2:14" ht="14.25" hidden="1" customHeight="1" x14ac:dyDescent="0.25">
      <c r="B1678" s="124"/>
      <c r="C1678" s="125"/>
      <c r="D1678" s="125"/>
      <c r="E1678" s="125"/>
      <c r="F1678" s="125"/>
      <c r="G1678" s="125"/>
      <c r="H1678" s="125"/>
      <c r="I1678" s="746"/>
      <c r="J1678" s="747"/>
      <c r="K1678" s="748"/>
      <c r="L1678" s="746"/>
      <c r="M1678" s="747"/>
      <c r="N1678" s="753"/>
    </row>
    <row r="1679" spans="2:14" ht="14.25" hidden="1" customHeight="1" x14ac:dyDescent="0.25">
      <c r="B1679" s="124"/>
      <c r="C1679" s="125"/>
      <c r="D1679" s="125"/>
      <c r="E1679" s="125"/>
      <c r="F1679" s="125"/>
      <c r="G1679" s="125"/>
      <c r="H1679" s="125"/>
      <c r="I1679" s="746"/>
      <c r="J1679" s="747"/>
      <c r="K1679" s="748"/>
      <c r="L1679" s="746"/>
      <c r="M1679" s="747"/>
      <c r="N1679" s="753"/>
    </row>
    <row r="1680" spans="2:14" ht="14.25" hidden="1" customHeight="1" x14ac:dyDescent="0.25">
      <c r="B1680" s="124"/>
      <c r="C1680" s="125"/>
      <c r="D1680" s="125"/>
      <c r="E1680" s="125"/>
      <c r="F1680" s="125"/>
      <c r="G1680" s="125"/>
      <c r="H1680" s="125"/>
      <c r="I1680" s="746"/>
      <c r="J1680" s="747"/>
      <c r="K1680" s="748"/>
      <c r="L1680" s="746"/>
      <c r="M1680" s="747"/>
      <c r="N1680" s="753"/>
    </row>
    <row r="1681" spans="2:14" ht="14.25" hidden="1" customHeight="1" x14ac:dyDescent="0.25">
      <c r="B1681" s="124"/>
      <c r="C1681" s="125"/>
      <c r="D1681" s="125"/>
      <c r="E1681" s="125"/>
      <c r="F1681" s="125"/>
      <c r="G1681" s="125"/>
      <c r="H1681" s="125"/>
      <c r="I1681" s="746"/>
      <c r="J1681" s="747"/>
      <c r="K1681" s="748"/>
      <c r="L1681" s="746"/>
      <c r="M1681" s="747"/>
      <c r="N1681" s="753"/>
    </row>
    <row r="1682" spans="2:14" ht="14.25" hidden="1" customHeight="1" x14ac:dyDescent="0.25">
      <c r="B1682" s="124"/>
      <c r="C1682" s="125"/>
      <c r="D1682" s="125"/>
      <c r="E1682" s="125"/>
      <c r="F1682" s="125"/>
      <c r="G1682" s="125"/>
      <c r="H1682" s="125"/>
      <c r="I1682" s="746"/>
      <c r="J1682" s="747"/>
      <c r="K1682" s="748"/>
      <c r="L1682" s="746"/>
      <c r="M1682" s="747"/>
      <c r="N1682" s="753"/>
    </row>
    <row r="1683" spans="2:14" ht="14.25" hidden="1" customHeight="1" x14ac:dyDescent="0.25">
      <c r="B1683" s="124"/>
      <c r="C1683" s="125"/>
      <c r="D1683" s="125"/>
      <c r="E1683" s="125"/>
      <c r="F1683" s="125"/>
      <c r="G1683" s="125"/>
      <c r="H1683" s="125"/>
      <c r="I1683" s="746"/>
      <c r="J1683" s="747"/>
      <c r="K1683" s="748"/>
      <c r="L1683" s="746"/>
      <c r="M1683" s="747"/>
      <c r="N1683" s="753"/>
    </row>
    <row r="1684" spans="2:14" ht="14.25" hidden="1" customHeight="1" x14ac:dyDescent="0.25">
      <c r="B1684" s="124"/>
      <c r="C1684" s="125"/>
      <c r="D1684" s="125"/>
      <c r="E1684" s="125"/>
      <c r="F1684" s="125"/>
      <c r="G1684" s="125"/>
      <c r="H1684" s="125"/>
      <c r="I1684" s="746"/>
      <c r="J1684" s="747"/>
      <c r="K1684" s="748"/>
      <c r="L1684" s="746"/>
      <c r="M1684" s="747"/>
      <c r="N1684" s="753"/>
    </row>
    <row r="1685" spans="2:14" ht="14.25" hidden="1" customHeight="1" x14ac:dyDescent="0.25">
      <c r="B1685" s="124"/>
      <c r="C1685" s="125"/>
      <c r="D1685" s="125"/>
      <c r="E1685" s="125"/>
      <c r="F1685" s="125"/>
      <c r="G1685" s="125"/>
      <c r="H1685" s="125"/>
      <c r="I1685" s="746"/>
      <c r="J1685" s="747"/>
      <c r="K1685" s="748"/>
      <c r="L1685" s="746"/>
      <c r="M1685" s="747"/>
      <c r="N1685" s="753"/>
    </row>
    <row r="1686" spans="2:14" ht="14.25" hidden="1" customHeight="1" x14ac:dyDescent="0.25">
      <c r="B1686" s="124"/>
      <c r="C1686" s="125"/>
      <c r="D1686" s="125"/>
      <c r="E1686" s="125"/>
      <c r="F1686" s="125"/>
      <c r="G1686" s="125"/>
      <c r="H1686" s="125"/>
      <c r="I1686" s="746"/>
      <c r="J1686" s="747"/>
      <c r="K1686" s="748"/>
      <c r="L1686" s="746"/>
      <c r="M1686" s="747"/>
      <c r="N1686" s="753"/>
    </row>
    <row r="1687" spans="2:14" ht="14.25" hidden="1" customHeight="1" x14ac:dyDescent="0.25">
      <c r="B1687" s="124"/>
      <c r="C1687" s="125"/>
      <c r="D1687" s="125"/>
      <c r="E1687" s="125"/>
      <c r="F1687" s="125"/>
      <c r="G1687" s="125"/>
      <c r="H1687" s="125"/>
      <c r="I1687" s="746"/>
      <c r="J1687" s="747"/>
      <c r="K1687" s="748"/>
      <c r="L1687" s="746"/>
      <c r="M1687" s="747"/>
      <c r="N1687" s="753"/>
    </row>
    <row r="1688" spans="2:14" ht="14.25" hidden="1" customHeight="1" x14ac:dyDescent="0.25">
      <c r="B1688" s="124"/>
      <c r="C1688" s="125"/>
      <c r="D1688" s="125"/>
      <c r="E1688" s="125"/>
      <c r="F1688" s="125"/>
      <c r="G1688" s="125"/>
      <c r="H1688" s="125"/>
      <c r="I1688" s="746"/>
      <c r="J1688" s="747"/>
      <c r="K1688" s="748"/>
      <c r="L1688" s="746"/>
      <c r="M1688" s="747"/>
      <c r="N1688" s="753"/>
    </row>
    <row r="1689" spans="2:14" ht="14.25" hidden="1" customHeight="1" x14ac:dyDescent="0.25">
      <c r="B1689" s="124"/>
      <c r="C1689" s="125"/>
      <c r="D1689" s="125"/>
      <c r="E1689" s="125"/>
      <c r="F1689" s="125"/>
      <c r="G1689" s="125"/>
      <c r="H1689" s="125"/>
      <c r="I1689" s="746"/>
      <c r="J1689" s="747"/>
      <c r="K1689" s="748"/>
      <c r="L1689" s="746"/>
      <c r="M1689" s="747"/>
      <c r="N1689" s="753"/>
    </row>
    <row r="1690" spans="2:14" ht="14.25" hidden="1" customHeight="1" x14ac:dyDescent="0.25">
      <c r="B1690" s="124"/>
      <c r="C1690" s="125"/>
      <c r="D1690" s="125"/>
      <c r="E1690" s="125"/>
      <c r="F1690" s="125"/>
      <c r="G1690" s="125"/>
      <c r="H1690" s="125"/>
      <c r="I1690" s="746"/>
      <c r="J1690" s="747"/>
      <c r="K1690" s="748"/>
      <c r="L1690" s="746"/>
      <c r="M1690" s="747"/>
      <c r="N1690" s="753"/>
    </row>
    <row r="1691" spans="2:14" ht="14.25" hidden="1" customHeight="1" x14ac:dyDescent="0.25">
      <c r="B1691" s="127"/>
      <c r="C1691" s="125"/>
      <c r="D1691" s="125"/>
      <c r="E1691" s="125"/>
      <c r="F1691" s="125"/>
      <c r="G1691" s="125"/>
      <c r="H1691" s="125"/>
      <c r="I1691" s="749"/>
      <c r="J1691" s="750"/>
      <c r="K1691" s="751"/>
      <c r="L1691" s="749"/>
      <c r="M1691" s="750"/>
      <c r="N1691" s="754"/>
    </row>
    <row r="1692" spans="2:14" ht="14.25" hidden="1" customHeight="1" x14ac:dyDescent="0.25">
      <c r="B1692" s="209"/>
      <c r="C1692" s="118"/>
      <c r="D1692" s="118"/>
      <c r="E1692" s="118"/>
      <c r="F1692" s="118"/>
      <c r="G1692" s="118"/>
      <c r="H1692" s="118"/>
      <c r="I1692" s="118"/>
      <c r="J1692" s="118"/>
      <c r="K1692" s="118"/>
      <c r="L1692" s="118"/>
      <c r="M1692" s="118"/>
      <c r="N1692" s="210"/>
    </row>
    <row r="1693" spans="2:14" ht="14.25" hidden="1" customHeight="1" x14ac:dyDescent="0.25">
      <c r="B1693" s="209"/>
      <c r="C1693" s="118"/>
      <c r="D1693" s="118"/>
      <c r="E1693" s="118"/>
      <c r="F1693" s="118"/>
      <c r="G1693" s="118"/>
      <c r="H1693" s="118"/>
      <c r="I1693" s="118"/>
      <c r="J1693" s="118"/>
      <c r="K1693" s="118"/>
      <c r="L1693" s="118"/>
      <c r="M1693" s="118"/>
      <c r="N1693" s="210"/>
    </row>
    <row r="1694" spans="2:14" ht="14.25" hidden="1" customHeight="1" x14ac:dyDescent="0.25">
      <c r="B1694" s="209"/>
      <c r="C1694" s="118"/>
      <c r="D1694" s="118"/>
      <c r="E1694" s="118"/>
      <c r="F1694" s="118"/>
      <c r="G1694" s="118"/>
      <c r="H1694" s="118"/>
      <c r="I1694" s="118"/>
      <c r="J1694" s="118"/>
      <c r="K1694" s="118"/>
      <c r="L1694" s="118"/>
      <c r="M1694" s="118"/>
      <c r="N1694" s="210"/>
    </row>
    <row r="1695" spans="2:14" ht="14.25" hidden="1" customHeight="1" x14ac:dyDescent="0.25">
      <c r="B1695" s="775" t="s">
        <v>414</v>
      </c>
      <c r="C1695" s="747"/>
      <c r="D1695" s="747"/>
      <c r="E1695" s="128"/>
      <c r="F1695" s="128"/>
      <c r="G1695" s="128"/>
      <c r="H1695" s="128"/>
      <c r="I1695" s="776"/>
      <c r="J1695" s="747"/>
      <c r="K1695" s="747"/>
      <c r="L1695" s="118"/>
      <c r="M1695" s="118"/>
      <c r="N1695" s="210"/>
    </row>
    <row r="1696" spans="2:14" ht="14.25" hidden="1" customHeight="1" x14ac:dyDescent="0.25">
      <c r="B1696" s="129"/>
      <c r="C1696" s="130"/>
      <c r="D1696" s="130"/>
      <c r="E1696" s="130"/>
      <c r="F1696" s="130"/>
      <c r="G1696" s="130"/>
      <c r="H1696" s="130"/>
      <c r="I1696" s="130"/>
      <c r="J1696" s="130"/>
      <c r="K1696" s="130"/>
      <c r="L1696" s="130"/>
      <c r="M1696" s="130"/>
      <c r="N1696" s="131"/>
    </row>
    <row r="1697" spans="2:14" ht="14.25" customHeight="1" thickBot="1" x14ac:dyDescent="0.3"/>
    <row r="1698" spans="2:14" ht="37.5" customHeight="1" x14ac:dyDescent="0.25">
      <c r="B1698" s="728"/>
      <c r="C1698" s="729"/>
      <c r="D1698" s="730" t="s">
        <v>393</v>
      </c>
      <c r="E1698" s="729"/>
      <c r="F1698" s="729"/>
      <c r="G1698" s="729"/>
      <c r="H1698" s="729"/>
      <c r="I1698" s="729"/>
      <c r="J1698" s="729"/>
      <c r="K1698" s="729"/>
      <c r="L1698" s="729"/>
      <c r="M1698" s="729"/>
      <c r="N1698" s="731"/>
    </row>
    <row r="1699" spans="2:14" ht="14.25" customHeight="1" x14ac:dyDescent="0.25">
      <c r="B1699" s="732" t="s">
        <v>394</v>
      </c>
      <c r="C1699" s="733"/>
      <c r="D1699" s="733"/>
      <c r="E1699" s="733"/>
      <c r="F1699" s="733"/>
      <c r="G1699" s="733"/>
      <c r="H1699" s="733"/>
      <c r="I1699" s="733"/>
      <c r="J1699" s="733"/>
      <c r="K1699" s="733"/>
      <c r="L1699" s="733"/>
      <c r="M1699" s="733"/>
      <c r="N1699" s="734"/>
    </row>
    <row r="1700" spans="2:14" ht="15" customHeight="1" x14ac:dyDescent="0.25">
      <c r="B1700" s="735" t="s">
        <v>395</v>
      </c>
      <c r="C1700" s="736"/>
      <c r="D1700" s="737" t="str">
        <f>VLOOKUP(B1702,Buenaventura!A9:G1904,3,FALSE)</f>
        <v>Suministro e instalacion de vidrio 8mm incoloro - incluye todos los elementos para su correcta instalación</v>
      </c>
      <c r="E1700" s="738"/>
      <c r="F1700" s="738"/>
      <c r="G1700" s="738"/>
      <c r="H1700" s="738"/>
      <c r="I1700" s="738"/>
      <c r="J1700" s="738"/>
      <c r="K1700" s="738"/>
      <c r="L1700" s="738"/>
      <c r="M1700" s="738"/>
      <c r="N1700" s="739"/>
    </row>
    <row r="1701" spans="2:14" ht="14.25" customHeight="1" x14ac:dyDescent="0.25">
      <c r="B1701" s="740" t="s">
        <v>26</v>
      </c>
      <c r="C1701" s="741"/>
      <c r="D1701" s="119" t="s">
        <v>396</v>
      </c>
      <c r="E1701" s="742" t="s">
        <v>397</v>
      </c>
      <c r="F1701" s="733"/>
      <c r="G1701" s="733"/>
      <c r="H1701" s="736"/>
      <c r="I1701" s="742" t="s">
        <v>398</v>
      </c>
      <c r="J1701" s="733"/>
      <c r="K1701" s="736"/>
      <c r="L1701" s="742" t="s">
        <v>399</v>
      </c>
      <c r="M1701" s="733"/>
      <c r="N1701" s="734"/>
    </row>
    <row r="1702" spans="2:14" ht="14.25" customHeight="1" x14ac:dyDescent="0.25">
      <c r="B1702" s="283">
        <v>24</v>
      </c>
      <c r="C1702" s="284" t="str">
        <f>VLOOKUP(B1702,Buenaventura!A9:G1917,2,FALSE)</f>
        <v>VA-12</v>
      </c>
      <c r="D1702" s="285">
        <f>SUM(H1705:H1708)</f>
        <v>6</v>
      </c>
      <c r="E1702" s="743" t="str">
        <f>VLOOKUP(B1702,Buenaventura!A9:G1916,4,FALSE)</f>
        <v>M2</v>
      </c>
      <c r="F1702" s="743"/>
      <c r="G1702" s="743"/>
      <c r="H1702" s="743"/>
      <c r="I1702" s="744"/>
      <c r="J1702" s="745"/>
      <c r="K1702" s="741"/>
      <c r="L1702" s="744"/>
      <c r="M1702" s="745"/>
      <c r="N1702" s="752"/>
    </row>
    <row r="1703" spans="2:14" ht="14.25" customHeight="1" x14ac:dyDescent="0.25">
      <c r="B1703" s="755" t="s">
        <v>416</v>
      </c>
      <c r="C1703" s="733"/>
      <c r="D1703" s="733"/>
      <c r="E1703" s="733"/>
      <c r="F1703" s="733"/>
      <c r="G1703" s="733"/>
      <c r="H1703" s="736"/>
      <c r="I1703" s="746"/>
      <c r="J1703" s="747"/>
      <c r="K1703" s="748"/>
      <c r="L1703" s="746"/>
      <c r="M1703" s="747"/>
      <c r="N1703" s="753"/>
    </row>
    <row r="1704" spans="2:14" ht="14.25" customHeight="1" x14ac:dyDescent="0.25">
      <c r="B1704" s="121" t="s">
        <v>400</v>
      </c>
      <c r="C1704" s="122" t="s">
        <v>401</v>
      </c>
      <c r="D1704" s="123" t="s">
        <v>402</v>
      </c>
      <c r="E1704" s="123" t="s">
        <v>403</v>
      </c>
      <c r="F1704" s="123" t="s">
        <v>404</v>
      </c>
      <c r="G1704" s="123" t="s">
        <v>405</v>
      </c>
      <c r="H1704" s="123" t="s">
        <v>406</v>
      </c>
      <c r="I1704" s="746"/>
      <c r="J1704" s="747"/>
      <c r="K1704" s="748"/>
      <c r="L1704" s="746"/>
      <c r="M1704" s="747"/>
      <c r="N1704" s="753"/>
    </row>
    <row r="1705" spans="2:14" ht="14.25" customHeight="1" x14ac:dyDescent="0.25">
      <c r="B1705" s="124"/>
      <c r="C1705" s="215"/>
      <c r="D1705" s="138">
        <v>6</v>
      </c>
      <c r="E1705" s="125"/>
      <c r="F1705" s="125"/>
      <c r="G1705" s="125"/>
      <c r="H1705" s="125">
        <f>D1705</f>
        <v>6</v>
      </c>
      <c r="I1705" s="746"/>
      <c r="J1705" s="747"/>
      <c r="K1705" s="748"/>
      <c r="L1705" s="746"/>
      <c r="M1705" s="747"/>
      <c r="N1705" s="753"/>
    </row>
    <row r="1706" spans="2:14" ht="14.25" customHeight="1" x14ac:dyDescent="0.25">
      <c r="B1706" s="124"/>
      <c r="C1706" s="215"/>
      <c r="D1706" s="138"/>
      <c r="E1706" s="125"/>
      <c r="F1706" s="125"/>
      <c r="G1706" s="125"/>
      <c r="H1706" s="125"/>
      <c r="I1706" s="746"/>
      <c r="J1706" s="747"/>
      <c r="K1706" s="748"/>
      <c r="L1706" s="746"/>
      <c r="M1706" s="747"/>
      <c r="N1706" s="753"/>
    </row>
    <row r="1707" spans="2:14" ht="14.25" customHeight="1" x14ac:dyDescent="0.25">
      <c r="B1707" s="124"/>
      <c r="C1707" s="215"/>
      <c r="D1707" s="138"/>
      <c r="E1707" s="125"/>
      <c r="F1707" s="125"/>
      <c r="G1707" s="125"/>
      <c r="H1707" s="125"/>
      <c r="I1707" s="746"/>
      <c r="J1707" s="747"/>
      <c r="K1707" s="748"/>
      <c r="L1707" s="746"/>
      <c r="M1707" s="747"/>
      <c r="N1707" s="753"/>
    </row>
    <row r="1708" spans="2:14" ht="14.25" customHeight="1" x14ac:dyDescent="0.25">
      <c r="B1708" s="124"/>
      <c r="C1708" s="215"/>
      <c r="D1708" s="138"/>
      <c r="E1708" s="125"/>
      <c r="F1708" s="125"/>
      <c r="G1708" s="125"/>
      <c r="H1708" s="125"/>
      <c r="I1708" s="746"/>
      <c r="J1708" s="747"/>
      <c r="K1708" s="748"/>
      <c r="L1708" s="746"/>
      <c r="M1708" s="747"/>
      <c r="N1708" s="753"/>
    </row>
    <row r="1709" spans="2:14" ht="14.25" customHeight="1" x14ac:dyDescent="0.25">
      <c r="B1709" s="124"/>
      <c r="C1709" s="215"/>
      <c r="D1709" s="138"/>
      <c r="E1709" s="125"/>
      <c r="F1709" s="125"/>
      <c r="G1709" s="125"/>
      <c r="H1709" s="125"/>
      <c r="I1709" s="746"/>
      <c r="J1709" s="747"/>
      <c r="K1709" s="748"/>
      <c r="L1709" s="746"/>
      <c r="M1709" s="747"/>
      <c r="N1709" s="753"/>
    </row>
    <row r="1710" spans="2:14" ht="14.25" customHeight="1" x14ac:dyDescent="0.25">
      <c r="B1710" s="124"/>
      <c r="C1710" s="215"/>
      <c r="D1710" s="138"/>
      <c r="E1710" s="125"/>
      <c r="F1710" s="125"/>
      <c r="G1710" s="125"/>
      <c r="H1710" s="125"/>
      <c r="I1710" s="746"/>
      <c r="J1710" s="747"/>
      <c r="K1710" s="748"/>
      <c r="L1710" s="746"/>
      <c r="M1710" s="747"/>
      <c r="N1710" s="753"/>
    </row>
    <row r="1711" spans="2:14" ht="14.25" customHeight="1" x14ac:dyDescent="0.25">
      <c r="B1711" s="124"/>
      <c r="C1711" s="215"/>
      <c r="D1711" s="138"/>
      <c r="E1711" s="125"/>
      <c r="F1711" s="125"/>
      <c r="G1711" s="125"/>
      <c r="H1711" s="125"/>
      <c r="I1711" s="746"/>
      <c r="J1711" s="747"/>
      <c r="K1711" s="748"/>
      <c r="L1711" s="746"/>
      <c r="M1711" s="747"/>
      <c r="N1711" s="753"/>
    </row>
    <row r="1712" spans="2:14" ht="14.25" customHeight="1" x14ac:dyDescent="0.25">
      <c r="B1712" s="124"/>
      <c r="C1712" s="215"/>
      <c r="D1712" s="138"/>
      <c r="E1712" s="125"/>
      <c r="F1712" s="125"/>
      <c r="G1712" s="125"/>
      <c r="H1712" s="125"/>
      <c r="I1712" s="746"/>
      <c r="J1712" s="747"/>
      <c r="K1712" s="748"/>
      <c r="L1712" s="746"/>
      <c r="M1712" s="747"/>
      <c r="N1712" s="753"/>
    </row>
    <row r="1713" spans="2:14" ht="14.25" customHeight="1" x14ac:dyDescent="0.25">
      <c r="B1713" s="124"/>
      <c r="C1713" s="145"/>
      <c r="D1713" s="125"/>
      <c r="E1713" s="125"/>
      <c r="F1713" s="125"/>
      <c r="G1713" s="125"/>
      <c r="H1713" s="125"/>
      <c r="I1713" s="746"/>
      <c r="J1713" s="747"/>
      <c r="K1713" s="748"/>
      <c r="L1713" s="746"/>
      <c r="M1713" s="747"/>
      <c r="N1713" s="753"/>
    </row>
    <row r="1714" spans="2:14" ht="14.25" customHeight="1" x14ac:dyDescent="0.25">
      <c r="B1714" s="124"/>
      <c r="C1714" s="142"/>
      <c r="D1714" s="125"/>
      <c r="E1714" s="125"/>
      <c r="F1714" s="125"/>
      <c r="G1714" s="125"/>
      <c r="H1714" s="125"/>
      <c r="I1714" s="746"/>
      <c r="J1714" s="747"/>
      <c r="K1714" s="748"/>
      <c r="L1714" s="746"/>
      <c r="M1714" s="747"/>
      <c r="N1714" s="753"/>
    </row>
    <row r="1715" spans="2:14" ht="14.25" customHeight="1" x14ac:dyDescent="0.25">
      <c r="B1715" s="124"/>
      <c r="C1715" s="125"/>
      <c r="D1715" s="125"/>
      <c r="E1715" s="125"/>
      <c r="F1715" s="125"/>
      <c r="G1715" s="125"/>
      <c r="H1715" s="125"/>
      <c r="I1715" s="746"/>
      <c r="J1715" s="747"/>
      <c r="K1715" s="748"/>
      <c r="L1715" s="746"/>
      <c r="M1715" s="747"/>
      <c r="N1715" s="753"/>
    </row>
    <row r="1716" spans="2:14" ht="14.25" customHeight="1" x14ac:dyDescent="0.25">
      <c r="B1716" s="124"/>
      <c r="C1716" s="125"/>
      <c r="D1716" s="125"/>
      <c r="E1716" s="125"/>
      <c r="F1716" s="125"/>
      <c r="G1716" s="125"/>
      <c r="H1716" s="125"/>
      <c r="I1716" s="749"/>
      <c r="J1716" s="750"/>
      <c r="K1716" s="751"/>
      <c r="L1716" s="749"/>
      <c r="M1716" s="750"/>
      <c r="N1716" s="754"/>
    </row>
    <row r="1717" spans="2:14" ht="14.25" customHeight="1" x14ac:dyDescent="0.25">
      <c r="B1717" s="209"/>
      <c r="C1717" s="118"/>
      <c r="D1717" s="118"/>
      <c r="E1717" s="118"/>
      <c r="F1717" s="118"/>
      <c r="G1717" s="118"/>
      <c r="H1717" s="118"/>
      <c r="I1717" s="118"/>
      <c r="J1717" s="118"/>
      <c r="K1717" s="118"/>
      <c r="L1717" s="118"/>
      <c r="M1717" s="118"/>
      <c r="N1717" s="210"/>
    </row>
    <row r="1718" spans="2:14" ht="14.25" customHeight="1" x14ac:dyDescent="0.25">
      <c r="B1718" s="209"/>
      <c r="C1718" s="118"/>
      <c r="D1718" s="118"/>
      <c r="E1718" s="118"/>
      <c r="F1718" s="118"/>
      <c r="G1718" s="118"/>
      <c r="H1718" s="118"/>
      <c r="I1718" s="118"/>
      <c r="J1718" s="118"/>
      <c r="K1718" s="118"/>
      <c r="L1718" s="118"/>
      <c r="M1718" s="118"/>
      <c r="N1718" s="210"/>
    </row>
    <row r="1719" spans="2:14" ht="14.25" customHeight="1" x14ac:dyDescent="0.25">
      <c r="B1719" s="209"/>
      <c r="C1719" s="118"/>
      <c r="D1719" s="118"/>
      <c r="E1719" s="118"/>
      <c r="F1719" s="118"/>
      <c r="G1719" s="118"/>
      <c r="H1719" s="118"/>
      <c r="I1719" s="118"/>
      <c r="J1719" s="118"/>
      <c r="K1719" s="118"/>
      <c r="L1719" s="118"/>
      <c r="M1719" s="118"/>
      <c r="N1719" s="210"/>
    </row>
    <row r="1720" spans="2:14" ht="14.25" customHeight="1" x14ac:dyDescent="0.25">
      <c r="B1720" s="775" t="s">
        <v>414</v>
      </c>
      <c r="C1720" s="747"/>
      <c r="D1720" s="747"/>
      <c r="E1720" s="128"/>
      <c r="F1720" s="128"/>
      <c r="G1720" s="128"/>
      <c r="H1720" s="128"/>
      <c r="I1720" s="776"/>
      <c r="J1720" s="747"/>
      <c r="K1720" s="747"/>
      <c r="L1720" s="118"/>
      <c r="M1720" s="118"/>
      <c r="N1720" s="210"/>
    </row>
    <row r="1721" spans="2:14" ht="14.25" customHeight="1" thickBot="1" x14ac:dyDescent="0.3">
      <c r="B1721" s="129"/>
      <c r="C1721" s="130"/>
      <c r="D1721" s="130"/>
      <c r="E1721" s="130"/>
      <c r="F1721" s="130"/>
      <c r="G1721" s="130"/>
      <c r="H1721" s="130"/>
      <c r="I1721" s="130"/>
      <c r="J1721" s="130"/>
      <c r="K1721" s="130"/>
      <c r="L1721" s="130"/>
      <c r="M1721" s="130"/>
      <c r="N1721" s="131"/>
    </row>
    <row r="1722" spans="2:14" ht="14.25" customHeight="1" thickBot="1" x14ac:dyDescent="0.3"/>
    <row r="1723" spans="2:14" ht="40.5" customHeight="1" x14ac:dyDescent="0.25">
      <c r="B1723" s="728"/>
      <c r="C1723" s="729"/>
      <c r="D1723" s="730" t="s">
        <v>393</v>
      </c>
      <c r="E1723" s="729"/>
      <c r="F1723" s="729"/>
      <c r="G1723" s="729"/>
      <c r="H1723" s="729"/>
      <c r="I1723" s="729"/>
      <c r="J1723" s="729"/>
      <c r="K1723" s="729"/>
      <c r="L1723" s="729"/>
      <c r="M1723" s="729"/>
      <c r="N1723" s="731"/>
    </row>
    <row r="1724" spans="2:14" ht="14.25" customHeight="1" x14ac:dyDescent="0.25">
      <c r="B1724" s="732" t="s">
        <v>394</v>
      </c>
      <c r="C1724" s="733"/>
      <c r="D1724" s="733"/>
      <c r="E1724" s="733"/>
      <c r="F1724" s="733"/>
      <c r="G1724" s="733"/>
      <c r="H1724" s="733"/>
      <c r="I1724" s="733"/>
      <c r="J1724" s="733"/>
      <c r="K1724" s="733"/>
      <c r="L1724" s="733"/>
      <c r="M1724" s="733"/>
      <c r="N1724" s="734"/>
    </row>
    <row r="1725" spans="2:14" ht="18" customHeight="1" x14ac:dyDescent="0.25">
      <c r="B1725" s="735" t="s">
        <v>395</v>
      </c>
      <c r="C1725" s="736"/>
      <c r="D1725" s="737" t="str">
        <f>VLOOKUP(B1727,Buenaventura!A9:G1936,3,FALSE)</f>
        <v>Suministro e instalación de película de seguridad calibre 4 milésimas en puertas existentes de vidrio templado u otro, según medidas en sitio</v>
      </c>
      <c r="E1725" s="738"/>
      <c r="F1725" s="738"/>
      <c r="G1725" s="738"/>
      <c r="H1725" s="738"/>
      <c r="I1725" s="738"/>
      <c r="J1725" s="738"/>
      <c r="K1725" s="738"/>
      <c r="L1725" s="738"/>
      <c r="M1725" s="738"/>
      <c r="N1725" s="739"/>
    </row>
    <row r="1726" spans="2:14" ht="14.25" customHeight="1" x14ac:dyDescent="0.25">
      <c r="B1726" s="740" t="s">
        <v>26</v>
      </c>
      <c r="C1726" s="741"/>
      <c r="D1726" s="119" t="s">
        <v>396</v>
      </c>
      <c r="E1726" s="742" t="s">
        <v>397</v>
      </c>
      <c r="F1726" s="733"/>
      <c r="G1726" s="733"/>
      <c r="H1726" s="736"/>
      <c r="I1726" s="742" t="s">
        <v>398</v>
      </c>
      <c r="J1726" s="733"/>
      <c r="K1726" s="736"/>
      <c r="L1726" s="742" t="s">
        <v>399</v>
      </c>
      <c r="M1726" s="733"/>
      <c r="N1726" s="734"/>
    </row>
    <row r="1727" spans="2:14" ht="14.25" customHeight="1" x14ac:dyDescent="0.25">
      <c r="B1727" s="283">
        <v>25</v>
      </c>
      <c r="C1727" s="284" t="str">
        <f>VLOOKUP(B1727,Buenaventura!A9:G1949,2,FALSE)</f>
        <v>CA-36</v>
      </c>
      <c r="D1727" s="285">
        <f>SUM(H1730:H1739)</f>
        <v>455.96000000000004</v>
      </c>
      <c r="E1727" s="743" t="str">
        <f>VLOOKUP(B1727,Buenaventura!A9:G1948,4,FALSE)</f>
        <v>M2</v>
      </c>
      <c r="F1727" s="743"/>
      <c r="G1727" s="743"/>
      <c r="H1727" s="743"/>
      <c r="I1727" s="744"/>
      <c r="J1727" s="745"/>
      <c r="K1727" s="741"/>
      <c r="L1727" s="744"/>
      <c r="M1727" s="745"/>
      <c r="N1727" s="752"/>
    </row>
    <row r="1728" spans="2:14" ht="14.25" customHeight="1" x14ac:dyDescent="0.25">
      <c r="B1728" s="755" t="s">
        <v>416</v>
      </c>
      <c r="C1728" s="733"/>
      <c r="D1728" s="733"/>
      <c r="E1728" s="733"/>
      <c r="F1728" s="733"/>
      <c r="G1728" s="733"/>
      <c r="H1728" s="736"/>
      <c r="I1728" s="746"/>
      <c r="J1728" s="747"/>
      <c r="K1728" s="748"/>
      <c r="L1728" s="746"/>
      <c r="M1728" s="747"/>
      <c r="N1728" s="753"/>
    </row>
    <row r="1729" spans="2:14" ht="14.25" customHeight="1" x14ac:dyDescent="0.25">
      <c r="B1729" s="121" t="s">
        <v>400</v>
      </c>
      <c r="C1729" s="122" t="s">
        <v>401</v>
      </c>
      <c r="D1729" s="123" t="s">
        <v>402</v>
      </c>
      <c r="E1729" s="123" t="s">
        <v>403</v>
      </c>
      <c r="F1729" s="123" t="s">
        <v>404</v>
      </c>
      <c r="G1729" s="123" t="s">
        <v>405</v>
      </c>
      <c r="H1729" s="123" t="s">
        <v>406</v>
      </c>
      <c r="I1729" s="746"/>
      <c r="J1729" s="747"/>
      <c r="K1729" s="748"/>
      <c r="L1729" s="746"/>
      <c r="M1729" s="747"/>
      <c r="N1729" s="753"/>
    </row>
    <row r="1730" spans="2:14" ht="14.25" customHeight="1" x14ac:dyDescent="0.25">
      <c r="B1730" s="791"/>
      <c r="C1730" s="765" t="s">
        <v>519</v>
      </c>
      <c r="D1730" s="125">
        <v>4</v>
      </c>
      <c r="E1730" s="125">
        <v>2</v>
      </c>
      <c r="F1730" s="125">
        <v>10.17</v>
      </c>
      <c r="G1730" s="125"/>
      <c r="H1730" s="125">
        <f>D1730*E1730*F1730</f>
        <v>81.36</v>
      </c>
      <c r="I1730" s="746"/>
      <c r="J1730" s="747"/>
      <c r="K1730" s="748"/>
      <c r="L1730" s="746"/>
      <c r="M1730" s="747"/>
      <c r="N1730" s="753"/>
    </row>
    <row r="1731" spans="2:14" ht="14.25" customHeight="1" x14ac:dyDescent="0.25">
      <c r="B1731" s="793"/>
      <c r="C1731" s="766"/>
      <c r="D1731" s="125">
        <v>4</v>
      </c>
      <c r="E1731" s="125">
        <v>2</v>
      </c>
      <c r="F1731" s="125">
        <v>14</v>
      </c>
      <c r="G1731" s="125"/>
      <c r="H1731" s="125">
        <f t="shared" ref="H1731:H1739" si="49">D1731*E1731*F1731</f>
        <v>112</v>
      </c>
      <c r="I1731" s="746"/>
      <c r="J1731" s="747"/>
      <c r="K1731" s="748"/>
      <c r="L1731" s="746"/>
      <c r="M1731" s="747"/>
      <c r="N1731" s="753"/>
    </row>
    <row r="1732" spans="2:14" ht="14.25" customHeight="1" x14ac:dyDescent="0.25">
      <c r="B1732" s="793"/>
      <c r="C1732" s="765" t="s">
        <v>520</v>
      </c>
      <c r="D1732" s="125">
        <v>2</v>
      </c>
      <c r="E1732" s="125">
        <v>2</v>
      </c>
      <c r="F1732" s="125">
        <v>3.15</v>
      </c>
      <c r="G1732" s="125"/>
      <c r="H1732" s="125">
        <f t="shared" si="49"/>
        <v>12.6</v>
      </c>
      <c r="I1732" s="746"/>
      <c r="J1732" s="747"/>
      <c r="K1732" s="748"/>
      <c r="L1732" s="746"/>
      <c r="M1732" s="747"/>
      <c r="N1732" s="753"/>
    </row>
    <row r="1733" spans="2:14" ht="14.25" customHeight="1" x14ac:dyDescent="0.25">
      <c r="B1733" s="793"/>
      <c r="C1733" s="789"/>
      <c r="D1733" s="125">
        <v>2</v>
      </c>
      <c r="E1733" s="125">
        <v>2</v>
      </c>
      <c r="F1733" s="125">
        <v>11</v>
      </c>
      <c r="G1733" s="125"/>
      <c r="H1733" s="125">
        <f t="shared" si="49"/>
        <v>44</v>
      </c>
      <c r="I1733" s="746"/>
      <c r="J1733" s="747"/>
      <c r="K1733" s="748"/>
      <c r="L1733" s="746"/>
      <c r="M1733" s="747"/>
      <c r="N1733" s="753"/>
    </row>
    <row r="1734" spans="2:14" ht="14.25" customHeight="1" x14ac:dyDescent="0.25">
      <c r="B1734" s="792"/>
      <c r="C1734" s="789"/>
      <c r="D1734" s="125">
        <v>2</v>
      </c>
      <c r="E1734" s="125">
        <v>2</v>
      </c>
      <c r="F1734" s="125">
        <v>2</v>
      </c>
      <c r="G1734" s="125"/>
      <c r="H1734" s="125">
        <f t="shared" si="49"/>
        <v>8</v>
      </c>
      <c r="I1734" s="746"/>
      <c r="J1734" s="747"/>
      <c r="K1734" s="748"/>
      <c r="L1734" s="746"/>
      <c r="M1734" s="747"/>
      <c r="N1734" s="753"/>
    </row>
    <row r="1735" spans="2:14" ht="14.25" customHeight="1" x14ac:dyDescent="0.25">
      <c r="B1735" s="229"/>
      <c r="C1735" s="789"/>
      <c r="D1735" s="125">
        <v>2</v>
      </c>
      <c r="E1735" s="125">
        <v>2</v>
      </c>
      <c r="F1735" s="125">
        <v>11</v>
      </c>
      <c r="G1735" s="125"/>
      <c r="H1735" s="125">
        <f t="shared" si="49"/>
        <v>44</v>
      </c>
      <c r="I1735" s="746"/>
      <c r="J1735" s="747"/>
      <c r="K1735" s="748"/>
      <c r="L1735" s="746"/>
      <c r="M1735" s="747"/>
      <c r="N1735" s="753"/>
    </row>
    <row r="1736" spans="2:14" ht="14.25" customHeight="1" x14ac:dyDescent="0.25">
      <c r="B1736" s="791"/>
      <c r="C1736" s="766"/>
      <c r="D1736" s="125">
        <v>2</v>
      </c>
      <c r="E1736" s="125">
        <v>2</v>
      </c>
      <c r="F1736" s="125">
        <v>5.5</v>
      </c>
      <c r="G1736" s="125"/>
      <c r="H1736" s="125">
        <f t="shared" si="49"/>
        <v>22</v>
      </c>
      <c r="I1736" s="746"/>
      <c r="J1736" s="747"/>
      <c r="K1736" s="748"/>
      <c r="L1736" s="746"/>
      <c r="M1736" s="747"/>
      <c r="N1736" s="753"/>
    </row>
    <row r="1737" spans="2:14" ht="14.25" customHeight="1" x14ac:dyDescent="0.25">
      <c r="B1737" s="792"/>
      <c r="C1737" s="765" t="s">
        <v>521</v>
      </c>
      <c r="D1737" s="125">
        <v>2</v>
      </c>
      <c r="E1737" s="125">
        <v>2</v>
      </c>
      <c r="F1737" s="125">
        <v>13</v>
      </c>
      <c r="G1737" s="125"/>
      <c r="H1737" s="125">
        <f t="shared" si="49"/>
        <v>52</v>
      </c>
      <c r="I1737" s="746"/>
      <c r="J1737" s="747"/>
      <c r="K1737" s="748"/>
      <c r="L1737" s="746"/>
      <c r="M1737" s="747"/>
      <c r="N1737" s="753"/>
    </row>
    <row r="1738" spans="2:14" ht="14.25" customHeight="1" x14ac:dyDescent="0.25">
      <c r="B1738" s="214"/>
      <c r="C1738" s="766"/>
      <c r="D1738" s="125">
        <v>2</v>
      </c>
      <c r="E1738" s="125">
        <v>2</v>
      </c>
      <c r="F1738" s="125">
        <v>20</v>
      </c>
      <c r="G1738" s="125"/>
      <c r="H1738" s="125">
        <f t="shared" si="49"/>
        <v>80</v>
      </c>
      <c r="I1738" s="746"/>
      <c r="J1738" s="747"/>
      <c r="K1738" s="748"/>
      <c r="L1738" s="746"/>
      <c r="M1738" s="747"/>
      <c r="N1738" s="753"/>
    </row>
    <row r="1739" spans="2:14" ht="14.25" customHeight="1" x14ac:dyDescent="0.25">
      <c r="B1739" s="791"/>
      <c r="C1739" s="215"/>
      <c r="D1739" s="125"/>
      <c r="E1739" s="125"/>
      <c r="F1739" s="125"/>
      <c r="G1739" s="125"/>
      <c r="H1739" s="125">
        <f t="shared" si="49"/>
        <v>0</v>
      </c>
      <c r="I1739" s="746"/>
      <c r="J1739" s="747"/>
      <c r="K1739" s="748"/>
      <c r="L1739" s="746"/>
      <c r="M1739" s="747"/>
      <c r="N1739" s="753"/>
    </row>
    <row r="1740" spans="2:14" ht="14.25" customHeight="1" x14ac:dyDescent="0.25">
      <c r="B1740" s="792"/>
      <c r="C1740" s="215"/>
      <c r="D1740" s="125"/>
      <c r="E1740" s="125"/>
      <c r="F1740" s="125"/>
      <c r="G1740" s="125"/>
      <c r="H1740" s="125"/>
      <c r="I1740" s="746"/>
      <c r="J1740" s="747"/>
      <c r="K1740" s="748"/>
      <c r="L1740" s="746"/>
      <c r="M1740" s="747"/>
      <c r="N1740" s="753"/>
    </row>
    <row r="1741" spans="2:14" ht="14.25" customHeight="1" x14ac:dyDescent="0.25">
      <c r="B1741" s="149"/>
      <c r="C1741" s="215"/>
      <c r="D1741" s="125"/>
      <c r="E1741" s="125"/>
      <c r="F1741" s="125"/>
      <c r="G1741" s="125"/>
      <c r="H1741" s="125"/>
      <c r="I1741" s="746"/>
      <c r="J1741" s="747"/>
      <c r="K1741" s="748"/>
      <c r="L1741" s="746"/>
      <c r="M1741" s="747"/>
      <c r="N1741" s="753"/>
    </row>
    <row r="1742" spans="2:14" ht="14.25" customHeight="1" x14ac:dyDescent="0.25">
      <c r="B1742" s="230"/>
      <c r="C1742" s="215"/>
      <c r="D1742" s="125"/>
      <c r="E1742" s="125"/>
      <c r="F1742" s="125"/>
      <c r="G1742" s="125"/>
      <c r="H1742" s="125"/>
      <c r="I1742" s="746"/>
      <c r="J1742" s="747"/>
      <c r="K1742" s="748"/>
      <c r="L1742" s="746"/>
      <c r="M1742" s="747"/>
      <c r="N1742" s="753"/>
    </row>
    <row r="1743" spans="2:14" ht="14.25" customHeight="1" x14ac:dyDescent="0.25">
      <c r="B1743" s="149"/>
      <c r="C1743" s="215"/>
      <c r="D1743" s="125"/>
      <c r="E1743" s="125"/>
      <c r="F1743" s="125"/>
      <c r="G1743" s="125"/>
      <c r="H1743" s="125"/>
      <c r="I1743" s="746"/>
      <c r="J1743" s="747"/>
      <c r="K1743" s="748"/>
      <c r="L1743" s="746"/>
      <c r="M1743" s="747"/>
      <c r="N1743" s="753"/>
    </row>
    <row r="1744" spans="2:14" ht="14.25" customHeight="1" x14ac:dyDescent="0.25">
      <c r="B1744" s="124"/>
      <c r="C1744" s="215"/>
      <c r="D1744" s="125"/>
      <c r="E1744" s="125"/>
      <c r="F1744" s="125"/>
      <c r="G1744" s="125"/>
      <c r="H1744" s="125"/>
      <c r="I1744" s="746"/>
      <c r="J1744" s="747"/>
      <c r="K1744" s="748"/>
      <c r="L1744" s="746"/>
      <c r="M1744" s="747"/>
      <c r="N1744" s="753"/>
    </row>
    <row r="1745" spans="2:14" ht="14.25" customHeight="1" x14ac:dyDescent="0.25">
      <c r="B1745" s="124"/>
      <c r="C1745" s="215"/>
      <c r="D1745" s="125"/>
      <c r="E1745" s="125"/>
      <c r="F1745" s="125"/>
      <c r="G1745" s="125"/>
      <c r="H1745" s="125"/>
      <c r="I1745" s="746"/>
      <c r="J1745" s="747"/>
      <c r="K1745" s="748"/>
      <c r="L1745" s="746"/>
      <c r="M1745" s="747"/>
      <c r="N1745" s="753"/>
    </row>
    <row r="1746" spans="2:14" ht="14.25" customHeight="1" x14ac:dyDescent="0.25">
      <c r="B1746" s="124"/>
      <c r="C1746" s="215"/>
      <c r="D1746" s="125"/>
      <c r="E1746" s="125"/>
      <c r="F1746" s="125"/>
      <c r="G1746" s="125"/>
      <c r="H1746" s="125"/>
      <c r="I1746" s="746"/>
      <c r="J1746" s="747"/>
      <c r="K1746" s="748"/>
      <c r="L1746" s="746"/>
      <c r="M1746" s="747"/>
      <c r="N1746" s="753"/>
    </row>
    <row r="1747" spans="2:14" ht="14.25" customHeight="1" x14ac:dyDescent="0.25">
      <c r="B1747" s="124"/>
      <c r="C1747" s="125"/>
      <c r="D1747" s="125"/>
      <c r="E1747" s="125"/>
      <c r="F1747" s="125"/>
      <c r="G1747" s="125"/>
      <c r="H1747" s="125"/>
      <c r="I1747" s="749"/>
      <c r="J1747" s="750"/>
      <c r="K1747" s="751"/>
      <c r="L1747" s="749"/>
      <c r="M1747" s="750"/>
      <c r="N1747" s="754"/>
    </row>
    <row r="1748" spans="2:14" ht="14.25" customHeight="1" x14ac:dyDescent="0.25">
      <c r="B1748" s="209"/>
      <c r="C1748" s="118"/>
      <c r="D1748" s="118"/>
      <c r="E1748" s="118"/>
      <c r="F1748" s="118"/>
      <c r="G1748" s="118"/>
      <c r="H1748" s="118"/>
      <c r="I1748" s="118"/>
      <c r="J1748" s="118"/>
      <c r="K1748" s="118"/>
      <c r="L1748" s="118"/>
      <c r="M1748" s="118"/>
      <c r="N1748" s="210"/>
    </row>
    <row r="1749" spans="2:14" ht="14.25" customHeight="1" x14ac:dyDescent="0.25">
      <c r="B1749" s="209"/>
      <c r="C1749" s="118"/>
      <c r="D1749" s="118"/>
      <c r="E1749" s="118"/>
      <c r="F1749" s="118"/>
      <c r="G1749" s="118"/>
      <c r="H1749" s="118"/>
      <c r="I1749" s="118"/>
      <c r="J1749" s="118"/>
      <c r="K1749" s="118"/>
      <c r="L1749" s="118"/>
      <c r="M1749" s="118"/>
      <c r="N1749" s="210"/>
    </row>
    <row r="1750" spans="2:14" ht="14.25" customHeight="1" x14ac:dyDescent="0.25">
      <c r="B1750" s="209"/>
      <c r="C1750" s="118"/>
      <c r="D1750" s="118"/>
      <c r="E1750" s="118"/>
      <c r="F1750" s="118"/>
      <c r="G1750" s="118"/>
      <c r="H1750" s="118"/>
      <c r="I1750" s="118"/>
      <c r="J1750" s="118"/>
      <c r="K1750" s="118"/>
      <c r="L1750" s="118"/>
      <c r="M1750" s="118"/>
      <c r="N1750" s="210"/>
    </row>
    <row r="1751" spans="2:14" ht="14.25" customHeight="1" x14ac:dyDescent="0.25">
      <c r="B1751" s="209"/>
      <c r="C1751" s="118"/>
      <c r="D1751" s="118"/>
      <c r="E1751" s="118"/>
      <c r="F1751" s="118"/>
      <c r="G1751" s="118"/>
      <c r="H1751" s="118"/>
      <c r="I1751" s="118"/>
      <c r="J1751" s="118"/>
      <c r="K1751" s="118"/>
      <c r="L1751" s="118"/>
      <c r="M1751" s="118"/>
      <c r="N1751" s="210"/>
    </row>
    <row r="1752" spans="2:14" ht="14.25" customHeight="1" x14ac:dyDescent="0.25">
      <c r="B1752" s="775" t="s">
        <v>414</v>
      </c>
      <c r="C1752" s="747"/>
      <c r="D1752" s="747"/>
      <c r="E1752" s="128"/>
      <c r="F1752" s="128"/>
      <c r="G1752" s="128"/>
      <c r="H1752" s="128"/>
      <c r="I1752" s="776"/>
      <c r="J1752" s="747"/>
      <c r="K1752" s="747"/>
      <c r="L1752" s="118"/>
      <c r="M1752" s="118"/>
      <c r="N1752" s="210"/>
    </row>
    <row r="1753" spans="2:14" ht="14.25" customHeight="1" thickBot="1" x14ac:dyDescent="0.3">
      <c r="B1753" s="129"/>
      <c r="C1753" s="130"/>
      <c r="D1753" s="130"/>
      <c r="E1753" s="130"/>
      <c r="F1753" s="130"/>
      <c r="G1753" s="130"/>
      <c r="H1753" s="130"/>
      <c r="I1753" s="130"/>
      <c r="J1753" s="130"/>
      <c r="K1753" s="130"/>
      <c r="L1753" s="130"/>
      <c r="M1753" s="130"/>
      <c r="N1753" s="131"/>
    </row>
    <row r="1754" spans="2:14" ht="14.25" customHeight="1" thickBot="1" x14ac:dyDescent="0.3"/>
    <row r="1755" spans="2:14" ht="45" customHeight="1" x14ac:dyDescent="0.25">
      <c r="B1755" s="728"/>
      <c r="C1755" s="729"/>
      <c r="D1755" s="730" t="s">
        <v>393</v>
      </c>
      <c r="E1755" s="729"/>
      <c r="F1755" s="729"/>
      <c r="G1755" s="729"/>
      <c r="H1755" s="729"/>
      <c r="I1755" s="729"/>
      <c r="J1755" s="729"/>
      <c r="K1755" s="729"/>
      <c r="L1755" s="729"/>
      <c r="M1755" s="729"/>
      <c r="N1755" s="731"/>
    </row>
    <row r="1756" spans="2:14" ht="14.25" customHeight="1" x14ac:dyDescent="0.25">
      <c r="B1756" s="732" t="s">
        <v>394</v>
      </c>
      <c r="C1756" s="733"/>
      <c r="D1756" s="733"/>
      <c r="E1756" s="733"/>
      <c r="F1756" s="733"/>
      <c r="G1756" s="733"/>
      <c r="H1756" s="733"/>
      <c r="I1756" s="733"/>
      <c r="J1756" s="733"/>
      <c r="K1756" s="733"/>
      <c r="L1756" s="733"/>
      <c r="M1756" s="733"/>
      <c r="N1756" s="734"/>
    </row>
    <row r="1757" spans="2:14" ht="21" customHeight="1" x14ac:dyDescent="0.25">
      <c r="B1757" s="735" t="s">
        <v>395</v>
      </c>
      <c r="C1757" s="736"/>
      <c r="D1757" s="737" t="str">
        <f>VLOOKUP(B1759,Buenaventura!A9:G1968,3,FALSE)</f>
        <v xml:space="preserve">Suministro e instalación de cartera en madera con pintura en acabado en pintura poliuretano, incluye todos los elementos para su correcta instalación </v>
      </c>
      <c r="E1757" s="738"/>
      <c r="F1757" s="738"/>
      <c r="G1757" s="738"/>
      <c r="H1757" s="738"/>
      <c r="I1757" s="738"/>
      <c r="J1757" s="738"/>
      <c r="K1757" s="738"/>
      <c r="L1757" s="738"/>
      <c r="M1757" s="738"/>
      <c r="N1757" s="739"/>
    </row>
    <row r="1758" spans="2:14" ht="14.25" customHeight="1" x14ac:dyDescent="0.25">
      <c r="B1758" s="740" t="s">
        <v>26</v>
      </c>
      <c r="C1758" s="741"/>
      <c r="D1758" s="119" t="s">
        <v>396</v>
      </c>
      <c r="E1758" s="742" t="s">
        <v>397</v>
      </c>
      <c r="F1758" s="733"/>
      <c r="G1758" s="733"/>
      <c r="H1758" s="736"/>
      <c r="I1758" s="742" t="s">
        <v>398</v>
      </c>
      <c r="J1758" s="733"/>
      <c r="K1758" s="736"/>
      <c r="L1758" s="742" t="s">
        <v>399</v>
      </c>
      <c r="M1758" s="733"/>
      <c r="N1758" s="734"/>
    </row>
    <row r="1759" spans="2:14" ht="14.25" customHeight="1" x14ac:dyDescent="0.25">
      <c r="B1759" s="283">
        <v>26</v>
      </c>
      <c r="C1759" s="284" t="str">
        <f>VLOOKUP(B1759,Buenaventura!A9:G1981,2,FALSE)</f>
        <v>CA-07</v>
      </c>
      <c r="D1759" s="285">
        <f>SUM(H1762:H1765)</f>
        <v>7</v>
      </c>
      <c r="E1759" s="743" t="str">
        <f>VLOOKUP(B1759,Buenaventura!A9:G1980,4,FALSE)</f>
        <v>ML</v>
      </c>
      <c r="F1759" s="743"/>
      <c r="G1759" s="743"/>
      <c r="H1759" s="743"/>
      <c r="I1759" s="744"/>
      <c r="J1759" s="745"/>
      <c r="K1759" s="741"/>
      <c r="L1759" s="744"/>
      <c r="M1759" s="745"/>
      <c r="N1759" s="752"/>
    </row>
    <row r="1760" spans="2:14" ht="14.25" customHeight="1" x14ac:dyDescent="0.25">
      <c r="B1760" s="755" t="s">
        <v>416</v>
      </c>
      <c r="C1760" s="733"/>
      <c r="D1760" s="733"/>
      <c r="E1760" s="733"/>
      <c r="F1760" s="733"/>
      <c r="G1760" s="733"/>
      <c r="H1760" s="736"/>
      <c r="I1760" s="746"/>
      <c r="J1760" s="747"/>
      <c r="K1760" s="748"/>
      <c r="L1760" s="746"/>
      <c r="M1760" s="747"/>
      <c r="N1760" s="753"/>
    </row>
    <row r="1761" spans="2:14" ht="14.25" customHeight="1" x14ac:dyDescent="0.25">
      <c r="B1761" s="121" t="s">
        <v>400</v>
      </c>
      <c r="C1761" s="122" t="s">
        <v>401</v>
      </c>
      <c r="D1761" s="123" t="s">
        <v>402</v>
      </c>
      <c r="E1761" s="123" t="s">
        <v>403</v>
      </c>
      <c r="F1761" s="123" t="s">
        <v>404</v>
      </c>
      <c r="G1761" s="123" t="s">
        <v>405</v>
      </c>
      <c r="H1761" s="123" t="s">
        <v>406</v>
      </c>
      <c r="I1761" s="746"/>
      <c r="J1761" s="747"/>
      <c r="K1761" s="748"/>
      <c r="L1761" s="746"/>
      <c r="M1761" s="747"/>
      <c r="N1761" s="753"/>
    </row>
    <row r="1762" spans="2:14" ht="14.25" customHeight="1" x14ac:dyDescent="0.25">
      <c r="B1762" s="124"/>
      <c r="C1762" s="356" t="s">
        <v>522</v>
      </c>
      <c r="D1762" s="138">
        <v>14</v>
      </c>
      <c r="E1762" s="125"/>
      <c r="F1762" s="125">
        <v>0.5</v>
      </c>
      <c r="G1762" s="125"/>
      <c r="H1762" s="125">
        <f>D1762*F1762</f>
        <v>7</v>
      </c>
      <c r="I1762" s="746"/>
      <c r="J1762" s="747"/>
      <c r="K1762" s="748"/>
      <c r="L1762" s="746"/>
      <c r="M1762" s="747"/>
      <c r="N1762" s="753"/>
    </row>
    <row r="1763" spans="2:14" ht="14.25" customHeight="1" x14ac:dyDescent="0.25">
      <c r="B1763" s="124"/>
      <c r="C1763" s="355"/>
      <c r="D1763" s="138"/>
      <c r="E1763" s="125"/>
      <c r="F1763" s="125"/>
      <c r="G1763" s="125"/>
      <c r="H1763" s="125"/>
      <c r="I1763" s="746"/>
      <c r="J1763" s="747"/>
      <c r="K1763" s="748"/>
      <c r="L1763" s="746"/>
      <c r="M1763" s="747"/>
      <c r="N1763" s="753"/>
    </row>
    <row r="1764" spans="2:14" ht="14.25" customHeight="1" x14ac:dyDescent="0.25">
      <c r="B1764" s="124"/>
      <c r="C1764" s="204"/>
      <c r="D1764" s="138"/>
      <c r="E1764" s="125"/>
      <c r="F1764" s="125"/>
      <c r="G1764" s="125"/>
      <c r="H1764" s="125"/>
      <c r="I1764" s="746"/>
      <c r="J1764" s="747"/>
      <c r="K1764" s="748"/>
      <c r="L1764" s="746"/>
      <c r="M1764" s="747"/>
      <c r="N1764" s="753"/>
    </row>
    <row r="1765" spans="2:14" ht="14.25" customHeight="1" x14ac:dyDescent="0.25">
      <c r="B1765" s="124"/>
      <c r="C1765" s="204"/>
      <c r="D1765" s="138"/>
      <c r="E1765" s="125"/>
      <c r="F1765" s="125"/>
      <c r="G1765" s="125"/>
      <c r="H1765" s="125"/>
      <c r="I1765" s="746"/>
      <c r="J1765" s="747"/>
      <c r="K1765" s="748"/>
      <c r="L1765" s="746"/>
      <c r="M1765" s="747"/>
      <c r="N1765" s="753"/>
    </row>
    <row r="1766" spans="2:14" ht="14.25" customHeight="1" x14ac:dyDescent="0.25">
      <c r="B1766" s="124"/>
      <c r="C1766" s="204"/>
      <c r="D1766" s="138"/>
      <c r="E1766" s="125"/>
      <c r="F1766" s="125"/>
      <c r="G1766" s="125"/>
      <c r="H1766" s="125"/>
      <c r="I1766" s="746"/>
      <c r="J1766" s="747"/>
      <c r="K1766" s="748"/>
      <c r="L1766" s="746"/>
      <c r="M1766" s="747"/>
      <c r="N1766" s="753"/>
    </row>
    <row r="1767" spans="2:14" ht="14.25" customHeight="1" x14ac:dyDescent="0.25">
      <c r="B1767" s="124"/>
      <c r="C1767" s="204"/>
      <c r="D1767" s="138"/>
      <c r="E1767" s="125"/>
      <c r="F1767" s="125"/>
      <c r="G1767" s="125"/>
      <c r="H1767" s="125"/>
      <c r="I1767" s="746"/>
      <c r="J1767" s="747"/>
      <c r="K1767" s="748"/>
      <c r="L1767" s="746"/>
      <c r="M1767" s="747"/>
      <c r="N1767" s="753"/>
    </row>
    <row r="1768" spans="2:14" ht="14.25" customHeight="1" x14ac:dyDescent="0.25">
      <c r="B1768" s="124"/>
      <c r="C1768" s="204"/>
      <c r="D1768" s="138"/>
      <c r="E1768" s="125"/>
      <c r="F1768" s="125"/>
      <c r="G1768" s="125"/>
      <c r="H1768" s="125"/>
      <c r="I1768" s="746"/>
      <c r="J1768" s="747"/>
      <c r="K1768" s="748"/>
      <c r="L1768" s="746"/>
      <c r="M1768" s="747"/>
      <c r="N1768" s="753"/>
    </row>
    <row r="1769" spans="2:14" ht="14.25" customHeight="1" x14ac:dyDescent="0.25">
      <c r="B1769" s="124"/>
      <c r="C1769" s="204"/>
      <c r="D1769" s="138"/>
      <c r="E1769" s="125"/>
      <c r="F1769" s="125"/>
      <c r="G1769" s="125"/>
      <c r="H1769" s="125"/>
      <c r="I1769" s="746"/>
      <c r="J1769" s="747"/>
      <c r="K1769" s="748"/>
      <c r="L1769" s="746"/>
      <c r="M1769" s="747"/>
      <c r="N1769" s="753"/>
    </row>
    <row r="1770" spans="2:14" ht="14.25" customHeight="1" x14ac:dyDescent="0.25">
      <c r="B1770" s="124"/>
      <c r="C1770" s="204"/>
      <c r="D1770" s="125"/>
      <c r="E1770" s="125"/>
      <c r="F1770" s="125"/>
      <c r="G1770" s="125"/>
      <c r="H1770" s="125"/>
      <c r="I1770" s="746"/>
      <c r="J1770" s="747"/>
      <c r="K1770" s="748"/>
      <c r="L1770" s="746"/>
      <c r="M1770" s="747"/>
      <c r="N1770" s="753"/>
    </row>
    <row r="1771" spans="2:14" ht="14.25" customHeight="1" x14ac:dyDescent="0.25">
      <c r="B1771" s="124"/>
      <c r="C1771" s="204"/>
      <c r="D1771" s="125"/>
      <c r="E1771" s="125"/>
      <c r="F1771" s="125"/>
      <c r="G1771" s="125"/>
      <c r="H1771" s="125"/>
      <c r="I1771" s="746"/>
      <c r="J1771" s="747"/>
      <c r="K1771" s="748"/>
      <c r="L1771" s="746"/>
      <c r="M1771" s="747"/>
      <c r="N1771" s="753"/>
    </row>
    <row r="1772" spans="2:14" ht="14.25" customHeight="1" x14ac:dyDescent="0.25">
      <c r="B1772" s="124"/>
      <c r="C1772" s="204"/>
      <c r="D1772" s="125"/>
      <c r="E1772" s="125"/>
      <c r="F1772" s="125"/>
      <c r="G1772" s="125"/>
      <c r="H1772" s="125"/>
      <c r="I1772" s="746"/>
      <c r="J1772" s="747"/>
      <c r="K1772" s="748"/>
      <c r="L1772" s="746"/>
      <c r="M1772" s="747"/>
      <c r="N1772" s="753"/>
    </row>
    <row r="1773" spans="2:14" ht="14.25" customHeight="1" x14ac:dyDescent="0.25">
      <c r="B1773" s="124"/>
      <c r="C1773" s="204"/>
      <c r="D1773" s="125"/>
      <c r="E1773" s="125"/>
      <c r="F1773" s="125"/>
      <c r="G1773" s="125"/>
      <c r="H1773" s="125"/>
      <c r="I1773" s="746"/>
      <c r="J1773" s="747"/>
      <c r="K1773" s="748"/>
      <c r="L1773" s="746"/>
      <c r="M1773" s="747"/>
      <c r="N1773" s="753"/>
    </row>
    <row r="1774" spans="2:14" ht="14.25" customHeight="1" x14ac:dyDescent="0.25">
      <c r="B1774" s="124"/>
      <c r="C1774" s="204"/>
      <c r="D1774" s="125"/>
      <c r="E1774" s="125"/>
      <c r="F1774" s="125"/>
      <c r="G1774" s="125"/>
      <c r="H1774" s="125"/>
      <c r="I1774" s="746"/>
      <c r="J1774" s="747"/>
      <c r="K1774" s="748"/>
      <c r="L1774" s="746"/>
      <c r="M1774" s="747"/>
      <c r="N1774" s="753"/>
    </row>
    <row r="1775" spans="2:14" ht="14.25" customHeight="1" x14ac:dyDescent="0.25">
      <c r="B1775" s="124"/>
      <c r="C1775" s="204"/>
      <c r="D1775" s="125"/>
      <c r="E1775" s="125"/>
      <c r="F1775" s="125"/>
      <c r="G1775" s="125"/>
      <c r="H1775" s="125"/>
      <c r="I1775" s="746"/>
      <c r="J1775" s="747"/>
      <c r="K1775" s="748"/>
      <c r="L1775" s="746"/>
      <c r="M1775" s="747"/>
      <c r="N1775" s="753"/>
    </row>
    <row r="1776" spans="2:14" ht="14.25" customHeight="1" x14ac:dyDescent="0.25">
      <c r="B1776" s="124"/>
      <c r="C1776" s="204"/>
      <c r="D1776" s="125"/>
      <c r="E1776" s="125"/>
      <c r="F1776" s="125"/>
      <c r="G1776" s="125"/>
      <c r="H1776" s="125"/>
      <c r="I1776" s="746"/>
      <c r="J1776" s="747"/>
      <c r="K1776" s="748"/>
      <c r="L1776" s="746"/>
      <c r="M1776" s="747"/>
      <c r="N1776" s="753"/>
    </row>
    <row r="1777" spans="2:14" ht="14.25" customHeight="1" x14ac:dyDescent="0.25">
      <c r="B1777" s="124"/>
      <c r="C1777" s="226"/>
      <c r="D1777" s="125"/>
      <c r="E1777" s="125"/>
      <c r="F1777" s="125"/>
      <c r="G1777" s="125"/>
      <c r="H1777" s="125"/>
      <c r="I1777" s="746"/>
      <c r="J1777" s="747"/>
      <c r="K1777" s="748"/>
      <c r="L1777" s="746"/>
      <c r="M1777" s="747"/>
      <c r="N1777" s="753"/>
    </row>
    <row r="1778" spans="2:14" ht="14.25" customHeight="1" x14ac:dyDescent="0.25">
      <c r="B1778" s="124"/>
      <c r="C1778" s="226"/>
      <c r="D1778" s="125"/>
      <c r="E1778" s="125"/>
      <c r="F1778" s="125"/>
      <c r="G1778" s="125"/>
      <c r="H1778" s="125"/>
      <c r="I1778" s="749"/>
      <c r="J1778" s="750"/>
      <c r="K1778" s="751"/>
      <c r="L1778" s="749"/>
      <c r="M1778" s="750"/>
      <c r="N1778" s="754"/>
    </row>
    <row r="1779" spans="2:14" ht="14.25" customHeight="1" x14ac:dyDescent="0.25">
      <c r="B1779" s="209"/>
      <c r="C1779" s="118"/>
      <c r="D1779" s="118"/>
      <c r="E1779" s="118"/>
      <c r="F1779" s="118"/>
      <c r="G1779" s="118"/>
      <c r="H1779" s="118"/>
      <c r="I1779" s="118"/>
      <c r="J1779" s="118"/>
      <c r="K1779" s="118"/>
      <c r="L1779" s="118"/>
      <c r="M1779" s="118"/>
      <c r="N1779" s="210"/>
    </row>
    <row r="1780" spans="2:14" ht="14.25" customHeight="1" x14ac:dyDescent="0.25">
      <c r="B1780" s="209"/>
      <c r="C1780" s="118"/>
      <c r="D1780" s="118"/>
      <c r="E1780" s="118"/>
      <c r="F1780" s="118"/>
      <c r="G1780" s="118"/>
      <c r="H1780" s="118"/>
      <c r="I1780" s="118"/>
      <c r="J1780" s="118"/>
      <c r="K1780" s="118"/>
      <c r="L1780" s="118"/>
      <c r="M1780" s="118"/>
      <c r="N1780" s="210"/>
    </row>
    <row r="1781" spans="2:14" ht="14.25" customHeight="1" x14ac:dyDescent="0.25">
      <c r="B1781" s="209"/>
      <c r="C1781" s="118"/>
      <c r="D1781" s="118"/>
      <c r="E1781" s="118"/>
      <c r="F1781" s="118"/>
      <c r="G1781" s="118"/>
      <c r="H1781" s="118"/>
      <c r="I1781" s="118"/>
      <c r="J1781" s="118"/>
      <c r="K1781" s="118"/>
      <c r="L1781" s="118"/>
      <c r="M1781" s="118"/>
      <c r="N1781" s="210"/>
    </row>
    <row r="1782" spans="2:14" ht="14.25" customHeight="1" x14ac:dyDescent="0.25">
      <c r="B1782" s="209"/>
      <c r="C1782" s="118"/>
      <c r="D1782" s="118"/>
      <c r="E1782" s="118"/>
      <c r="F1782" s="118"/>
      <c r="G1782" s="118"/>
      <c r="H1782" s="118"/>
      <c r="I1782" s="118"/>
      <c r="J1782" s="118"/>
      <c r="K1782" s="118"/>
      <c r="L1782" s="118"/>
      <c r="M1782" s="118"/>
      <c r="N1782" s="210"/>
    </row>
    <row r="1783" spans="2:14" ht="14.25" customHeight="1" x14ac:dyDescent="0.25">
      <c r="B1783" s="775" t="s">
        <v>414</v>
      </c>
      <c r="C1783" s="747"/>
      <c r="D1783" s="747"/>
      <c r="E1783" s="128"/>
      <c r="F1783" s="128"/>
      <c r="G1783" s="128"/>
      <c r="H1783" s="128"/>
      <c r="I1783" s="776"/>
      <c r="J1783" s="747"/>
      <c r="K1783" s="747"/>
      <c r="L1783" s="118"/>
      <c r="M1783" s="118"/>
      <c r="N1783" s="210"/>
    </row>
    <row r="1784" spans="2:14" ht="14.25" customHeight="1" thickBot="1" x14ac:dyDescent="0.3">
      <c r="B1784" s="129"/>
      <c r="C1784" s="130"/>
      <c r="D1784" s="130"/>
      <c r="E1784" s="130"/>
      <c r="F1784" s="130"/>
      <c r="G1784" s="130"/>
      <c r="H1784" s="130"/>
      <c r="I1784" s="130"/>
      <c r="J1784" s="130"/>
      <c r="K1784" s="130"/>
      <c r="L1784" s="130"/>
      <c r="M1784" s="130"/>
      <c r="N1784" s="131"/>
    </row>
    <row r="1785" spans="2:14" ht="14.25" customHeight="1" thickBot="1" x14ac:dyDescent="0.3"/>
    <row r="1786" spans="2:14" ht="46.5" customHeight="1" x14ac:dyDescent="0.25">
      <c r="B1786" s="728"/>
      <c r="C1786" s="729"/>
      <c r="D1786" s="730" t="s">
        <v>393</v>
      </c>
      <c r="E1786" s="729"/>
      <c r="F1786" s="729"/>
      <c r="G1786" s="729"/>
      <c r="H1786" s="729"/>
      <c r="I1786" s="729"/>
      <c r="J1786" s="729"/>
      <c r="K1786" s="729"/>
      <c r="L1786" s="729"/>
      <c r="M1786" s="729"/>
      <c r="N1786" s="731"/>
    </row>
    <row r="1787" spans="2:14" ht="14.25" customHeight="1" x14ac:dyDescent="0.25">
      <c r="B1787" s="732" t="s">
        <v>394</v>
      </c>
      <c r="C1787" s="733"/>
      <c r="D1787" s="733"/>
      <c r="E1787" s="733"/>
      <c r="F1787" s="733"/>
      <c r="G1787" s="733"/>
      <c r="H1787" s="733"/>
      <c r="I1787" s="733"/>
      <c r="J1787" s="733"/>
      <c r="K1787" s="733"/>
      <c r="L1787" s="733"/>
      <c r="M1787" s="733"/>
      <c r="N1787" s="734"/>
    </row>
    <row r="1788" spans="2:14" ht="30.6" customHeight="1" x14ac:dyDescent="0.25">
      <c r="B1788" s="735" t="s">
        <v>395</v>
      </c>
      <c r="C1788" s="736"/>
      <c r="D1788" s="737" t="str">
        <f>VLOOKUP(B1790,Buenaventura!A9:G1999,3,FALSE)</f>
        <v xml:space="preserve">Suministro e instalación de membrana pvc, incluye media caña, perlines de fijación, sello perimetral </v>
      </c>
      <c r="E1788" s="738"/>
      <c r="F1788" s="738"/>
      <c r="G1788" s="738"/>
      <c r="H1788" s="738"/>
      <c r="I1788" s="738"/>
      <c r="J1788" s="738"/>
      <c r="K1788" s="738"/>
      <c r="L1788" s="738"/>
      <c r="M1788" s="738"/>
      <c r="N1788" s="739"/>
    </row>
    <row r="1789" spans="2:14" ht="14.25" customHeight="1" x14ac:dyDescent="0.25">
      <c r="B1789" s="740" t="s">
        <v>26</v>
      </c>
      <c r="C1789" s="741"/>
      <c r="D1789" s="119" t="s">
        <v>396</v>
      </c>
      <c r="E1789" s="742" t="s">
        <v>397</v>
      </c>
      <c r="F1789" s="733"/>
      <c r="G1789" s="733"/>
      <c r="H1789" s="736"/>
      <c r="I1789" s="742" t="s">
        <v>398</v>
      </c>
      <c r="J1789" s="733"/>
      <c r="K1789" s="736"/>
      <c r="L1789" s="742" t="s">
        <v>399</v>
      </c>
      <c r="M1789" s="733"/>
      <c r="N1789" s="734"/>
    </row>
    <row r="1790" spans="2:14" ht="14.25" customHeight="1" x14ac:dyDescent="0.25">
      <c r="B1790" s="283">
        <v>27</v>
      </c>
      <c r="C1790" s="284" t="str">
        <f>VLOOKUP(B1790,Buenaventura!A9:G2012,2,FALSE)</f>
        <v>RI-08</v>
      </c>
      <c r="D1790" s="285">
        <f>SUM(H1793:H1796)</f>
        <v>7</v>
      </c>
      <c r="E1790" s="743" t="str">
        <f>VLOOKUP(B1790,Buenaventura!A9:G2011,4,FALSE)</f>
        <v>M2</v>
      </c>
      <c r="F1790" s="743"/>
      <c r="G1790" s="743"/>
      <c r="H1790" s="743"/>
      <c r="I1790" s="744"/>
      <c r="J1790" s="745"/>
      <c r="K1790" s="741"/>
      <c r="L1790" s="744"/>
      <c r="M1790" s="745"/>
      <c r="N1790" s="752"/>
    </row>
    <row r="1791" spans="2:14" ht="14.25" customHeight="1" x14ac:dyDescent="0.25">
      <c r="B1791" s="755" t="s">
        <v>416</v>
      </c>
      <c r="C1791" s="733"/>
      <c r="D1791" s="733"/>
      <c r="E1791" s="733"/>
      <c r="F1791" s="733"/>
      <c r="G1791" s="733"/>
      <c r="H1791" s="736"/>
      <c r="I1791" s="746"/>
      <c r="J1791" s="747"/>
      <c r="K1791" s="748"/>
      <c r="L1791" s="746"/>
      <c r="M1791" s="747"/>
      <c r="N1791" s="753"/>
    </row>
    <row r="1792" spans="2:14" ht="14.25" customHeight="1" x14ac:dyDescent="0.25">
      <c r="B1792" s="121" t="s">
        <v>400</v>
      </c>
      <c r="C1792" s="122" t="s">
        <v>401</v>
      </c>
      <c r="D1792" s="123" t="s">
        <v>402</v>
      </c>
      <c r="E1792" s="123" t="s">
        <v>403</v>
      </c>
      <c r="F1792" s="123" t="s">
        <v>404</v>
      </c>
      <c r="G1792" s="123" t="s">
        <v>405</v>
      </c>
      <c r="H1792" s="123" t="s">
        <v>406</v>
      </c>
      <c r="I1792" s="746"/>
      <c r="J1792" s="747"/>
      <c r="K1792" s="748"/>
      <c r="L1792" s="746"/>
      <c r="M1792" s="747"/>
      <c r="N1792" s="753"/>
    </row>
    <row r="1793" spans="2:14" ht="14.25" customHeight="1" x14ac:dyDescent="0.25">
      <c r="B1793" s="212"/>
      <c r="C1793" s="215"/>
      <c r="D1793" s="138">
        <v>14</v>
      </c>
      <c r="E1793" s="125"/>
      <c r="F1793" s="125">
        <v>0.5</v>
      </c>
      <c r="G1793" s="125"/>
      <c r="H1793" s="125">
        <f>D1793*F1793</f>
        <v>7</v>
      </c>
      <c r="I1793" s="746"/>
      <c r="J1793" s="747"/>
      <c r="K1793" s="748"/>
      <c r="L1793" s="746"/>
      <c r="M1793" s="747"/>
      <c r="N1793" s="753"/>
    </row>
    <row r="1794" spans="2:14" ht="14.25" customHeight="1" x14ac:dyDescent="0.25">
      <c r="B1794" s="149"/>
      <c r="C1794" s="215"/>
      <c r="D1794" s="125"/>
      <c r="E1794" s="125"/>
      <c r="F1794" s="125"/>
      <c r="G1794" s="125"/>
      <c r="H1794" s="125"/>
      <c r="I1794" s="746"/>
      <c r="J1794" s="747"/>
      <c r="K1794" s="748"/>
      <c r="L1794" s="746"/>
      <c r="M1794" s="747"/>
      <c r="N1794" s="753"/>
    </row>
    <row r="1795" spans="2:14" ht="14.25" customHeight="1" x14ac:dyDescent="0.25">
      <c r="B1795" s="149"/>
      <c r="C1795" s="215"/>
      <c r="D1795" s="125"/>
      <c r="E1795" s="125"/>
      <c r="F1795" s="125"/>
      <c r="G1795" s="125"/>
      <c r="H1795" s="125"/>
      <c r="I1795" s="746"/>
      <c r="J1795" s="747"/>
      <c r="K1795" s="748"/>
      <c r="L1795" s="746"/>
      <c r="M1795" s="747"/>
      <c r="N1795" s="753"/>
    </row>
    <row r="1796" spans="2:14" ht="14.25" customHeight="1" x14ac:dyDescent="0.25">
      <c r="B1796" s="149"/>
      <c r="C1796" s="215"/>
      <c r="D1796" s="125"/>
      <c r="E1796" s="125"/>
      <c r="F1796" s="125"/>
      <c r="G1796" s="125"/>
      <c r="H1796" s="125"/>
      <c r="I1796" s="746"/>
      <c r="J1796" s="747"/>
      <c r="K1796" s="748"/>
      <c r="L1796" s="746"/>
      <c r="M1796" s="747"/>
      <c r="N1796" s="753"/>
    </row>
    <row r="1797" spans="2:14" ht="14.25" customHeight="1" x14ac:dyDescent="0.25">
      <c r="B1797" s="353"/>
      <c r="C1797" s="215"/>
      <c r="D1797" s="125"/>
      <c r="E1797" s="125"/>
      <c r="F1797" s="138"/>
      <c r="G1797" s="125"/>
      <c r="H1797" s="125"/>
      <c r="I1797" s="746"/>
      <c r="J1797" s="747"/>
      <c r="K1797" s="748"/>
      <c r="L1797" s="746"/>
      <c r="M1797" s="747"/>
      <c r="N1797" s="753"/>
    </row>
    <row r="1798" spans="2:14" ht="14.25" customHeight="1" x14ac:dyDescent="0.25">
      <c r="B1798" s="149"/>
      <c r="C1798" s="215"/>
      <c r="D1798" s="145"/>
      <c r="E1798" s="145"/>
      <c r="F1798" s="138"/>
      <c r="G1798" s="125"/>
      <c r="H1798" s="125"/>
      <c r="I1798" s="746"/>
      <c r="J1798" s="747"/>
      <c r="K1798" s="748"/>
      <c r="L1798" s="746"/>
      <c r="M1798" s="747"/>
      <c r="N1798" s="753"/>
    </row>
    <row r="1799" spans="2:14" ht="14.25" customHeight="1" x14ac:dyDescent="0.25">
      <c r="B1799" s="149"/>
      <c r="C1799" s="215"/>
      <c r="D1799" s="145"/>
      <c r="E1799" s="145"/>
      <c r="F1799" s="138"/>
      <c r="G1799" s="125"/>
      <c r="H1799" s="125"/>
      <c r="I1799" s="746"/>
      <c r="J1799" s="747"/>
      <c r="K1799" s="748"/>
      <c r="L1799" s="746"/>
      <c r="M1799" s="747"/>
      <c r="N1799" s="753"/>
    </row>
    <row r="1800" spans="2:14" ht="14.25" customHeight="1" x14ac:dyDescent="0.25">
      <c r="B1800" s="124"/>
      <c r="C1800" s="125"/>
      <c r="D1800" s="125"/>
      <c r="E1800" s="125"/>
      <c r="F1800" s="125"/>
      <c r="G1800" s="125"/>
      <c r="H1800" s="125"/>
      <c r="I1800" s="746"/>
      <c r="J1800" s="747"/>
      <c r="K1800" s="748"/>
      <c r="L1800" s="746"/>
      <c r="M1800" s="747"/>
      <c r="N1800" s="753"/>
    </row>
    <row r="1801" spans="2:14" ht="14.25" customHeight="1" x14ac:dyDescent="0.25">
      <c r="B1801" s="124"/>
      <c r="C1801" s="125"/>
      <c r="D1801" s="125"/>
      <c r="E1801" s="125"/>
      <c r="F1801" s="125"/>
      <c r="G1801" s="125"/>
      <c r="H1801" s="125"/>
      <c r="I1801" s="746"/>
      <c r="J1801" s="747"/>
      <c r="K1801" s="748"/>
      <c r="L1801" s="746"/>
      <c r="M1801" s="747"/>
      <c r="N1801" s="753"/>
    </row>
    <row r="1802" spans="2:14" ht="14.25" customHeight="1" x14ac:dyDescent="0.25">
      <c r="B1802" s="124"/>
      <c r="C1802" s="125"/>
      <c r="D1802" s="125"/>
      <c r="E1802" s="125"/>
      <c r="F1802" s="125"/>
      <c r="G1802" s="125"/>
      <c r="H1802" s="125"/>
      <c r="I1802" s="746"/>
      <c r="J1802" s="747"/>
      <c r="K1802" s="748"/>
      <c r="L1802" s="746"/>
      <c r="M1802" s="747"/>
      <c r="N1802" s="753"/>
    </row>
    <row r="1803" spans="2:14" ht="14.25" customHeight="1" x14ac:dyDescent="0.25">
      <c r="B1803" s="124"/>
      <c r="C1803" s="125"/>
      <c r="D1803" s="125"/>
      <c r="E1803" s="125"/>
      <c r="F1803" s="125"/>
      <c r="G1803" s="125"/>
      <c r="H1803" s="125"/>
      <c r="I1803" s="746"/>
      <c r="J1803" s="747"/>
      <c r="K1803" s="748"/>
      <c r="L1803" s="746"/>
      <c r="M1803" s="747"/>
      <c r="N1803" s="753"/>
    </row>
    <row r="1804" spans="2:14" ht="14.25" customHeight="1" x14ac:dyDescent="0.25">
      <c r="B1804" s="124"/>
      <c r="C1804" s="125"/>
      <c r="D1804" s="125"/>
      <c r="E1804" s="125"/>
      <c r="F1804" s="125"/>
      <c r="G1804" s="125"/>
      <c r="H1804" s="125"/>
      <c r="I1804" s="749"/>
      <c r="J1804" s="750"/>
      <c r="K1804" s="751"/>
      <c r="L1804" s="749"/>
      <c r="M1804" s="750"/>
      <c r="N1804" s="754"/>
    </row>
    <row r="1805" spans="2:14" ht="14.25" customHeight="1" x14ac:dyDescent="0.25">
      <c r="B1805" s="209"/>
      <c r="C1805" s="118"/>
      <c r="D1805" s="118"/>
      <c r="E1805" s="118"/>
      <c r="F1805" s="118"/>
      <c r="G1805" s="118"/>
      <c r="H1805" s="118"/>
      <c r="I1805" s="118"/>
      <c r="J1805" s="118"/>
      <c r="K1805" s="118"/>
      <c r="L1805" s="118"/>
      <c r="M1805" s="118"/>
      <c r="N1805" s="210"/>
    </row>
    <row r="1806" spans="2:14" ht="14.25" customHeight="1" x14ac:dyDescent="0.25">
      <c r="B1806" s="209"/>
      <c r="C1806" s="118"/>
      <c r="D1806" s="118"/>
      <c r="E1806" s="118"/>
      <c r="F1806" s="118"/>
      <c r="G1806" s="118"/>
      <c r="H1806" s="118"/>
      <c r="I1806" s="118"/>
      <c r="J1806" s="118"/>
      <c r="K1806" s="118"/>
      <c r="L1806" s="118"/>
      <c r="M1806" s="118"/>
      <c r="N1806" s="210"/>
    </row>
    <row r="1807" spans="2:14" ht="14.25" customHeight="1" x14ac:dyDescent="0.25">
      <c r="B1807" s="209"/>
      <c r="C1807" s="118"/>
      <c r="D1807" s="118"/>
      <c r="E1807" s="118"/>
      <c r="F1807" s="118"/>
      <c r="G1807" s="118"/>
      <c r="H1807" s="118"/>
      <c r="I1807" s="118"/>
      <c r="J1807" s="118"/>
      <c r="K1807" s="118"/>
      <c r="L1807" s="118"/>
      <c r="M1807" s="118"/>
      <c r="N1807" s="210"/>
    </row>
    <row r="1808" spans="2:14" ht="14.25" customHeight="1" x14ac:dyDescent="0.25">
      <c r="B1808" s="209"/>
      <c r="C1808" s="118"/>
      <c r="D1808" s="118"/>
      <c r="E1808" s="118"/>
      <c r="F1808" s="118"/>
      <c r="G1808" s="118"/>
      <c r="H1808" s="118"/>
      <c r="I1808" s="118"/>
      <c r="J1808" s="118"/>
      <c r="K1808" s="118"/>
      <c r="L1808" s="118"/>
      <c r="M1808" s="118"/>
      <c r="N1808" s="210"/>
    </row>
    <row r="1809" spans="2:15" ht="14.25" customHeight="1" x14ac:dyDescent="0.25">
      <c r="B1809" s="775" t="s">
        <v>414</v>
      </c>
      <c r="C1809" s="747"/>
      <c r="D1809" s="747"/>
      <c r="E1809" s="128"/>
      <c r="F1809" s="128"/>
      <c r="G1809" s="128"/>
      <c r="H1809" s="128"/>
      <c r="I1809" s="776"/>
      <c r="J1809" s="747"/>
      <c r="K1809" s="747"/>
      <c r="L1809" s="118"/>
      <c r="M1809" s="118"/>
      <c r="N1809" s="210"/>
    </row>
    <row r="1810" spans="2:15" ht="14.25" customHeight="1" thickBot="1" x14ac:dyDescent="0.3">
      <c r="B1810" s="129"/>
      <c r="C1810" s="130"/>
      <c r="D1810" s="130"/>
      <c r="E1810" s="130"/>
      <c r="F1810" s="130"/>
      <c r="G1810" s="130"/>
      <c r="H1810" s="130"/>
      <c r="I1810" s="130"/>
      <c r="J1810" s="130"/>
      <c r="K1810" s="130"/>
      <c r="L1810" s="130"/>
      <c r="M1810" s="130"/>
      <c r="N1810" s="131"/>
    </row>
    <row r="1811" spans="2:15" ht="45" customHeight="1" x14ac:dyDescent="0.25">
      <c r="B1811" s="728"/>
      <c r="C1811" s="729"/>
      <c r="D1811" s="730" t="s">
        <v>393</v>
      </c>
      <c r="E1811" s="729"/>
      <c r="F1811" s="729"/>
      <c r="G1811" s="729"/>
      <c r="H1811" s="729"/>
      <c r="I1811" s="729"/>
      <c r="J1811" s="729"/>
      <c r="K1811" s="729"/>
      <c r="L1811" s="729"/>
      <c r="M1811" s="729"/>
      <c r="N1811" s="731"/>
    </row>
    <row r="1812" spans="2:15" ht="14.25" customHeight="1" x14ac:dyDescent="0.25">
      <c r="B1812" s="732" t="s">
        <v>394</v>
      </c>
      <c r="C1812" s="733"/>
      <c r="D1812" s="733"/>
      <c r="E1812" s="733"/>
      <c r="F1812" s="733"/>
      <c r="G1812" s="733"/>
      <c r="H1812" s="733"/>
      <c r="I1812" s="733"/>
      <c r="J1812" s="733"/>
      <c r="K1812" s="733"/>
      <c r="L1812" s="733"/>
      <c r="M1812" s="733"/>
      <c r="N1812" s="734"/>
    </row>
    <row r="1813" spans="2:15" ht="14.25" customHeight="1" x14ac:dyDescent="0.25">
      <c r="B1813" s="735" t="s">
        <v>395</v>
      </c>
      <c r="C1813" s="736"/>
      <c r="D1813" s="737" t="str">
        <f>VLOOKUP(B1815,Buenaventura!A9:G2031,3,FALSE)</f>
        <v>Retiro de tuberia existente, incluye limpieza de perforación</v>
      </c>
      <c r="E1813" s="738"/>
      <c r="F1813" s="738"/>
      <c r="G1813" s="738"/>
      <c r="H1813" s="738"/>
      <c r="I1813" s="738"/>
      <c r="J1813" s="738"/>
      <c r="K1813" s="738"/>
      <c r="L1813" s="738"/>
      <c r="M1813" s="738"/>
      <c r="N1813" s="739"/>
    </row>
    <row r="1814" spans="2:15" ht="14.25" customHeight="1" x14ac:dyDescent="0.25">
      <c r="B1814" s="740" t="s">
        <v>26</v>
      </c>
      <c r="C1814" s="741"/>
      <c r="D1814" s="119" t="s">
        <v>396</v>
      </c>
      <c r="E1814" s="742" t="s">
        <v>397</v>
      </c>
      <c r="F1814" s="733"/>
      <c r="G1814" s="733"/>
      <c r="H1814" s="736"/>
      <c r="I1814" s="742" t="s">
        <v>398</v>
      </c>
      <c r="J1814" s="733"/>
      <c r="K1814" s="736"/>
      <c r="L1814" s="742" t="s">
        <v>399</v>
      </c>
      <c r="M1814" s="733"/>
      <c r="N1814" s="734"/>
    </row>
    <row r="1815" spans="2:15" ht="14.25" customHeight="1" x14ac:dyDescent="0.25">
      <c r="B1815" s="283">
        <v>28</v>
      </c>
      <c r="C1815" s="284" t="str">
        <f>VLOOKUP(B1815,Buenaventura!A9:G2044,2,FALSE)</f>
        <v>PR-29</v>
      </c>
      <c r="D1815" s="285">
        <f>SUM(H1818:H1821)</f>
        <v>2</v>
      </c>
      <c r="E1815" s="743" t="str">
        <f>VLOOKUP(B1815,Buenaventura!A9:G2043,4,FALSE)</f>
        <v>ML</v>
      </c>
      <c r="F1815" s="743"/>
      <c r="G1815" s="743"/>
      <c r="H1815" s="743"/>
      <c r="I1815" s="744"/>
      <c r="J1815" s="745"/>
      <c r="K1815" s="741"/>
      <c r="L1815" s="744"/>
      <c r="M1815" s="745"/>
      <c r="N1815" s="752"/>
    </row>
    <row r="1816" spans="2:15" ht="14.25" customHeight="1" x14ac:dyDescent="0.25">
      <c r="B1816" s="755" t="s">
        <v>416</v>
      </c>
      <c r="C1816" s="733"/>
      <c r="D1816" s="733"/>
      <c r="E1816" s="733"/>
      <c r="F1816" s="733"/>
      <c r="G1816" s="733"/>
      <c r="H1816" s="736"/>
      <c r="I1816" s="746"/>
      <c r="J1816" s="747"/>
      <c r="K1816" s="748"/>
      <c r="L1816" s="746"/>
      <c r="M1816" s="747"/>
      <c r="N1816" s="753"/>
    </row>
    <row r="1817" spans="2:15" ht="14.25" customHeight="1" x14ac:dyDescent="0.25">
      <c r="B1817" s="121" t="s">
        <v>400</v>
      </c>
      <c r="C1817" s="122" t="s">
        <v>401</v>
      </c>
      <c r="D1817" s="123" t="s">
        <v>402</v>
      </c>
      <c r="E1817" s="123" t="s">
        <v>403</v>
      </c>
      <c r="F1817" s="123" t="s">
        <v>404</v>
      </c>
      <c r="G1817" s="123" t="s">
        <v>405</v>
      </c>
      <c r="H1817" s="123" t="s">
        <v>406</v>
      </c>
      <c r="I1817" s="746"/>
      <c r="J1817" s="747"/>
      <c r="K1817" s="748"/>
      <c r="L1817" s="746"/>
      <c r="M1817" s="747"/>
      <c r="N1817" s="753"/>
    </row>
    <row r="1818" spans="2:15" ht="14.25" customHeight="1" x14ac:dyDescent="0.25">
      <c r="B1818" s="124"/>
      <c r="C1818" s="215"/>
      <c r="D1818" s="141">
        <v>2</v>
      </c>
      <c r="E1818" s="125"/>
      <c r="F1818" s="125"/>
      <c r="G1818" s="125"/>
      <c r="H1818" s="125">
        <f>D1818</f>
        <v>2</v>
      </c>
      <c r="I1818" s="746"/>
      <c r="J1818" s="747"/>
      <c r="K1818" s="748"/>
      <c r="L1818" s="746"/>
      <c r="M1818" s="747"/>
      <c r="N1818" s="753"/>
      <c r="O1818" s="166"/>
    </row>
    <row r="1819" spans="2:15" ht="14.25" customHeight="1" x14ac:dyDescent="0.25">
      <c r="B1819" s="124"/>
      <c r="C1819" s="125"/>
      <c r="D1819" s="141"/>
      <c r="E1819" s="125"/>
      <c r="F1819" s="125"/>
      <c r="G1819" s="125"/>
      <c r="H1819" s="125"/>
      <c r="I1819" s="746"/>
      <c r="J1819" s="747"/>
      <c r="K1819" s="748"/>
      <c r="L1819" s="746"/>
      <c r="M1819" s="747"/>
      <c r="N1819" s="753"/>
      <c r="O1819" s="166"/>
    </row>
    <row r="1820" spans="2:15" ht="14.25" customHeight="1" x14ac:dyDescent="0.25">
      <c r="B1820" s="124"/>
      <c r="C1820" s="125"/>
      <c r="D1820" s="141"/>
      <c r="E1820" s="125"/>
      <c r="F1820" s="125"/>
      <c r="G1820" s="125"/>
      <c r="H1820" s="125"/>
      <c r="I1820" s="746"/>
      <c r="J1820" s="747"/>
      <c r="K1820" s="748"/>
      <c r="L1820" s="746"/>
      <c r="M1820" s="747"/>
      <c r="N1820" s="753"/>
    </row>
    <row r="1821" spans="2:15" ht="14.25" customHeight="1" x14ac:dyDescent="0.25">
      <c r="B1821" s="124"/>
      <c r="C1821" s="125"/>
      <c r="D1821" s="141"/>
      <c r="E1821" s="125"/>
      <c r="F1821" s="125"/>
      <c r="G1821" s="125"/>
      <c r="H1821" s="125"/>
      <c r="I1821" s="746"/>
      <c r="J1821" s="747"/>
      <c r="K1821" s="748"/>
      <c r="L1821" s="746"/>
      <c r="M1821" s="747"/>
      <c r="N1821" s="753"/>
    </row>
    <row r="1822" spans="2:15" ht="14.25" customHeight="1" x14ac:dyDescent="0.25">
      <c r="B1822" s="124"/>
      <c r="C1822" s="125"/>
      <c r="D1822" s="141"/>
      <c r="E1822" s="125"/>
      <c r="F1822" s="125"/>
      <c r="G1822" s="125"/>
      <c r="H1822" s="125"/>
      <c r="I1822" s="746"/>
      <c r="J1822" s="747"/>
      <c r="K1822" s="748"/>
      <c r="L1822" s="746"/>
      <c r="M1822" s="747"/>
      <c r="N1822" s="753"/>
    </row>
    <row r="1823" spans="2:15" ht="14.25" customHeight="1" x14ac:dyDescent="0.25">
      <c r="B1823" s="124"/>
      <c r="C1823" s="125"/>
      <c r="D1823" s="125"/>
      <c r="E1823" s="125"/>
      <c r="F1823" s="125"/>
      <c r="G1823" s="125"/>
      <c r="H1823" s="125"/>
      <c r="I1823" s="746"/>
      <c r="J1823" s="747"/>
      <c r="K1823" s="748"/>
      <c r="L1823" s="746"/>
      <c r="M1823" s="747"/>
      <c r="N1823" s="753"/>
    </row>
    <row r="1824" spans="2:15" ht="14.25" customHeight="1" x14ac:dyDescent="0.25">
      <c r="B1824" s="124"/>
      <c r="C1824" s="125"/>
      <c r="D1824" s="125"/>
      <c r="E1824" s="125"/>
      <c r="F1824" s="125"/>
      <c r="G1824" s="125"/>
      <c r="H1824" s="125"/>
      <c r="I1824" s="746"/>
      <c r="J1824" s="747"/>
      <c r="K1824" s="748"/>
      <c r="L1824" s="746"/>
      <c r="M1824" s="747"/>
      <c r="N1824" s="753"/>
    </row>
    <row r="1825" spans="2:14" ht="14.25" customHeight="1" x14ac:dyDescent="0.25">
      <c r="B1825" s="124"/>
      <c r="C1825" s="125"/>
      <c r="D1825" s="125"/>
      <c r="E1825" s="125"/>
      <c r="F1825" s="125"/>
      <c r="G1825" s="125"/>
      <c r="H1825" s="125"/>
      <c r="I1825" s="746"/>
      <c r="J1825" s="747"/>
      <c r="K1825" s="748"/>
      <c r="L1825" s="746"/>
      <c r="M1825" s="747"/>
      <c r="N1825" s="753"/>
    </row>
    <row r="1826" spans="2:14" ht="14.25" customHeight="1" x14ac:dyDescent="0.25">
      <c r="B1826" s="124"/>
      <c r="C1826" s="125"/>
      <c r="D1826" s="125"/>
      <c r="E1826" s="125"/>
      <c r="F1826" s="125"/>
      <c r="G1826" s="125"/>
      <c r="H1826" s="125"/>
      <c r="I1826" s="746"/>
      <c r="J1826" s="747"/>
      <c r="K1826" s="748"/>
      <c r="L1826" s="746"/>
      <c r="M1826" s="747"/>
      <c r="N1826" s="753"/>
    </row>
    <row r="1827" spans="2:14" ht="14.25" customHeight="1" x14ac:dyDescent="0.25">
      <c r="B1827" s="124"/>
      <c r="C1827" s="125"/>
      <c r="D1827" s="125"/>
      <c r="E1827" s="125"/>
      <c r="F1827" s="125"/>
      <c r="G1827" s="125"/>
      <c r="H1827" s="125"/>
      <c r="I1827" s="746"/>
      <c r="J1827" s="747"/>
      <c r="K1827" s="748"/>
      <c r="L1827" s="746"/>
      <c r="M1827" s="747"/>
      <c r="N1827" s="753"/>
    </row>
    <row r="1828" spans="2:14" ht="14.25" customHeight="1" x14ac:dyDescent="0.25">
      <c r="B1828" s="124"/>
      <c r="C1828" s="125"/>
      <c r="D1828" s="125"/>
      <c r="E1828" s="125"/>
      <c r="F1828" s="125"/>
      <c r="G1828" s="125"/>
      <c r="H1828" s="125"/>
      <c r="I1828" s="746"/>
      <c r="J1828" s="747"/>
      <c r="K1828" s="748"/>
      <c r="L1828" s="746"/>
      <c r="M1828" s="747"/>
      <c r="N1828" s="753"/>
    </row>
    <row r="1829" spans="2:14" ht="14.25" customHeight="1" x14ac:dyDescent="0.25">
      <c r="B1829" s="124"/>
      <c r="C1829" s="125"/>
      <c r="D1829" s="125"/>
      <c r="E1829" s="125"/>
      <c r="F1829" s="125"/>
      <c r="G1829" s="125"/>
      <c r="H1829" s="125"/>
      <c r="I1829" s="746"/>
      <c r="J1829" s="747"/>
      <c r="K1829" s="748"/>
      <c r="L1829" s="746"/>
      <c r="M1829" s="747"/>
      <c r="N1829" s="753"/>
    </row>
    <row r="1830" spans="2:14" ht="14.25" customHeight="1" x14ac:dyDescent="0.25">
      <c r="B1830" s="127"/>
      <c r="C1830" s="125"/>
      <c r="D1830" s="125"/>
      <c r="E1830" s="125"/>
      <c r="F1830" s="125"/>
      <c r="G1830" s="125"/>
      <c r="H1830" s="125"/>
      <c r="I1830" s="749"/>
      <c r="J1830" s="750"/>
      <c r="K1830" s="751"/>
      <c r="L1830" s="749"/>
      <c r="M1830" s="750"/>
      <c r="N1830" s="754"/>
    </row>
    <row r="1831" spans="2:14" ht="14.25" customHeight="1" x14ac:dyDescent="0.25">
      <c r="B1831" s="209"/>
      <c r="C1831" s="118"/>
      <c r="D1831" s="118"/>
      <c r="E1831" s="118"/>
      <c r="F1831" s="118"/>
      <c r="G1831" s="118"/>
      <c r="H1831" s="118"/>
      <c r="I1831" s="118"/>
      <c r="J1831" s="118"/>
      <c r="K1831" s="118"/>
      <c r="L1831" s="118"/>
      <c r="M1831" s="118"/>
      <c r="N1831" s="210"/>
    </row>
    <row r="1832" spans="2:14" ht="14.25" customHeight="1" x14ac:dyDescent="0.25">
      <c r="B1832" s="209"/>
      <c r="C1832" s="118"/>
      <c r="D1832" s="118"/>
      <c r="E1832" s="118"/>
      <c r="F1832" s="118"/>
      <c r="G1832" s="118"/>
      <c r="H1832" s="118"/>
      <c r="I1832" s="118"/>
      <c r="J1832" s="118"/>
      <c r="K1832" s="118"/>
      <c r="L1832" s="118"/>
      <c r="M1832" s="118"/>
      <c r="N1832" s="210"/>
    </row>
    <row r="1833" spans="2:14" ht="14.25" customHeight="1" x14ac:dyDescent="0.25">
      <c r="B1833" s="209"/>
      <c r="C1833" s="118"/>
      <c r="D1833" s="118"/>
      <c r="E1833" s="118"/>
      <c r="F1833" s="118"/>
      <c r="G1833" s="118"/>
      <c r="H1833" s="118"/>
      <c r="I1833" s="118"/>
      <c r="J1833" s="118"/>
      <c r="K1833" s="118"/>
      <c r="L1833" s="118"/>
      <c r="M1833" s="118"/>
      <c r="N1833" s="210"/>
    </row>
    <row r="1834" spans="2:14" ht="14.25" customHeight="1" x14ac:dyDescent="0.25">
      <c r="B1834" s="209"/>
      <c r="C1834" s="118"/>
      <c r="D1834" s="118"/>
      <c r="E1834" s="118"/>
      <c r="F1834" s="118"/>
      <c r="G1834" s="118"/>
      <c r="H1834" s="118"/>
      <c r="I1834" s="118"/>
      <c r="J1834" s="118"/>
      <c r="K1834" s="118"/>
      <c r="L1834" s="118"/>
      <c r="M1834" s="118"/>
      <c r="N1834" s="210"/>
    </row>
    <row r="1835" spans="2:14" ht="14.25" customHeight="1" x14ac:dyDescent="0.25">
      <c r="B1835" s="775" t="s">
        <v>414</v>
      </c>
      <c r="C1835" s="747"/>
      <c r="D1835" s="747"/>
      <c r="E1835" s="128"/>
      <c r="F1835" s="128"/>
      <c r="G1835" s="128"/>
      <c r="H1835" s="128"/>
      <c r="I1835" s="776"/>
      <c r="J1835" s="747"/>
      <c r="K1835" s="747"/>
      <c r="L1835" s="118"/>
      <c r="M1835" s="118"/>
      <c r="N1835" s="210"/>
    </row>
    <row r="1836" spans="2:14" ht="14.25" customHeight="1" thickBot="1" x14ac:dyDescent="0.3">
      <c r="B1836" s="129"/>
      <c r="C1836" s="130"/>
      <c r="D1836" s="130"/>
      <c r="E1836" s="130"/>
      <c r="F1836" s="130"/>
      <c r="G1836" s="130"/>
      <c r="H1836" s="130"/>
      <c r="I1836" s="130"/>
      <c r="J1836" s="130"/>
      <c r="K1836" s="130"/>
      <c r="L1836" s="130"/>
      <c r="M1836" s="130"/>
      <c r="N1836" s="131"/>
    </row>
    <row r="1837" spans="2:14" ht="14.25" customHeight="1" thickBot="1" x14ac:dyDescent="0.3"/>
    <row r="1838" spans="2:14" ht="45" customHeight="1" x14ac:dyDescent="0.25">
      <c r="B1838" s="728"/>
      <c r="C1838" s="729"/>
      <c r="D1838" s="730" t="s">
        <v>393</v>
      </c>
      <c r="E1838" s="729"/>
      <c r="F1838" s="729"/>
      <c r="G1838" s="729"/>
      <c r="H1838" s="729"/>
      <c r="I1838" s="729"/>
      <c r="J1838" s="729"/>
      <c r="K1838" s="729"/>
      <c r="L1838" s="729"/>
      <c r="M1838" s="729"/>
      <c r="N1838" s="731"/>
    </row>
    <row r="1839" spans="2:14" ht="14.25" customHeight="1" x14ac:dyDescent="0.25">
      <c r="B1839" s="732" t="s">
        <v>394</v>
      </c>
      <c r="C1839" s="733"/>
      <c r="D1839" s="733"/>
      <c r="E1839" s="733"/>
      <c r="F1839" s="733"/>
      <c r="G1839" s="733"/>
      <c r="H1839" s="733"/>
      <c r="I1839" s="733"/>
      <c r="J1839" s="733"/>
      <c r="K1839" s="733"/>
      <c r="L1839" s="733"/>
      <c r="M1839" s="733"/>
      <c r="N1839" s="734"/>
    </row>
    <row r="1840" spans="2:14" ht="14.25" customHeight="1" x14ac:dyDescent="0.25">
      <c r="B1840" s="735" t="s">
        <v>395</v>
      </c>
      <c r="C1840" s="736"/>
      <c r="D1840" s="737" t="str">
        <f>VLOOKUP(B1842,Buenaventura!A9:G2065,3,FALSE)</f>
        <v>Suministro e instalación de tubería pvc sanitaria de 2", cincluye elementos de fijación y soporte, para su correcto funcionamiento</v>
      </c>
      <c r="E1840" s="738"/>
      <c r="F1840" s="738"/>
      <c r="G1840" s="738"/>
      <c r="H1840" s="738"/>
      <c r="I1840" s="738"/>
      <c r="J1840" s="738"/>
      <c r="K1840" s="738"/>
      <c r="L1840" s="738"/>
      <c r="M1840" s="738"/>
      <c r="N1840" s="739"/>
    </row>
    <row r="1841" spans="2:15" ht="14.25" customHeight="1" x14ac:dyDescent="0.25">
      <c r="B1841" s="740" t="s">
        <v>26</v>
      </c>
      <c r="C1841" s="741"/>
      <c r="D1841" s="119" t="s">
        <v>396</v>
      </c>
      <c r="E1841" s="742" t="s">
        <v>397</v>
      </c>
      <c r="F1841" s="733"/>
      <c r="G1841" s="733"/>
      <c r="H1841" s="736"/>
      <c r="I1841" s="742" t="s">
        <v>398</v>
      </c>
      <c r="J1841" s="733"/>
      <c r="K1841" s="736"/>
      <c r="L1841" s="742" t="s">
        <v>399</v>
      </c>
      <c r="M1841" s="733"/>
      <c r="N1841" s="734"/>
    </row>
    <row r="1842" spans="2:15" ht="14.25" customHeight="1" x14ac:dyDescent="0.25">
      <c r="B1842" s="283">
        <v>29</v>
      </c>
      <c r="C1842" s="284" t="str">
        <f>VLOOKUP(B1842,Buenaventura!A9:G2078,2,FALSE)</f>
        <v>IH-01</v>
      </c>
      <c r="D1842" s="285">
        <f>SUM(H1845:H1854)</f>
        <v>227.98000000000002</v>
      </c>
      <c r="E1842" s="743" t="str">
        <f>VLOOKUP(B1842,Buenaventura!A9:G2077,4,FALSE)</f>
        <v>ML</v>
      </c>
      <c r="F1842" s="743"/>
      <c r="G1842" s="743"/>
      <c r="H1842" s="743"/>
      <c r="I1842" s="744"/>
      <c r="J1842" s="745"/>
      <c r="K1842" s="741"/>
      <c r="L1842" s="744"/>
      <c r="M1842" s="745"/>
      <c r="N1842" s="752"/>
    </row>
    <row r="1843" spans="2:15" ht="14.25" customHeight="1" x14ac:dyDescent="0.25">
      <c r="B1843" s="755" t="s">
        <v>416</v>
      </c>
      <c r="C1843" s="733"/>
      <c r="D1843" s="733"/>
      <c r="E1843" s="733"/>
      <c r="F1843" s="733"/>
      <c r="G1843" s="733"/>
      <c r="H1843" s="736"/>
      <c r="I1843" s="746"/>
      <c r="J1843" s="747"/>
      <c r="K1843" s="748"/>
      <c r="L1843" s="746"/>
      <c r="M1843" s="747"/>
      <c r="N1843" s="753"/>
    </row>
    <row r="1844" spans="2:15" ht="14.25" customHeight="1" x14ac:dyDescent="0.25">
      <c r="B1844" s="121" t="s">
        <v>400</v>
      </c>
      <c r="C1844" s="122" t="s">
        <v>401</v>
      </c>
      <c r="D1844" s="123" t="s">
        <v>402</v>
      </c>
      <c r="E1844" s="123" t="s">
        <v>403</v>
      </c>
      <c r="F1844" s="123" t="s">
        <v>404</v>
      </c>
      <c r="G1844" s="123" t="s">
        <v>405</v>
      </c>
      <c r="H1844" s="123" t="s">
        <v>406</v>
      </c>
      <c r="I1844" s="746"/>
      <c r="J1844" s="747"/>
      <c r="K1844" s="748"/>
      <c r="L1844" s="746"/>
      <c r="M1844" s="747"/>
      <c r="N1844" s="753"/>
    </row>
    <row r="1845" spans="2:15" ht="14.25" customHeight="1" x14ac:dyDescent="0.25">
      <c r="B1845" s="124"/>
      <c r="C1845" s="765" t="s">
        <v>519</v>
      </c>
      <c r="D1845" s="125">
        <v>4</v>
      </c>
      <c r="E1845" s="125"/>
      <c r="F1845" s="125">
        <v>10.17</v>
      </c>
      <c r="G1845" s="125"/>
      <c r="H1845" s="125">
        <f>D1845*F1845</f>
        <v>40.68</v>
      </c>
      <c r="I1845" s="746"/>
      <c r="J1845" s="747"/>
      <c r="K1845" s="748"/>
      <c r="L1845" s="746"/>
      <c r="M1845" s="747"/>
      <c r="N1845" s="753"/>
    </row>
    <row r="1846" spans="2:15" ht="14.25" customHeight="1" x14ac:dyDescent="0.25">
      <c r="B1846" s="124"/>
      <c r="C1846" s="766"/>
      <c r="D1846" s="125">
        <v>4</v>
      </c>
      <c r="E1846" s="125"/>
      <c r="F1846" s="125">
        <v>14</v>
      </c>
      <c r="G1846" s="125"/>
      <c r="H1846" s="125">
        <f t="shared" ref="H1846:H1854" si="50">D1846*F1846</f>
        <v>56</v>
      </c>
      <c r="I1846" s="746"/>
      <c r="J1846" s="747"/>
      <c r="K1846" s="748"/>
      <c r="L1846" s="746"/>
      <c r="M1846" s="747"/>
      <c r="N1846" s="753"/>
      <c r="O1846" s="133"/>
    </row>
    <row r="1847" spans="2:15" ht="14.25" customHeight="1" x14ac:dyDescent="0.25">
      <c r="B1847" s="124"/>
      <c r="C1847" s="765" t="s">
        <v>520</v>
      </c>
      <c r="D1847" s="125">
        <v>2</v>
      </c>
      <c r="E1847" s="125"/>
      <c r="F1847" s="125">
        <v>3.15</v>
      </c>
      <c r="G1847" s="125"/>
      <c r="H1847" s="125">
        <f t="shared" si="50"/>
        <v>6.3</v>
      </c>
      <c r="I1847" s="746"/>
      <c r="J1847" s="747"/>
      <c r="K1847" s="748"/>
      <c r="L1847" s="746"/>
      <c r="M1847" s="747"/>
      <c r="N1847" s="753"/>
    </row>
    <row r="1848" spans="2:15" ht="14.25" customHeight="1" x14ac:dyDescent="0.25">
      <c r="B1848" s="124"/>
      <c r="C1848" s="789"/>
      <c r="D1848" s="125">
        <v>2</v>
      </c>
      <c r="E1848" s="125"/>
      <c r="F1848" s="125">
        <v>11</v>
      </c>
      <c r="G1848" s="125"/>
      <c r="H1848" s="125">
        <f t="shared" si="50"/>
        <v>22</v>
      </c>
      <c r="I1848" s="746"/>
      <c r="J1848" s="747"/>
      <c r="K1848" s="748"/>
      <c r="L1848" s="746"/>
      <c r="M1848" s="747"/>
      <c r="N1848" s="753"/>
    </row>
    <row r="1849" spans="2:15" ht="14.25" customHeight="1" x14ac:dyDescent="0.25">
      <c r="B1849" s="124"/>
      <c r="C1849" s="789"/>
      <c r="D1849" s="125">
        <v>2</v>
      </c>
      <c r="E1849" s="125"/>
      <c r="F1849" s="125">
        <v>2</v>
      </c>
      <c r="G1849" s="125"/>
      <c r="H1849" s="125">
        <f t="shared" si="50"/>
        <v>4</v>
      </c>
      <c r="I1849" s="746"/>
      <c r="J1849" s="747"/>
      <c r="K1849" s="748"/>
      <c r="L1849" s="746"/>
      <c r="M1849" s="747"/>
      <c r="N1849" s="753"/>
    </row>
    <row r="1850" spans="2:15" ht="14.25" customHeight="1" x14ac:dyDescent="0.25">
      <c r="B1850" s="124"/>
      <c r="C1850" s="789"/>
      <c r="D1850" s="125">
        <v>2</v>
      </c>
      <c r="E1850" s="125"/>
      <c r="F1850" s="125">
        <v>11</v>
      </c>
      <c r="G1850" s="125"/>
      <c r="H1850" s="125">
        <f t="shared" si="50"/>
        <v>22</v>
      </c>
      <c r="I1850" s="746"/>
      <c r="J1850" s="747"/>
      <c r="K1850" s="748"/>
      <c r="L1850" s="746"/>
      <c r="M1850" s="747"/>
      <c r="N1850" s="753"/>
    </row>
    <row r="1851" spans="2:15" ht="14.25" customHeight="1" x14ac:dyDescent="0.25">
      <c r="B1851" s="124"/>
      <c r="C1851" s="766"/>
      <c r="D1851" s="125">
        <v>2</v>
      </c>
      <c r="E1851" s="125"/>
      <c r="F1851" s="125">
        <v>5.5</v>
      </c>
      <c r="G1851" s="125"/>
      <c r="H1851" s="125">
        <f t="shared" si="50"/>
        <v>11</v>
      </c>
      <c r="I1851" s="746"/>
      <c r="J1851" s="747"/>
      <c r="K1851" s="748"/>
      <c r="L1851" s="746"/>
      <c r="M1851" s="747"/>
      <c r="N1851" s="753"/>
    </row>
    <row r="1852" spans="2:15" ht="14.25" customHeight="1" x14ac:dyDescent="0.25">
      <c r="B1852" s="124"/>
      <c r="C1852" s="765" t="s">
        <v>521</v>
      </c>
      <c r="D1852" s="125">
        <v>2</v>
      </c>
      <c r="E1852" s="125"/>
      <c r="F1852" s="125">
        <v>13</v>
      </c>
      <c r="G1852" s="125"/>
      <c r="H1852" s="125">
        <f t="shared" si="50"/>
        <v>26</v>
      </c>
      <c r="I1852" s="746"/>
      <c r="J1852" s="747"/>
      <c r="K1852" s="748"/>
      <c r="L1852" s="746"/>
      <c r="M1852" s="747"/>
      <c r="N1852" s="753"/>
    </row>
    <row r="1853" spans="2:15" ht="14.25" customHeight="1" x14ac:dyDescent="0.25">
      <c r="B1853" s="124"/>
      <c r="C1853" s="766"/>
      <c r="D1853" s="125">
        <v>2</v>
      </c>
      <c r="E1853" s="125"/>
      <c r="F1853" s="125">
        <v>20</v>
      </c>
      <c r="G1853" s="125"/>
      <c r="H1853" s="125">
        <f t="shared" si="50"/>
        <v>40</v>
      </c>
      <c r="I1853" s="746"/>
      <c r="J1853" s="747"/>
      <c r="K1853" s="748"/>
      <c r="L1853" s="746"/>
      <c r="M1853" s="747"/>
      <c r="N1853" s="753"/>
    </row>
    <row r="1854" spans="2:15" ht="14.25" customHeight="1" x14ac:dyDescent="0.25">
      <c r="B1854" s="124"/>
      <c r="C1854" s="215"/>
      <c r="D1854" s="125"/>
      <c r="E1854" s="125"/>
      <c r="F1854" s="125"/>
      <c r="G1854" s="125"/>
      <c r="H1854" s="125">
        <f t="shared" si="50"/>
        <v>0</v>
      </c>
      <c r="I1854" s="746"/>
      <c r="J1854" s="747"/>
      <c r="K1854" s="748"/>
      <c r="L1854" s="746"/>
      <c r="M1854" s="747"/>
      <c r="N1854" s="753"/>
    </row>
    <row r="1855" spans="2:15" ht="14.25" customHeight="1" x14ac:dyDescent="0.25">
      <c r="B1855" s="124"/>
      <c r="C1855" s="215"/>
      <c r="D1855" s="125"/>
      <c r="E1855" s="125"/>
      <c r="F1855" s="125"/>
      <c r="G1855" s="125"/>
      <c r="H1855" s="125"/>
      <c r="I1855" s="746"/>
      <c r="J1855" s="747"/>
      <c r="K1855" s="748"/>
      <c r="L1855" s="746"/>
      <c r="M1855" s="747"/>
      <c r="N1855" s="753"/>
    </row>
    <row r="1856" spans="2:15" ht="14.25" customHeight="1" x14ac:dyDescent="0.25">
      <c r="B1856" s="124"/>
      <c r="C1856" s="215"/>
      <c r="D1856" s="125"/>
      <c r="E1856" s="125"/>
      <c r="F1856" s="125"/>
      <c r="G1856" s="125"/>
      <c r="H1856" s="125"/>
      <c r="I1856" s="746"/>
      <c r="J1856" s="747"/>
      <c r="K1856" s="748"/>
      <c r="L1856" s="746"/>
      <c r="M1856" s="747"/>
      <c r="N1856" s="753"/>
    </row>
    <row r="1857" spans="2:14" ht="14.25" customHeight="1" x14ac:dyDescent="0.25">
      <c r="B1857" s="124"/>
      <c r="C1857" s="215"/>
      <c r="D1857" s="125"/>
      <c r="E1857" s="125"/>
      <c r="F1857" s="125"/>
      <c r="G1857" s="125"/>
      <c r="H1857" s="125"/>
      <c r="I1857" s="746"/>
      <c r="J1857" s="747"/>
      <c r="K1857" s="748"/>
      <c r="L1857" s="746"/>
      <c r="M1857" s="747"/>
      <c r="N1857" s="753"/>
    </row>
    <row r="1858" spans="2:14" ht="14.25" customHeight="1" x14ac:dyDescent="0.25">
      <c r="B1858" s="124"/>
      <c r="C1858" s="215"/>
      <c r="D1858" s="125"/>
      <c r="E1858" s="125"/>
      <c r="F1858" s="125"/>
      <c r="G1858" s="125"/>
      <c r="H1858" s="125"/>
      <c r="I1858" s="746"/>
      <c r="J1858" s="747"/>
      <c r="K1858" s="748"/>
      <c r="L1858" s="746"/>
      <c r="M1858" s="747"/>
      <c r="N1858" s="753"/>
    </row>
    <row r="1859" spans="2:14" ht="14.25" customHeight="1" x14ac:dyDescent="0.25">
      <c r="B1859" s="124"/>
      <c r="C1859" s="215"/>
      <c r="D1859" s="125"/>
      <c r="E1859" s="125"/>
      <c r="F1859" s="125"/>
      <c r="G1859" s="125"/>
      <c r="H1859" s="125"/>
      <c r="I1859" s="746"/>
      <c r="J1859" s="747"/>
      <c r="K1859" s="748"/>
      <c r="L1859" s="746"/>
      <c r="M1859" s="747"/>
      <c r="N1859" s="753"/>
    </row>
    <row r="1860" spans="2:14" ht="14.25" customHeight="1" x14ac:dyDescent="0.25">
      <c r="B1860" s="124"/>
      <c r="C1860" s="215"/>
      <c r="D1860" s="125"/>
      <c r="E1860" s="125"/>
      <c r="F1860" s="125"/>
      <c r="G1860" s="125"/>
      <c r="H1860" s="125"/>
      <c r="I1860" s="746"/>
      <c r="J1860" s="747"/>
      <c r="K1860" s="748"/>
      <c r="L1860" s="746"/>
      <c r="M1860" s="747"/>
      <c r="N1860" s="753"/>
    </row>
    <row r="1861" spans="2:14" ht="14.25" customHeight="1" x14ac:dyDescent="0.25">
      <c r="B1861" s="124"/>
      <c r="C1861" s="215"/>
      <c r="D1861" s="125"/>
      <c r="E1861" s="125"/>
      <c r="F1861" s="125"/>
      <c r="G1861" s="125"/>
      <c r="H1861" s="125"/>
      <c r="I1861" s="746"/>
      <c r="J1861" s="747"/>
      <c r="K1861" s="748"/>
      <c r="L1861" s="746"/>
      <c r="M1861" s="747"/>
      <c r="N1861" s="753"/>
    </row>
    <row r="1862" spans="2:14" ht="14.25" customHeight="1" x14ac:dyDescent="0.25">
      <c r="B1862" s="124"/>
      <c r="C1862" s="215"/>
      <c r="D1862" s="125"/>
      <c r="E1862" s="125"/>
      <c r="F1862" s="125"/>
      <c r="G1862" s="125"/>
      <c r="H1862" s="125"/>
      <c r="I1862" s="746"/>
      <c r="J1862" s="747"/>
      <c r="K1862" s="748"/>
      <c r="L1862" s="746"/>
      <c r="M1862" s="747"/>
      <c r="N1862" s="753"/>
    </row>
    <row r="1863" spans="2:14" ht="14.25" customHeight="1" x14ac:dyDescent="0.25">
      <c r="B1863" s="127"/>
      <c r="C1863" s="204"/>
      <c r="D1863" s="125"/>
      <c r="E1863" s="125"/>
      <c r="F1863" s="125"/>
      <c r="G1863" s="125"/>
      <c r="H1863" s="125"/>
      <c r="I1863" s="746"/>
      <c r="J1863" s="747"/>
      <c r="K1863" s="748"/>
      <c r="L1863" s="746"/>
      <c r="M1863" s="747"/>
      <c r="N1863" s="753"/>
    </row>
    <row r="1864" spans="2:14" ht="14.25" customHeight="1" x14ac:dyDescent="0.25">
      <c r="B1864" s="127"/>
      <c r="C1864" s="204"/>
      <c r="D1864" s="125"/>
      <c r="E1864" s="125"/>
      <c r="F1864" s="125"/>
      <c r="G1864" s="125"/>
      <c r="H1864" s="125"/>
      <c r="I1864" s="746"/>
      <c r="J1864" s="747"/>
      <c r="K1864" s="748"/>
      <c r="L1864" s="746"/>
      <c r="M1864" s="747"/>
      <c r="N1864" s="753"/>
    </row>
    <row r="1865" spans="2:14" ht="14.25" customHeight="1" x14ac:dyDescent="0.25">
      <c r="B1865" s="127"/>
      <c r="C1865" s="204"/>
      <c r="D1865" s="125"/>
      <c r="E1865" s="125"/>
      <c r="F1865" s="125"/>
      <c r="G1865" s="125"/>
      <c r="H1865" s="125"/>
      <c r="I1865" s="746"/>
      <c r="J1865" s="747"/>
      <c r="K1865" s="748"/>
      <c r="L1865" s="746"/>
      <c r="M1865" s="747"/>
      <c r="N1865" s="753"/>
    </row>
    <row r="1866" spans="2:14" ht="14.25" customHeight="1" x14ac:dyDescent="0.25">
      <c r="B1866" s="127"/>
      <c r="C1866" s="125"/>
      <c r="D1866" s="125"/>
      <c r="E1866" s="125"/>
      <c r="F1866" s="125"/>
      <c r="G1866" s="125"/>
      <c r="H1866" s="125"/>
      <c r="I1866" s="749"/>
      <c r="J1866" s="750"/>
      <c r="K1866" s="751"/>
      <c r="L1866" s="749"/>
      <c r="M1866" s="750"/>
      <c r="N1866" s="754"/>
    </row>
    <row r="1867" spans="2:14" ht="14.25" customHeight="1" x14ac:dyDescent="0.25">
      <c r="B1867" s="209"/>
      <c r="C1867" s="118"/>
      <c r="D1867" s="118"/>
      <c r="E1867" s="118"/>
      <c r="F1867" s="118"/>
      <c r="G1867" s="118"/>
      <c r="H1867" s="118"/>
      <c r="I1867" s="118"/>
      <c r="J1867" s="118"/>
      <c r="K1867" s="118"/>
      <c r="L1867" s="118"/>
      <c r="M1867" s="118"/>
      <c r="N1867" s="210"/>
    </row>
    <row r="1868" spans="2:14" ht="14.25" customHeight="1" x14ac:dyDescent="0.25">
      <c r="B1868" s="209"/>
      <c r="C1868" s="118"/>
      <c r="D1868" s="118"/>
      <c r="E1868" s="118"/>
      <c r="F1868" s="118"/>
      <c r="G1868" s="118"/>
      <c r="H1868" s="118"/>
      <c r="I1868" s="118"/>
      <c r="J1868" s="118"/>
      <c r="K1868" s="118"/>
      <c r="L1868" s="118"/>
      <c r="M1868" s="118"/>
      <c r="N1868" s="210"/>
    </row>
    <row r="1869" spans="2:14" ht="14.25" customHeight="1" x14ac:dyDescent="0.25">
      <c r="B1869" s="209"/>
      <c r="C1869" s="118"/>
      <c r="D1869" s="118"/>
      <c r="E1869" s="118"/>
      <c r="F1869" s="118"/>
      <c r="G1869" s="118"/>
      <c r="H1869" s="118"/>
      <c r="I1869" s="118"/>
      <c r="J1869" s="118"/>
      <c r="K1869" s="118"/>
      <c r="L1869" s="118"/>
      <c r="M1869" s="118"/>
      <c r="N1869" s="210"/>
    </row>
    <row r="1870" spans="2:14" ht="14.25" customHeight="1" x14ac:dyDescent="0.25">
      <c r="B1870" s="775" t="s">
        <v>414</v>
      </c>
      <c r="C1870" s="747"/>
      <c r="D1870" s="747"/>
      <c r="E1870" s="128"/>
      <c r="F1870" s="128"/>
      <c r="G1870" s="128"/>
      <c r="H1870" s="128"/>
      <c r="I1870" s="776"/>
      <c r="J1870" s="747"/>
      <c r="K1870" s="747"/>
      <c r="L1870" s="118"/>
      <c r="M1870" s="118"/>
      <c r="N1870" s="210"/>
    </row>
    <row r="1871" spans="2:14" ht="14.25" customHeight="1" thickBot="1" x14ac:dyDescent="0.3">
      <c r="B1871" s="129"/>
      <c r="C1871" s="130"/>
      <c r="D1871" s="130"/>
      <c r="E1871" s="130"/>
      <c r="F1871" s="130"/>
      <c r="G1871" s="130"/>
      <c r="H1871" s="130"/>
      <c r="I1871" s="130"/>
      <c r="J1871" s="130"/>
      <c r="K1871" s="130"/>
      <c r="L1871" s="130"/>
      <c r="M1871" s="130"/>
      <c r="N1871" s="131"/>
    </row>
    <row r="1872" spans="2:14" ht="14.25" customHeight="1" thickBot="1" x14ac:dyDescent="0.3"/>
    <row r="1873" spans="2:14" ht="30.75" customHeight="1" x14ac:dyDescent="0.25">
      <c r="B1873" s="728"/>
      <c r="C1873" s="729"/>
      <c r="D1873" s="730" t="s">
        <v>393</v>
      </c>
      <c r="E1873" s="729"/>
      <c r="F1873" s="729"/>
      <c r="G1873" s="729"/>
      <c r="H1873" s="729"/>
      <c r="I1873" s="729"/>
      <c r="J1873" s="729"/>
      <c r="K1873" s="729"/>
      <c r="L1873" s="729"/>
      <c r="M1873" s="729"/>
      <c r="N1873" s="731"/>
    </row>
    <row r="1874" spans="2:14" ht="14.25" customHeight="1" x14ac:dyDescent="0.25">
      <c r="B1874" s="732" t="s">
        <v>394</v>
      </c>
      <c r="C1874" s="733"/>
      <c r="D1874" s="733"/>
      <c r="E1874" s="733"/>
      <c r="F1874" s="733"/>
      <c r="G1874" s="733"/>
      <c r="H1874" s="733"/>
      <c r="I1874" s="733"/>
      <c r="J1874" s="733"/>
      <c r="K1874" s="733"/>
      <c r="L1874" s="733"/>
      <c r="M1874" s="733"/>
      <c r="N1874" s="734"/>
    </row>
    <row r="1875" spans="2:14" ht="14.25" customHeight="1" x14ac:dyDescent="0.25">
      <c r="B1875" s="735" t="s">
        <v>395</v>
      </c>
      <c r="C1875" s="736"/>
      <c r="D1875" s="737" t="str">
        <f>VLOOKUP(B1877,Buenaventura!A9:G2100,3,FALSE)</f>
        <v>Perforación de muro o piso en concreto y/o mamposteria para tubo de 2"-3", incluye retiro</v>
      </c>
      <c r="E1875" s="738"/>
      <c r="F1875" s="738"/>
      <c r="G1875" s="738"/>
      <c r="H1875" s="738"/>
      <c r="I1875" s="738"/>
      <c r="J1875" s="738"/>
      <c r="K1875" s="738"/>
      <c r="L1875" s="738"/>
      <c r="M1875" s="738"/>
      <c r="N1875" s="739"/>
    </row>
    <row r="1876" spans="2:14" ht="14.25" customHeight="1" x14ac:dyDescent="0.25">
      <c r="B1876" s="740" t="s">
        <v>26</v>
      </c>
      <c r="C1876" s="741"/>
      <c r="D1876" s="119" t="s">
        <v>396</v>
      </c>
      <c r="E1876" s="742" t="s">
        <v>397</v>
      </c>
      <c r="F1876" s="733"/>
      <c r="G1876" s="733"/>
      <c r="H1876" s="736"/>
      <c r="I1876" s="742" t="s">
        <v>398</v>
      </c>
      <c r="J1876" s="733"/>
      <c r="K1876" s="736"/>
      <c r="L1876" s="742" t="s">
        <v>399</v>
      </c>
      <c r="M1876" s="733"/>
      <c r="N1876" s="734"/>
    </row>
    <row r="1877" spans="2:14" ht="14.25" customHeight="1" x14ac:dyDescent="0.25">
      <c r="B1877" s="283">
        <v>30</v>
      </c>
      <c r="C1877" s="284" t="str">
        <f>VLOOKUP(B1877,Buenaventura!A9:G2113,2,FALSE)</f>
        <v>PR-04</v>
      </c>
      <c r="D1877" s="285">
        <f>SUM(H1880:H1892)</f>
        <v>227.98000000000002</v>
      </c>
      <c r="E1877" s="743" t="str">
        <f>VLOOKUP(B1877,Buenaventura!A9:G2112,4,FALSE)</f>
        <v>UND</v>
      </c>
      <c r="F1877" s="743"/>
      <c r="G1877" s="743"/>
      <c r="H1877" s="743"/>
      <c r="I1877" s="744"/>
      <c r="J1877" s="745"/>
      <c r="K1877" s="741"/>
      <c r="L1877" s="744"/>
      <c r="M1877" s="745"/>
      <c r="N1877" s="752"/>
    </row>
    <row r="1878" spans="2:14" ht="14.25" customHeight="1" x14ac:dyDescent="0.25">
      <c r="B1878" s="755" t="s">
        <v>416</v>
      </c>
      <c r="C1878" s="733"/>
      <c r="D1878" s="733"/>
      <c r="E1878" s="733"/>
      <c r="F1878" s="733"/>
      <c r="G1878" s="733"/>
      <c r="H1878" s="736"/>
      <c r="I1878" s="746"/>
      <c r="J1878" s="747"/>
      <c r="K1878" s="748"/>
      <c r="L1878" s="746"/>
      <c r="M1878" s="747"/>
      <c r="N1878" s="753"/>
    </row>
    <row r="1879" spans="2:14" ht="14.25" customHeight="1" x14ac:dyDescent="0.25">
      <c r="B1879" s="121" t="s">
        <v>400</v>
      </c>
      <c r="C1879" s="122" t="s">
        <v>401</v>
      </c>
      <c r="D1879" s="123" t="s">
        <v>402</v>
      </c>
      <c r="E1879" s="123" t="s">
        <v>403</v>
      </c>
      <c r="F1879" s="123" t="s">
        <v>404</v>
      </c>
      <c r="G1879" s="123" t="s">
        <v>405</v>
      </c>
      <c r="H1879" s="123" t="s">
        <v>406</v>
      </c>
      <c r="I1879" s="746"/>
      <c r="J1879" s="747"/>
      <c r="K1879" s="748"/>
      <c r="L1879" s="746"/>
      <c r="M1879" s="747"/>
      <c r="N1879" s="753"/>
    </row>
    <row r="1880" spans="2:14" ht="14.25" customHeight="1" x14ac:dyDescent="0.25">
      <c r="B1880" s="124"/>
      <c r="C1880" s="765" t="s">
        <v>519</v>
      </c>
      <c r="D1880" s="125">
        <v>4</v>
      </c>
      <c r="E1880" s="125"/>
      <c r="F1880" s="125">
        <v>10.17</v>
      </c>
      <c r="G1880" s="125"/>
      <c r="H1880" s="125">
        <f>D1880*F1880</f>
        <v>40.68</v>
      </c>
      <c r="I1880" s="746"/>
      <c r="J1880" s="747"/>
      <c r="K1880" s="748"/>
      <c r="L1880" s="746"/>
      <c r="M1880" s="747"/>
      <c r="N1880" s="753"/>
    </row>
    <row r="1881" spans="2:14" ht="14.25" customHeight="1" x14ac:dyDescent="0.25">
      <c r="B1881" s="124"/>
      <c r="C1881" s="766"/>
      <c r="D1881" s="125">
        <v>4</v>
      </c>
      <c r="E1881" s="125"/>
      <c r="F1881" s="125">
        <v>14</v>
      </c>
      <c r="G1881" s="125"/>
      <c r="H1881" s="125">
        <f t="shared" ref="H1881:H1889" si="51">D1881*F1881</f>
        <v>56</v>
      </c>
      <c r="I1881" s="746"/>
      <c r="J1881" s="747"/>
      <c r="K1881" s="748"/>
      <c r="L1881" s="746"/>
      <c r="M1881" s="747"/>
      <c r="N1881" s="753"/>
    </row>
    <row r="1882" spans="2:14" ht="14.25" customHeight="1" x14ac:dyDescent="0.25">
      <c r="B1882" s="124"/>
      <c r="C1882" s="765" t="s">
        <v>520</v>
      </c>
      <c r="D1882" s="125">
        <v>2</v>
      </c>
      <c r="E1882" s="125"/>
      <c r="F1882" s="125">
        <v>3.15</v>
      </c>
      <c r="G1882" s="125"/>
      <c r="H1882" s="125">
        <f t="shared" si="51"/>
        <v>6.3</v>
      </c>
      <c r="I1882" s="746"/>
      <c r="J1882" s="747"/>
      <c r="K1882" s="748"/>
      <c r="L1882" s="746"/>
      <c r="M1882" s="747"/>
      <c r="N1882" s="753"/>
    </row>
    <row r="1883" spans="2:14" ht="14.25" customHeight="1" x14ac:dyDescent="0.25">
      <c r="B1883" s="124"/>
      <c r="C1883" s="789"/>
      <c r="D1883" s="125">
        <v>2</v>
      </c>
      <c r="E1883" s="125"/>
      <c r="F1883" s="125">
        <v>11</v>
      </c>
      <c r="G1883" s="125"/>
      <c r="H1883" s="125">
        <f t="shared" si="51"/>
        <v>22</v>
      </c>
      <c r="I1883" s="746"/>
      <c r="J1883" s="747"/>
      <c r="K1883" s="748"/>
      <c r="L1883" s="746"/>
      <c r="M1883" s="747"/>
      <c r="N1883" s="753"/>
    </row>
    <row r="1884" spans="2:14" ht="14.25" customHeight="1" x14ac:dyDescent="0.25">
      <c r="B1884" s="124"/>
      <c r="C1884" s="789"/>
      <c r="D1884" s="125">
        <v>2</v>
      </c>
      <c r="E1884" s="125"/>
      <c r="F1884" s="125">
        <v>2</v>
      </c>
      <c r="G1884" s="125"/>
      <c r="H1884" s="125">
        <f t="shared" si="51"/>
        <v>4</v>
      </c>
      <c r="I1884" s="746"/>
      <c r="J1884" s="747"/>
      <c r="K1884" s="748"/>
      <c r="L1884" s="746"/>
      <c r="M1884" s="747"/>
      <c r="N1884" s="753"/>
    </row>
    <row r="1885" spans="2:14" ht="14.25" customHeight="1" x14ac:dyDescent="0.25">
      <c r="B1885" s="124"/>
      <c r="C1885" s="789"/>
      <c r="D1885" s="125">
        <v>2</v>
      </c>
      <c r="E1885" s="125"/>
      <c r="F1885" s="125">
        <v>11</v>
      </c>
      <c r="G1885" s="125"/>
      <c r="H1885" s="125">
        <f t="shared" si="51"/>
        <v>22</v>
      </c>
      <c r="I1885" s="746"/>
      <c r="J1885" s="747"/>
      <c r="K1885" s="748"/>
      <c r="L1885" s="746"/>
      <c r="M1885" s="747"/>
      <c r="N1885" s="753"/>
    </row>
    <row r="1886" spans="2:14" ht="14.25" customHeight="1" x14ac:dyDescent="0.25">
      <c r="B1886" s="124"/>
      <c r="C1886" s="766"/>
      <c r="D1886" s="125">
        <v>2</v>
      </c>
      <c r="E1886" s="125"/>
      <c r="F1886" s="125">
        <v>5.5</v>
      </c>
      <c r="G1886" s="125"/>
      <c r="H1886" s="125">
        <f t="shared" si="51"/>
        <v>11</v>
      </c>
      <c r="I1886" s="746"/>
      <c r="J1886" s="747"/>
      <c r="K1886" s="748"/>
      <c r="L1886" s="746"/>
      <c r="M1886" s="747"/>
      <c r="N1886" s="753"/>
    </row>
    <row r="1887" spans="2:14" ht="14.25" customHeight="1" x14ac:dyDescent="0.25">
      <c r="B1887" s="124"/>
      <c r="C1887" s="765" t="s">
        <v>521</v>
      </c>
      <c r="D1887" s="125">
        <v>2</v>
      </c>
      <c r="E1887" s="125"/>
      <c r="F1887" s="125">
        <v>13</v>
      </c>
      <c r="G1887" s="125"/>
      <c r="H1887" s="125">
        <f t="shared" si="51"/>
        <v>26</v>
      </c>
      <c r="I1887" s="746"/>
      <c r="J1887" s="747"/>
      <c r="K1887" s="748"/>
      <c r="L1887" s="746"/>
      <c r="M1887" s="747"/>
      <c r="N1887" s="753"/>
    </row>
    <row r="1888" spans="2:14" ht="14.25" customHeight="1" x14ac:dyDescent="0.25">
      <c r="B1888" s="124"/>
      <c r="C1888" s="766"/>
      <c r="D1888" s="125">
        <v>2</v>
      </c>
      <c r="E1888" s="125"/>
      <c r="F1888" s="125">
        <v>20</v>
      </c>
      <c r="G1888" s="125"/>
      <c r="H1888" s="125">
        <f t="shared" si="51"/>
        <v>40</v>
      </c>
      <c r="I1888" s="746"/>
      <c r="J1888" s="747"/>
      <c r="K1888" s="748"/>
      <c r="L1888" s="746"/>
      <c r="M1888" s="747"/>
      <c r="N1888" s="753"/>
    </row>
    <row r="1889" spans="2:14" ht="14.25" customHeight="1" x14ac:dyDescent="0.25">
      <c r="B1889" s="124"/>
      <c r="C1889" s="215"/>
      <c r="D1889" s="125"/>
      <c r="E1889" s="125"/>
      <c r="F1889" s="125"/>
      <c r="G1889" s="125"/>
      <c r="H1889" s="125">
        <f t="shared" si="51"/>
        <v>0</v>
      </c>
      <c r="I1889" s="746"/>
      <c r="J1889" s="747"/>
      <c r="K1889" s="748"/>
      <c r="L1889" s="746"/>
      <c r="M1889" s="747"/>
      <c r="N1889" s="753"/>
    </row>
    <row r="1890" spans="2:14" ht="14.25" customHeight="1" x14ac:dyDescent="0.25">
      <c r="B1890" s="124"/>
      <c r="C1890" s="215"/>
      <c r="D1890" s="125"/>
      <c r="E1890" s="125"/>
      <c r="F1890" s="125"/>
      <c r="G1890" s="125"/>
      <c r="H1890" s="125"/>
      <c r="I1890" s="746"/>
      <c r="J1890" s="747"/>
      <c r="K1890" s="748"/>
      <c r="L1890" s="746"/>
      <c r="M1890" s="747"/>
      <c r="N1890" s="753"/>
    </row>
    <row r="1891" spans="2:14" ht="14.25" customHeight="1" x14ac:dyDescent="0.25">
      <c r="B1891" s="124"/>
      <c r="C1891" s="215"/>
      <c r="D1891" s="125"/>
      <c r="E1891" s="125"/>
      <c r="F1891" s="125"/>
      <c r="G1891" s="125"/>
      <c r="H1891" s="125"/>
      <c r="I1891" s="746"/>
      <c r="J1891" s="747"/>
      <c r="K1891" s="748"/>
      <c r="L1891" s="746"/>
      <c r="M1891" s="747"/>
      <c r="N1891" s="753"/>
    </row>
    <row r="1892" spans="2:14" ht="14.25" customHeight="1" x14ac:dyDescent="0.25">
      <c r="B1892" s="124"/>
      <c r="C1892" s="215"/>
      <c r="D1892" s="125"/>
      <c r="E1892" s="125"/>
      <c r="F1892" s="125"/>
      <c r="G1892" s="125"/>
      <c r="H1892" s="125"/>
      <c r="I1892" s="746"/>
      <c r="J1892" s="747"/>
      <c r="K1892" s="748"/>
      <c r="L1892" s="746"/>
      <c r="M1892" s="747"/>
      <c r="N1892" s="753"/>
    </row>
    <row r="1893" spans="2:14" ht="14.25" customHeight="1" x14ac:dyDescent="0.25">
      <c r="B1893" s="124"/>
      <c r="C1893" s="215"/>
      <c r="D1893" s="125"/>
      <c r="E1893" s="125"/>
      <c r="F1893" s="125"/>
      <c r="G1893" s="125"/>
      <c r="H1893" s="125"/>
      <c r="I1893" s="746"/>
      <c r="J1893" s="747"/>
      <c r="K1893" s="748"/>
      <c r="L1893" s="746"/>
      <c r="M1893" s="747"/>
      <c r="N1893" s="753"/>
    </row>
    <row r="1894" spans="2:14" ht="14.25" customHeight="1" x14ac:dyDescent="0.25">
      <c r="B1894" s="124"/>
      <c r="C1894" s="215"/>
      <c r="D1894" s="125"/>
      <c r="E1894" s="125"/>
      <c r="F1894" s="125"/>
      <c r="G1894" s="125"/>
      <c r="H1894" s="125"/>
      <c r="I1894" s="746"/>
      <c r="J1894" s="747"/>
      <c r="K1894" s="748"/>
      <c r="L1894" s="746"/>
      <c r="M1894" s="747"/>
      <c r="N1894" s="753"/>
    </row>
    <row r="1895" spans="2:14" ht="14.25" customHeight="1" x14ac:dyDescent="0.25">
      <c r="B1895" s="124"/>
      <c r="C1895" s="215"/>
      <c r="D1895" s="125"/>
      <c r="E1895" s="125"/>
      <c r="F1895" s="125"/>
      <c r="G1895" s="125"/>
      <c r="H1895" s="125"/>
      <c r="I1895" s="746"/>
      <c r="J1895" s="747"/>
      <c r="K1895" s="748"/>
      <c r="L1895" s="746"/>
      <c r="M1895" s="747"/>
      <c r="N1895" s="753"/>
    </row>
    <row r="1896" spans="2:14" ht="14.25" customHeight="1" x14ac:dyDescent="0.25">
      <c r="B1896" s="124"/>
      <c r="C1896" s="215"/>
      <c r="D1896" s="125"/>
      <c r="E1896" s="125"/>
      <c r="F1896" s="125"/>
      <c r="G1896" s="125"/>
      <c r="H1896" s="125"/>
      <c r="I1896" s="746"/>
      <c r="J1896" s="747"/>
      <c r="K1896" s="748"/>
      <c r="L1896" s="746"/>
      <c r="M1896" s="747"/>
      <c r="N1896" s="753"/>
    </row>
    <row r="1897" spans="2:14" ht="14.25" customHeight="1" x14ac:dyDescent="0.25">
      <c r="B1897" s="124"/>
      <c r="C1897" s="204"/>
      <c r="D1897" s="125"/>
      <c r="E1897" s="125"/>
      <c r="F1897" s="125"/>
      <c r="G1897" s="125"/>
      <c r="H1897" s="125"/>
      <c r="I1897" s="746"/>
      <c r="J1897" s="747"/>
      <c r="K1897" s="748"/>
      <c r="L1897" s="746"/>
      <c r="M1897" s="747"/>
      <c r="N1897" s="753"/>
    </row>
    <row r="1898" spans="2:14" ht="14.25" customHeight="1" x14ac:dyDescent="0.25">
      <c r="B1898" s="124"/>
      <c r="C1898" s="204"/>
      <c r="D1898" s="125"/>
      <c r="E1898" s="125"/>
      <c r="F1898" s="125"/>
      <c r="G1898" s="125"/>
      <c r="H1898" s="125"/>
      <c r="I1898" s="746"/>
      <c r="J1898" s="747"/>
      <c r="K1898" s="748"/>
      <c r="L1898" s="746"/>
      <c r="M1898" s="747"/>
      <c r="N1898" s="753"/>
    </row>
    <row r="1899" spans="2:14" ht="14.25" customHeight="1" x14ac:dyDescent="0.25">
      <c r="B1899" s="127"/>
      <c r="C1899" s="125"/>
      <c r="D1899" s="125"/>
      <c r="E1899" s="125"/>
      <c r="F1899" s="125"/>
      <c r="G1899" s="125"/>
      <c r="H1899" s="125"/>
      <c r="I1899" s="749"/>
      <c r="J1899" s="750"/>
      <c r="K1899" s="751"/>
      <c r="L1899" s="749"/>
      <c r="M1899" s="750"/>
      <c r="N1899" s="754"/>
    </row>
    <row r="1900" spans="2:14" ht="14.25" customHeight="1" x14ac:dyDescent="0.25">
      <c r="B1900" s="209"/>
      <c r="C1900" s="118"/>
      <c r="D1900" s="118"/>
      <c r="E1900" s="118"/>
      <c r="F1900" s="118"/>
      <c r="G1900" s="118"/>
      <c r="H1900" s="118"/>
      <c r="I1900" s="118"/>
      <c r="J1900" s="118"/>
      <c r="K1900" s="118"/>
      <c r="L1900" s="118"/>
      <c r="M1900" s="118"/>
      <c r="N1900" s="210"/>
    </row>
    <row r="1901" spans="2:14" ht="14.25" customHeight="1" x14ac:dyDescent="0.25">
      <c r="B1901" s="209"/>
      <c r="C1901" s="118"/>
      <c r="D1901" s="118"/>
      <c r="E1901" s="118"/>
      <c r="F1901" s="118"/>
      <c r="G1901" s="118"/>
      <c r="H1901" s="118"/>
      <c r="I1901" s="118"/>
      <c r="J1901" s="118"/>
      <c r="K1901" s="118"/>
      <c r="L1901" s="118"/>
      <c r="M1901" s="118"/>
      <c r="N1901" s="210"/>
    </row>
    <row r="1902" spans="2:14" ht="14.25" customHeight="1" x14ac:dyDescent="0.25">
      <c r="B1902" s="209"/>
      <c r="C1902" s="118"/>
      <c r="D1902" s="118"/>
      <c r="E1902" s="118"/>
      <c r="F1902" s="118"/>
      <c r="G1902" s="118"/>
      <c r="H1902" s="118"/>
      <c r="I1902" s="118"/>
      <c r="J1902" s="118"/>
      <c r="K1902" s="118"/>
      <c r="L1902" s="118"/>
      <c r="M1902" s="118"/>
      <c r="N1902" s="210"/>
    </row>
    <row r="1903" spans="2:14" ht="14.25" customHeight="1" x14ac:dyDescent="0.25">
      <c r="B1903" s="775" t="s">
        <v>414</v>
      </c>
      <c r="C1903" s="747"/>
      <c r="D1903" s="747"/>
      <c r="E1903" s="128"/>
      <c r="F1903" s="128"/>
      <c r="G1903" s="128"/>
      <c r="H1903" s="128"/>
      <c r="I1903" s="776"/>
      <c r="J1903" s="747"/>
      <c r="K1903" s="747"/>
      <c r="L1903" s="118"/>
      <c r="M1903" s="118"/>
      <c r="N1903" s="210"/>
    </row>
    <row r="1904" spans="2:14" ht="14.25" customHeight="1" thickBot="1" x14ac:dyDescent="0.3">
      <c r="B1904" s="129"/>
      <c r="C1904" s="130"/>
      <c r="D1904" s="130"/>
      <c r="E1904" s="130"/>
      <c r="F1904" s="130"/>
      <c r="G1904" s="130"/>
      <c r="H1904" s="130"/>
      <c r="I1904" s="130"/>
      <c r="J1904" s="130"/>
      <c r="K1904" s="130"/>
      <c r="L1904" s="130"/>
      <c r="M1904" s="130"/>
      <c r="N1904" s="131"/>
    </row>
    <row r="1905" spans="2:15" ht="14.25" customHeight="1" thickBot="1" x14ac:dyDescent="0.3">
      <c r="B1905" s="132"/>
      <c r="C1905" s="132"/>
      <c r="D1905" s="132"/>
      <c r="E1905" s="132"/>
      <c r="F1905" s="132"/>
      <c r="G1905" s="132"/>
      <c r="H1905" s="132"/>
      <c r="I1905" s="132"/>
      <c r="J1905" s="132"/>
      <c r="K1905" s="132"/>
      <c r="L1905" s="132"/>
      <c r="M1905" s="132"/>
      <c r="N1905" s="132"/>
    </row>
    <row r="1906" spans="2:15" ht="40.5" customHeight="1" x14ac:dyDescent="0.25">
      <c r="B1906" s="728"/>
      <c r="C1906" s="729"/>
      <c r="D1906" s="730" t="s">
        <v>393</v>
      </c>
      <c r="E1906" s="729"/>
      <c r="F1906" s="729"/>
      <c r="G1906" s="729"/>
      <c r="H1906" s="729"/>
      <c r="I1906" s="729"/>
      <c r="J1906" s="729"/>
      <c r="K1906" s="729"/>
      <c r="L1906" s="729"/>
      <c r="M1906" s="729"/>
      <c r="N1906" s="731"/>
    </row>
    <row r="1907" spans="2:15" ht="14.25" customHeight="1" x14ac:dyDescent="0.25">
      <c r="B1907" s="732" t="s">
        <v>394</v>
      </c>
      <c r="C1907" s="733"/>
      <c r="D1907" s="733"/>
      <c r="E1907" s="733"/>
      <c r="F1907" s="733"/>
      <c r="G1907" s="733"/>
      <c r="H1907" s="733"/>
      <c r="I1907" s="733"/>
      <c r="J1907" s="733"/>
      <c r="K1907" s="733"/>
      <c r="L1907" s="733"/>
      <c r="M1907" s="733"/>
      <c r="N1907" s="734"/>
    </row>
    <row r="1908" spans="2:15" ht="14.25" customHeight="1" x14ac:dyDescent="0.25">
      <c r="B1908" s="735" t="s">
        <v>395</v>
      </c>
      <c r="C1908" s="736"/>
      <c r="D1908" s="737" t="str">
        <f>VLOOKUP(B1910,Buenaventura!A9:G2133,3,FALSE)</f>
        <v>Corte y retiro de membrana pvc existente</v>
      </c>
      <c r="E1908" s="738"/>
      <c r="F1908" s="738"/>
      <c r="G1908" s="738"/>
      <c r="H1908" s="738"/>
      <c r="I1908" s="738"/>
      <c r="J1908" s="738"/>
      <c r="K1908" s="738"/>
      <c r="L1908" s="738"/>
      <c r="M1908" s="738"/>
      <c r="N1908" s="739"/>
    </row>
    <row r="1909" spans="2:15" ht="14.25" customHeight="1" x14ac:dyDescent="0.25">
      <c r="B1909" s="740" t="s">
        <v>26</v>
      </c>
      <c r="C1909" s="741"/>
      <c r="D1909" s="119" t="s">
        <v>396</v>
      </c>
      <c r="E1909" s="742" t="s">
        <v>397</v>
      </c>
      <c r="F1909" s="733"/>
      <c r="G1909" s="733"/>
      <c r="H1909" s="736"/>
      <c r="I1909" s="742" t="s">
        <v>398</v>
      </c>
      <c r="J1909" s="733"/>
      <c r="K1909" s="736"/>
      <c r="L1909" s="742" t="s">
        <v>399</v>
      </c>
      <c r="M1909" s="733"/>
      <c r="N1909" s="734"/>
    </row>
    <row r="1910" spans="2:15" ht="14.25" customHeight="1" x14ac:dyDescent="0.25">
      <c r="B1910" s="283">
        <v>31</v>
      </c>
      <c r="C1910" s="284" t="str">
        <f>VLOOKUP(B1910,Buenaventura!A9:G2146,2,FALSE)</f>
        <v>RI-25</v>
      </c>
      <c r="D1910" s="285">
        <f>SUM(H1913:H1916)*50%</f>
        <v>126</v>
      </c>
      <c r="E1910" s="743" t="str">
        <f>VLOOKUP(B1910,Buenaventura!A9:G2145,4,FALSE)</f>
        <v>ML</v>
      </c>
      <c r="F1910" s="743"/>
      <c r="G1910" s="743"/>
      <c r="H1910" s="743"/>
      <c r="I1910" s="744"/>
      <c r="J1910" s="745"/>
      <c r="K1910" s="741"/>
      <c r="L1910" s="744"/>
      <c r="M1910" s="745"/>
      <c r="N1910" s="752"/>
    </row>
    <row r="1911" spans="2:15" ht="14.25" customHeight="1" x14ac:dyDescent="0.25">
      <c r="B1911" s="755" t="s">
        <v>416</v>
      </c>
      <c r="C1911" s="733"/>
      <c r="D1911" s="733"/>
      <c r="E1911" s="733"/>
      <c r="F1911" s="733"/>
      <c r="G1911" s="733"/>
      <c r="H1911" s="736"/>
      <c r="I1911" s="746"/>
      <c r="J1911" s="747"/>
      <c r="K1911" s="748"/>
      <c r="L1911" s="746"/>
      <c r="M1911" s="747"/>
      <c r="N1911" s="753"/>
    </row>
    <row r="1912" spans="2:15" ht="14.25" customHeight="1" x14ac:dyDescent="0.25">
      <c r="B1912" s="121" t="s">
        <v>400</v>
      </c>
      <c r="C1912" s="122" t="s">
        <v>401</v>
      </c>
      <c r="D1912" s="123" t="s">
        <v>402</v>
      </c>
      <c r="E1912" s="123" t="s">
        <v>403</v>
      </c>
      <c r="F1912" s="123" t="s">
        <v>404</v>
      </c>
      <c r="G1912" s="123" t="s">
        <v>405</v>
      </c>
      <c r="H1912" s="123" t="s">
        <v>406</v>
      </c>
      <c r="I1912" s="746"/>
      <c r="J1912" s="747"/>
      <c r="K1912" s="748"/>
      <c r="L1912" s="746"/>
      <c r="M1912" s="747"/>
      <c r="N1912" s="753"/>
      <c r="O1912" s="137"/>
    </row>
    <row r="1913" spans="2:15" ht="18" customHeight="1" x14ac:dyDescent="0.25">
      <c r="B1913" s="353"/>
      <c r="C1913" s="215" t="s">
        <v>523</v>
      </c>
      <c r="D1913" s="125">
        <v>6</v>
      </c>
      <c r="E1913" s="125">
        <v>12</v>
      </c>
      <c r="F1913" s="125"/>
      <c r="G1913" s="125">
        <v>3.5</v>
      </c>
      <c r="H1913" s="126">
        <f>E1913*G1913*D1913</f>
        <v>252</v>
      </c>
      <c r="I1913" s="746"/>
      <c r="J1913" s="747"/>
      <c r="K1913" s="748"/>
      <c r="L1913" s="746"/>
      <c r="M1913" s="747"/>
      <c r="N1913" s="753"/>
    </row>
    <row r="1914" spans="2:15" ht="14.25" customHeight="1" x14ac:dyDescent="0.25">
      <c r="B1914" s="353"/>
      <c r="C1914" s="215"/>
      <c r="D1914" s="125"/>
      <c r="E1914" s="125"/>
      <c r="F1914" s="125"/>
      <c r="G1914" s="125"/>
      <c r="H1914" s="126"/>
      <c r="I1914" s="746"/>
      <c r="J1914" s="747"/>
      <c r="K1914" s="748"/>
      <c r="L1914" s="746"/>
      <c r="M1914" s="747"/>
      <c r="N1914" s="753"/>
    </row>
    <row r="1915" spans="2:15" ht="14.25" customHeight="1" x14ac:dyDescent="0.25">
      <c r="B1915" s="353"/>
      <c r="C1915" s="215"/>
      <c r="D1915" s="125"/>
      <c r="E1915" s="125"/>
      <c r="F1915" s="125"/>
      <c r="G1915" s="125"/>
      <c r="H1915" s="126"/>
      <c r="I1915" s="746"/>
      <c r="J1915" s="747"/>
      <c r="K1915" s="748"/>
      <c r="L1915" s="746"/>
      <c r="M1915" s="747"/>
      <c r="N1915" s="753"/>
    </row>
    <row r="1916" spans="2:15" ht="14.25" customHeight="1" x14ac:dyDescent="0.25">
      <c r="B1916" s="353"/>
      <c r="C1916" s="215"/>
      <c r="D1916" s="125"/>
      <c r="E1916" s="125"/>
      <c r="F1916" s="125"/>
      <c r="G1916" s="125"/>
      <c r="H1916" s="126"/>
      <c r="I1916" s="746"/>
      <c r="J1916" s="747"/>
      <c r="K1916" s="748"/>
      <c r="L1916" s="746"/>
      <c r="M1916" s="747"/>
      <c r="N1916" s="753"/>
    </row>
    <row r="1917" spans="2:15" ht="14.25" customHeight="1" x14ac:dyDescent="0.25">
      <c r="B1917" s="353"/>
      <c r="C1917" s="215"/>
      <c r="D1917" s="134"/>
      <c r="E1917" s="134"/>
      <c r="F1917" s="134"/>
      <c r="G1917" s="134"/>
      <c r="H1917" s="134"/>
      <c r="I1917" s="746"/>
      <c r="J1917" s="747"/>
      <c r="K1917" s="748"/>
      <c r="L1917" s="746"/>
      <c r="M1917" s="747"/>
      <c r="N1917" s="753"/>
    </row>
    <row r="1918" spans="2:15" ht="14.25" customHeight="1" x14ac:dyDescent="0.25">
      <c r="B1918" s="353"/>
      <c r="C1918" s="215"/>
      <c r="D1918" s="125"/>
      <c r="E1918" s="125"/>
      <c r="F1918" s="125"/>
      <c r="G1918" s="125"/>
      <c r="H1918" s="125"/>
      <c r="I1918" s="746"/>
      <c r="J1918" s="747"/>
      <c r="K1918" s="748"/>
      <c r="L1918" s="746"/>
      <c r="M1918" s="747"/>
      <c r="N1918" s="753"/>
    </row>
    <row r="1919" spans="2:15" ht="14.25" customHeight="1" x14ac:dyDescent="0.25">
      <c r="B1919" s="163"/>
      <c r="C1919" s="215"/>
      <c r="D1919" s="134"/>
      <c r="E1919" s="134"/>
      <c r="F1919" s="134"/>
      <c r="G1919" s="134"/>
      <c r="H1919" s="134"/>
      <c r="I1919" s="746"/>
      <c r="J1919" s="747"/>
      <c r="K1919" s="748"/>
      <c r="L1919" s="746"/>
      <c r="M1919" s="747"/>
      <c r="N1919" s="753"/>
    </row>
    <row r="1920" spans="2:15" ht="14.25" customHeight="1" x14ac:dyDescent="0.25">
      <c r="B1920" s="163"/>
      <c r="C1920" s="215"/>
      <c r="D1920" s="134"/>
      <c r="E1920" s="134"/>
      <c r="F1920" s="134"/>
      <c r="G1920" s="134"/>
      <c r="H1920" s="144"/>
      <c r="I1920" s="746"/>
      <c r="J1920" s="747"/>
      <c r="K1920" s="748"/>
      <c r="L1920" s="746"/>
      <c r="M1920" s="747"/>
      <c r="N1920" s="753"/>
    </row>
    <row r="1921" spans="2:14" ht="14.25" customHeight="1" x14ac:dyDescent="0.25">
      <c r="B1921" s="127"/>
      <c r="C1921" s="215"/>
      <c r="D1921" s="125"/>
      <c r="E1921" s="125"/>
      <c r="F1921" s="125"/>
      <c r="G1921" s="125"/>
      <c r="H1921" s="125"/>
      <c r="I1921" s="746"/>
      <c r="J1921" s="747"/>
      <c r="K1921" s="748"/>
      <c r="L1921" s="746"/>
      <c r="M1921" s="747"/>
      <c r="N1921" s="753"/>
    </row>
    <row r="1922" spans="2:14" ht="14.25" customHeight="1" x14ac:dyDescent="0.25">
      <c r="B1922" s="357"/>
      <c r="C1922" s="358"/>
      <c r="D1922" s="168"/>
      <c r="E1922" s="125"/>
      <c r="F1922" s="125"/>
      <c r="G1922" s="125"/>
      <c r="H1922" s="125"/>
      <c r="I1922" s="746"/>
      <c r="J1922" s="747"/>
      <c r="K1922" s="748"/>
      <c r="L1922" s="746"/>
      <c r="M1922" s="747"/>
      <c r="N1922" s="753"/>
    </row>
    <row r="1923" spans="2:14" ht="14.25" customHeight="1" x14ac:dyDescent="0.25">
      <c r="B1923" s="127"/>
      <c r="C1923" s="204"/>
      <c r="D1923" s="125"/>
      <c r="E1923" s="125"/>
      <c r="F1923" s="125"/>
      <c r="G1923" s="125"/>
      <c r="H1923" s="125"/>
      <c r="I1923" s="746"/>
      <c r="J1923" s="747"/>
      <c r="K1923" s="748"/>
      <c r="L1923" s="746"/>
      <c r="M1923" s="747"/>
      <c r="N1923" s="753"/>
    </row>
    <row r="1924" spans="2:14" ht="14.25" customHeight="1" x14ac:dyDescent="0.25">
      <c r="B1924" s="127"/>
      <c r="C1924" s="125"/>
      <c r="D1924" s="125"/>
      <c r="E1924" s="125"/>
      <c r="F1924" s="125"/>
      <c r="G1924" s="125"/>
      <c r="H1924" s="125"/>
      <c r="I1924" s="749"/>
      <c r="J1924" s="750"/>
      <c r="K1924" s="751"/>
      <c r="L1924" s="749"/>
      <c r="M1924" s="750"/>
      <c r="N1924" s="754"/>
    </row>
    <row r="1925" spans="2:14" ht="14.25" customHeight="1" x14ac:dyDescent="0.25">
      <c r="B1925" s="209"/>
      <c r="C1925" s="118"/>
      <c r="D1925" s="118"/>
      <c r="E1925" s="118"/>
      <c r="F1925" s="118"/>
      <c r="G1925" s="118"/>
      <c r="H1925" s="118"/>
      <c r="I1925" s="118"/>
      <c r="J1925" s="118"/>
      <c r="K1925" s="118"/>
      <c r="L1925" s="118"/>
      <c r="M1925" s="118"/>
      <c r="N1925" s="210"/>
    </row>
    <row r="1926" spans="2:14" ht="14.25" customHeight="1" x14ac:dyDescent="0.25">
      <c r="B1926" s="209"/>
      <c r="C1926" s="118"/>
      <c r="D1926" s="118"/>
      <c r="E1926" s="118"/>
      <c r="F1926" s="118"/>
      <c r="G1926" s="118"/>
      <c r="H1926" s="118"/>
      <c r="I1926" s="118"/>
      <c r="J1926" s="118"/>
      <c r="K1926" s="118"/>
      <c r="L1926" s="118"/>
      <c r="M1926" s="118"/>
      <c r="N1926" s="210"/>
    </row>
    <row r="1927" spans="2:14" ht="14.25" customHeight="1" x14ac:dyDescent="0.25">
      <c r="B1927" s="209"/>
      <c r="C1927" s="118"/>
      <c r="D1927" s="118"/>
      <c r="E1927" s="118"/>
      <c r="F1927" s="118"/>
      <c r="G1927" s="118"/>
      <c r="H1927" s="118"/>
      <c r="I1927" s="118"/>
      <c r="J1927" s="118"/>
      <c r="K1927" s="118"/>
      <c r="L1927" s="118"/>
      <c r="M1927" s="118"/>
      <c r="N1927" s="210"/>
    </row>
    <row r="1928" spans="2:14" ht="14.25" customHeight="1" x14ac:dyDescent="0.25">
      <c r="B1928" s="209"/>
      <c r="C1928" s="118"/>
      <c r="D1928" s="118"/>
      <c r="E1928" s="118"/>
      <c r="F1928" s="118"/>
      <c r="G1928" s="118"/>
      <c r="H1928" s="118"/>
      <c r="I1928" s="118"/>
      <c r="J1928" s="118"/>
      <c r="K1928" s="118"/>
      <c r="L1928" s="118"/>
      <c r="M1928" s="118"/>
      <c r="N1928" s="210"/>
    </row>
    <row r="1929" spans="2:14" ht="14.25" customHeight="1" x14ac:dyDescent="0.25">
      <c r="B1929" s="775" t="s">
        <v>414</v>
      </c>
      <c r="C1929" s="747"/>
      <c r="D1929" s="747"/>
      <c r="E1929" s="128"/>
      <c r="F1929" s="128"/>
      <c r="G1929" s="128"/>
      <c r="H1929" s="128"/>
      <c r="I1929" s="776"/>
      <c r="J1929" s="747"/>
      <c r="K1929" s="747"/>
      <c r="L1929" s="118"/>
      <c r="M1929" s="118"/>
      <c r="N1929" s="210"/>
    </row>
    <row r="1930" spans="2:14" ht="14.25" customHeight="1" thickBot="1" x14ac:dyDescent="0.3">
      <c r="B1930" s="129"/>
      <c r="C1930" s="130"/>
      <c r="D1930" s="130"/>
      <c r="E1930" s="130"/>
      <c r="F1930" s="130"/>
      <c r="G1930" s="130"/>
      <c r="H1930" s="130"/>
      <c r="I1930" s="130"/>
      <c r="J1930" s="130"/>
      <c r="K1930" s="130"/>
      <c r="L1930" s="130"/>
      <c r="M1930" s="130"/>
      <c r="N1930" s="131"/>
    </row>
    <row r="1931" spans="2:14" ht="14.25" customHeight="1" thickBot="1" x14ac:dyDescent="0.3">
      <c r="B1931" s="132"/>
      <c r="C1931" s="132"/>
      <c r="D1931" s="132"/>
      <c r="E1931" s="132"/>
      <c r="F1931" s="132"/>
      <c r="G1931" s="132"/>
      <c r="H1931" s="132"/>
      <c r="I1931" s="132"/>
      <c r="J1931" s="132"/>
      <c r="K1931" s="132"/>
      <c r="L1931" s="132"/>
      <c r="M1931" s="132"/>
      <c r="N1931" s="132"/>
    </row>
    <row r="1932" spans="2:14" ht="33.75" customHeight="1" x14ac:dyDescent="0.25">
      <c r="B1932" s="728"/>
      <c r="C1932" s="729"/>
      <c r="D1932" s="730" t="s">
        <v>393</v>
      </c>
      <c r="E1932" s="729"/>
      <c r="F1932" s="729"/>
      <c r="G1932" s="729"/>
      <c r="H1932" s="729"/>
      <c r="I1932" s="729"/>
      <c r="J1932" s="729"/>
      <c r="K1932" s="729"/>
      <c r="L1932" s="729"/>
      <c r="M1932" s="729"/>
      <c r="N1932" s="731"/>
    </row>
    <row r="1933" spans="2:14" ht="14.25" customHeight="1" x14ac:dyDescent="0.25">
      <c r="B1933" s="732" t="s">
        <v>394</v>
      </c>
      <c r="C1933" s="733"/>
      <c r="D1933" s="733"/>
      <c r="E1933" s="733"/>
      <c r="F1933" s="733"/>
      <c r="G1933" s="733"/>
      <c r="H1933" s="733"/>
      <c r="I1933" s="733"/>
      <c r="J1933" s="733"/>
      <c r="K1933" s="733"/>
      <c r="L1933" s="733"/>
      <c r="M1933" s="733"/>
      <c r="N1933" s="734"/>
    </row>
    <row r="1934" spans="2:14" ht="14.25" customHeight="1" x14ac:dyDescent="0.25">
      <c r="B1934" s="735" t="s">
        <v>395</v>
      </c>
      <c r="C1934" s="736"/>
      <c r="D1934" s="737" t="str">
        <f>VLOOKUP(B1936,Buenaventura!A9:G2174,3,FALSE)</f>
        <v xml:space="preserve">Suministro y fabricación guardaescoba en concreto en media caña 10 cm </v>
      </c>
      <c r="E1934" s="738"/>
      <c r="F1934" s="738"/>
      <c r="G1934" s="738"/>
      <c r="H1934" s="738"/>
      <c r="I1934" s="738"/>
      <c r="J1934" s="738"/>
      <c r="K1934" s="738"/>
      <c r="L1934" s="738"/>
      <c r="M1934" s="738"/>
      <c r="N1934" s="739"/>
    </row>
    <row r="1935" spans="2:14" ht="14.25" customHeight="1" x14ac:dyDescent="0.25">
      <c r="B1935" s="740" t="s">
        <v>26</v>
      </c>
      <c r="C1935" s="741"/>
      <c r="D1935" s="119" t="s">
        <v>396</v>
      </c>
      <c r="E1935" s="742" t="s">
        <v>397</v>
      </c>
      <c r="F1935" s="733"/>
      <c r="G1935" s="733"/>
      <c r="H1935" s="736"/>
      <c r="I1935" s="742" t="s">
        <v>398</v>
      </c>
      <c r="J1935" s="733"/>
      <c r="K1935" s="736"/>
      <c r="L1935" s="742" t="s">
        <v>399</v>
      </c>
      <c r="M1935" s="733"/>
      <c r="N1935" s="734"/>
    </row>
    <row r="1936" spans="2:14" ht="14.25" customHeight="1" x14ac:dyDescent="0.25">
      <c r="B1936" s="283">
        <v>32</v>
      </c>
      <c r="C1936" s="284" t="str">
        <f>VLOOKUP(B1936,Buenaventura!A9:G2187,2,FALSE)</f>
        <v>AC-46</v>
      </c>
      <c r="D1936" s="285">
        <f>SUM(H1939:H1942)*50%</f>
        <v>126</v>
      </c>
      <c r="E1936" s="743" t="str">
        <f>VLOOKUP(B1936,Buenaventura!A9:G2186,4,FALSE)</f>
        <v>ML</v>
      </c>
      <c r="F1936" s="743"/>
      <c r="G1936" s="743"/>
      <c r="H1936" s="743"/>
      <c r="I1936" s="744"/>
      <c r="J1936" s="745"/>
      <c r="K1936" s="745"/>
      <c r="L1936" s="744"/>
      <c r="M1936" s="745"/>
      <c r="N1936" s="752"/>
    </row>
    <row r="1937" spans="2:14" ht="14.25" customHeight="1" x14ac:dyDescent="0.25">
      <c r="B1937" s="755" t="s">
        <v>416</v>
      </c>
      <c r="C1937" s="733"/>
      <c r="D1937" s="733"/>
      <c r="E1937" s="733"/>
      <c r="F1937" s="733"/>
      <c r="G1937" s="733"/>
      <c r="H1937" s="736"/>
      <c r="I1937" s="746"/>
      <c r="J1937" s="747"/>
      <c r="K1937" s="782"/>
      <c r="L1937" s="746"/>
      <c r="M1937" s="747"/>
      <c r="N1937" s="753"/>
    </row>
    <row r="1938" spans="2:14" ht="14.25" customHeight="1" x14ac:dyDescent="0.25">
      <c r="B1938" s="121" t="s">
        <v>400</v>
      </c>
      <c r="C1938" s="122" t="s">
        <v>401</v>
      </c>
      <c r="D1938" s="123" t="s">
        <v>402</v>
      </c>
      <c r="E1938" s="123" t="s">
        <v>403</v>
      </c>
      <c r="F1938" s="123" t="s">
        <v>404</v>
      </c>
      <c r="G1938" s="123" t="s">
        <v>405</v>
      </c>
      <c r="H1938" s="123" t="s">
        <v>406</v>
      </c>
      <c r="I1938" s="746"/>
      <c r="J1938" s="747"/>
      <c r="K1938" s="782"/>
      <c r="L1938" s="746"/>
      <c r="M1938" s="747"/>
      <c r="N1938" s="753"/>
    </row>
    <row r="1939" spans="2:14" ht="14.25" customHeight="1" x14ac:dyDescent="0.25">
      <c r="B1939" s="124"/>
      <c r="C1939" s="215" t="s">
        <v>523</v>
      </c>
      <c r="D1939" s="125">
        <v>6</v>
      </c>
      <c r="E1939" s="125">
        <v>12</v>
      </c>
      <c r="F1939" s="125"/>
      <c r="G1939" s="125">
        <v>3.5</v>
      </c>
      <c r="H1939" s="126">
        <f>E1939*G1939*D1939</f>
        <v>252</v>
      </c>
      <c r="I1939" s="746"/>
      <c r="J1939" s="747"/>
      <c r="K1939" s="782"/>
      <c r="L1939" s="746"/>
      <c r="M1939" s="747"/>
      <c r="N1939" s="753"/>
    </row>
    <row r="1940" spans="2:14" ht="14.25" customHeight="1" x14ac:dyDescent="0.25">
      <c r="B1940" s="124"/>
      <c r="C1940" s="215"/>
      <c r="D1940" s="125"/>
      <c r="E1940" s="125"/>
      <c r="F1940" s="125"/>
      <c r="G1940" s="125"/>
      <c r="H1940" s="125"/>
      <c r="I1940" s="746"/>
      <c r="J1940" s="747"/>
      <c r="K1940" s="782"/>
      <c r="L1940" s="746"/>
      <c r="M1940" s="747"/>
      <c r="N1940" s="753"/>
    </row>
    <row r="1941" spans="2:14" ht="14.25" customHeight="1" x14ac:dyDescent="0.25">
      <c r="B1941" s="124"/>
      <c r="C1941" s="215"/>
      <c r="D1941" s="125"/>
      <c r="E1941" s="125"/>
      <c r="F1941" s="125"/>
      <c r="G1941" s="125"/>
      <c r="H1941" s="125"/>
      <c r="I1941" s="746"/>
      <c r="J1941" s="747"/>
      <c r="K1941" s="782"/>
      <c r="L1941" s="746"/>
      <c r="M1941" s="747"/>
      <c r="N1941" s="753"/>
    </row>
    <row r="1942" spans="2:14" ht="14.25" customHeight="1" x14ac:dyDescent="0.25">
      <c r="B1942" s="124"/>
      <c r="C1942" s="215"/>
      <c r="D1942" s="125"/>
      <c r="E1942" s="125"/>
      <c r="F1942" s="125"/>
      <c r="G1942" s="125"/>
      <c r="H1942" s="125"/>
      <c r="I1942" s="746"/>
      <c r="J1942" s="747"/>
      <c r="K1942" s="782"/>
      <c r="L1942" s="746"/>
      <c r="M1942" s="747"/>
      <c r="N1942" s="753"/>
    </row>
    <row r="1943" spans="2:14" ht="14.25" customHeight="1" x14ac:dyDescent="0.25">
      <c r="B1943" s="124"/>
      <c r="C1943" s="215"/>
      <c r="D1943" s="125"/>
      <c r="E1943" s="125"/>
      <c r="F1943" s="125"/>
      <c r="G1943" s="125"/>
      <c r="H1943" s="125"/>
      <c r="I1943" s="746"/>
      <c r="J1943" s="747"/>
      <c r="K1943" s="782"/>
      <c r="L1943" s="746"/>
      <c r="M1943" s="747"/>
      <c r="N1943" s="753"/>
    </row>
    <row r="1944" spans="2:14" ht="14.25" customHeight="1" x14ac:dyDescent="0.25">
      <c r="B1944" s="124"/>
      <c r="C1944" s="215"/>
      <c r="D1944" s="125"/>
      <c r="E1944" s="125"/>
      <c r="F1944" s="125"/>
      <c r="G1944" s="125"/>
      <c r="H1944" s="125"/>
      <c r="I1944" s="746"/>
      <c r="J1944" s="747"/>
      <c r="K1944" s="782"/>
      <c r="L1944" s="746"/>
      <c r="M1944" s="747"/>
      <c r="N1944" s="753"/>
    </row>
    <row r="1945" spans="2:14" ht="14.25" customHeight="1" x14ac:dyDescent="0.25">
      <c r="B1945" s="124"/>
      <c r="C1945" s="215"/>
      <c r="D1945" s="125"/>
      <c r="E1945" s="125"/>
      <c r="F1945" s="125"/>
      <c r="G1945" s="125"/>
      <c r="H1945" s="125"/>
      <c r="I1945" s="746"/>
      <c r="J1945" s="747"/>
      <c r="K1945" s="782"/>
      <c r="L1945" s="746"/>
      <c r="M1945" s="747"/>
      <c r="N1945" s="753"/>
    </row>
    <row r="1946" spans="2:14" ht="14.25" customHeight="1" x14ac:dyDescent="0.25">
      <c r="B1946" s="124"/>
      <c r="C1946" s="215"/>
      <c r="D1946" s="125"/>
      <c r="E1946" s="125"/>
      <c r="F1946" s="125"/>
      <c r="G1946" s="125"/>
      <c r="H1946" s="125"/>
      <c r="I1946" s="746"/>
      <c r="J1946" s="747"/>
      <c r="K1946" s="782"/>
      <c r="L1946" s="746"/>
      <c r="M1946" s="747"/>
      <c r="N1946" s="753"/>
    </row>
    <row r="1947" spans="2:14" ht="14.25" customHeight="1" x14ac:dyDescent="0.25">
      <c r="B1947" s="127"/>
      <c r="C1947" s="204"/>
      <c r="D1947" s="125"/>
      <c r="E1947" s="125"/>
      <c r="F1947" s="125"/>
      <c r="G1947" s="125"/>
      <c r="H1947" s="125"/>
      <c r="I1947" s="746"/>
      <c r="J1947" s="747"/>
      <c r="K1947" s="782"/>
      <c r="L1947" s="746"/>
      <c r="M1947" s="747"/>
      <c r="N1947" s="753"/>
    </row>
    <row r="1948" spans="2:14" ht="14.25" customHeight="1" x14ac:dyDescent="0.25">
      <c r="B1948" s="127"/>
      <c r="C1948" s="125"/>
      <c r="D1948" s="125"/>
      <c r="E1948" s="125"/>
      <c r="F1948" s="125"/>
      <c r="G1948" s="125"/>
      <c r="H1948" s="125"/>
      <c r="I1948" s="749"/>
      <c r="J1948" s="750"/>
      <c r="K1948" s="750"/>
      <c r="L1948" s="749"/>
      <c r="M1948" s="750"/>
      <c r="N1948" s="754"/>
    </row>
    <row r="1949" spans="2:14" ht="14.25" customHeight="1" x14ac:dyDescent="0.25">
      <c r="B1949" s="209"/>
      <c r="C1949" s="118"/>
      <c r="D1949" s="118"/>
      <c r="E1949" s="118"/>
      <c r="F1949" s="118"/>
      <c r="G1949" s="118"/>
      <c r="H1949" s="118"/>
      <c r="I1949" s="118"/>
      <c r="J1949" s="118"/>
      <c r="K1949" s="118"/>
      <c r="L1949" s="118"/>
      <c r="M1949" s="118"/>
      <c r="N1949" s="210"/>
    </row>
    <row r="1950" spans="2:14" ht="14.25" customHeight="1" x14ac:dyDescent="0.25">
      <c r="B1950" s="209"/>
      <c r="C1950" s="118"/>
      <c r="D1950" s="118"/>
      <c r="E1950" s="118"/>
      <c r="F1950" s="118"/>
      <c r="G1950" s="118"/>
      <c r="H1950" s="118"/>
      <c r="I1950" s="118"/>
      <c r="J1950" s="118"/>
      <c r="K1950" s="118"/>
      <c r="L1950" s="118"/>
      <c r="M1950" s="118"/>
      <c r="N1950" s="210"/>
    </row>
    <row r="1951" spans="2:14" ht="14.25" customHeight="1" x14ac:dyDescent="0.25">
      <c r="B1951" s="209"/>
      <c r="C1951" s="118"/>
      <c r="D1951" s="118"/>
      <c r="E1951" s="118"/>
      <c r="F1951" s="118"/>
      <c r="G1951" s="118"/>
      <c r="H1951" s="118"/>
      <c r="I1951" s="118"/>
      <c r="J1951" s="118"/>
      <c r="K1951" s="118"/>
      <c r="L1951" s="118"/>
      <c r="M1951" s="118"/>
      <c r="N1951" s="210"/>
    </row>
    <row r="1952" spans="2:14" ht="14.25" customHeight="1" x14ac:dyDescent="0.25">
      <c r="B1952" s="775" t="s">
        <v>414</v>
      </c>
      <c r="C1952" s="747"/>
      <c r="D1952" s="747"/>
      <c r="E1952" s="128"/>
      <c r="F1952" s="128"/>
      <c r="G1952" s="128"/>
      <c r="H1952" s="128"/>
      <c r="I1952" s="776"/>
      <c r="J1952" s="747"/>
      <c r="K1952" s="747"/>
      <c r="L1952" s="118"/>
      <c r="M1952" s="118"/>
      <c r="N1952" s="210"/>
    </row>
    <row r="1953" spans="2:14" ht="14.25" customHeight="1" thickBot="1" x14ac:dyDescent="0.3">
      <c r="B1953" s="129"/>
      <c r="C1953" s="130"/>
      <c r="D1953" s="130"/>
      <c r="E1953" s="130"/>
      <c r="F1953" s="130"/>
      <c r="G1953" s="130"/>
      <c r="H1953" s="130"/>
      <c r="I1953" s="130"/>
      <c r="J1953" s="130"/>
      <c r="K1953" s="130"/>
      <c r="L1953" s="130"/>
      <c r="M1953" s="130"/>
      <c r="N1953" s="131"/>
    </row>
    <row r="1954" spans="2:14" ht="14.25" hidden="1" customHeight="1" x14ac:dyDescent="0.25">
      <c r="B1954" s="132"/>
      <c r="C1954" s="132"/>
      <c r="D1954" s="132"/>
      <c r="E1954" s="132"/>
      <c r="F1954" s="132"/>
      <c r="G1954" s="132"/>
      <c r="H1954" s="132"/>
      <c r="I1954" s="132"/>
      <c r="J1954" s="132"/>
      <c r="K1954" s="132"/>
      <c r="L1954" s="132"/>
      <c r="M1954" s="132"/>
      <c r="N1954" s="132"/>
    </row>
    <row r="1955" spans="2:14" ht="39.75" hidden="1" customHeight="1" x14ac:dyDescent="0.25">
      <c r="B1955" s="728"/>
      <c r="C1955" s="729"/>
      <c r="D1955" s="730" t="s">
        <v>393</v>
      </c>
      <c r="E1955" s="729"/>
      <c r="F1955" s="729"/>
      <c r="G1955" s="729"/>
      <c r="H1955" s="729"/>
      <c r="I1955" s="729"/>
      <c r="J1955" s="729"/>
      <c r="K1955" s="729"/>
      <c r="L1955" s="729"/>
      <c r="M1955" s="729"/>
      <c r="N1955" s="731"/>
    </row>
    <row r="1956" spans="2:14" ht="14.25" hidden="1" customHeight="1" x14ac:dyDescent="0.25">
      <c r="B1956" s="732" t="s">
        <v>394</v>
      </c>
      <c r="C1956" s="733"/>
      <c r="D1956" s="733"/>
      <c r="E1956" s="733"/>
      <c r="F1956" s="733"/>
      <c r="G1956" s="733"/>
      <c r="H1956" s="733"/>
      <c r="I1956" s="733"/>
      <c r="J1956" s="733"/>
      <c r="K1956" s="733"/>
      <c r="L1956" s="733"/>
      <c r="M1956" s="733"/>
      <c r="N1956" s="734"/>
    </row>
    <row r="1957" spans="2:14" ht="14.25" hidden="1" customHeight="1" x14ac:dyDescent="0.25">
      <c r="B1957" s="735" t="s">
        <v>395</v>
      </c>
      <c r="C1957" s="736"/>
      <c r="D1957" s="779" t="s">
        <v>524</v>
      </c>
      <c r="E1957" s="733"/>
      <c r="F1957" s="733"/>
      <c r="G1957" s="733"/>
      <c r="H1957" s="733"/>
      <c r="I1957" s="733"/>
      <c r="J1957" s="733"/>
      <c r="K1957" s="733"/>
      <c r="L1957" s="733"/>
      <c r="M1957" s="733"/>
      <c r="N1957" s="734"/>
    </row>
    <row r="1958" spans="2:14" ht="14.25" hidden="1" customHeight="1" x14ac:dyDescent="0.25">
      <c r="B1958" s="740" t="s">
        <v>26</v>
      </c>
      <c r="C1958" s="741"/>
      <c r="D1958" s="119" t="s">
        <v>396</v>
      </c>
      <c r="E1958" s="742" t="s">
        <v>397</v>
      </c>
      <c r="F1958" s="733"/>
      <c r="G1958" s="733"/>
      <c r="H1958" s="736"/>
      <c r="I1958" s="790" t="s">
        <v>398</v>
      </c>
      <c r="J1958" s="745"/>
      <c r="K1958" s="741"/>
      <c r="L1958" s="742" t="s">
        <v>399</v>
      </c>
      <c r="M1958" s="733"/>
      <c r="N1958" s="734"/>
    </row>
    <row r="1959" spans="2:14" ht="14.25" hidden="1" customHeight="1" x14ac:dyDescent="0.25">
      <c r="B1959" s="777">
        <v>54</v>
      </c>
      <c r="C1959" s="736"/>
      <c r="D1959" s="123">
        <f>ROUND(SUM(H1962:H1984),0)</f>
        <v>251</v>
      </c>
      <c r="E1959" s="778" t="s">
        <v>51</v>
      </c>
      <c r="F1959" s="733"/>
      <c r="G1959" s="733"/>
      <c r="H1959" s="736"/>
      <c r="I1959" s="744"/>
      <c r="J1959" s="745"/>
      <c r="K1959" s="741"/>
      <c r="L1959" s="788"/>
      <c r="M1959" s="745"/>
      <c r="N1959" s="752"/>
    </row>
    <row r="1960" spans="2:14" ht="14.25" hidden="1" customHeight="1" x14ac:dyDescent="0.25">
      <c r="B1960" s="755" t="s">
        <v>416</v>
      </c>
      <c r="C1960" s="733"/>
      <c r="D1960" s="733"/>
      <c r="E1960" s="733"/>
      <c r="F1960" s="733"/>
      <c r="G1960" s="733"/>
      <c r="H1960" s="733"/>
      <c r="I1960" s="746"/>
      <c r="J1960" s="747"/>
      <c r="K1960" s="748"/>
      <c r="L1960" s="782"/>
      <c r="M1960" s="747"/>
      <c r="N1960" s="753"/>
    </row>
    <row r="1961" spans="2:14" ht="14.25" hidden="1" customHeight="1" x14ac:dyDescent="0.25">
      <c r="B1961" s="121" t="s">
        <v>400</v>
      </c>
      <c r="C1961" s="122" t="s">
        <v>401</v>
      </c>
      <c r="D1961" s="123" t="s">
        <v>402</v>
      </c>
      <c r="E1961" s="123" t="s">
        <v>403</v>
      </c>
      <c r="F1961" s="123" t="s">
        <v>404</v>
      </c>
      <c r="G1961" s="123" t="s">
        <v>405</v>
      </c>
      <c r="H1961" s="208" t="s">
        <v>406</v>
      </c>
      <c r="I1961" s="746"/>
      <c r="J1961" s="747"/>
      <c r="K1961" s="748"/>
      <c r="L1961" s="782"/>
      <c r="M1961" s="747"/>
      <c r="N1961" s="753"/>
    </row>
    <row r="1962" spans="2:14" ht="14.25" hidden="1" customHeight="1" x14ac:dyDescent="0.25">
      <c r="B1962" s="124"/>
      <c r="C1962" s="125"/>
      <c r="D1962" s="125"/>
      <c r="E1962" s="125"/>
      <c r="F1962" s="125"/>
      <c r="G1962" s="125"/>
      <c r="H1962" s="167"/>
      <c r="I1962" s="746"/>
      <c r="J1962" s="747"/>
      <c r="K1962" s="748"/>
      <c r="L1962" s="782"/>
      <c r="M1962" s="747"/>
      <c r="N1962" s="753"/>
    </row>
    <row r="1963" spans="2:14" ht="14.25" hidden="1" customHeight="1" x14ac:dyDescent="0.25">
      <c r="B1963" s="124" t="s">
        <v>525</v>
      </c>
      <c r="C1963" s="765" t="s">
        <v>515</v>
      </c>
      <c r="D1963" s="125"/>
      <c r="E1963" s="125"/>
      <c r="F1963" s="125">
        <f>3+3+1.9+0.9</f>
        <v>8.8000000000000007</v>
      </c>
      <c r="G1963" s="125">
        <v>2.0499999999999998</v>
      </c>
      <c r="H1963" s="167">
        <f>F1963*G1963</f>
        <v>18.04</v>
      </c>
      <c r="I1963" s="746"/>
      <c r="J1963" s="747"/>
      <c r="K1963" s="748"/>
      <c r="L1963" s="782"/>
      <c r="M1963" s="747"/>
      <c r="N1963" s="753"/>
    </row>
    <row r="1964" spans="2:14" ht="14.25" hidden="1" customHeight="1" x14ac:dyDescent="0.25">
      <c r="B1964" s="124"/>
      <c r="C1964" s="780"/>
      <c r="D1964" s="125"/>
      <c r="E1964" s="125"/>
      <c r="F1964" s="125"/>
      <c r="G1964" s="125"/>
      <c r="H1964" s="167"/>
      <c r="I1964" s="746"/>
      <c r="J1964" s="747"/>
      <c r="K1964" s="748"/>
      <c r="L1964" s="782"/>
      <c r="M1964" s="747"/>
      <c r="N1964" s="753"/>
    </row>
    <row r="1965" spans="2:14" ht="14.25" hidden="1" customHeight="1" x14ac:dyDescent="0.25">
      <c r="B1965" s="124" t="s">
        <v>526</v>
      </c>
      <c r="C1965" s="780"/>
      <c r="D1965" s="125"/>
      <c r="E1965" s="125"/>
      <c r="F1965" s="125">
        <f>3.12+3.12+1.9+0.9</f>
        <v>9.0400000000000009</v>
      </c>
      <c r="G1965" s="125">
        <v>2.0499999999999998</v>
      </c>
      <c r="H1965" s="167">
        <f>F1965*G1965</f>
        <v>18.532</v>
      </c>
      <c r="I1965" s="746"/>
      <c r="J1965" s="747"/>
      <c r="K1965" s="748"/>
      <c r="L1965" s="782"/>
      <c r="M1965" s="747"/>
      <c r="N1965" s="753"/>
    </row>
    <row r="1966" spans="2:14" ht="14.25" hidden="1" customHeight="1" x14ac:dyDescent="0.25">
      <c r="B1966" s="124"/>
      <c r="C1966" s="780"/>
      <c r="D1966" s="125"/>
      <c r="E1966" s="125"/>
      <c r="F1966" s="125"/>
      <c r="G1966" s="125"/>
      <c r="H1966" s="167"/>
      <c r="I1966" s="746"/>
      <c r="J1966" s="747"/>
      <c r="K1966" s="748"/>
      <c r="L1966" s="782"/>
      <c r="M1966" s="747"/>
      <c r="N1966" s="753"/>
    </row>
    <row r="1967" spans="2:14" ht="14.25" hidden="1" customHeight="1" x14ac:dyDescent="0.25">
      <c r="B1967" s="124" t="s">
        <v>527</v>
      </c>
      <c r="C1967" s="780"/>
      <c r="D1967" s="125"/>
      <c r="E1967" s="125"/>
      <c r="F1967" s="125">
        <f>2+2.22+2.22+1.1</f>
        <v>7.5400000000000009</v>
      </c>
      <c r="G1967" s="125">
        <v>2.0499999999999998</v>
      </c>
      <c r="H1967" s="167">
        <f>F1967*G1967</f>
        <v>15.457000000000001</v>
      </c>
      <c r="I1967" s="746"/>
      <c r="J1967" s="747"/>
      <c r="K1967" s="748"/>
      <c r="L1967" s="782"/>
      <c r="M1967" s="747"/>
      <c r="N1967" s="753"/>
    </row>
    <row r="1968" spans="2:14" ht="14.25" hidden="1" customHeight="1" x14ac:dyDescent="0.25">
      <c r="B1968" s="124"/>
      <c r="C1968" s="780"/>
      <c r="D1968" s="125"/>
      <c r="E1968" s="125"/>
      <c r="F1968" s="125"/>
      <c r="G1968" s="125"/>
      <c r="H1968" s="167">
        <f>E1968*F1968</f>
        <v>0</v>
      </c>
      <c r="I1968" s="746"/>
      <c r="J1968" s="747"/>
      <c r="K1968" s="748"/>
      <c r="L1968" s="782"/>
      <c r="M1968" s="747"/>
      <c r="N1968" s="753"/>
    </row>
    <row r="1969" spans="2:14" ht="14.25" hidden="1" customHeight="1" x14ac:dyDescent="0.25">
      <c r="B1969" s="124" t="s">
        <v>528</v>
      </c>
      <c r="C1969" s="781"/>
      <c r="D1969" s="125"/>
      <c r="E1969" s="125"/>
      <c r="F1969" s="125">
        <f>1.99+1.99+2+1.1</f>
        <v>7.08</v>
      </c>
      <c r="G1969" s="125">
        <v>2.0499999999999998</v>
      </c>
      <c r="H1969" s="167">
        <f>F1969*G1969</f>
        <v>14.513999999999999</v>
      </c>
      <c r="I1969" s="746"/>
      <c r="J1969" s="747"/>
      <c r="K1969" s="748"/>
      <c r="L1969" s="782"/>
      <c r="M1969" s="747"/>
      <c r="N1969" s="753"/>
    </row>
    <row r="1970" spans="2:14" ht="14.25" hidden="1" customHeight="1" x14ac:dyDescent="0.25">
      <c r="B1970" s="124"/>
      <c r="C1970" s="125"/>
      <c r="D1970" s="125"/>
      <c r="E1970" s="125"/>
      <c r="F1970" s="125"/>
      <c r="G1970" s="125"/>
      <c r="H1970" s="167"/>
      <c r="I1970" s="746"/>
      <c r="J1970" s="747"/>
      <c r="K1970" s="748"/>
      <c r="L1970" s="782"/>
      <c r="M1970" s="747"/>
      <c r="N1970" s="753"/>
    </row>
    <row r="1971" spans="2:14" ht="14.25" hidden="1" customHeight="1" x14ac:dyDescent="0.25">
      <c r="B1971" s="124" t="s">
        <v>479</v>
      </c>
      <c r="C1971" s="125" t="s">
        <v>477</v>
      </c>
      <c r="D1971" s="125">
        <v>2</v>
      </c>
      <c r="E1971" s="125"/>
      <c r="F1971" s="125">
        <f>1.21+1.51+1.51+0.3</f>
        <v>4.5299999999999994</v>
      </c>
      <c r="G1971" s="125">
        <v>2.0499999999999998</v>
      </c>
      <c r="H1971" s="167">
        <f>D1971*F1971*G1971</f>
        <v>18.572999999999997</v>
      </c>
      <c r="I1971" s="746"/>
      <c r="J1971" s="747"/>
      <c r="K1971" s="748"/>
      <c r="L1971" s="782"/>
      <c r="M1971" s="747"/>
      <c r="N1971" s="753"/>
    </row>
    <row r="1972" spans="2:14" ht="14.25" hidden="1" customHeight="1" x14ac:dyDescent="0.25">
      <c r="B1972" s="124"/>
      <c r="C1972" s="125"/>
      <c r="D1972" s="125"/>
      <c r="E1972" s="125"/>
      <c r="F1972" s="125"/>
      <c r="G1972" s="125"/>
      <c r="H1972" s="167">
        <f>E1972*F1972</f>
        <v>0</v>
      </c>
      <c r="I1972" s="746"/>
      <c r="J1972" s="747"/>
      <c r="K1972" s="748"/>
      <c r="L1972" s="782"/>
      <c r="M1972" s="747"/>
      <c r="N1972" s="753"/>
    </row>
    <row r="1973" spans="2:14" ht="14.25" hidden="1" customHeight="1" x14ac:dyDescent="0.25">
      <c r="B1973" s="124" t="s">
        <v>525</v>
      </c>
      <c r="C1973" s="765" t="s">
        <v>481</v>
      </c>
      <c r="D1973" s="125"/>
      <c r="E1973" s="125"/>
      <c r="F1973" s="125">
        <f>2.2+3.44+3.13+3.44</f>
        <v>12.209999999999999</v>
      </c>
      <c r="G1973" s="125">
        <v>2.0499999999999998</v>
      </c>
      <c r="H1973" s="167">
        <f>F1973*G1973</f>
        <v>25.030499999999996</v>
      </c>
      <c r="I1973" s="746"/>
      <c r="J1973" s="747"/>
      <c r="K1973" s="748"/>
      <c r="L1973" s="782"/>
      <c r="M1973" s="747"/>
      <c r="N1973" s="753"/>
    </row>
    <row r="1974" spans="2:14" ht="14.25" hidden="1" customHeight="1" x14ac:dyDescent="0.25">
      <c r="B1974" s="124"/>
      <c r="C1974" s="780"/>
      <c r="D1974" s="125"/>
      <c r="E1974" s="125"/>
      <c r="F1974" s="125"/>
      <c r="G1974" s="125"/>
      <c r="H1974" s="167"/>
      <c r="I1974" s="746"/>
      <c r="J1974" s="747"/>
      <c r="K1974" s="748"/>
      <c r="L1974" s="782"/>
      <c r="M1974" s="747"/>
      <c r="N1974" s="753"/>
    </row>
    <row r="1975" spans="2:14" ht="14.25" hidden="1" customHeight="1" x14ac:dyDescent="0.25">
      <c r="B1975" s="124" t="s">
        <v>526</v>
      </c>
      <c r="C1975" s="780"/>
      <c r="D1975" s="125"/>
      <c r="E1975" s="125"/>
      <c r="F1975" s="125">
        <f>3.33+3.33+2.99+2.1</f>
        <v>11.75</v>
      </c>
      <c r="G1975" s="125">
        <v>2.0499999999999998</v>
      </c>
      <c r="H1975" s="167">
        <f>F1975*G1975</f>
        <v>24.087499999999999</v>
      </c>
      <c r="I1975" s="746"/>
      <c r="J1975" s="747"/>
      <c r="K1975" s="748"/>
      <c r="L1975" s="782"/>
      <c r="M1975" s="747"/>
      <c r="N1975" s="753"/>
    </row>
    <row r="1976" spans="2:14" ht="14.25" hidden="1" customHeight="1" x14ac:dyDescent="0.25">
      <c r="B1976" s="124"/>
      <c r="C1976" s="781"/>
      <c r="D1976" s="125"/>
      <c r="E1976" s="125"/>
      <c r="F1976" s="125"/>
      <c r="G1976" s="125"/>
      <c r="H1976" s="167">
        <f>E1976*F1976</f>
        <v>0</v>
      </c>
      <c r="I1976" s="746"/>
      <c r="J1976" s="747"/>
      <c r="K1976" s="748"/>
      <c r="L1976" s="782"/>
      <c r="M1976" s="747"/>
      <c r="N1976" s="753"/>
    </row>
    <row r="1977" spans="2:14" ht="14.25" hidden="1" customHeight="1" x14ac:dyDescent="0.25">
      <c r="B1977" s="124" t="s">
        <v>525</v>
      </c>
      <c r="C1977" s="765" t="s">
        <v>488</v>
      </c>
      <c r="D1977" s="125"/>
      <c r="E1977" s="125"/>
      <c r="F1977" s="125">
        <f>4.16+4.16+2.02+1.1</f>
        <v>11.44</v>
      </c>
      <c r="G1977" s="125">
        <v>2.0499999999999998</v>
      </c>
      <c r="H1977" s="167">
        <f>F1977*G1977</f>
        <v>23.451999999999998</v>
      </c>
      <c r="I1977" s="746"/>
      <c r="J1977" s="747"/>
      <c r="K1977" s="748"/>
      <c r="L1977" s="782"/>
      <c r="M1977" s="747"/>
      <c r="N1977" s="753"/>
    </row>
    <row r="1978" spans="2:14" ht="14.25" hidden="1" customHeight="1" x14ac:dyDescent="0.25">
      <c r="B1978" s="124"/>
      <c r="C1978" s="780"/>
      <c r="D1978" s="125"/>
      <c r="E1978" s="125"/>
      <c r="F1978" s="125"/>
      <c r="G1978" s="125"/>
      <c r="H1978" s="167"/>
      <c r="I1978" s="746"/>
      <c r="J1978" s="747"/>
      <c r="K1978" s="748"/>
      <c r="L1978" s="782"/>
      <c r="M1978" s="747"/>
      <c r="N1978" s="753"/>
    </row>
    <row r="1979" spans="2:14" ht="14.25" hidden="1" customHeight="1" x14ac:dyDescent="0.25">
      <c r="B1979" s="124" t="s">
        <v>526</v>
      </c>
      <c r="C1979" s="780"/>
      <c r="D1979" s="125"/>
      <c r="E1979" s="125"/>
      <c r="F1979" s="125">
        <f>4.16+4.16+1.3+2.2</f>
        <v>11.82</v>
      </c>
      <c r="G1979" s="125">
        <v>2.0499999999999998</v>
      </c>
      <c r="H1979" s="167">
        <f>F1979*G1979</f>
        <v>24.230999999999998</v>
      </c>
      <c r="I1979" s="746"/>
      <c r="J1979" s="747"/>
      <c r="K1979" s="748"/>
      <c r="L1979" s="782"/>
      <c r="M1979" s="747"/>
      <c r="N1979" s="753"/>
    </row>
    <row r="1980" spans="2:14" ht="14.25" hidden="1" customHeight="1" x14ac:dyDescent="0.25">
      <c r="B1980" s="127"/>
      <c r="C1980" s="781"/>
      <c r="D1980" s="125"/>
      <c r="E1980" s="125"/>
      <c r="F1980" s="125"/>
      <c r="G1980" s="125"/>
      <c r="H1980" s="167">
        <f>E1980*F1980</f>
        <v>0</v>
      </c>
      <c r="I1980" s="746"/>
      <c r="J1980" s="747"/>
      <c r="K1980" s="748"/>
      <c r="L1980" s="782"/>
      <c r="M1980" s="747"/>
      <c r="N1980" s="753"/>
    </row>
    <row r="1981" spans="2:14" ht="14.25" hidden="1" customHeight="1" x14ac:dyDescent="0.25">
      <c r="B1981" s="124" t="s">
        <v>525</v>
      </c>
      <c r="C1981" s="789" t="s">
        <v>494</v>
      </c>
      <c r="D1981" s="125"/>
      <c r="E1981" s="125"/>
      <c r="F1981" s="125">
        <f>4.28+4.28+2.01+1.1</f>
        <v>11.67</v>
      </c>
      <c r="G1981" s="125">
        <v>2.1</v>
      </c>
      <c r="H1981" s="167">
        <f>F1981*G1981</f>
        <v>24.507000000000001</v>
      </c>
      <c r="I1981" s="746"/>
      <c r="J1981" s="747"/>
      <c r="K1981" s="748"/>
      <c r="L1981" s="782"/>
      <c r="M1981" s="747"/>
      <c r="N1981" s="753"/>
    </row>
    <row r="1982" spans="2:14" ht="14.25" hidden="1" customHeight="1" x14ac:dyDescent="0.25">
      <c r="B1982" s="124"/>
      <c r="C1982" s="780"/>
      <c r="D1982" s="125"/>
      <c r="E1982" s="125"/>
      <c r="F1982" s="125"/>
      <c r="G1982" s="125"/>
      <c r="H1982" s="167"/>
      <c r="I1982" s="746"/>
      <c r="J1982" s="747"/>
      <c r="K1982" s="748"/>
      <c r="L1982" s="782"/>
      <c r="M1982" s="747"/>
      <c r="N1982" s="753"/>
    </row>
    <row r="1983" spans="2:14" ht="14.25" hidden="1" customHeight="1" x14ac:dyDescent="0.25">
      <c r="B1983" s="124" t="s">
        <v>526</v>
      </c>
      <c r="C1983" s="781"/>
      <c r="D1983" s="125"/>
      <c r="E1983" s="125"/>
      <c r="F1983" s="125">
        <f>4.28+4.28+1.91+1</f>
        <v>11.47</v>
      </c>
      <c r="G1983" s="125">
        <v>2.1</v>
      </c>
      <c r="H1983" s="167">
        <f t="shared" ref="H1983:H1984" si="52">F1983*G1983</f>
        <v>24.087000000000003</v>
      </c>
      <c r="I1983" s="746"/>
      <c r="J1983" s="747"/>
      <c r="K1983" s="748"/>
      <c r="L1983" s="782"/>
      <c r="M1983" s="747"/>
      <c r="N1983" s="753"/>
    </row>
    <row r="1984" spans="2:14" ht="14.25" hidden="1" customHeight="1" x14ac:dyDescent="0.25">
      <c r="B1984" s="136" t="s">
        <v>529</v>
      </c>
      <c r="C1984" s="125"/>
      <c r="D1984" s="125">
        <v>3</v>
      </c>
      <c r="E1984" s="125"/>
      <c r="F1984" s="125">
        <f>4.28+4.28+1+0.3</f>
        <v>9.8600000000000012</v>
      </c>
      <c r="G1984" s="125">
        <v>2.0499999999999998</v>
      </c>
      <c r="H1984" s="167">
        <f t="shared" si="52"/>
        <v>20.213000000000001</v>
      </c>
      <c r="I1984" s="749"/>
      <c r="J1984" s="750"/>
      <c r="K1984" s="751"/>
      <c r="L1984" s="750"/>
      <c r="M1984" s="750"/>
      <c r="N1984" s="754"/>
    </row>
    <row r="1985" spans="2:14" ht="14.25" hidden="1" customHeight="1" x14ac:dyDescent="0.25">
      <c r="B1985" s="209"/>
      <c r="C1985" s="118"/>
      <c r="D1985" s="118"/>
      <c r="E1985" s="118"/>
      <c r="F1985" s="118"/>
      <c r="G1985" s="118"/>
      <c r="H1985" s="118"/>
      <c r="I1985" s="118"/>
      <c r="J1985" s="118"/>
      <c r="K1985" s="118"/>
      <c r="L1985" s="118"/>
      <c r="M1985" s="118"/>
      <c r="N1985" s="210"/>
    </row>
    <row r="1986" spans="2:14" ht="14.25" hidden="1" customHeight="1" x14ac:dyDescent="0.25">
      <c r="B1986" s="209"/>
      <c r="C1986" s="118"/>
      <c r="D1986" s="118"/>
      <c r="E1986" s="118"/>
      <c r="F1986" s="118"/>
      <c r="G1986" s="118"/>
      <c r="H1986" s="118"/>
      <c r="I1986" s="118"/>
      <c r="J1986" s="118"/>
      <c r="K1986" s="118"/>
      <c r="L1986" s="118"/>
      <c r="M1986" s="118"/>
      <c r="N1986" s="210"/>
    </row>
    <row r="1987" spans="2:14" ht="14.25" hidden="1" customHeight="1" x14ac:dyDescent="0.25">
      <c r="B1987" s="209"/>
      <c r="C1987" s="118"/>
      <c r="D1987" s="118"/>
      <c r="E1987" s="118"/>
      <c r="F1987" s="118"/>
      <c r="G1987" s="118"/>
      <c r="H1987" s="118"/>
      <c r="I1987" s="118"/>
      <c r="J1987" s="118"/>
      <c r="K1987" s="118"/>
      <c r="L1987" s="118"/>
      <c r="M1987" s="118"/>
      <c r="N1987" s="210"/>
    </row>
    <row r="1988" spans="2:14" ht="14.25" hidden="1" customHeight="1" x14ac:dyDescent="0.25">
      <c r="B1988" s="209"/>
      <c r="C1988" s="118"/>
      <c r="D1988" s="118"/>
      <c r="E1988" s="118"/>
      <c r="F1988" s="118"/>
      <c r="G1988" s="118"/>
      <c r="H1988" s="118"/>
      <c r="I1988" s="118"/>
      <c r="J1988" s="118"/>
      <c r="K1988" s="118"/>
      <c r="L1988" s="118"/>
      <c r="M1988" s="118"/>
      <c r="N1988" s="210"/>
    </row>
    <row r="1989" spans="2:14" ht="14.25" hidden="1" customHeight="1" x14ac:dyDescent="0.25">
      <c r="B1989" s="775" t="s">
        <v>414</v>
      </c>
      <c r="C1989" s="747"/>
      <c r="D1989" s="747"/>
      <c r="E1989" s="128"/>
      <c r="F1989" s="128"/>
      <c r="G1989" s="128"/>
      <c r="H1989" s="128"/>
      <c r="I1989" s="776"/>
      <c r="J1989" s="747"/>
      <c r="K1989" s="747"/>
      <c r="L1989" s="118"/>
      <c r="M1989" s="118"/>
      <c r="N1989" s="210"/>
    </row>
    <row r="1990" spans="2:14" ht="14.25" hidden="1" customHeight="1" x14ac:dyDescent="0.25">
      <c r="B1990" s="129"/>
      <c r="C1990" s="130"/>
      <c r="D1990" s="130"/>
      <c r="E1990" s="130"/>
      <c r="F1990" s="130"/>
      <c r="G1990" s="130"/>
      <c r="H1990" s="130"/>
      <c r="I1990" s="130"/>
      <c r="J1990" s="130"/>
      <c r="K1990" s="130"/>
      <c r="L1990" s="130"/>
      <c r="M1990" s="130"/>
      <c r="N1990" s="131"/>
    </row>
    <row r="1991" spans="2:14" ht="14.25" customHeight="1" thickBot="1" x14ac:dyDescent="0.3">
      <c r="B1991" s="132"/>
      <c r="C1991" s="132"/>
      <c r="D1991" s="132"/>
      <c r="E1991" s="132"/>
      <c r="F1991" s="132"/>
      <c r="G1991" s="132"/>
      <c r="H1991" s="132"/>
      <c r="I1991" s="132"/>
      <c r="J1991" s="132"/>
      <c r="K1991" s="132"/>
      <c r="L1991" s="132"/>
      <c r="M1991" s="132"/>
      <c r="N1991" s="132"/>
    </row>
    <row r="1992" spans="2:14" ht="41.25" customHeight="1" x14ac:dyDescent="0.25">
      <c r="B1992" s="728"/>
      <c r="C1992" s="729"/>
      <c r="D1992" s="730" t="s">
        <v>393</v>
      </c>
      <c r="E1992" s="729"/>
      <c r="F1992" s="729"/>
      <c r="G1992" s="729"/>
      <c r="H1992" s="729"/>
      <c r="I1992" s="729"/>
      <c r="J1992" s="729"/>
      <c r="K1992" s="729"/>
      <c r="L1992" s="729"/>
      <c r="M1992" s="729"/>
      <c r="N1992" s="731"/>
    </row>
    <row r="1993" spans="2:14" ht="14.25" customHeight="1" x14ac:dyDescent="0.25">
      <c r="B1993" s="732" t="s">
        <v>394</v>
      </c>
      <c r="C1993" s="733"/>
      <c r="D1993" s="733"/>
      <c r="E1993" s="733"/>
      <c r="F1993" s="733"/>
      <c r="G1993" s="733"/>
      <c r="H1993" s="733"/>
      <c r="I1993" s="733"/>
      <c r="J1993" s="733"/>
      <c r="K1993" s="733"/>
      <c r="L1993" s="733"/>
      <c r="M1993" s="733"/>
      <c r="N1993" s="734"/>
    </row>
    <row r="1994" spans="2:14" ht="14.25" customHeight="1" x14ac:dyDescent="0.25">
      <c r="B1994" s="735" t="s">
        <v>395</v>
      </c>
      <c r="C1994" s="736"/>
      <c r="D1994" s="737" t="str">
        <f>VLOOKUP(B1996,Buenaventura!A9:G2246,3,FALSE)</f>
        <v xml:space="preserve">Rasqueteada de pintura y retiro de mortero en mal estado  </v>
      </c>
      <c r="E1994" s="738"/>
      <c r="F1994" s="738"/>
      <c r="G1994" s="738"/>
      <c r="H1994" s="738"/>
      <c r="I1994" s="738"/>
      <c r="J1994" s="738"/>
      <c r="K1994" s="738"/>
      <c r="L1994" s="738"/>
      <c r="M1994" s="738"/>
      <c r="N1994" s="739"/>
    </row>
    <row r="1995" spans="2:14" ht="14.25" customHeight="1" x14ac:dyDescent="0.25">
      <c r="B1995" s="740" t="s">
        <v>26</v>
      </c>
      <c r="C1995" s="741"/>
      <c r="D1995" s="119" t="s">
        <v>396</v>
      </c>
      <c r="E1995" s="742" t="s">
        <v>397</v>
      </c>
      <c r="F1995" s="733"/>
      <c r="G1995" s="733"/>
      <c r="H1995" s="736"/>
      <c r="I1995" s="742" t="s">
        <v>398</v>
      </c>
      <c r="J1995" s="733"/>
      <c r="K1995" s="736"/>
      <c r="L1995" s="742" t="s">
        <v>399</v>
      </c>
      <c r="M1995" s="733"/>
      <c r="N1995" s="734"/>
    </row>
    <row r="1996" spans="2:14" ht="14.25" customHeight="1" x14ac:dyDescent="0.25">
      <c r="B1996" s="283">
        <v>33</v>
      </c>
      <c r="C1996" s="284" t="str">
        <f>VLOOKUP(B1996,Buenaventura!A9:G2259,2,FALSE)</f>
        <v>PR-01</v>
      </c>
      <c r="D1996" s="285">
        <f>SUM(H1999:H2002)*60%</f>
        <v>151.19999999999999</v>
      </c>
      <c r="E1996" s="743" t="str">
        <f>VLOOKUP(B1996,Buenaventura!A9:G2258,4,FALSE)</f>
        <v>M2</v>
      </c>
      <c r="F1996" s="743"/>
      <c r="G1996" s="743"/>
      <c r="H1996" s="743"/>
      <c r="I1996" s="744"/>
      <c r="J1996" s="745"/>
      <c r="K1996" s="741"/>
      <c r="L1996" s="744"/>
      <c r="M1996" s="745"/>
      <c r="N1996" s="752"/>
    </row>
    <row r="1997" spans="2:14" ht="14.25" customHeight="1" x14ac:dyDescent="0.25">
      <c r="B1997" s="755" t="s">
        <v>416</v>
      </c>
      <c r="C1997" s="733"/>
      <c r="D1997" s="733"/>
      <c r="E1997" s="733"/>
      <c r="F1997" s="733"/>
      <c r="G1997" s="733"/>
      <c r="H1997" s="736"/>
      <c r="I1997" s="746"/>
      <c r="J1997" s="747"/>
      <c r="K1997" s="748"/>
      <c r="L1997" s="746"/>
      <c r="M1997" s="747"/>
      <c r="N1997" s="753"/>
    </row>
    <row r="1998" spans="2:14" ht="14.25" customHeight="1" x14ac:dyDescent="0.25">
      <c r="B1998" s="121" t="s">
        <v>400</v>
      </c>
      <c r="C1998" s="122" t="s">
        <v>401</v>
      </c>
      <c r="D1998" s="123" t="s">
        <v>402</v>
      </c>
      <c r="E1998" s="123" t="s">
        <v>403</v>
      </c>
      <c r="F1998" s="123" t="s">
        <v>404</v>
      </c>
      <c r="G1998" s="123" t="s">
        <v>405</v>
      </c>
      <c r="H1998" s="123" t="s">
        <v>406</v>
      </c>
      <c r="I1998" s="746"/>
      <c r="J1998" s="747"/>
      <c r="K1998" s="748"/>
      <c r="L1998" s="746"/>
      <c r="M1998" s="747"/>
      <c r="N1998" s="753"/>
    </row>
    <row r="1999" spans="2:14" ht="14.25" customHeight="1" x14ac:dyDescent="0.25">
      <c r="B1999" s="353"/>
      <c r="C1999" s="215" t="s">
        <v>523</v>
      </c>
      <c r="D1999" s="125">
        <v>6</v>
      </c>
      <c r="E1999" s="125">
        <v>12</v>
      </c>
      <c r="F1999" s="125"/>
      <c r="G1999" s="125">
        <v>3.5</v>
      </c>
      <c r="H1999" s="126">
        <f>E1999*G1999*D1999</f>
        <v>252</v>
      </c>
      <c r="I1999" s="746"/>
      <c r="J1999" s="747"/>
      <c r="K1999" s="748"/>
      <c r="L1999" s="746"/>
      <c r="M1999" s="747"/>
      <c r="N1999" s="753"/>
    </row>
    <row r="2000" spans="2:14" ht="14.25" customHeight="1" x14ac:dyDescent="0.25">
      <c r="B2000" s="264"/>
      <c r="C2000" s="215"/>
      <c r="D2000" s="125"/>
      <c r="E2000" s="125"/>
      <c r="F2000" s="125"/>
      <c r="G2000" s="125"/>
      <c r="H2000" s="126"/>
      <c r="I2000" s="746"/>
      <c r="J2000" s="747"/>
      <c r="K2000" s="748"/>
      <c r="L2000" s="746"/>
      <c r="M2000" s="747"/>
      <c r="N2000" s="753"/>
    </row>
    <row r="2001" spans="2:14" ht="14.25" customHeight="1" x14ac:dyDescent="0.25">
      <c r="B2001" s="264"/>
      <c r="C2001" s="215"/>
      <c r="D2001" s="125"/>
      <c r="E2001" s="125"/>
      <c r="F2001" s="125"/>
      <c r="G2001" s="125"/>
      <c r="H2001" s="126"/>
      <c r="I2001" s="746"/>
      <c r="J2001" s="747"/>
      <c r="K2001" s="748"/>
      <c r="L2001" s="746"/>
      <c r="M2001" s="747"/>
      <c r="N2001" s="753"/>
    </row>
    <row r="2002" spans="2:14" ht="14.25" customHeight="1" x14ac:dyDescent="0.25">
      <c r="B2002" s="264"/>
      <c r="C2002" s="215"/>
      <c r="D2002" s="125"/>
      <c r="E2002" s="125"/>
      <c r="F2002" s="125"/>
      <c r="G2002" s="125"/>
      <c r="H2002" s="126"/>
      <c r="I2002" s="746"/>
      <c r="J2002" s="747"/>
      <c r="K2002" s="748"/>
      <c r="L2002" s="746"/>
      <c r="M2002" s="747"/>
      <c r="N2002" s="753"/>
    </row>
    <row r="2003" spans="2:14" ht="14.25" customHeight="1" x14ac:dyDescent="0.25">
      <c r="B2003" s="265"/>
      <c r="C2003" s="215"/>
      <c r="D2003" s="134"/>
      <c r="E2003" s="134"/>
      <c r="F2003" s="134"/>
      <c r="G2003" s="134"/>
      <c r="H2003" s="144"/>
      <c r="I2003" s="746"/>
      <c r="J2003" s="747"/>
      <c r="K2003" s="748"/>
      <c r="L2003" s="746"/>
      <c r="M2003" s="747"/>
      <c r="N2003" s="753"/>
    </row>
    <row r="2004" spans="2:14" ht="14.25" customHeight="1" x14ac:dyDescent="0.25">
      <c r="B2004" s="124"/>
      <c r="C2004" s="215"/>
      <c r="D2004" s="125"/>
      <c r="E2004" s="125"/>
      <c r="F2004" s="125"/>
      <c r="G2004" s="125"/>
      <c r="H2004" s="126"/>
      <c r="I2004" s="746"/>
      <c r="J2004" s="747"/>
      <c r="K2004" s="748"/>
      <c r="L2004" s="746"/>
      <c r="M2004" s="747"/>
      <c r="N2004" s="753"/>
    </row>
    <row r="2005" spans="2:14" ht="14.25" customHeight="1" x14ac:dyDescent="0.25">
      <c r="B2005" s="163"/>
      <c r="C2005" s="215"/>
      <c r="D2005" s="134"/>
      <c r="E2005" s="134"/>
      <c r="F2005" s="134"/>
      <c r="G2005" s="134"/>
      <c r="H2005" s="134"/>
      <c r="I2005" s="746"/>
      <c r="J2005" s="747"/>
      <c r="K2005" s="748"/>
      <c r="L2005" s="746"/>
      <c r="M2005" s="747"/>
      <c r="N2005" s="753"/>
    </row>
    <row r="2006" spans="2:14" ht="14.25" customHeight="1" x14ac:dyDescent="0.25">
      <c r="B2006" s="163"/>
      <c r="C2006" s="215"/>
      <c r="D2006" s="134"/>
      <c r="E2006" s="134"/>
      <c r="F2006" s="134"/>
      <c r="G2006" s="134"/>
      <c r="H2006" s="144"/>
      <c r="I2006" s="746"/>
      <c r="J2006" s="747"/>
      <c r="K2006" s="748"/>
      <c r="L2006" s="746"/>
      <c r="M2006" s="747"/>
      <c r="N2006" s="753"/>
    </row>
    <row r="2007" spans="2:14" ht="14.25" customHeight="1" x14ac:dyDescent="0.25">
      <c r="B2007" s="124"/>
      <c r="C2007" s="215"/>
      <c r="D2007" s="125"/>
      <c r="E2007" s="125"/>
      <c r="F2007" s="125"/>
      <c r="G2007" s="125"/>
      <c r="H2007" s="126"/>
      <c r="I2007" s="746"/>
      <c r="J2007" s="747"/>
      <c r="K2007" s="748"/>
      <c r="L2007" s="746"/>
      <c r="M2007" s="747"/>
      <c r="N2007" s="753"/>
    </row>
    <row r="2008" spans="2:14" ht="14.25" customHeight="1" x14ac:dyDescent="0.25">
      <c r="B2008" s="127"/>
      <c r="C2008" s="204"/>
      <c r="D2008" s="125"/>
      <c r="E2008" s="125"/>
      <c r="F2008" s="125"/>
      <c r="G2008" s="125"/>
      <c r="H2008" s="125"/>
      <c r="I2008" s="746"/>
      <c r="J2008" s="747"/>
      <c r="K2008" s="748"/>
      <c r="L2008" s="746"/>
      <c r="M2008" s="747"/>
      <c r="N2008" s="753"/>
    </row>
    <row r="2009" spans="2:14" ht="14.25" customHeight="1" x14ac:dyDescent="0.25">
      <c r="B2009" s="127"/>
      <c r="C2009" s="125"/>
      <c r="D2009" s="125"/>
      <c r="E2009" s="125"/>
      <c r="F2009" s="125"/>
      <c r="G2009" s="125"/>
      <c r="H2009" s="125"/>
      <c r="I2009" s="749"/>
      <c r="J2009" s="750"/>
      <c r="K2009" s="751"/>
      <c r="L2009" s="749"/>
      <c r="M2009" s="750"/>
      <c r="N2009" s="754"/>
    </row>
    <row r="2010" spans="2:14" ht="14.25" customHeight="1" x14ac:dyDescent="0.25">
      <c r="B2010" s="209"/>
      <c r="C2010" s="118"/>
      <c r="D2010" s="118"/>
      <c r="E2010" s="118"/>
      <c r="F2010" s="118"/>
      <c r="G2010" s="118"/>
      <c r="H2010" s="118"/>
      <c r="I2010" s="118"/>
      <c r="J2010" s="118"/>
      <c r="K2010" s="118"/>
      <c r="L2010" s="118"/>
      <c r="M2010" s="118"/>
      <c r="N2010" s="210"/>
    </row>
    <row r="2011" spans="2:14" ht="14.25" customHeight="1" x14ac:dyDescent="0.25">
      <c r="B2011" s="209"/>
      <c r="C2011" s="118"/>
      <c r="D2011" s="118"/>
      <c r="E2011" s="118"/>
      <c r="F2011" s="118"/>
      <c r="G2011" s="118"/>
      <c r="H2011" s="118"/>
      <c r="I2011" s="118"/>
      <c r="J2011" s="118"/>
      <c r="K2011" s="118"/>
      <c r="L2011" s="118"/>
      <c r="M2011" s="118"/>
      <c r="N2011" s="210"/>
    </row>
    <row r="2012" spans="2:14" ht="14.25" customHeight="1" x14ac:dyDescent="0.25">
      <c r="B2012" s="209"/>
      <c r="C2012" s="118"/>
      <c r="D2012" s="118"/>
      <c r="E2012" s="118"/>
      <c r="F2012" s="118"/>
      <c r="G2012" s="118"/>
      <c r="H2012" s="118"/>
      <c r="I2012" s="118"/>
      <c r="J2012" s="118"/>
      <c r="K2012" s="118"/>
      <c r="L2012" s="118"/>
      <c r="M2012" s="118"/>
      <c r="N2012" s="210"/>
    </row>
    <row r="2013" spans="2:14" ht="14.25" customHeight="1" x14ac:dyDescent="0.25">
      <c r="B2013" s="775" t="s">
        <v>414</v>
      </c>
      <c r="C2013" s="747"/>
      <c r="D2013" s="747"/>
      <c r="E2013" s="128"/>
      <c r="F2013" s="128"/>
      <c r="G2013" s="128"/>
      <c r="H2013" s="128"/>
      <c r="I2013" s="776"/>
      <c r="J2013" s="747"/>
      <c r="K2013" s="747"/>
      <c r="L2013" s="118"/>
      <c r="M2013" s="118"/>
      <c r="N2013" s="210"/>
    </row>
    <row r="2014" spans="2:14" ht="14.25" customHeight="1" thickBot="1" x14ac:dyDescent="0.3">
      <c r="B2014" s="129"/>
      <c r="C2014" s="130"/>
      <c r="D2014" s="130"/>
      <c r="E2014" s="130"/>
      <c r="F2014" s="130"/>
      <c r="G2014" s="130"/>
      <c r="H2014" s="130"/>
      <c r="I2014" s="130"/>
      <c r="J2014" s="130"/>
      <c r="K2014" s="130"/>
      <c r="L2014" s="130"/>
      <c r="M2014" s="130"/>
      <c r="N2014" s="131"/>
    </row>
    <row r="2015" spans="2:14" ht="14.25" customHeight="1" thickBot="1" x14ac:dyDescent="0.3">
      <c r="B2015" s="132"/>
      <c r="C2015" s="132"/>
      <c r="D2015" s="132"/>
      <c r="E2015" s="132"/>
      <c r="F2015" s="132"/>
      <c r="G2015" s="132"/>
      <c r="H2015" s="132"/>
      <c r="I2015" s="132"/>
      <c r="J2015" s="132"/>
      <c r="K2015" s="132"/>
      <c r="L2015" s="132"/>
      <c r="M2015" s="132"/>
      <c r="N2015" s="132"/>
    </row>
    <row r="2016" spans="2:14" ht="39" customHeight="1" x14ac:dyDescent="0.25">
      <c r="B2016" s="728"/>
      <c r="C2016" s="729"/>
      <c r="D2016" s="730" t="s">
        <v>393</v>
      </c>
      <c r="E2016" s="729"/>
      <c r="F2016" s="729"/>
      <c r="G2016" s="729"/>
      <c r="H2016" s="729"/>
      <c r="I2016" s="729"/>
      <c r="J2016" s="729"/>
      <c r="K2016" s="729"/>
      <c r="L2016" s="729"/>
      <c r="M2016" s="729"/>
      <c r="N2016" s="731"/>
    </row>
    <row r="2017" spans="2:14" ht="14.25" customHeight="1" x14ac:dyDescent="0.25">
      <c r="B2017" s="732" t="s">
        <v>394</v>
      </c>
      <c r="C2017" s="733"/>
      <c r="D2017" s="733"/>
      <c r="E2017" s="733"/>
      <c r="F2017" s="733"/>
      <c r="G2017" s="733"/>
      <c r="H2017" s="733"/>
      <c r="I2017" s="733"/>
      <c r="J2017" s="733"/>
      <c r="K2017" s="733"/>
      <c r="L2017" s="733"/>
      <c r="M2017" s="733"/>
      <c r="N2017" s="734"/>
    </row>
    <row r="2018" spans="2:14" ht="14.25" customHeight="1" x14ac:dyDescent="0.25">
      <c r="B2018" s="735" t="s">
        <v>395</v>
      </c>
      <c r="C2018" s="736"/>
      <c r="D2018" s="737" t="str">
        <f>VLOOKUP(B2020,Buenaventura!A9:G2286,3,FALSE)</f>
        <v xml:space="preserve">Suministro e instalación de recubrimiento cementoso (Recubrimiento a base de cemento, arena y aditivos especiales), impermeable para muros color blanco </v>
      </c>
      <c r="E2018" s="738"/>
      <c r="F2018" s="738"/>
      <c r="G2018" s="738"/>
      <c r="H2018" s="738"/>
      <c r="I2018" s="738"/>
      <c r="J2018" s="738"/>
      <c r="K2018" s="738"/>
      <c r="L2018" s="738"/>
      <c r="M2018" s="738"/>
      <c r="N2018" s="739"/>
    </row>
    <row r="2019" spans="2:14" ht="14.25" customHeight="1" x14ac:dyDescent="0.25">
      <c r="B2019" s="740" t="s">
        <v>26</v>
      </c>
      <c r="C2019" s="741"/>
      <c r="D2019" s="119" t="s">
        <v>396</v>
      </c>
      <c r="E2019" s="742" t="s">
        <v>397</v>
      </c>
      <c r="F2019" s="733"/>
      <c r="G2019" s="733"/>
      <c r="H2019" s="736"/>
      <c r="I2019" s="742" t="s">
        <v>398</v>
      </c>
      <c r="J2019" s="733"/>
      <c r="K2019" s="736"/>
      <c r="L2019" s="742" t="s">
        <v>399</v>
      </c>
      <c r="M2019" s="733"/>
      <c r="N2019" s="734"/>
    </row>
    <row r="2020" spans="2:14" ht="14.25" customHeight="1" x14ac:dyDescent="0.25">
      <c r="B2020" s="283">
        <v>34</v>
      </c>
      <c r="C2020" s="284" t="str">
        <f>VLOOKUP(B2020,Buenaventura!A9:G2299,2,FALSE)</f>
        <v>RI-09</v>
      </c>
      <c r="D2020" s="285">
        <f>SUM(H2023:H2026)</f>
        <v>252</v>
      </c>
      <c r="E2020" s="743" t="str">
        <f>VLOOKUP(B2020,Buenaventura!A9:G2298,4,FALSE)</f>
        <v>M2</v>
      </c>
      <c r="F2020" s="743"/>
      <c r="G2020" s="743"/>
      <c r="H2020" s="743"/>
      <c r="I2020" s="744"/>
      <c r="J2020" s="745"/>
      <c r="K2020" s="741"/>
      <c r="L2020" s="744"/>
      <c r="M2020" s="745"/>
      <c r="N2020" s="752"/>
    </row>
    <row r="2021" spans="2:14" ht="14.25" customHeight="1" x14ac:dyDescent="0.25">
      <c r="B2021" s="755" t="s">
        <v>416</v>
      </c>
      <c r="C2021" s="733"/>
      <c r="D2021" s="733"/>
      <c r="E2021" s="733"/>
      <c r="F2021" s="733"/>
      <c r="G2021" s="733"/>
      <c r="H2021" s="736"/>
      <c r="I2021" s="746"/>
      <c r="J2021" s="747"/>
      <c r="K2021" s="748"/>
      <c r="L2021" s="746"/>
      <c r="M2021" s="747"/>
      <c r="N2021" s="753"/>
    </row>
    <row r="2022" spans="2:14" ht="14.25" customHeight="1" x14ac:dyDescent="0.25">
      <c r="B2022" s="121" t="s">
        <v>400</v>
      </c>
      <c r="C2022" s="211" t="s">
        <v>401</v>
      </c>
      <c r="D2022" s="123" t="s">
        <v>402</v>
      </c>
      <c r="E2022" s="123" t="s">
        <v>403</v>
      </c>
      <c r="F2022" s="123" t="s">
        <v>404</v>
      </c>
      <c r="G2022" s="123" t="s">
        <v>405</v>
      </c>
      <c r="H2022" s="123" t="s">
        <v>406</v>
      </c>
      <c r="I2022" s="746"/>
      <c r="J2022" s="747"/>
      <c r="K2022" s="748"/>
      <c r="L2022" s="746"/>
      <c r="M2022" s="747"/>
      <c r="N2022" s="753"/>
    </row>
    <row r="2023" spans="2:14" ht="14.25" customHeight="1" x14ac:dyDescent="0.25">
      <c r="B2023" s="136"/>
      <c r="C2023" s="215" t="s">
        <v>523</v>
      </c>
      <c r="D2023" s="125">
        <v>6</v>
      </c>
      <c r="E2023" s="125">
        <v>12</v>
      </c>
      <c r="F2023" s="125"/>
      <c r="G2023" s="125">
        <v>3.5</v>
      </c>
      <c r="H2023" s="126">
        <f>E2023*G2023*D2023</f>
        <v>252</v>
      </c>
      <c r="I2023" s="746"/>
      <c r="J2023" s="747"/>
      <c r="K2023" s="748"/>
      <c r="L2023" s="746"/>
      <c r="M2023" s="747"/>
      <c r="N2023" s="753"/>
    </row>
    <row r="2024" spans="2:14" ht="14.25" customHeight="1" x14ac:dyDescent="0.25">
      <c r="B2024" s="136"/>
      <c r="C2024" s="336"/>
      <c r="D2024" s="168"/>
      <c r="E2024" s="125"/>
      <c r="F2024" s="125"/>
      <c r="G2024" s="125"/>
      <c r="H2024" s="125"/>
      <c r="I2024" s="746"/>
      <c r="J2024" s="747"/>
      <c r="K2024" s="748"/>
      <c r="L2024" s="746"/>
      <c r="M2024" s="747"/>
      <c r="N2024" s="753"/>
    </row>
    <row r="2025" spans="2:14" ht="14.25" customHeight="1" x14ac:dyDescent="0.25">
      <c r="B2025" s="136"/>
      <c r="C2025" s="336"/>
      <c r="D2025" s="168"/>
      <c r="E2025" s="125"/>
      <c r="F2025" s="125"/>
      <c r="G2025" s="125"/>
      <c r="H2025" s="125"/>
      <c r="I2025" s="746"/>
      <c r="J2025" s="747"/>
      <c r="K2025" s="748"/>
      <c r="L2025" s="746"/>
      <c r="M2025" s="747"/>
      <c r="N2025" s="753"/>
    </row>
    <row r="2026" spans="2:14" ht="14.25" customHeight="1" x14ac:dyDescent="0.25">
      <c r="B2026" s="136"/>
      <c r="C2026" s="336"/>
      <c r="D2026" s="168"/>
      <c r="E2026" s="125"/>
      <c r="F2026" s="125"/>
      <c r="G2026" s="125"/>
      <c r="H2026" s="125"/>
      <c r="I2026" s="746"/>
      <c r="J2026" s="747"/>
      <c r="K2026" s="748"/>
      <c r="L2026" s="746"/>
      <c r="M2026" s="747"/>
      <c r="N2026" s="753"/>
    </row>
    <row r="2027" spans="2:14" ht="14.25" customHeight="1" x14ac:dyDescent="0.25">
      <c r="B2027" s="136"/>
      <c r="C2027" s="336"/>
      <c r="D2027" s="168"/>
      <c r="E2027" s="125"/>
      <c r="F2027" s="125"/>
      <c r="G2027" s="125"/>
      <c r="H2027" s="125"/>
      <c r="I2027" s="746"/>
      <c r="J2027" s="747"/>
      <c r="K2027" s="748"/>
      <c r="L2027" s="746"/>
      <c r="M2027" s="747"/>
      <c r="N2027" s="753"/>
    </row>
    <row r="2028" spans="2:14" ht="14.25" customHeight="1" x14ac:dyDescent="0.25">
      <c r="B2028" s="136"/>
      <c r="C2028" s="336"/>
      <c r="D2028" s="168"/>
      <c r="E2028" s="125"/>
      <c r="F2028" s="125"/>
      <c r="G2028" s="125"/>
      <c r="H2028" s="125"/>
      <c r="I2028" s="746"/>
      <c r="J2028" s="747"/>
      <c r="K2028" s="748"/>
      <c r="L2028" s="746"/>
      <c r="M2028" s="747"/>
      <c r="N2028" s="753"/>
    </row>
    <row r="2029" spans="2:14" ht="14.25" customHeight="1" x14ac:dyDescent="0.25">
      <c r="B2029" s="136"/>
      <c r="C2029" s="336"/>
      <c r="D2029" s="168"/>
      <c r="E2029" s="125"/>
      <c r="F2029" s="125"/>
      <c r="G2029" s="125"/>
      <c r="H2029" s="125"/>
      <c r="I2029" s="746"/>
      <c r="J2029" s="747"/>
      <c r="K2029" s="748"/>
      <c r="L2029" s="746"/>
      <c r="M2029" s="747"/>
      <c r="N2029" s="753"/>
    </row>
    <row r="2030" spans="2:14" ht="14.25" customHeight="1" x14ac:dyDescent="0.25">
      <c r="B2030" s="124"/>
      <c r="C2030" s="336"/>
      <c r="D2030" s="125"/>
      <c r="E2030" s="125"/>
      <c r="F2030" s="125"/>
      <c r="G2030" s="125"/>
      <c r="H2030" s="125"/>
      <c r="I2030" s="746"/>
      <c r="J2030" s="747"/>
      <c r="K2030" s="748"/>
      <c r="L2030" s="746"/>
      <c r="M2030" s="747"/>
      <c r="N2030" s="753"/>
    </row>
    <row r="2031" spans="2:14" ht="14.25" customHeight="1" x14ac:dyDescent="0.25">
      <c r="B2031" s="124"/>
      <c r="C2031" s="336"/>
      <c r="D2031" s="125"/>
      <c r="E2031" s="125"/>
      <c r="F2031" s="125"/>
      <c r="G2031" s="125"/>
      <c r="H2031" s="125"/>
      <c r="I2031" s="746"/>
      <c r="J2031" s="747"/>
      <c r="K2031" s="748"/>
      <c r="L2031" s="746"/>
      <c r="M2031" s="747"/>
      <c r="N2031" s="753"/>
    </row>
    <row r="2032" spans="2:14" ht="14.25" customHeight="1" x14ac:dyDescent="0.25">
      <c r="B2032" s="127"/>
      <c r="C2032" s="336"/>
      <c r="D2032" s="125"/>
      <c r="E2032" s="125"/>
      <c r="F2032" s="125"/>
      <c r="G2032" s="125"/>
      <c r="H2032" s="125"/>
      <c r="I2032" s="746"/>
      <c r="J2032" s="747"/>
      <c r="K2032" s="748"/>
      <c r="L2032" s="746"/>
      <c r="M2032" s="747"/>
      <c r="N2032" s="753"/>
    </row>
    <row r="2033" spans="2:14" ht="14.25" customHeight="1" x14ac:dyDescent="0.25">
      <c r="B2033" s="127"/>
      <c r="C2033" s="336"/>
      <c r="D2033" s="125"/>
      <c r="E2033" s="125"/>
      <c r="F2033" s="125"/>
      <c r="G2033" s="125"/>
      <c r="H2033" s="125"/>
      <c r="I2033" s="749"/>
      <c r="J2033" s="750"/>
      <c r="K2033" s="751"/>
      <c r="L2033" s="749"/>
      <c r="M2033" s="750"/>
      <c r="N2033" s="754"/>
    </row>
    <row r="2034" spans="2:14" ht="14.25" customHeight="1" x14ac:dyDescent="0.25">
      <c r="B2034" s="209"/>
      <c r="C2034" s="118"/>
      <c r="D2034" s="118"/>
      <c r="E2034" s="118"/>
      <c r="F2034" s="118"/>
      <c r="G2034" s="118"/>
      <c r="H2034" s="118"/>
      <c r="I2034" s="118"/>
      <c r="J2034" s="118"/>
      <c r="K2034" s="118"/>
      <c r="L2034" s="118"/>
      <c r="M2034" s="118"/>
      <c r="N2034" s="210"/>
    </row>
    <row r="2035" spans="2:14" ht="14.25" customHeight="1" x14ac:dyDescent="0.25">
      <c r="B2035" s="209"/>
      <c r="C2035" s="118"/>
      <c r="D2035" s="118"/>
      <c r="E2035" s="118"/>
      <c r="F2035" s="118"/>
      <c r="G2035" s="118"/>
      <c r="H2035" s="118"/>
      <c r="I2035" s="118"/>
      <c r="J2035" s="118"/>
      <c r="K2035" s="118"/>
      <c r="L2035" s="118"/>
      <c r="M2035" s="118"/>
      <c r="N2035" s="210"/>
    </row>
    <row r="2036" spans="2:14" ht="14.25" customHeight="1" x14ac:dyDescent="0.25">
      <c r="B2036" s="209"/>
      <c r="C2036" s="118"/>
      <c r="D2036" s="118"/>
      <c r="E2036" s="118"/>
      <c r="F2036" s="118"/>
      <c r="G2036" s="118"/>
      <c r="H2036" s="118"/>
      <c r="I2036" s="118"/>
      <c r="J2036" s="118"/>
      <c r="K2036" s="118"/>
      <c r="L2036" s="118"/>
      <c r="M2036" s="118"/>
      <c r="N2036" s="210"/>
    </row>
    <row r="2037" spans="2:14" ht="14.25" customHeight="1" x14ac:dyDescent="0.25">
      <c r="B2037" s="209"/>
      <c r="C2037" s="118"/>
      <c r="D2037" s="118"/>
      <c r="E2037" s="118"/>
      <c r="F2037" s="118"/>
      <c r="G2037" s="118"/>
      <c r="H2037" s="118"/>
      <c r="I2037" s="118"/>
      <c r="J2037" s="118"/>
      <c r="K2037" s="118"/>
      <c r="L2037" s="118"/>
      <c r="M2037" s="118"/>
      <c r="N2037" s="210"/>
    </row>
    <row r="2038" spans="2:14" ht="14.25" customHeight="1" x14ac:dyDescent="0.25">
      <c r="B2038" s="775" t="s">
        <v>414</v>
      </c>
      <c r="C2038" s="747"/>
      <c r="D2038" s="747"/>
      <c r="E2038" s="128"/>
      <c r="F2038" s="128"/>
      <c r="G2038" s="128"/>
      <c r="H2038" s="128"/>
      <c r="I2038" s="776"/>
      <c r="J2038" s="747"/>
      <c r="K2038" s="747"/>
      <c r="L2038" s="118"/>
      <c r="M2038" s="118"/>
      <c r="N2038" s="210"/>
    </row>
    <row r="2039" spans="2:14" ht="14.25" customHeight="1" thickBot="1" x14ac:dyDescent="0.3">
      <c r="B2039" s="129"/>
      <c r="C2039" s="130"/>
      <c r="D2039" s="130"/>
      <c r="E2039" s="130"/>
      <c r="F2039" s="130"/>
      <c r="G2039" s="130"/>
      <c r="H2039" s="130"/>
      <c r="I2039" s="130"/>
      <c r="J2039" s="130"/>
      <c r="K2039" s="130"/>
      <c r="L2039" s="130"/>
      <c r="M2039" s="130"/>
      <c r="N2039" s="131"/>
    </row>
    <row r="2040" spans="2:14" ht="14.25" customHeight="1" thickBot="1" x14ac:dyDescent="0.3">
      <c r="B2040" s="132"/>
      <c r="C2040" s="132"/>
      <c r="D2040" s="132"/>
      <c r="E2040" s="132"/>
      <c r="F2040" s="132"/>
      <c r="G2040" s="132"/>
      <c r="H2040" s="132"/>
      <c r="I2040" s="132"/>
      <c r="J2040" s="132"/>
      <c r="K2040" s="132"/>
      <c r="L2040" s="132"/>
      <c r="M2040" s="132"/>
      <c r="N2040" s="132"/>
    </row>
    <row r="2041" spans="2:14" ht="41.25" customHeight="1" x14ac:dyDescent="0.25">
      <c r="B2041" s="728"/>
      <c r="C2041" s="729"/>
      <c r="D2041" s="730" t="s">
        <v>393</v>
      </c>
      <c r="E2041" s="729"/>
      <c r="F2041" s="729"/>
      <c r="G2041" s="729"/>
      <c r="H2041" s="729"/>
      <c r="I2041" s="729"/>
      <c r="J2041" s="729"/>
      <c r="K2041" s="729"/>
      <c r="L2041" s="729"/>
      <c r="M2041" s="729"/>
      <c r="N2041" s="731"/>
    </row>
    <row r="2042" spans="2:14" ht="14.25" customHeight="1" x14ac:dyDescent="0.25">
      <c r="B2042" s="732" t="s">
        <v>394</v>
      </c>
      <c r="C2042" s="733"/>
      <c r="D2042" s="733"/>
      <c r="E2042" s="733"/>
      <c r="F2042" s="733"/>
      <c r="G2042" s="733"/>
      <c r="H2042" s="733"/>
      <c r="I2042" s="733"/>
      <c r="J2042" s="733"/>
      <c r="K2042" s="733"/>
      <c r="L2042" s="733"/>
      <c r="M2042" s="733"/>
      <c r="N2042" s="734"/>
    </row>
    <row r="2043" spans="2:14" ht="14.25" customHeight="1" x14ac:dyDescent="0.25">
      <c r="B2043" s="735" t="s">
        <v>395</v>
      </c>
      <c r="C2043" s="736"/>
      <c r="D2043" s="737" t="str">
        <f>VLOOKUP(B2045,Buenaventura!A9:G2319,3,FALSE)</f>
        <v>Suministro y aplicación de estuco plástico (Incluye filos y dilataciones)</v>
      </c>
      <c r="E2043" s="738"/>
      <c r="F2043" s="738"/>
      <c r="G2043" s="738"/>
      <c r="H2043" s="738"/>
      <c r="I2043" s="738"/>
      <c r="J2043" s="738"/>
      <c r="K2043" s="738"/>
      <c r="L2043" s="738"/>
      <c r="M2043" s="738"/>
      <c r="N2043" s="739"/>
    </row>
    <row r="2044" spans="2:14" ht="14.25" customHeight="1" x14ac:dyDescent="0.25">
      <c r="B2044" s="740" t="s">
        <v>26</v>
      </c>
      <c r="C2044" s="741"/>
      <c r="D2044" s="119" t="s">
        <v>396</v>
      </c>
      <c r="E2044" s="742" t="s">
        <v>397</v>
      </c>
      <c r="F2044" s="733"/>
      <c r="G2044" s="733"/>
      <c r="H2044" s="736"/>
      <c r="I2044" s="742" t="s">
        <v>398</v>
      </c>
      <c r="J2044" s="733"/>
      <c r="K2044" s="736"/>
      <c r="L2044" s="742" t="s">
        <v>399</v>
      </c>
      <c r="M2044" s="733"/>
      <c r="N2044" s="734"/>
    </row>
    <row r="2045" spans="2:14" ht="14.25" customHeight="1" x14ac:dyDescent="0.25">
      <c r="B2045" s="283">
        <v>35</v>
      </c>
      <c r="C2045" s="284" t="str">
        <f>VLOOKUP(B2045,Buenaventura!A9:G2332,2,FALSE)</f>
        <v>AC-01</v>
      </c>
      <c r="D2045" s="285">
        <f>SUM(H2048:H2051)</f>
        <v>14.399999999999999</v>
      </c>
      <c r="E2045" s="743" t="str">
        <f>VLOOKUP(B2045,Buenaventura!A9:G2331,4,FALSE)</f>
        <v>M2</v>
      </c>
      <c r="F2045" s="743"/>
      <c r="G2045" s="743"/>
      <c r="H2045" s="743"/>
      <c r="I2045" s="744"/>
      <c r="J2045" s="745"/>
      <c r="K2045" s="741"/>
      <c r="L2045" s="744"/>
      <c r="M2045" s="745"/>
      <c r="N2045" s="752"/>
    </row>
    <row r="2046" spans="2:14" ht="14.25" customHeight="1" x14ac:dyDescent="0.25">
      <c r="B2046" s="755" t="s">
        <v>416</v>
      </c>
      <c r="C2046" s="733"/>
      <c r="D2046" s="733"/>
      <c r="E2046" s="733"/>
      <c r="F2046" s="733"/>
      <c r="G2046" s="733"/>
      <c r="H2046" s="736"/>
      <c r="I2046" s="746"/>
      <c r="J2046" s="747"/>
      <c r="K2046" s="748"/>
      <c r="L2046" s="746"/>
      <c r="M2046" s="747"/>
      <c r="N2046" s="753"/>
    </row>
    <row r="2047" spans="2:14" ht="14.25" customHeight="1" x14ac:dyDescent="0.25">
      <c r="B2047" s="121" t="s">
        <v>400</v>
      </c>
      <c r="C2047" s="122" t="s">
        <v>401</v>
      </c>
      <c r="D2047" s="123" t="s">
        <v>402</v>
      </c>
      <c r="E2047" s="123" t="s">
        <v>403</v>
      </c>
      <c r="F2047" s="123" t="s">
        <v>404</v>
      </c>
      <c r="G2047" s="123" t="s">
        <v>405</v>
      </c>
      <c r="H2047" s="123" t="s">
        <v>406</v>
      </c>
      <c r="I2047" s="746"/>
      <c r="J2047" s="747"/>
      <c r="K2047" s="748"/>
      <c r="L2047" s="746"/>
      <c r="M2047" s="747"/>
      <c r="N2047" s="753"/>
    </row>
    <row r="2048" spans="2:14" ht="14.25" customHeight="1" x14ac:dyDescent="0.25">
      <c r="B2048" s="124"/>
      <c r="C2048" s="215" t="s">
        <v>523</v>
      </c>
      <c r="D2048" s="125">
        <v>2</v>
      </c>
      <c r="E2048" s="125">
        <v>6</v>
      </c>
      <c r="F2048" s="125"/>
      <c r="G2048" s="125">
        <v>1.2</v>
      </c>
      <c r="H2048" s="125">
        <f>D2048*E2048*G2048</f>
        <v>14.399999999999999</v>
      </c>
      <c r="I2048" s="746"/>
      <c r="J2048" s="747"/>
      <c r="K2048" s="748"/>
      <c r="L2048" s="746"/>
      <c r="M2048" s="747"/>
      <c r="N2048" s="753"/>
    </row>
    <row r="2049" spans="2:14" ht="14.25" customHeight="1" x14ac:dyDescent="0.25">
      <c r="B2049" s="124"/>
      <c r="C2049" s="204"/>
      <c r="D2049" s="125"/>
      <c r="E2049" s="125"/>
      <c r="F2049" s="125"/>
      <c r="G2049" s="125"/>
      <c r="H2049" s="125"/>
      <c r="I2049" s="746"/>
      <c r="J2049" s="747"/>
      <c r="K2049" s="748"/>
      <c r="L2049" s="746"/>
      <c r="M2049" s="747"/>
      <c r="N2049" s="753"/>
    </row>
    <row r="2050" spans="2:14" ht="14.25" customHeight="1" x14ac:dyDescent="0.25">
      <c r="B2050" s="124"/>
      <c r="C2050" s="204"/>
      <c r="D2050" s="125"/>
      <c r="E2050" s="125"/>
      <c r="F2050" s="125"/>
      <c r="G2050" s="125"/>
      <c r="H2050" s="125"/>
      <c r="I2050" s="746"/>
      <c r="J2050" s="747"/>
      <c r="K2050" s="748"/>
      <c r="L2050" s="746"/>
      <c r="M2050" s="747"/>
      <c r="N2050" s="753"/>
    </row>
    <row r="2051" spans="2:14" ht="14.25" customHeight="1" x14ac:dyDescent="0.25">
      <c r="B2051" s="124"/>
      <c r="C2051" s="204"/>
      <c r="D2051" s="125"/>
      <c r="E2051" s="125"/>
      <c r="F2051" s="125"/>
      <c r="G2051" s="125"/>
      <c r="H2051" s="125"/>
      <c r="I2051" s="746"/>
      <c r="J2051" s="747"/>
      <c r="K2051" s="748"/>
      <c r="L2051" s="746"/>
      <c r="M2051" s="747"/>
      <c r="N2051" s="753"/>
    </row>
    <row r="2052" spans="2:14" ht="14.25" customHeight="1" x14ac:dyDescent="0.25">
      <c r="B2052" s="124"/>
      <c r="C2052" s="204"/>
      <c r="D2052" s="125"/>
      <c r="E2052" s="125"/>
      <c r="F2052" s="125"/>
      <c r="G2052" s="125"/>
      <c r="H2052" s="125"/>
      <c r="I2052" s="746"/>
      <c r="J2052" s="747"/>
      <c r="K2052" s="748"/>
      <c r="L2052" s="746"/>
      <c r="M2052" s="747"/>
      <c r="N2052" s="753"/>
    </row>
    <row r="2053" spans="2:14" ht="14.25" customHeight="1" x14ac:dyDescent="0.25">
      <c r="B2053" s="124"/>
      <c r="C2053" s="204"/>
      <c r="D2053" s="125"/>
      <c r="E2053" s="125"/>
      <c r="F2053" s="125"/>
      <c r="G2053" s="125"/>
      <c r="H2053" s="125"/>
      <c r="I2053" s="746"/>
      <c r="J2053" s="747"/>
      <c r="K2053" s="748"/>
      <c r="L2053" s="746"/>
      <c r="M2053" s="747"/>
      <c r="N2053" s="753"/>
    </row>
    <row r="2054" spans="2:14" ht="14.25" customHeight="1" x14ac:dyDescent="0.25">
      <c r="B2054" s="124"/>
      <c r="C2054" s="204"/>
      <c r="D2054" s="125"/>
      <c r="E2054" s="125"/>
      <c r="F2054" s="125"/>
      <c r="G2054" s="125"/>
      <c r="H2054" s="125"/>
      <c r="I2054" s="746"/>
      <c r="J2054" s="747"/>
      <c r="K2054" s="748"/>
      <c r="L2054" s="746"/>
      <c r="M2054" s="747"/>
      <c r="N2054" s="753"/>
    </row>
    <row r="2055" spans="2:14" ht="14.25" customHeight="1" x14ac:dyDescent="0.25">
      <c r="B2055" s="124"/>
      <c r="C2055" s="125"/>
      <c r="D2055" s="125"/>
      <c r="E2055" s="125"/>
      <c r="F2055" s="125"/>
      <c r="G2055" s="125"/>
      <c r="H2055" s="125"/>
      <c r="I2055" s="746"/>
      <c r="J2055" s="747"/>
      <c r="K2055" s="748"/>
      <c r="L2055" s="746"/>
      <c r="M2055" s="747"/>
      <c r="N2055" s="753"/>
    </row>
    <row r="2056" spans="2:14" ht="14.25" customHeight="1" x14ac:dyDescent="0.25">
      <c r="B2056" s="127"/>
      <c r="C2056" s="125"/>
      <c r="D2056" s="125"/>
      <c r="E2056" s="125"/>
      <c r="F2056" s="125"/>
      <c r="G2056" s="125"/>
      <c r="H2056" s="125"/>
      <c r="I2056" s="749"/>
      <c r="J2056" s="750"/>
      <c r="K2056" s="751"/>
      <c r="L2056" s="749"/>
      <c r="M2056" s="750"/>
      <c r="N2056" s="754"/>
    </row>
    <row r="2057" spans="2:14" ht="14.25" customHeight="1" x14ac:dyDescent="0.25">
      <c r="B2057" s="209"/>
      <c r="C2057" s="118"/>
      <c r="D2057" s="118"/>
      <c r="E2057" s="118"/>
      <c r="F2057" s="118"/>
      <c r="G2057" s="118"/>
      <c r="H2057" s="118"/>
      <c r="I2057" s="118"/>
      <c r="J2057" s="118"/>
      <c r="K2057" s="118"/>
      <c r="L2057" s="118"/>
      <c r="M2057" s="118"/>
      <c r="N2057" s="210"/>
    </row>
    <row r="2058" spans="2:14" ht="14.25" customHeight="1" x14ac:dyDescent="0.25">
      <c r="B2058" s="209"/>
      <c r="C2058" s="118"/>
      <c r="D2058" s="118"/>
      <c r="E2058" s="118"/>
      <c r="F2058" s="118"/>
      <c r="G2058" s="118"/>
      <c r="H2058" s="118"/>
      <c r="I2058" s="118"/>
      <c r="J2058" s="118"/>
      <c r="K2058" s="118"/>
      <c r="L2058" s="118"/>
      <c r="M2058" s="118"/>
      <c r="N2058" s="210"/>
    </row>
    <row r="2059" spans="2:14" ht="14.25" customHeight="1" x14ac:dyDescent="0.25">
      <c r="B2059" s="209"/>
      <c r="C2059" s="118"/>
      <c r="D2059" s="118"/>
      <c r="E2059" s="118"/>
      <c r="F2059" s="118"/>
      <c r="G2059" s="118"/>
      <c r="H2059" s="118"/>
      <c r="I2059" s="118"/>
      <c r="J2059" s="118"/>
      <c r="K2059" s="118"/>
      <c r="L2059" s="118"/>
      <c r="M2059" s="118"/>
      <c r="N2059" s="210"/>
    </row>
    <row r="2060" spans="2:14" ht="14.25" customHeight="1" x14ac:dyDescent="0.25">
      <c r="B2060" s="209"/>
      <c r="C2060" s="118"/>
      <c r="D2060" s="118"/>
      <c r="E2060" s="118"/>
      <c r="F2060" s="118"/>
      <c r="G2060" s="118"/>
      <c r="H2060" s="118"/>
      <c r="I2060" s="118"/>
      <c r="J2060" s="118"/>
      <c r="K2060" s="118"/>
      <c r="L2060" s="118"/>
      <c r="M2060" s="118"/>
      <c r="N2060" s="210"/>
    </row>
    <row r="2061" spans="2:14" ht="14.25" customHeight="1" x14ac:dyDescent="0.25">
      <c r="B2061" s="775" t="s">
        <v>414</v>
      </c>
      <c r="C2061" s="747"/>
      <c r="D2061" s="747"/>
      <c r="E2061" s="128"/>
      <c r="F2061" s="128"/>
      <c r="G2061" s="128"/>
      <c r="H2061" s="128"/>
      <c r="I2061" s="776"/>
      <c r="J2061" s="747"/>
      <c r="K2061" s="747"/>
      <c r="L2061" s="118"/>
      <c r="M2061" s="118"/>
      <c r="N2061" s="210"/>
    </row>
    <row r="2062" spans="2:14" ht="14.25" customHeight="1" thickBot="1" x14ac:dyDescent="0.3">
      <c r="B2062" s="129"/>
      <c r="C2062" s="130"/>
      <c r="D2062" s="130"/>
      <c r="E2062" s="130"/>
      <c r="F2062" s="130"/>
      <c r="G2062" s="130"/>
      <c r="H2062" s="130"/>
      <c r="I2062" s="130"/>
      <c r="J2062" s="130"/>
      <c r="K2062" s="130"/>
      <c r="L2062" s="130"/>
      <c r="M2062" s="130"/>
      <c r="N2062" s="131"/>
    </row>
    <row r="2063" spans="2:14" ht="14.25" customHeight="1" thickBot="1" x14ac:dyDescent="0.3">
      <c r="B2063" s="132"/>
      <c r="C2063" s="132"/>
      <c r="D2063" s="132"/>
      <c r="E2063" s="132"/>
      <c r="F2063" s="132"/>
      <c r="G2063" s="132"/>
      <c r="H2063" s="132"/>
      <c r="I2063" s="132"/>
      <c r="J2063" s="132"/>
      <c r="K2063" s="132"/>
      <c r="L2063" s="132"/>
      <c r="M2063" s="132"/>
      <c r="N2063" s="132"/>
    </row>
    <row r="2064" spans="2:14" ht="39" customHeight="1" x14ac:dyDescent="0.25">
      <c r="B2064" s="728"/>
      <c r="C2064" s="729"/>
      <c r="D2064" s="730" t="s">
        <v>393</v>
      </c>
      <c r="E2064" s="729"/>
      <c r="F2064" s="729"/>
      <c r="G2064" s="729"/>
      <c r="H2064" s="729"/>
      <c r="I2064" s="729"/>
      <c r="J2064" s="729"/>
      <c r="K2064" s="729"/>
      <c r="L2064" s="729"/>
      <c r="M2064" s="729"/>
      <c r="N2064" s="731"/>
    </row>
    <row r="2065" spans="2:14" ht="14.25" customHeight="1" x14ac:dyDescent="0.25">
      <c r="B2065" s="732" t="s">
        <v>394</v>
      </c>
      <c r="C2065" s="733"/>
      <c r="D2065" s="733"/>
      <c r="E2065" s="733"/>
      <c r="F2065" s="733"/>
      <c r="G2065" s="733"/>
      <c r="H2065" s="733"/>
      <c r="I2065" s="733"/>
      <c r="J2065" s="733"/>
      <c r="K2065" s="733"/>
      <c r="L2065" s="733"/>
      <c r="M2065" s="733"/>
      <c r="N2065" s="734"/>
    </row>
    <row r="2066" spans="2:14" ht="14.25" customHeight="1" x14ac:dyDescent="0.25">
      <c r="B2066" s="735" t="s">
        <v>395</v>
      </c>
      <c r="C2066" s="736"/>
      <c r="D2066" s="737" t="str">
        <f>VLOOKUP(B2068,Buenaventura!A9:G2352,3,FALSE)</f>
        <v>Suministro y aplicación de vinilo tipo 1 (2 manos)(Incluye filos y dilataciones)</v>
      </c>
      <c r="E2066" s="738"/>
      <c r="F2066" s="738"/>
      <c r="G2066" s="738"/>
      <c r="H2066" s="738"/>
      <c r="I2066" s="738"/>
      <c r="J2066" s="738"/>
      <c r="K2066" s="738"/>
      <c r="L2066" s="738"/>
      <c r="M2066" s="738"/>
      <c r="N2066" s="739"/>
    </row>
    <row r="2067" spans="2:14" ht="14.25" customHeight="1" x14ac:dyDescent="0.25">
      <c r="B2067" s="740" t="s">
        <v>26</v>
      </c>
      <c r="C2067" s="741"/>
      <c r="D2067" s="119" t="s">
        <v>396</v>
      </c>
      <c r="E2067" s="742" t="s">
        <v>397</v>
      </c>
      <c r="F2067" s="733"/>
      <c r="G2067" s="733"/>
      <c r="H2067" s="736"/>
      <c r="I2067" s="742" t="s">
        <v>398</v>
      </c>
      <c r="J2067" s="733"/>
      <c r="K2067" s="736"/>
      <c r="L2067" s="742" t="s">
        <v>399</v>
      </c>
      <c r="M2067" s="733"/>
      <c r="N2067" s="734"/>
    </row>
    <row r="2068" spans="2:14" ht="14.25" customHeight="1" x14ac:dyDescent="0.25">
      <c r="B2068" s="283">
        <v>36</v>
      </c>
      <c r="C2068" s="284" t="str">
        <f>VLOOKUP(B2068,Buenaventura!A9:G2365,2,FALSE)</f>
        <v>AC-03</v>
      </c>
      <c r="D2068" s="285">
        <f>SUM(H2071:H2074)</f>
        <v>540</v>
      </c>
      <c r="E2068" s="743" t="str">
        <f>VLOOKUP(B2068,Buenaventura!A9:G2364,4,FALSE)</f>
        <v>M2</v>
      </c>
      <c r="F2068" s="743"/>
      <c r="G2068" s="743"/>
      <c r="H2068" s="743"/>
      <c r="I2068" s="744"/>
      <c r="J2068" s="745"/>
      <c r="K2068" s="741"/>
      <c r="L2068" s="744"/>
      <c r="M2068" s="745"/>
      <c r="N2068" s="752"/>
    </row>
    <row r="2069" spans="2:14" ht="14.25" customHeight="1" x14ac:dyDescent="0.25">
      <c r="B2069" s="755" t="s">
        <v>416</v>
      </c>
      <c r="C2069" s="733"/>
      <c r="D2069" s="733"/>
      <c r="E2069" s="733"/>
      <c r="F2069" s="733"/>
      <c r="G2069" s="733"/>
      <c r="H2069" s="736"/>
      <c r="I2069" s="746"/>
      <c r="J2069" s="747"/>
      <c r="K2069" s="748"/>
      <c r="L2069" s="746"/>
      <c r="M2069" s="747"/>
      <c r="N2069" s="753"/>
    </row>
    <row r="2070" spans="2:14" ht="14.25" customHeight="1" x14ac:dyDescent="0.25">
      <c r="B2070" s="121" t="s">
        <v>400</v>
      </c>
      <c r="C2070" s="122" t="s">
        <v>401</v>
      </c>
      <c r="D2070" s="123" t="s">
        <v>402</v>
      </c>
      <c r="E2070" s="123" t="s">
        <v>403</v>
      </c>
      <c r="F2070" s="123" t="s">
        <v>404</v>
      </c>
      <c r="G2070" s="123" t="s">
        <v>405</v>
      </c>
      <c r="H2070" s="123" t="s">
        <v>406</v>
      </c>
      <c r="I2070" s="746"/>
      <c r="J2070" s="747"/>
      <c r="K2070" s="748"/>
      <c r="L2070" s="746"/>
      <c r="M2070" s="747"/>
      <c r="N2070" s="753"/>
    </row>
    <row r="2071" spans="2:14" ht="14.25" customHeight="1" x14ac:dyDescent="0.25">
      <c r="B2071" s="124"/>
      <c r="C2071" s="204" t="s">
        <v>530</v>
      </c>
      <c r="D2071" s="125">
        <v>6</v>
      </c>
      <c r="E2071" s="125">
        <v>6</v>
      </c>
      <c r="F2071" s="125">
        <v>15</v>
      </c>
      <c r="G2071" s="125"/>
      <c r="H2071" s="125">
        <f>D2071*E2071*F2071</f>
        <v>540</v>
      </c>
      <c r="I2071" s="746"/>
      <c r="J2071" s="747"/>
      <c r="K2071" s="748"/>
      <c r="L2071" s="746"/>
      <c r="M2071" s="747"/>
      <c r="N2071" s="753"/>
    </row>
    <row r="2072" spans="2:14" ht="14.25" customHeight="1" x14ac:dyDescent="0.25">
      <c r="B2072" s="124"/>
      <c r="C2072" s="204"/>
      <c r="D2072" s="125"/>
      <c r="E2072" s="125"/>
      <c r="F2072" s="125"/>
      <c r="G2072" s="125"/>
      <c r="H2072" s="125"/>
      <c r="I2072" s="746"/>
      <c r="J2072" s="747"/>
      <c r="K2072" s="748"/>
      <c r="L2072" s="746"/>
      <c r="M2072" s="747"/>
      <c r="N2072" s="753"/>
    </row>
    <row r="2073" spans="2:14" ht="14.25" customHeight="1" x14ac:dyDescent="0.25">
      <c r="B2073" s="124"/>
      <c r="C2073" s="204"/>
      <c r="D2073" s="125"/>
      <c r="E2073" s="125"/>
      <c r="F2073" s="125"/>
      <c r="G2073" s="125"/>
      <c r="H2073" s="125"/>
      <c r="I2073" s="746"/>
      <c r="J2073" s="747"/>
      <c r="K2073" s="748"/>
      <c r="L2073" s="746"/>
      <c r="M2073" s="747"/>
      <c r="N2073" s="753"/>
    </row>
    <row r="2074" spans="2:14" ht="14.25" customHeight="1" x14ac:dyDescent="0.25">
      <c r="B2074" s="124"/>
      <c r="C2074" s="204"/>
      <c r="D2074" s="125"/>
      <c r="E2074" s="125"/>
      <c r="F2074" s="125"/>
      <c r="G2074" s="125"/>
      <c r="H2074" s="125"/>
      <c r="I2074" s="746"/>
      <c r="J2074" s="747"/>
      <c r="K2074" s="748"/>
      <c r="L2074" s="746"/>
      <c r="M2074" s="747"/>
      <c r="N2074" s="753"/>
    </row>
    <row r="2075" spans="2:14" ht="14.25" customHeight="1" x14ac:dyDescent="0.25">
      <c r="B2075" s="124"/>
      <c r="C2075" s="204"/>
      <c r="D2075" s="125"/>
      <c r="E2075" s="125"/>
      <c r="F2075" s="125"/>
      <c r="G2075" s="125"/>
      <c r="H2075" s="125"/>
      <c r="I2075" s="746"/>
      <c r="J2075" s="747"/>
      <c r="K2075" s="748"/>
      <c r="L2075" s="746"/>
      <c r="M2075" s="747"/>
      <c r="N2075" s="753"/>
    </row>
    <row r="2076" spans="2:14" ht="14.25" customHeight="1" x14ac:dyDescent="0.25">
      <c r="B2076" s="124"/>
      <c r="C2076" s="204"/>
      <c r="D2076" s="125"/>
      <c r="E2076" s="125"/>
      <c r="F2076" s="125"/>
      <c r="G2076" s="125"/>
      <c r="H2076" s="125"/>
      <c r="I2076" s="746"/>
      <c r="J2076" s="747"/>
      <c r="K2076" s="748"/>
      <c r="L2076" s="746"/>
      <c r="M2076" s="747"/>
      <c r="N2076" s="753"/>
    </row>
    <row r="2077" spans="2:14" ht="14.25" customHeight="1" x14ac:dyDescent="0.25">
      <c r="B2077" s="124"/>
      <c r="C2077" s="204"/>
      <c r="D2077" s="125"/>
      <c r="E2077" s="125"/>
      <c r="F2077" s="125"/>
      <c r="G2077" s="125"/>
      <c r="H2077" s="125"/>
      <c r="I2077" s="746"/>
      <c r="J2077" s="747"/>
      <c r="K2077" s="748"/>
      <c r="L2077" s="746"/>
      <c r="M2077" s="747"/>
      <c r="N2077" s="753"/>
    </row>
    <row r="2078" spans="2:14" ht="14.25" customHeight="1" x14ac:dyDescent="0.25">
      <c r="B2078" s="124"/>
      <c r="C2078" s="204"/>
      <c r="D2078" s="125"/>
      <c r="E2078" s="125"/>
      <c r="F2078" s="125"/>
      <c r="G2078" s="125"/>
      <c r="H2078" s="125"/>
      <c r="I2078" s="746"/>
      <c r="J2078" s="747"/>
      <c r="K2078" s="748"/>
      <c r="L2078" s="746"/>
      <c r="M2078" s="747"/>
      <c r="N2078" s="753"/>
    </row>
    <row r="2079" spans="2:14" ht="14.25" customHeight="1" x14ac:dyDescent="0.25">
      <c r="B2079" s="124"/>
      <c r="C2079" s="204"/>
      <c r="D2079" s="125"/>
      <c r="E2079" s="125"/>
      <c r="F2079" s="125"/>
      <c r="G2079" s="125"/>
      <c r="H2079" s="125"/>
      <c r="I2079" s="746"/>
      <c r="J2079" s="747"/>
      <c r="K2079" s="748"/>
      <c r="L2079" s="746"/>
      <c r="M2079" s="747"/>
      <c r="N2079" s="753"/>
    </row>
    <row r="2080" spans="2:14" ht="14.25" customHeight="1" x14ac:dyDescent="0.25">
      <c r="B2080" s="124"/>
      <c r="C2080" s="138"/>
      <c r="D2080" s="125"/>
      <c r="E2080" s="125"/>
      <c r="F2080" s="125"/>
      <c r="G2080" s="125"/>
      <c r="H2080" s="125"/>
      <c r="I2080" s="746"/>
      <c r="J2080" s="747"/>
      <c r="K2080" s="748"/>
      <c r="L2080" s="746"/>
      <c r="M2080" s="747"/>
      <c r="N2080" s="753"/>
    </row>
    <row r="2081" spans="2:14" ht="14.25" customHeight="1" x14ac:dyDescent="0.25">
      <c r="B2081" s="124"/>
      <c r="C2081" s="138"/>
      <c r="D2081" s="125"/>
      <c r="E2081" s="125"/>
      <c r="F2081" s="125"/>
      <c r="G2081" s="125"/>
      <c r="H2081" s="125"/>
      <c r="I2081" s="746"/>
      <c r="J2081" s="747"/>
      <c r="K2081" s="748"/>
      <c r="L2081" s="746"/>
      <c r="M2081" s="747"/>
      <c r="N2081" s="753"/>
    </row>
    <row r="2082" spans="2:14" ht="14.25" customHeight="1" x14ac:dyDescent="0.25">
      <c r="B2082" s="124"/>
      <c r="C2082" s="161"/>
      <c r="D2082" s="125"/>
      <c r="E2082" s="125"/>
      <c r="F2082" s="125"/>
      <c r="G2082" s="125"/>
      <c r="H2082" s="125"/>
      <c r="I2082" s="746"/>
      <c r="J2082" s="747"/>
      <c r="K2082" s="748"/>
      <c r="L2082" s="746"/>
      <c r="M2082" s="747"/>
      <c r="N2082" s="753"/>
    </row>
    <row r="2083" spans="2:14" ht="14.25" customHeight="1" x14ac:dyDescent="0.25">
      <c r="B2083" s="124"/>
      <c r="C2083" s="125"/>
      <c r="D2083" s="125"/>
      <c r="E2083" s="125"/>
      <c r="F2083" s="125"/>
      <c r="G2083" s="125"/>
      <c r="H2083" s="125"/>
      <c r="I2083" s="746"/>
      <c r="J2083" s="747"/>
      <c r="K2083" s="748"/>
      <c r="L2083" s="746"/>
      <c r="M2083" s="747"/>
      <c r="N2083" s="753"/>
    </row>
    <row r="2084" spans="2:14" ht="14.25" customHeight="1" x14ac:dyDescent="0.25">
      <c r="B2084" s="127"/>
      <c r="C2084" s="125"/>
      <c r="D2084" s="125"/>
      <c r="E2084" s="125"/>
      <c r="F2084" s="125"/>
      <c r="G2084" s="125"/>
      <c r="H2084" s="125"/>
      <c r="I2084" s="749"/>
      <c r="J2084" s="750"/>
      <c r="K2084" s="751"/>
      <c r="L2084" s="749"/>
      <c r="M2084" s="750"/>
      <c r="N2084" s="754"/>
    </row>
    <row r="2085" spans="2:14" ht="14.25" customHeight="1" x14ac:dyDescent="0.25">
      <c r="B2085" s="209"/>
      <c r="C2085" s="118"/>
      <c r="D2085" s="118"/>
      <c r="E2085" s="118"/>
      <c r="F2085" s="118"/>
      <c r="G2085" s="118"/>
      <c r="H2085" s="118"/>
      <c r="I2085" s="118"/>
      <c r="J2085" s="118"/>
      <c r="K2085" s="118"/>
      <c r="L2085" s="118"/>
      <c r="M2085" s="118"/>
      <c r="N2085" s="210"/>
    </row>
    <row r="2086" spans="2:14" ht="14.25" customHeight="1" x14ac:dyDescent="0.25">
      <c r="B2086" s="209"/>
      <c r="C2086" s="118"/>
      <c r="D2086" s="118"/>
      <c r="E2086" s="118"/>
      <c r="F2086" s="118"/>
      <c r="G2086" s="118"/>
      <c r="H2086" s="118"/>
      <c r="I2086" s="118"/>
      <c r="J2086" s="118"/>
      <c r="K2086" s="118"/>
      <c r="L2086" s="118"/>
      <c r="M2086" s="118"/>
      <c r="N2086" s="210"/>
    </row>
    <row r="2087" spans="2:14" ht="14.25" customHeight="1" x14ac:dyDescent="0.25">
      <c r="B2087" s="209"/>
      <c r="C2087" s="118"/>
      <c r="D2087" s="118"/>
      <c r="E2087" s="118"/>
      <c r="F2087" s="118"/>
      <c r="G2087" s="118"/>
      <c r="H2087" s="118"/>
      <c r="I2087" s="118"/>
      <c r="J2087" s="118"/>
      <c r="K2087" s="118"/>
      <c r="L2087" s="118"/>
      <c r="M2087" s="118"/>
      <c r="N2087" s="210"/>
    </row>
    <row r="2088" spans="2:14" ht="14.25" customHeight="1" x14ac:dyDescent="0.25">
      <c r="B2088" s="209"/>
      <c r="C2088" s="118"/>
      <c r="D2088" s="118"/>
      <c r="E2088" s="118"/>
      <c r="F2088" s="118"/>
      <c r="G2088" s="118"/>
      <c r="H2088" s="118"/>
      <c r="I2088" s="118"/>
      <c r="J2088" s="118"/>
      <c r="K2088" s="118"/>
      <c r="L2088" s="118"/>
      <c r="M2088" s="118"/>
      <c r="N2088" s="210"/>
    </row>
    <row r="2089" spans="2:14" ht="14.25" customHeight="1" x14ac:dyDescent="0.25">
      <c r="B2089" s="775" t="s">
        <v>414</v>
      </c>
      <c r="C2089" s="747"/>
      <c r="D2089" s="747"/>
      <c r="E2089" s="128"/>
      <c r="F2089" s="128"/>
      <c r="G2089" s="128"/>
      <c r="H2089" s="128"/>
      <c r="I2089" s="776"/>
      <c r="J2089" s="747"/>
      <c r="K2089" s="747"/>
      <c r="L2089" s="118"/>
      <c r="M2089" s="118"/>
      <c r="N2089" s="210"/>
    </row>
    <row r="2090" spans="2:14" ht="14.25" customHeight="1" thickBot="1" x14ac:dyDescent="0.3">
      <c r="B2090" s="129"/>
      <c r="C2090" s="130"/>
      <c r="D2090" s="130"/>
      <c r="E2090" s="130"/>
      <c r="F2090" s="130"/>
      <c r="G2090" s="130"/>
      <c r="H2090" s="130"/>
      <c r="I2090" s="130"/>
      <c r="J2090" s="130"/>
      <c r="K2090" s="130"/>
      <c r="L2090" s="130"/>
      <c r="M2090" s="130"/>
      <c r="N2090" s="131"/>
    </row>
    <row r="2091" spans="2:14" ht="14.25" customHeight="1" x14ac:dyDescent="0.25">
      <c r="B2091" s="132"/>
      <c r="C2091" s="132"/>
      <c r="D2091" s="132"/>
      <c r="E2091" s="132"/>
      <c r="F2091" s="132"/>
      <c r="G2091" s="132"/>
      <c r="H2091" s="132"/>
      <c r="I2091" s="132"/>
      <c r="J2091" s="132"/>
      <c r="K2091" s="132"/>
      <c r="L2091" s="132"/>
      <c r="M2091" s="132"/>
      <c r="N2091" s="132"/>
    </row>
    <row r="2092" spans="2:14" ht="39.75" hidden="1" customHeight="1" x14ac:dyDescent="0.25">
      <c r="B2092" s="728"/>
      <c r="C2092" s="729"/>
      <c r="D2092" s="730" t="s">
        <v>393</v>
      </c>
      <c r="E2092" s="729"/>
      <c r="F2092" s="729"/>
      <c r="G2092" s="729"/>
      <c r="H2092" s="729"/>
      <c r="I2092" s="729"/>
      <c r="J2092" s="729"/>
      <c r="K2092" s="729"/>
      <c r="L2092" s="729"/>
      <c r="M2092" s="729"/>
      <c r="N2092" s="731"/>
    </row>
    <row r="2093" spans="2:14" ht="14.25" hidden="1" customHeight="1" x14ac:dyDescent="0.25">
      <c r="B2093" s="732" t="s">
        <v>394</v>
      </c>
      <c r="C2093" s="733"/>
      <c r="D2093" s="733"/>
      <c r="E2093" s="733"/>
      <c r="F2093" s="733"/>
      <c r="G2093" s="733"/>
      <c r="H2093" s="733"/>
      <c r="I2093" s="733"/>
      <c r="J2093" s="733"/>
      <c r="K2093" s="733"/>
      <c r="L2093" s="733"/>
      <c r="M2093" s="733"/>
      <c r="N2093" s="734"/>
    </row>
    <row r="2094" spans="2:14" ht="14.25" hidden="1" customHeight="1" x14ac:dyDescent="0.25">
      <c r="B2094" s="735" t="s">
        <v>395</v>
      </c>
      <c r="C2094" s="736"/>
      <c r="D2094" s="779" t="s">
        <v>267</v>
      </c>
      <c r="E2094" s="733"/>
      <c r="F2094" s="733"/>
      <c r="G2094" s="733"/>
      <c r="H2094" s="733"/>
      <c r="I2094" s="733"/>
      <c r="J2094" s="733"/>
      <c r="K2094" s="733"/>
      <c r="L2094" s="733"/>
      <c r="M2094" s="733"/>
      <c r="N2094" s="734"/>
    </row>
    <row r="2095" spans="2:14" ht="14.25" hidden="1" customHeight="1" x14ac:dyDescent="0.25">
      <c r="B2095" s="740" t="s">
        <v>26</v>
      </c>
      <c r="C2095" s="741"/>
      <c r="D2095" s="119" t="s">
        <v>396</v>
      </c>
      <c r="E2095" s="742" t="s">
        <v>397</v>
      </c>
      <c r="F2095" s="733"/>
      <c r="G2095" s="733"/>
      <c r="H2095" s="736"/>
      <c r="I2095" s="742" t="s">
        <v>398</v>
      </c>
      <c r="J2095" s="733"/>
      <c r="K2095" s="736"/>
      <c r="L2095" s="742" t="s">
        <v>399</v>
      </c>
      <c r="M2095" s="733"/>
      <c r="N2095" s="734"/>
    </row>
    <row r="2096" spans="2:14" ht="14.25" hidden="1" customHeight="1" x14ac:dyDescent="0.25">
      <c r="B2096" s="777">
        <v>59</v>
      </c>
      <c r="C2096" s="736"/>
      <c r="D2096" s="123">
        <f>SUM(H2099:H2118)</f>
        <v>3</v>
      </c>
      <c r="E2096" s="778" t="s">
        <v>29</v>
      </c>
      <c r="F2096" s="733"/>
      <c r="G2096" s="733"/>
      <c r="H2096" s="736"/>
      <c r="I2096" s="744"/>
      <c r="J2096" s="745"/>
      <c r="K2096" s="741"/>
      <c r="L2096" s="744"/>
      <c r="M2096" s="745"/>
      <c r="N2096" s="752"/>
    </row>
    <row r="2097" spans="2:16" ht="14.25" hidden="1" customHeight="1" x14ac:dyDescent="0.25">
      <c r="B2097" s="755" t="s">
        <v>416</v>
      </c>
      <c r="C2097" s="733"/>
      <c r="D2097" s="733"/>
      <c r="E2097" s="733"/>
      <c r="F2097" s="733"/>
      <c r="G2097" s="733"/>
      <c r="H2097" s="736"/>
      <c r="I2097" s="746"/>
      <c r="J2097" s="747"/>
      <c r="K2097" s="748"/>
      <c r="L2097" s="746"/>
      <c r="M2097" s="747"/>
      <c r="N2097" s="753"/>
      <c r="P2097" s="231"/>
    </row>
    <row r="2098" spans="2:16" ht="14.25" hidden="1" customHeight="1" x14ac:dyDescent="0.25">
      <c r="B2098" s="121" t="s">
        <v>400</v>
      </c>
      <c r="C2098" s="122" t="s">
        <v>401</v>
      </c>
      <c r="D2098" s="123" t="s">
        <v>402</v>
      </c>
      <c r="E2098" s="123" t="s">
        <v>403</v>
      </c>
      <c r="F2098" s="123" t="s">
        <v>404</v>
      </c>
      <c r="G2098" s="123" t="s">
        <v>405</v>
      </c>
      <c r="H2098" s="123" t="s">
        <v>406</v>
      </c>
      <c r="I2098" s="746"/>
      <c r="J2098" s="747"/>
      <c r="K2098" s="748"/>
      <c r="L2098" s="746"/>
      <c r="M2098" s="747"/>
      <c r="N2098" s="753"/>
    </row>
    <row r="2099" spans="2:16" ht="14.25" hidden="1" customHeight="1" x14ac:dyDescent="0.25">
      <c r="B2099" s="124" t="s">
        <v>514</v>
      </c>
      <c r="C2099" s="765" t="s">
        <v>515</v>
      </c>
      <c r="D2099" s="125">
        <v>1</v>
      </c>
      <c r="E2099" s="125"/>
      <c r="F2099" s="125"/>
      <c r="G2099" s="125"/>
      <c r="H2099" s="125">
        <f>D2099</f>
        <v>1</v>
      </c>
      <c r="I2099" s="746"/>
      <c r="J2099" s="747"/>
      <c r="K2099" s="748"/>
      <c r="L2099" s="746"/>
      <c r="M2099" s="747"/>
      <c r="N2099" s="753"/>
    </row>
    <row r="2100" spans="2:16" ht="14.25" hidden="1" customHeight="1" x14ac:dyDescent="0.25">
      <c r="B2100" s="124"/>
      <c r="C2100" s="780"/>
      <c r="D2100" s="125"/>
      <c r="E2100" s="125"/>
      <c r="F2100" s="125"/>
      <c r="G2100" s="125"/>
      <c r="H2100" s="125"/>
      <c r="I2100" s="746"/>
      <c r="J2100" s="747"/>
      <c r="K2100" s="748"/>
      <c r="L2100" s="746"/>
      <c r="M2100" s="747"/>
      <c r="N2100" s="753"/>
    </row>
    <row r="2101" spans="2:16" ht="14.25" hidden="1" customHeight="1" x14ac:dyDescent="0.25">
      <c r="B2101" s="124" t="s">
        <v>516</v>
      </c>
      <c r="C2101" s="780"/>
      <c r="D2101" s="125">
        <v>1</v>
      </c>
      <c r="E2101" s="125"/>
      <c r="F2101" s="125"/>
      <c r="G2101" s="125"/>
      <c r="H2101" s="125">
        <f t="shared" ref="H2101:H2102" si="53">D2101</f>
        <v>1</v>
      </c>
      <c r="I2101" s="746"/>
      <c r="J2101" s="747"/>
      <c r="K2101" s="748"/>
      <c r="L2101" s="746"/>
      <c r="M2101" s="747"/>
      <c r="N2101" s="753"/>
    </row>
    <row r="2102" spans="2:16" ht="14.25" hidden="1" customHeight="1" x14ac:dyDescent="0.25">
      <c r="B2102" s="124" t="s">
        <v>517</v>
      </c>
      <c r="C2102" s="781"/>
      <c r="D2102" s="125">
        <v>1</v>
      </c>
      <c r="E2102" s="125"/>
      <c r="F2102" s="125"/>
      <c r="G2102" s="125"/>
      <c r="H2102" s="125">
        <f t="shared" si="53"/>
        <v>1</v>
      </c>
      <c r="I2102" s="746"/>
      <c r="J2102" s="747"/>
      <c r="K2102" s="748"/>
      <c r="L2102" s="746"/>
      <c r="M2102" s="747"/>
      <c r="N2102" s="753"/>
    </row>
    <row r="2103" spans="2:16" ht="14.25" hidden="1" customHeight="1" x14ac:dyDescent="0.25">
      <c r="B2103" s="124"/>
      <c r="C2103" s="765"/>
      <c r="D2103" s="125"/>
      <c r="E2103" s="125"/>
      <c r="F2103" s="125"/>
      <c r="G2103" s="125"/>
      <c r="H2103" s="125"/>
      <c r="I2103" s="746"/>
      <c r="J2103" s="747"/>
      <c r="K2103" s="748"/>
      <c r="L2103" s="746"/>
      <c r="M2103" s="747"/>
      <c r="N2103" s="753"/>
    </row>
    <row r="2104" spans="2:16" ht="14.25" hidden="1" customHeight="1" x14ac:dyDescent="0.25">
      <c r="B2104" s="124"/>
      <c r="C2104" s="781"/>
      <c r="D2104" s="125"/>
      <c r="E2104" s="125"/>
      <c r="F2104" s="125"/>
      <c r="G2104" s="125"/>
      <c r="H2104" s="125"/>
      <c r="I2104" s="746"/>
      <c r="J2104" s="747"/>
      <c r="K2104" s="748"/>
      <c r="L2104" s="746"/>
      <c r="M2104" s="747"/>
      <c r="N2104" s="753"/>
    </row>
    <row r="2105" spans="2:16" ht="14.25" hidden="1" customHeight="1" x14ac:dyDescent="0.25">
      <c r="B2105" s="124"/>
      <c r="C2105" s="765"/>
      <c r="D2105" s="125"/>
      <c r="E2105" s="125"/>
      <c r="F2105" s="125"/>
      <c r="G2105" s="125"/>
      <c r="H2105" s="125"/>
      <c r="I2105" s="746"/>
      <c r="J2105" s="747"/>
      <c r="K2105" s="748"/>
      <c r="L2105" s="746"/>
      <c r="M2105" s="747"/>
      <c r="N2105" s="753"/>
    </row>
    <row r="2106" spans="2:16" ht="14.25" hidden="1" customHeight="1" x14ac:dyDescent="0.25">
      <c r="B2106" s="124"/>
      <c r="C2106" s="780"/>
      <c r="D2106" s="125"/>
      <c r="E2106" s="125"/>
      <c r="F2106" s="125"/>
      <c r="G2106" s="125"/>
      <c r="H2106" s="125"/>
      <c r="I2106" s="746"/>
      <c r="J2106" s="747"/>
      <c r="K2106" s="748"/>
      <c r="L2106" s="746"/>
      <c r="M2106" s="747"/>
      <c r="N2106" s="753"/>
    </row>
    <row r="2107" spans="2:16" ht="14.25" hidden="1" customHeight="1" x14ac:dyDescent="0.25">
      <c r="B2107" s="124"/>
      <c r="C2107" s="765"/>
      <c r="D2107" s="125"/>
      <c r="E2107" s="125"/>
      <c r="F2107" s="125"/>
      <c r="G2107" s="125"/>
      <c r="H2107" s="125"/>
      <c r="I2107" s="746"/>
      <c r="J2107" s="747"/>
      <c r="K2107" s="748"/>
      <c r="L2107" s="746"/>
      <c r="M2107" s="747"/>
      <c r="N2107" s="753"/>
    </row>
    <row r="2108" spans="2:16" ht="14.25" hidden="1" customHeight="1" x14ac:dyDescent="0.25">
      <c r="B2108" s="124"/>
      <c r="C2108" s="780"/>
      <c r="D2108" s="125"/>
      <c r="E2108" s="125"/>
      <c r="F2108" s="125"/>
      <c r="G2108" s="125"/>
      <c r="H2108" s="125"/>
      <c r="I2108" s="746"/>
      <c r="J2108" s="747"/>
      <c r="K2108" s="748"/>
      <c r="L2108" s="746"/>
      <c r="M2108" s="747"/>
      <c r="N2108" s="753"/>
    </row>
    <row r="2109" spans="2:16" ht="14.25" hidden="1" customHeight="1" x14ac:dyDescent="0.25">
      <c r="B2109" s="124"/>
      <c r="C2109" s="765"/>
      <c r="D2109" s="125"/>
      <c r="E2109" s="125"/>
      <c r="F2109" s="125"/>
      <c r="G2109" s="125"/>
      <c r="H2109" s="125"/>
      <c r="I2109" s="746"/>
      <c r="J2109" s="747"/>
      <c r="K2109" s="748"/>
      <c r="L2109" s="746"/>
      <c r="M2109" s="747"/>
      <c r="N2109" s="753"/>
    </row>
    <row r="2110" spans="2:16" ht="14.25" hidden="1" customHeight="1" x14ac:dyDescent="0.25">
      <c r="B2110" s="124"/>
      <c r="C2110" s="780"/>
      <c r="D2110" s="125"/>
      <c r="E2110" s="125"/>
      <c r="F2110" s="125"/>
      <c r="G2110" s="125"/>
      <c r="H2110" s="125"/>
      <c r="I2110" s="746"/>
      <c r="J2110" s="747"/>
      <c r="K2110" s="748"/>
      <c r="L2110" s="746"/>
      <c r="M2110" s="747"/>
      <c r="N2110" s="753"/>
    </row>
    <row r="2111" spans="2:16" ht="14.25" hidden="1" customHeight="1" x14ac:dyDescent="0.25">
      <c r="B2111" s="124"/>
      <c r="C2111" s="125"/>
      <c r="D2111" s="125"/>
      <c r="E2111" s="125"/>
      <c r="F2111" s="125"/>
      <c r="G2111" s="125"/>
      <c r="H2111" s="125"/>
      <c r="I2111" s="746"/>
      <c r="J2111" s="747"/>
      <c r="K2111" s="748"/>
      <c r="L2111" s="746"/>
      <c r="M2111" s="747"/>
      <c r="N2111" s="753"/>
    </row>
    <row r="2112" spans="2:16" ht="14.25" hidden="1" customHeight="1" x14ac:dyDescent="0.25">
      <c r="B2112" s="127"/>
      <c r="C2112" s="125"/>
      <c r="D2112" s="125"/>
      <c r="E2112" s="125"/>
      <c r="F2112" s="125"/>
      <c r="G2112" s="125"/>
      <c r="H2112" s="125"/>
      <c r="I2112" s="746"/>
      <c r="J2112" s="747"/>
      <c r="K2112" s="748"/>
      <c r="L2112" s="746"/>
      <c r="M2112" s="747"/>
      <c r="N2112" s="753"/>
    </row>
    <row r="2113" spans="2:14" ht="14.25" hidden="1" customHeight="1" x14ac:dyDescent="0.25">
      <c r="B2113" s="124"/>
      <c r="C2113" s="125"/>
      <c r="D2113" s="125"/>
      <c r="E2113" s="125"/>
      <c r="F2113" s="125"/>
      <c r="G2113" s="125"/>
      <c r="H2113" s="125"/>
      <c r="I2113" s="746"/>
      <c r="J2113" s="747"/>
      <c r="K2113" s="748"/>
      <c r="L2113" s="746"/>
      <c r="M2113" s="747"/>
      <c r="N2113" s="753"/>
    </row>
    <row r="2114" spans="2:14" ht="14.25" hidden="1" customHeight="1" x14ac:dyDescent="0.25">
      <c r="B2114" s="124"/>
      <c r="C2114" s="125"/>
      <c r="D2114" s="125"/>
      <c r="E2114" s="125"/>
      <c r="F2114" s="125"/>
      <c r="G2114" s="125"/>
      <c r="H2114" s="125"/>
      <c r="I2114" s="746"/>
      <c r="J2114" s="747"/>
      <c r="K2114" s="748"/>
      <c r="L2114" s="746"/>
      <c r="M2114" s="747"/>
      <c r="N2114" s="753"/>
    </row>
    <row r="2115" spans="2:14" ht="14.25" hidden="1" customHeight="1" x14ac:dyDescent="0.25">
      <c r="B2115" s="124"/>
      <c r="C2115" s="125"/>
      <c r="D2115" s="125"/>
      <c r="E2115" s="125"/>
      <c r="F2115" s="125"/>
      <c r="G2115" s="125"/>
      <c r="H2115" s="125"/>
      <c r="I2115" s="746"/>
      <c r="J2115" s="747"/>
      <c r="K2115" s="748"/>
      <c r="L2115" s="746"/>
      <c r="M2115" s="747"/>
      <c r="N2115" s="753"/>
    </row>
    <row r="2116" spans="2:14" ht="14.25" hidden="1" customHeight="1" x14ac:dyDescent="0.25">
      <c r="B2116" s="124"/>
      <c r="C2116" s="125"/>
      <c r="D2116" s="125"/>
      <c r="E2116" s="125"/>
      <c r="F2116" s="125"/>
      <c r="G2116" s="125"/>
      <c r="H2116" s="125"/>
      <c r="I2116" s="746"/>
      <c r="J2116" s="747"/>
      <c r="K2116" s="748"/>
      <c r="L2116" s="746"/>
      <c r="M2116" s="747"/>
      <c r="N2116" s="753"/>
    </row>
    <row r="2117" spans="2:14" ht="14.25" hidden="1" customHeight="1" x14ac:dyDescent="0.25">
      <c r="B2117" s="124"/>
      <c r="C2117" s="125"/>
      <c r="D2117" s="125"/>
      <c r="E2117" s="125"/>
      <c r="F2117" s="125"/>
      <c r="G2117" s="125"/>
      <c r="H2117" s="125"/>
      <c r="I2117" s="746"/>
      <c r="J2117" s="747"/>
      <c r="K2117" s="748"/>
      <c r="L2117" s="746"/>
      <c r="M2117" s="747"/>
      <c r="N2117" s="753"/>
    </row>
    <row r="2118" spans="2:14" ht="14.25" hidden="1" customHeight="1" x14ac:dyDescent="0.25">
      <c r="B2118" s="127"/>
      <c r="C2118" s="125"/>
      <c r="D2118" s="125"/>
      <c r="E2118" s="125"/>
      <c r="F2118" s="125"/>
      <c r="G2118" s="125"/>
      <c r="H2118" s="125"/>
      <c r="I2118" s="749"/>
      <c r="J2118" s="750"/>
      <c r="K2118" s="751"/>
      <c r="L2118" s="749"/>
      <c r="M2118" s="750"/>
      <c r="N2118" s="754"/>
    </row>
    <row r="2119" spans="2:14" ht="14.25" hidden="1" customHeight="1" x14ac:dyDescent="0.25">
      <c r="B2119" s="209"/>
      <c r="C2119" s="118"/>
      <c r="D2119" s="118"/>
      <c r="E2119" s="118"/>
      <c r="F2119" s="118"/>
      <c r="G2119" s="118"/>
      <c r="H2119" s="118"/>
      <c r="I2119" s="118"/>
      <c r="J2119" s="118"/>
      <c r="K2119" s="118"/>
      <c r="L2119" s="118"/>
      <c r="M2119" s="118"/>
      <c r="N2119" s="210"/>
    </row>
    <row r="2120" spans="2:14" ht="14.25" hidden="1" customHeight="1" x14ac:dyDescent="0.25">
      <c r="B2120" s="209"/>
      <c r="C2120" s="118"/>
      <c r="D2120" s="118"/>
      <c r="E2120" s="118"/>
      <c r="F2120" s="118"/>
      <c r="G2120" s="118"/>
      <c r="H2120" s="118"/>
      <c r="I2120" s="118"/>
      <c r="J2120" s="118"/>
      <c r="K2120" s="118"/>
      <c r="L2120" s="118"/>
      <c r="M2120" s="118"/>
      <c r="N2120" s="210"/>
    </row>
    <row r="2121" spans="2:14" ht="14.25" hidden="1" customHeight="1" x14ac:dyDescent="0.25">
      <c r="B2121" s="209"/>
      <c r="C2121" s="118"/>
      <c r="D2121" s="118"/>
      <c r="E2121" s="118"/>
      <c r="F2121" s="118"/>
      <c r="G2121" s="118"/>
      <c r="H2121" s="118"/>
      <c r="I2121" s="118"/>
      <c r="J2121" s="118"/>
      <c r="K2121" s="118"/>
      <c r="L2121" s="118"/>
      <c r="M2121" s="118"/>
      <c r="N2121" s="210"/>
    </row>
    <row r="2122" spans="2:14" ht="14.25" hidden="1" customHeight="1" x14ac:dyDescent="0.25">
      <c r="B2122" s="209"/>
      <c r="C2122" s="118"/>
      <c r="D2122" s="118"/>
      <c r="E2122" s="118"/>
      <c r="F2122" s="118"/>
      <c r="G2122" s="118"/>
      <c r="H2122" s="118"/>
      <c r="I2122" s="118"/>
      <c r="J2122" s="118"/>
      <c r="K2122" s="118"/>
      <c r="L2122" s="118"/>
      <c r="M2122" s="118"/>
      <c r="N2122" s="210"/>
    </row>
    <row r="2123" spans="2:14" ht="14.25" hidden="1" customHeight="1" x14ac:dyDescent="0.25">
      <c r="B2123" s="775" t="s">
        <v>414</v>
      </c>
      <c r="C2123" s="747"/>
      <c r="D2123" s="747"/>
      <c r="E2123" s="128"/>
      <c r="F2123" s="128"/>
      <c r="G2123" s="128"/>
      <c r="H2123" s="128"/>
      <c r="I2123" s="776"/>
      <c r="J2123" s="747"/>
      <c r="K2123" s="747"/>
      <c r="L2123" s="118"/>
      <c r="M2123" s="118"/>
      <c r="N2123" s="210"/>
    </row>
    <row r="2124" spans="2:14" ht="14.25" hidden="1" customHeight="1" x14ac:dyDescent="0.25">
      <c r="B2124" s="129"/>
      <c r="C2124" s="130"/>
      <c r="D2124" s="130"/>
      <c r="E2124" s="130"/>
      <c r="F2124" s="130"/>
      <c r="G2124" s="130"/>
      <c r="H2124" s="130"/>
      <c r="I2124" s="130"/>
      <c r="J2124" s="130"/>
      <c r="K2124" s="130"/>
      <c r="L2124" s="130"/>
      <c r="M2124" s="130"/>
      <c r="N2124" s="131"/>
    </row>
    <row r="2125" spans="2:14" ht="14.25" customHeight="1" thickBot="1" x14ac:dyDescent="0.3">
      <c r="B2125" s="132"/>
      <c r="C2125" s="132"/>
      <c r="D2125" s="132"/>
      <c r="E2125" s="132"/>
      <c r="F2125" s="132"/>
      <c r="G2125" s="132"/>
      <c r="H2125" s="132"/>
      <c r="I2125" s="132"/>
      <c r="J2125" s="132"/>
      <c r="K2125" s="132"/>
      <c r="L2125" s="132"/>
      <c r="M2125" s="132"/>
      <c r="N2125" s="132"/>
    </row>
    <row r="2126" spans="2:14" ht="43.5" customHeight="1" x14ac:dyDescent="0.25">
      <c r="B2126" s="728"/>
      <c r="C2126" s="729"/>
      <c r="D2126" s="730" t="s">
        <v>393</v>
      </c>
      <c r="E2126" s="729"/>
      <c r="F2126" s="729"/>
      <c r="G2126" s="729"/>
      <c r="H2126" s="729"/>
      <c r="I2126" s="729"/>
      <c r="J2126" s="729"/>
      <c r="K2126" s="729"/>
      <c r="L2126" s="729"/>
      <c r="M2126" s="729"/>
      <c r="N2126" s="731"/>
    </row>
    <row r="2127" spans="2:14" ht="14.25" customHeight="1" x14ac:dyDescent="0.25">
      <c r="B2127" s="732" t="s">
        <v>394</v>
      </c>
      <c r="C2127" s="733"/>
      <c r="D2127" s="733"/>
      <c r="E2127" s="733"/>
      <c r="F2127" s="733"/>
      <c r="G2127" s="733"/>
      <c r="H2127" s="733"/>
      <c r="I2127" s="733"/>
      <c r="J2127" s="733"/>
      <c r="K2127" s="733"/>
      <c r="L2127" s="733"/>
      <c r="M2127" s="733"/>
      <c r="N2127" s="734"/>
    </row>
    <row r="2128" spans="2:14" ht="16.899999999999999" customHeight="1" x14ac:dyDescent="0.25">
      <c r="B2128" s="735" t="s">
        <v>395</v>
      </c>
      <c r="C2128" s="736"/>
      <c r="D2128" s="737" t="str">
        <f>VLOOKUP(B2130,Buenaventura!A9:G2419,3,FALSE)</f>
        <v>Suministro y aplicación de pintura en esmalte(Incluye filos y dilataciones)</v>
      </c>
      <c r="E2128" s="738"/>
      <c r="F2128" s="738"/>
      <c r="G2128" s="738"/>
      <c r="H2128" s="738"/>
      <c r="I2128" s="738"/>
      <c r="J2128" s="738"/>
      <c r="K2128" s="738"/>
      <c r="L2128" s="738"/>
      <c r="M2128" s="738"/>
      <c r="N2128" s="739"/>
    </row>
    <row r="2129" spans="2:14" ht="14.25" customHeight="1" x14ac:dyDescent="0.25">
      <c r="B2129" s="740" t="s">
        <v>26</v>
      </c>
      <c r="C2129" s="741"/>
      <c r="D2129" s="119" t="s">
        <v>396</v>
      </c>
      <c r="E2129" s="742" t="s">
        <v>397</v>
      </c>
      <c r="F2129" s="733"/>
      <c r="G2129" s="733"/>
      <c r="H2129" s="736"/>
      <c r="I2129" s="742" t="s">
        <v>398</v>
      </c>
      <c r="J2129" s="733"/>
      <c r="K2129" s="736"/>
      <c r="L2129" s="742" t="s">
        <v>399</v>
      </c>
      <c r="M2129" s="733"/>
      <c r="N2129" s="734"/>
    </row>
    <row r="2130" spans="2:14" ht="14.25" customHeight="1" x14ac:dyDescent="0.25">
      <c r="B2130" s="283">
        <v>37</v>
      </c>
      <c r="C2130" s="284" t="str">
        <f>VLOOKUP(B2130,Buenaventura!A9:G2432,2,FALSE)</f>
        <v>AC-05</v>
      </c>
      <c r="D2130" s="285">
        <f>SUM(H2133:H2136)*50%</f>
        <v>10</v>
      </c>
      <c r="E2130" s="743" t="str">
        <f>VLOOKUP(B2130,Buenaventura!A9:G2431,4,FALSE)</f>
        <v>M2</v>
      </c>
      <c r="F2130" s="743"/>
      <c r="G2130" s="743"/>
      <c r="H2130" s="743"/>
      <c r="I2130" s="744"/>
      <c r="J2130" s="745"/>
      <c r="K2130" s="741"/>
      <c r="L2130" s="744"/>
      <c r="M2130" s="745"/>
      <c r="N2130" s="752"/>
    </row>
    <row r="2131" spans="2:14" ht="14.25" customHeight="1" x14ac:dyDescent="0.25">
      <c r="B2131" s="755" t="s">
        <v>416</v>
      </c>
      <c r="C2131" s="733"/>
      <c r="D2131" s="733"/>
      <c r="E2131" s="733"/>
      <c r="F2131" s="733"/>
      <c r="G2131" s="733"/>
      <c r="H2131" s="736"/>
      <c r="I2131" s="746"/>
      <c r="J2131" s="747"/>
      <c r="K2131" s="748"/>
      <c r="L2131" s="746"/>
      <c r="M2131" s="747"/>
      <c r="N2131" s="753"/>
    </row>
    <row r="2132" spans="2:14" ht="14.25" customHeight="1" x14ac:dyDescent="0.25">
      <c r="B2132" s="121" t="s">
        <v>400</v>
      </c>
      <c r="C2132" s="122" t="s">
        <v>401</v>
      </c>
      <c r="D2132" s="123" t="s">
        <v>402</v>
      </c>
      <c r="E2132" s="123" t="s">
        <v>403</v>
      </c>
      <c r="F2132" s="123" t="s">
        <v>404</v>
      </c>
      <c r="G2132" s="123" t="s">
        <v>405</v>
      </c>
      <c r="H2132" s="123" t="s">
        <v>406</v>
      </c>
      <c r="I2132" s="746"/>
      <c r="J2132" s="747"/>
      <c r="K2132" s="748"/>
      <c r="L2132" s="746"/>
      <c r="M2132" s="747"/>
      <c r="N2132" s="753"/>
    </row>
    <row r="2133" spans="2:14" ht="14.25" customHeight="1" x14ac:dyDescent="0.25">
      <c r="B2133" s="124"/>
      <c r="C2133" s="142" t="s">
        <v>531</v>
      </c>
      <c r="D2133" s="125"/>
      <c r="E2133" s="125"/>
      <c r="F2133" s="125">
        <v>20</v>
      </c>
      <c r="G2133" s="125"/>
      <c r="H2133" s="125">
        <f>F2133</f>
        <v>20</v>
      </c>
      <c r="I2133" s="746"/>
      <c r="J2133" s="747"/>
      <c r="K2133" s="748"/>
      <c r="L2133" s="746"/>
      <c r="M2133" s="747"/>
      <c r="N2133" s="753"/>
    </row>
    <row r="2134" spans="2:14" ht="14.25" customHeight="1" x14ac:dyDescent="0.25">
      <c r="B2134" s="124"/>
      <c r="C2134" s="215"/>
      <c r="D2134" s="125"/>
      <c r="E2134" s="125"/>
      <c r="F2134" s="125"/>
      <c r="G2134" s="125"/>
      <c r="H2134" s="125"/>
      <c r="I2134" s="746"/>
      <c r="J2134" s="747"/>
      <c r="K2134" s="748"/>
      <c r="L2134" s="746"/>
      <c r="M2134" s="747"/>
      <c r="N2134" s="753"/>
    </row>
    <row r="2135" spans="2:14" ht="14.25" customHeight="1" x14ac:dyDescent="0.25">
      <c r="B2135" s="124"/>
      <c r="C2135" s="215"/>
      <c r="D2135" s="125"/>
      <c r="E2135" s="125"/>
      <c r="F2135" s="125"/>
      <c r="G2135" s="125"/>
      <c r="H2135" s="125"/>
      <c r="I2135" s="746"/>
      <c r="J2135" s="747"/>
      <c r="K2135" s="748"/>
      <c r="L2135" s="746"/>
      <c r="M2135" s="747"/>
      <c r="N2135" s="753"/>
    </row>
    <row r="2136" spans="2:14" ht="14.25" customHeight="1" x14ac:dyDescent="0.25">
      <c r="B2136" s="124"/>
      <c r="C2136" s="215"/>
      <c r="D2136" s="125"/>
      <c r="E2136" s="125"/>
      <c r="F2136" s="125"/>
      <c r="G2136" s="125"/>
      <c r="H2136" s="125"/>
      <c r="I2136" s="746"/>
      <c r="J2136" s="747"/>
      <c r="K2136" s="748"/>
      <c r="L2136" s="746"/>
      <c r="M2136" s="747"/>
      <c r="N2136" s="753"/>
    </row>
    <row r="2137" spans="2:14" ht="14.25" customHeight="1" x14ac:dyDescent="0.25">
      <c r="B2137" s="124"/>
      <c r="C2137" s="215"/>
      <c r="D2137" s="125"/>
      <c r="E2137" s="125"/>
      <c r="F2137" s="125"/>
      <c r="G2137" s="125"/>
      <c r="H2137" s="125"/>
      <c r="I2137" s="746"/>
      <c r="J2137" s="747"/>
      <c r="K2137" s="748"/>
      <c r="L2137" s="746"/>
      <c r="M2137" s="747"/>
      <c r="N2137" s="753"/>
    </row>
    <row r="2138" spans="2:14" ht="14.25" customHeight="1" x14ac:dyDescent="0.25">
      <c r="B2138" s="124"/>
      <c r="C2138" s="215"/>
      <c r="D2138" s="125"/>
      <c r="E2138" s="125"/>
      <c r="F2138" s="125"/>
      <c r="G2138" s="125"/>
      <c r="H2138" s="125"/>
      <c r="I2138" s="746"/>
      <c r="J2138" s="747"/>
      <c r="K2138" s="748"/>
      <c r="L2138" s="746"/>
      <c r="M2138" s="747"/>
      <c r="N2138" s="753"/>
    </row>
    <row r="2139" spans="2:14" ht="14.25" customHeight="1" x14ac:dyDescent="0.25">
      <c r="B2139" s="124"/>
      <c r="C2139" s="215"/>
      <c r="D2139" s="125"/>
      <c r="E2139" s="125"/>
      <c r="F2139" s="125"/>
      <c r="G2139" s="125"/>
      <c r="H2139" s="125"/>
      <c r="I2139" s="746"/>
      <c r="J2139" s="747"/>
      <c r="K2139" s="748"/>
      <c r="L2139" s="746"/>
      <c r="M2139" s="747"/>
      <c r="N2139" s="753"/>
    </row>
    <row r="2140" spans="2:14" ht="14.25" customHeight="1" x14ac:dyDescent="0.25">
      <c r="B2140" s="124"/>
      <c r="C2140" s="125"/>
      <c r="D2140" s="125"/>
      <c r="E2140" s="125"/>
      <c r="F2140" s="125"/>
      <c r="G2140" s="125"/>
      <c r="H2140" s="125"/>
      <c r="I2140" s="746"/>
      <c r="J2140" s="747"/>
      <c r="K2140" s="748"/>
      <c r="L2140" s="746"/>
      <c r="M2140" s="747"/>
      <c r="N2140" s="753"/>
    </row>
    <row r="2141" spans="2:14" ht="14.25" customHeight="1" x14ac:dyDescent="0.25">
      <c r="B2141" s="127"/>
      <c r="C2141" s="125"/>
      <c r="D2141" s="125"/>
      <c r="E2141" s="125"/>
      <c r="F2141" s="125"/>
      <c r="G2141" s="125"/>
      <c r="H2141" s="125"/>
      <c r="I2141" s="749"/>
      <c r="J2141" s="750"/>
      <c r="K2141" s="751"/>
      <c r="L2141" s="749"/>
      <c r="M2141" s="750"/>
      <c r="N2141" s="754"/>
    </row>
    <row r="2142" spans="2:14" ht="14.25" customHeight="1" x14ac:dyDescent="0.25">
      <c r="B2142" s="209"/>
      <c r="C2142" s="118"/>
      <c r="D2142" s="118"/>
      <c r="E2142" s="118"/>
      <c r="F2142" s="118"/>
      <c r="G2142" s="118"/>
      <c r="H2142" s="118"/>
      <c r="I2142" s="118"/>
      <c r="J2142" s="118"/>
      <c r="K2142" s="118"/>
      <c r="L2142" s="118"/>
      <c r="M2142" s="118"/>
      <c r="N2142" s="210"/>
    </row>
    <row r="2143" spans="2:14" ht="14.25" customHeight="1" x14ac:dyDescent="0.25">
      <c r="B2143" s="209"/>
      <c r="C2143" s="118"/>
      <c r="D2143" s="118"/>
      <c r="E2143" s="118"/>
      <c r="F2143" s="118"/>
      <c r="G2143" s="118"/>
      <c r="H2143" s="118"/>
      <c r="I2143" s="118"/>
      <c r="J2143" s="118"/>
      <c r="K2143" s="118"/>
      <c r="L2143" s="118"/>
      <c r="M2143" s="118"/>
      <c r="N2143" s="210"/>
    </row>
    <row r="2144" spans="2:14" ht="14.25" customHeight="1" x14ac:dyDescent="0.25">
      <c r="B2144" s="209"/>
      <c r="C2144" s="118"/>
      <c r="D2144" s="118"/>
      <c r="E2144" s="118"/>
      <c r="F2144" s="118"/>
      <c r="G2144" s="118"/>
      <c r="H2144" s="118"/>
      <c r="I2144" s="118"/>
      <c r="J2144" s="118"/>
      <c r="K2144" s="118"/>
      <c r="L2144" s="118"/>
      <c r="M2144" s="118"/>
      <c r="N2144" s="210"/>
    </row>
    <row r="2145" spans="2:14" ht="14.25" customHeight="1" x14ac:dyDescent="0.25">
      <c r="B2145" s="209"/>
      <c r="C2145" s="118"/>
      <c r="D2145" s="118"/>
      <c r="E2145" s="118"/>
      <c r="F2145" s="118"/>
      <c r="G2145" s="118"/>
      <c r="H2145" s="118"/>
      <c r="I2145" s="118"/>
      <c r="J2145" s="118"/>
      <c r="K2145" s="118"/>
      <c r="L2145" s="118"/>
      <c r="M2145" s="118"/>
      <c r="N2145" s="210"/>
    </row>
    <row r="2146" spans="2:14" ht="14.25" customHeight="1" x14ac:dyDescent="0.25">
      <c r="B2146" s="775" t="s">
        <v>414</v>
      </c>
      <c r="C2146" s="747"/>
      <c r="D2146" s="747"/>
      <c r="E2146" s="128"/>
      <c r="F2146" s="128"/>
      <c r="G2146" s="128"/>
      <c r="H2146" s="128"/>
      <c r="I2146" s="776"/>
      <c r="J2146" s="747"/>
      <c r="K2146" s="747"/>
      <c r="L2146" s="118"/>
      <c r="M2146" s="118"/>
      <c r="N2146" s="210"/>
    </row>
    <row r="2147" spans="2:14" ht="14.25" customHeight="1" thickBot="1" x14ac:dyDescent="0.3">
      <c r="B2147" s="129"/>
      <c r="C2147" s="130"/>
      <c r="D2147" s="130"/>
      <c r="E2147" s="130"/>
      <c r="F2147" s="130"/>
      <c r="G2147" s="130"/>
      <c r="H2147" s="130"/>
      <c r="I2147" s="130"/>
      <c r="J2147" s="130"/>
      <c r="K2147" s="130"/>
      <c r="L2147" s="130"/>
      <c r="M2147" s="130"/>
      <c r="N2147" s="131"/>
    </row>
    <row r="2148" spans="2:14" ht="14.25" customHeight="1" thickBot="1" x14ac:dyDescent="0.3">
      <c r="B2148" s="132"/>
      <c r="C2148" s="132"/>
      <c r="D2148" s="132"/>
      <c r="E2148" s="132"/>
      <c r="F2148" s="132"/>
      <c r="G2148" s="132"/>
      <c r="H2148" s="132"/>
      <c r="I2148" s="132"/>
      <c r="J2148" s="132"/>
      <c r="K2148" s="132"/>
      <c r="L2148" s="132"/>
      <c r="M2148" s="132"/>
      <c r="N2148" s="132"/>
    </row>
    <row r="2149" spans="2:14" ht="42.75" customHeight="1" x14ac:dyDescent="0.25">
      <c r="B2149" s="728"/>
      <c r="C2149" s="729"/>
      <c r="D2149" s="730" t="s">
        <v>393</v>
      </c>
      <c r="E2149" s="729"/>
      <c r="F2149" s="729"/>
      <c r="G2149" s="729"/>
      <c r="H2149" s="729"/>
      <c r="I2149" s="729"/>
      <c r="J2149" s="729"/>
      <c r="K2149" s="729"/>
      <c r="L2149" s="729"/>
      <c r="M2149" s="729"/>
      <c r="N2149" s="731"/>
    </row>
    <row r="2150" spans="2:14" ht="14.25" customHeight="1" x14ac:dyDescent="0.25">
      <c r="B2150" s="732" t="s">
        <v>394</v>
      </c>
      <c r="C2150" s="733"/>
      <c r="D2150" s="733"/>
      <c r="E2150" s="733"/>
      <c r="F2150" s="733"/>
      <c r="G2150" s="733"/>
      <c r="H2150" s="733"/>
      <c r="I2150" s="733"/>
      <c r="J2150" s="733"/>
      <c r="K2150" s="733"/>
      <c r="L2150" s="733"/>
      <c r="M2150" s="733"/>
      <c r="N2150" s="734"/>
    </row>
    <row r="2151" spans="2:14" ht="14.25" customHeight="1" x14ac:dyDescent="0.25">
      <c r="B2151" s="735" t="s">
        <v>395</v>
      </c>
      <c r="C2151" s="736"/>
      <c r="D2151" s="737" t="str">
        <f>VLOOKUP(B2153,Buenaventura!A9:G2452,3,FALSE)</f>
        <v>Suministro y aplicación de pintura cielo vinilo tipo 2</v>
      </c>
      <c r="E2151" s="738"/>
      <c r="F2151" s="738"/>
      <c r="G2151" s="738"/>
      <c r="H2151" s="738"/>
      <c r="I2151" s="738"/>
      <c r="J2151" s="738"/>
      <c r="K2151" s="738"/>
      <c r="L2151" s="738"/>
      <c r="M2151" s="738"/>
      <c r="N2151" s="739"/>
    </row>
    <row r="2152" spans="2:14" ht="14.25" customHeight="1" x14ac:dyDescent="0.25">
      <c r="B2152" s="740" t="s">
        <v>26</v>
      </c>
      <c r="C2152" s="741"/>
      <c r="D2152" s="119" t="s">
        <v>396</v>
      </c>
      <c r="E2152" s="742" t="s">
        <v>397</v>
      </c>
      <c r="F2152" s="733"/>
      <c r="G2152" s="733"/>
      <c r="H2152" s="736"/>
      <c r="I2152" s="742" t="s">
        <v>398</v>
      </c>
      <c r="J2152" s="733"/>
      <c r="K2152" s="736"/>
      <c r="L2152" s="742" t="s">
        <v>399</v>
      </c>
      <c r="M2152" s="733"/>
      <c r="N2152" s="734"/>
    </row>
    <row r="2153" spans="2:14" ht="14.25" customHeight="1" x14ac:dyDescent="0.25">
      <c r="B2153" s="283">
        <v>38</v>
      </c>
      <c r="C2153" s="284" t="str">
        <f>VLOOKUP(B2153,Buenaventura!A9:G2465,2,FALSE)</f>
        <v>AC-06</v>
      </c>
      <c r="D2153" s="285">
        <f>SUM(H2156:H2159)*50%</f>
        <v>10</v>
      </c>
      <c r="E2153" s="743" t="str">
        <f>VLOOKUP(B2153,Buenaventura!A9:G2464,4,FALSE)</f>
        <v>M2</v>
      </c>
      <c r="F2153" s="743"/>
      <c r="G2153" s="743"/>
      <c r="H2153" s="743"/>
      <c r="I2153" s="744"/>
      <c r="J2153" s="745"/>
      <c r="K2153" s="741"/>
      <c r="L2153" s="744"/>
      <c r="M2153" s="745"/>
      <c r="N2153" s="752"/>
    </row>
    <row r="2154" spans="2:14" ht="14.25" customHeight="1" x14ac:dyDescent="0.25">
      <c r="B2154" s="755" t="s">
        <v>416</v>
      </c>
      <c r="C2154" s="733"/>
      <c r="D2154" s="733"/>
      <c r="E2154" s="733"/>
      <c r="F2154" s="733"/>
      <c r="G2154" s="733"/>
      <c r="H2154" s="736"/>
      <c r="I2154" s="746"/>
      <c r="J2154" s="747"/>
      <c r="K2154" s="748"/>
      <c r="L2154" s="746"/>
      <c r="M2154" s="747"/>
      <c r="N2154" s="753"/>
    </row>
    <row r="2155" spans="2:14" ht="14.25" customHeight="1" x14ac:dyDescent="0.25">
      <c r="B2155" s="121" t="s">
        <v>400</v>
      </c>
      <c r="C2155" s="122" t="s">
        <v>401</v>
      </c>
      <c r="D2155" s="123" t="s">
        <v>402</v>
      </c>
      <c r="E2155" s="123" t="s">
        <v>403</v>
      </c>
      <c r="F2155" s="123" t="s">
        <v>404</v>
      </c>
      <c r="G2155" s="123" t="s">
        <v>405</v>
      </c>
      <c r="H2155" s="123" t="s">
        <v>406</v>
      </c>
      <c r="I2155" s="746"/>
      <c r="J2155" s="747"/>
      <c r="K2155" s="748"/>
      <c r="L2155" s="746"/>
      <c r="M2155" s="747"/>
      <c r="N2155" s="753"/>
    </row>
    <row r="2156" spans="2:14" ht="14.25" customHeight="1" x14ac:dyDescent="0.25">
      <c r="B2156" s="124"/>
      <c r="C2156" s="142" t="s">
        <v>531</v>
      </c>
      <c r="D2156" s="125"/>
      <c r="E2156" s="125"/>
      <c r="F2156" s="125">
        <v>20</v>
      </c>
      <c r="G2156" s="125"/>
      <c r="H2156" s="125">
        <f>F2156</f>
        <v>20</v>
      </c>
      <c r="I2156" s="746"/>
      <c r="J2156" s="747"/>
      <c r="K2156" s="748"/>
      <c r="L2156" s="746"/>
      <c r="M2156" s="747"/>
      <c r="N2156" s="753"/>
    </row>
    <row r="2157" spans="2:14" ht="14.25" customHeight="1" x14ac:dyDescent="0.25">
      <c r="B2157" s="124"/>
      <c r="C2157" s="215"/>
      <c r="D2157" s="125"/>
      <c r="E2157" s="125"/>
      <c r="F2157" s="125"/>
      <c r="G2157" s="125"/>
      <c r="H2157" s="125"/>
      <c r="I2157" s="746"/>
      <c r="J2157" s="747"/>
      <c r="K2157" s="748"/>
      <c r="L2157" s="746"/>
      <c r="M2157" s="747"/>
      <c r="N2157" s="753"/>
    </row>
    <row r="2158" spans="2:14" ht="14.25" customHeight="1" x14ac:dyDescent="0.25">
      <c r="B2158" s="124"/>
      <c r="C2158" s="215"/>
      <c r="D2158" s="125"/>
      <c r="E2158" s="125"/>
      <c r="F2158" s="125"/>
      <c r="G2158" s="125"/>
      <c r="H2158" s="125"/>
      <c r="I2158" s="746"/>
      <c r="J2158" s="747"/>
      <c r="K2158" s="748"/>
      <c r="L2158" s="746"/>
      <c r="M2158" s="747"/>
      <c r="N2158" s="753"/>
    </row>
    <row r="2159" spans="2:14" ht="14.25" customHeight="1" x14ac:dyDescent="0.25">
      <c r="B2159" s="124"/>
      <c r="C2159" s="215"/>
      <c r="D2159" s="125"/>
      <c r="E2159" s="125"/>
      <c r="F2159" s="125"/>
      <c r="G2159" s="125"/>
      <c r="H2159" s="125"/>
      <c r="I2159" s="746"/>
      <c r="J2159" s="747"/>
      <c r="K2159" s="748"/>
      <c r="L2159" s="746"/>
      <c r="M2159" s="747"/>
      <c r="N2159" s="753"/>
    </row>
    <row r="2160" spans="2:14" ht="14.25" customHeight="1" x14ac:dyDescent="0.25">
      <c r="B2160" s="124"/>
      <c r="C2160" s="215"/>
      <c r="D2160" s="125"/>
      <c r="E2160" s="125"/>
      <c r="F2160" s="125"/>
      <c r="G2160" s="125"/>
      <c r="H2160" s="125"/>
      <c r="I2160" s="746"/>
      <c r="J2160" s="747"/>
      <c r="K2160" s="748"/>
      <c r="L2160" s="746"/>
      <c r="M2160" s="747"/>
      <c r="N2160" s="753"/>
    </row>
    <row r="2161" spans="2:14" ht="14.25" customHeight="1" x14ac:dyDescent="0.25">
      <c r="B2161" s="124"/>
      <c r="C2161" s="215"/>
      <c r="D2161" s="125"/>
      <c r="E2161" s="125"/>
      <c r="F2161" s="125"/>
      <c r="G2161" s="125"/>
      <c r="H2161" s="125"/>
      <c r="I2161" s="746"/>
      <c r="J2161" s="747"/>
      <c r="K2161" s="748"/>
      <c r="L2161" s="746"/>
      <c r="M2161" s="747"/>
      <c r="N2161" s="753"/>
    </row>
    <row r="2162" spans="2:14" ht="14.25" customHeight="1" x14ac:dyDescent="0.25">
      <c r="B2162" s="124"/>
      <c r="C2162" s="215"/>
      <c r="D2162" s="125"/>
      <c r="E2162" s="125"/>
      <c r="F2162" s="125"/>
      <c r="G2162" s="125"/>
      <c r="H2162" s="125"/>
      <c r="I2162" s="746"/>
      <c r="J2162" s="747"/>
      <c r="K2162" s="748"/>
      <c r="L2162" s="746"/>
      <c r="M2162" s="747"/>
      <c r="N2162" s="753"/>
    </row>
    <row r="2163" spans="2:14" ht="14.25" customHeight="1" x14ac:dyDescent="0.25">
      <c r="B2163" s="124"/>
      <c r="C2163" s="215"/>
      <c r="D2163" s="125"/>
      <c r="E2163" s="125"/>
      <c r="F2163" s="125"/>
      <c r="G2163" s="125"/>
      <c r="H2163" s="125"/>
      <c r="I2163" s="746"/>
      <c r="J2163" s="747"/>
      <c r="K2163" s="748"/>
      <c r="L2163" s="746"/>
      <c r="M2163" s="747"/>
      <c r="N2163" s="753"/>
    </row>
    <row r="2164" spans="2:14" ht="14.25" customHeight="1" x14ac:dyDescent="0.25">
      <c r="B2164" s="124"/>
      <c r="C2164" s="125"/>
      <c r="D2164" s="125"/>
      <c r="E2164" s="125"/>
      <c r="F2164" s="125"/>
      <c r="G2164" s="125"/>
      <c r="H2164" s="125"/>
      <c r="I2164" s="746"/>
      <c r="J2164" s="747"/>
      <c r="K2164" s="748"/>
      <c r="L2164" s="746"/>
      <c r="M2164" s="747"/>
      <c r="N2164" s="753"/>
    </row>
    <row r="2165" spans="2:14" ht="14.25" customHeight="1" x14ac:dyDescent="0.25">
      <c r="B2165" s="124"/>
      <c r="C2165" s="125"/>
      <c r="D2165" s="125"/>
      <c r="E2165" s="125"/>
      <c r="F2165" s="125"/>
      <c r="G2165" s="125"/>
      <c r="H2165" s="125"/>
      <c r="I2165" s="746"/>
      <c r="J2165" s="747"/>
      <c r="K2165" s="748"/>
      <c r="L2165" s="746"/>
      <c r="M2165" s="747"/>
      <c r="N2165" s="753"/>
    </row>
    <row r="2166" spans="2:14" ht="14.25" customHeight="1" x14ac:dyDescent="0.25">
      <c r="B2166" s="127"/>
      <c r="C2166" s="125"/>
      <c r="D2166" s="125"/>
      <c r="E2166" s="125"/>
      <c r="F2166" s="125"/>
      <c r="G2166" s="125"/>
      <c r="H2166" s="125"/>
      <c r="I2166" s="749"/>
      <c r="J2166" s="750"/>
      <c r="K2166" s="751"/>
      <c r="L2166" s="749"/>
      <c r="M2166" s="750"/>
      <c r="N2166" s="754"/>
    </row>
    <row r="2167" spans="2:14" ht="14.25" customHeight="1" x14ac:dyDescent="0.25">
      <c r="B2167" s="209"/>
      <c r="C2167" s="118"/>
      <c r="D2167" s="118"/>
      <c r="E2167" s="118"/>
      <c r="F2167" s="118"/>
      <c r="G2167" s="118"/>
      <c r="H2167" s="118"/>
      <c r="I2167" s="118"/>
      <c r="J2167" s="118"/>
      <c r="K2167" s="118"/>
      <c r="L2167" s="118"/>
      <c r="M2167" s="118"/>
      <c r="N2167" s="210"/>
    </row>
    <row r="2168" spans="2:14" ht="14.25" customHeight="1" x14ac:dyDescent="0.25">
      <c r="B2168" s="209"/>
      <c r="C2168" s="118"/>
      <c r="D2168" s="118"/>
      <c r="E2168" s="118"/>
      <c r="F2168" s="118"/>
      <c r="G2168" s="118"/>
      <c r="H2168" s="118"/>
      <c r="I2168" s="118"/>
      <c r="J2168" s="118"/>
      <c r="K2168" s="118"/>
      <c r="L2168" s="118"/>
      <c r="M2168" s="118"/>
      <c r="N2168" s="210"/>
    </row>
    <row r="2169" spans="2:14" ht="14.25" customHeight="1" x14ac:dyDescent="0.25">
      <c r="B2169" s="209"/>
      <c r="C2169" s="118"/>
      <c r="D2169" s="118"/>
      <c r="E2169" s="118"/>
      <c r="F2169" s="118"/>
      <c r="G2169" s="118"/>
      <c r="H2169" s="118"/>
      <c r="I2169" s="118"/>
      <c r="J2169" s="118"/>
      <c r="K2169" s="118"/>
      <c r="L2169" s="118"/>
      <c r="M2169" s="118"/>
      <c r="N2169" s="210"/>
    </row>
    <row r="2170" spans="2:14" ht="14.25" customHeight="1" x14ac:dyDescent="0.25">
      <c r="B2170" s="209"/>
      <c r="C2170" s="118"/>
      <c r="D2170" s="118"/>
      <c r="E2170" s="118"/>
      <c r="F2170" s="118"/>
      <c r="G2170" s="118"/>
      <c r="H2170" s="118"/>
      <c r="I2170" s="118"/>
      <c r="J2170" s="118"/>
      <c r="K2170" s="118"/>
      <c r="L2170" s="118"/>
      <c r="M2170" s="118"/>
      <c r="N2170" s="210"/>
    </row>
    <row r="2171" spans="2:14" ht="14.25" customHeight="1" x14ac:dyDescent="0.25">
      <c r="B2171" s="775" t="s">
        <v>414</v>
      </c>
      <c r="C2171" s="747"/>
      <c r="D2171" s="747"/>
      <c r="E2171" s="128"/>
      <c r="F2171" s="128"/>
      <c r="G2171" s="128"/>
      <c r="H2171" s="128"/>
      <c r="I2171" s="776"/>
      <c r="J2171" s="747"/>
      <c r="K2171" s="747"/>
      <c r="L2171" s="118"/>
      <c r="M2171" s="118"/>
      <c r="N2171" s="210"/>
    </row>
    <row r="2172" spans="2:14" ht="14.25" customHeight="1" thickBot="1" x14ac:dyDescent="0.3">
      <c r="B2172" s="129"/>
      <c r="C2172" s="130"/>
      <c r="D2172" s="130"/>
      <c r="E2172" s="130"/>
      <c r="F2172" s="130"/>
      <c r="G2172" s="130"/>
      <c r="H2172" s="130"/>
      <c r="I2172" s="130"/>
      <c r="J2172" s="130"/>
      <c r="K2172" s="130"/>
      <c r="L2172" s="130"/>
      <c r="M2172" s="130"/>
      <c r="N2172" s="131"/>
    </row>
    <row r="2173" spans="2:14" ht="14.25" customHeight="1" x14ac:dyDescent="0.25">
      <c r="B2173" s="132"/>
      <c r="C2173" s="132"/>
      <c r="D2173" s="132"/>
      <c r="E2173" s="132"/>
      <c r="F2173" s="132"/>
      <c r="G2173" s="132"/>
      <c r="H2173" s="132"/>
      <c r="I2173" s="132"/>
      <c r="J2173" s="132"/>
      <c r="K2173" s="132"/>
      <c r="L2173" s="132"/>
      <c r="M2173" s="132"/>
      <c r="N2173" s="132"/>
    </row>
    <row r="2174" spans="2:14" ht="42.75" hidden="1" customHeight="1" x14ac:dyDescent="0.25">
      <c r="B2174" s="728"/>
      <c r="C2174" s="729"/>
      <c r="D2174" s="730" t="s">
        <v>393</v>
      </c>
      <c r="E2174" s="729"/>
      <c r="F2174" s="729"/>
      <c r="G2174" s="729"/>
      <c r="H2174" s="729"/>
      <c r="I2174" s="729"/>
      <c r="J2174" s="729"/>
      <c r="K2174" s="729"/>
      <c r="L2174" s="729"/>
      <c r="M2174" s="729"/>
      <c r="N2174" s="731"/>
    </row>
    <row r="2175" spans="2:14" ht="14.25" hidden="1" customHeight="1" x14ac:dyDescent="0.25">
      <c r="B2175" s="732" t="s">
        <v>394</v>
      </c>
      <c r="C2175" s="733"/>
      <c r="D2175" s="733"/>
      <c r="E2175" s="733"/>
      <c r="F2175" s="733"/>
      <c r="G2175" s="733"/>
      <c r="H2175" s="733"/>
      <c r="I2175" s="733"/>
      <c r="J2175" s="733"/>
      <c r="K2175" s="733"/>
      <c r="L2175" s="733"/>
      <c r="M2175" s="733"/>
      <c r="N2175" s="734"/>
    </row>
    <row r="2176" spans="2:14" ht="27" hidden="1" customHeight="1" x14ac:dyDescent="0.25">
      <c r="B2176" s="735" t="s">
        <v>395</v>
      </c>
      <c r="C2176" s="736"/>
      <c r="D2176" s="779" t="s">
        <v>283</v>
      </c>
      <c r="E2176" s="733"/>
      <c r="F2176" s="733"/>
      <c r="G2176" s="733"/>
      <c r="H2176" s="733"/>
      <c r="I2176" s="733"/>
      <c r="J2176" s="733"/>
      <c r="K2176" s="733"/>
      <c r="L2176" s="733"/>
      <c r="M2176" s="733"/>
      <c r="N2176" s="734"/>
    </row>
    <row r="2177" spans="2:14" ht="14.25" hidden="1" customHeight="1" x14ac:dyDescent="0.25">
      <c r="B2177" s="740" t="s">
        <v>26</v>
      </c>
      <c r="C2177" s="741"/>
      <c r="D2177" s="119" t="s">
        <v>396</v>
      </c>
      <c r="E2177" s="742" t="s">
        <v>397</v>
      </c>
      <c r="F2177" s="733"/>
      <c r="G2177" s="733"/>
      <c r="H2177" s="736"/>
      <c r="I2177" s="742" t="s">
        <v>398</v>
      </c>
      <c r="J2177" s="733"/>
      <c r="K2177" s="736"/>
      <c r="L2177" s="742" t="s">
        <v>399</v>
      </c>
      <c r="M2177" s="733"/>
      <c r="N2177" s="734"/>
    </row>
    <row r="2178" spans="2:14" ht="14.25" hidden="1" customHeight="1" x14ac:dyDescent="0.25">
      <c r="B2178" s="777">
        <v>62</v>
      </c>
      <c r="C2178" s="736"/>
      <c r="D2178" s="123">
        <f>SUM(H2181:H2199)</f>
        <v>2</v>
      </c>
      <c r="E2178" s="778" t="s">
        <v>29</v>
      </c>
      <c r="F2178" s="733"/>
      <c r="G2178" s="733"/>
      <c r="H2178" s="736"/>
      <c r="I2178" s="744"/>
      <c r="J2178" s="745"/>
      <c r="K2178" s="741"/>
      <c r="L2178" s="744"/>
      <c r="M2178" s="745"/>
      <c r="N2178" s="752"/>
    </row>
    <row r="2179" spans="2:14" ht="14.25" hidden="1" customHeight="1" x14ac:dyDescent="0.25">
      <c r="B2179" s="755" t="s">
        <v>416</v>
      </c>
      <c r="C2179" s="733"/>
      <c r="D2179" s="733"/>
      <c r="E2179" s="733"/>
      <c r="F2179" s="733"/>
      <c r="G2179" s="733"/>
      <c r="H2179" s="736"/>
      <c r="I2179" s="746"/>
      <c r="J2179" s="747"/>
      <c r="K2179" s="748"/>
      <c r="L2179" s="746"/>
      <c r="M2179" s="747"/>
      <c r="N2179" s="753"/>
    </row>
    <row r="2180" spans="2:14" ht="14.25" hidden="1" customHeight="1" x14ac:dyDescent="0.25">
      <c r="B2180" s="121" t="s">
        <v>400</v>
      </c>
      <c r="C2180" s="122" t="s">
        <v>401</v>
      </c>
      <c r="D2180" s="123" t="s">
        <v>402</v>
      </c>
      <c r="E2180" s="123" t="s">
        <v>403</v>
      </c>
      <c r="F2180" s="123" t="s">
        <v>404</v>
      </c>
      <c r="G2180" s="123" t="s">
        <v>405</v>
      </c>
      <c r="H2180" s="123" t="s">
        <v>406</v>
      </c>
      <c r="I2180" s="746"/>
      <c r="J2180" s="747"/>
      <c r="K2180" s="748"/>
      <c r="L2180" s="746"/>
      <c r="M2180" s="747"/>
      <c r="N2180" s="753"/>
    </row>
    <row r="2181" spans="2:14" ht="14.25" hidden="1" customHeight="1" x14ac:dyDescent="0.25">
      <c r="B2181" s="124"/>
      <c r="C2181" s="125" t="s">
        <v>481</v>
      </c>
      <c r="D2181" s="125">
        <v>2</v>
      </c>
      <c r="E2181" s="125"/>
      <c r="F2181" s="125"/>
      <c r="G2181" s="125"/>
      <c r="H2181" s="125">
        <f>D2181</f>
        <v>2</v>
      </c>
      <c r="I2181" s="746"/>
      <c r="J2181" s="747"/>
      <c r="K2181" s="748"/>
      <c r="L2181" s="746"/>
      <c r="M2181" s="747"/>
      <c r="N2181" s="753"/>
    </row>
    <row r="2182" spans="2:14" ht="14.25" hidden="1" customHeight="1" x14ac:dyDescent="0.25">
      <c r="B2182" s="124"/>
      <c r="C2182" s="125"/>
      <c r="D2182" s="125"/>
      <c r="E2182" s="125"/>
      <c r="F2182" s="125"/>
      <c r="G2182" s="125"/>
      <c r="H2182" s="125"/>
      <c r="I2182" s="746"/>
      <c r="J2182" s="747"/>
      <c r="K2182" s="748"/>
      <c r="L2182" s="746"/>
      <c r="M2182" s="747"/>
      <c r="N2182" s="753"/>
    </row>
    <row r="2183" spans="2:14" ht="14.25" hidden="1" customHeight="1" x14ac:dyDescent="0.25">
      <c r="B2183" s="124"/>
      <c r="C2183" s="125"/>
      <c r="D2183" s="125"/>
      <c r="E2183" s="125"/>
      <c r="F2183" s="125"/>
      <c r="G2183" s="125"/>
      <c r="H2183" s="125"/>
      <c r="I2183" s="746"/>
      <c r="J2183" s="747"/>
      <c r="K2183" s="748"/>
      <c r="L2183" s="746"/>
      <c r="M2183" s="747"/>
      <c r="N2183" s="753"/>
    </row>
    <row r="2184" spans="2:14" ht="14.25" hidden="1" customHeight="1" x14ac:dyDescent="0.25">
      <c r="B2184" s="124"/>
      <c r="C2184" s="125"/>
      <c r="D2184" s="125"/>
      <c r="E2184" s="125"/>
      <c r="F2184" s="125"/>
      <c r="G2184" s="125"/>
      <c r="H2184" s="125"/>
      <c r="I2184" s="746"/>
      <c r="J2184" s="747"/>
      <c r="K2184" s="748"/>
      <c r="L2184" s="746"/>
      <c r="M2184" s="747"/>
      <c r="N2184" s="753"/>
    </row>
    <row r="2185" spans="2:14" ht="14.25" hidden="1" customHeight="1" x14ac:dyDescent="0.25">
      <c r="B2185" s="124"/>
      <c r="C2185" s="125"/>
      <c r="D2185" s="125"/>
      <c r="E2185" s="125"/>
      <c r="F2185" s="125"/>
      <c r="G2185" s="125"/>
      <c r="H2185" s="125"/>
      <c r="I2185" s="746"/>
      <c r="J2185" s="747"/>
      <c r="K2185" s="748"/>
      <c r="L2185" s="746"/>
      <c r="M2185" s="747"/>
      <c r="N2185" s="753"/>
    </row>
    <row r="2186" spans="2:14" ht="14.25" hidden="1" customHeight="1" x14ac:dyDescent="0.25">
      <c r="B2186" s="124"/>
      <c r="C2186" s="125"/>
      <c r="D2186" s="125"/>
      <c r="E2186" s="125"/>
      <c r="F2186" s="125"/>
      <c r="G2186" s="125"/>
      <c r="H2186" s="125"/>
      <c r="I2186" s="746"/>
      <c r="J2186" s="747"/>
      <c r="K2186" s="748"/>
      <c r="L2186" s="746"/>
      <c r="M2186" s="747"/>
      <c r="N2186" s="753"/>
    </row>
    <row r="2187" spans="2:14" ht="14.25" hidden="1" customHeight="1" x14ac:dyDescent="0.25">
      <c r="B2187" s="124"/>
      <c r="C2187" s="125"/>
      <c r="D2187" s="125"/>
      <c r="E2187" s="125"/>
      <c r="F2187" s="125"/>
      <c r="G2187" s="125"/>
      <c r="H2187" s="125"/>
      <c r="I2187" s="746"/>
      <c r="J2187" s="747"/>
      <c r="K2187" s="748"/>
      <c r="L2187" s="746"/>
      <c r="M2187" s="747"/>
      <c r="N2187" s="753"/>
    </row>
    <row r="2188" spans="2:14" ht="14.25" hidden="1" customHeight="1" x14ac:dyDescent="0.25">
      <c r="B2188" s="124"/>
      <c r="C2188" s="125"/>
      <c r="D2188" s="125"/>
      <c r="E2188" s="125"/>
      <c r="F2188" s="125"/>
      <c r="G2188" s="125"/>
      <c r="H2188" s="125"/>
      <c r="I2188" s="746"/>
      <c r="J2188" s="747"/>
      <c r="K2188" s="748"/>
      <c r="L2188" s="746"/>
      <c r="M2188" s="747"/>
      <c r="N2188" s="753"/>
    </row>
    <row r="2189" spans="2:14" ht="14.25" hidden="1" customHeight="1" x14ac:dyDescent="0.25">
      <c r="B2189" s="124"/>
      <c r="C2189" s="125"/>
      <c r="D2189" s="125"/>
      <c r="E2189" s="125"/>
      <c r="F2189" s="125"/>
      <c r="G2189" s="125"/>
      <c r="H2189" s="125"/>
      <c r="I2189" s="746"/>
      <c r="J2189" s="747"/>
      <c r="K2189" s="748"/>
      <c r="L2189" s="746"/>
      <c r="M2189" s="747"/>
      <c r="N2189" s="753"/>
    </row>
    <row r="2190" spans="2:14" ht="14.25" hidden="1" customHeight="1" x14ac:dyDescent="0.25">
      <c r="B2190" s="124"/>
      <c r="C2190" s="125"/>
      <c r="D2190" s="125"/>
      <c r="E2190" s="125"/>
      <c r="F2190" s="125"/>
      <c r="G2190" s="125"/>
      <c r="H2190" s="125"/>
      <c r="I2190" s="746"/>
      <c r="J2190" s="747"/>
      <c r="K2190" s="748"/>
      <c r="L2190" s="746"/>
      <c r="M2190" s="747"/>
      <c r="N2190" s="753"/>
    </row>
    <row r="2191" spans="2:14" ht="14.25" hidden="1" customHeight="1" x14ac:dyDescent="0.25">
      <c r="B2191" s="124"/>
      <c r="C2191" s="125"/>
      <c r="D2191" s="125"/>
      <c r="E2191" s="125"/>
      <c r="F2191" s="125"/>
      <c r="G2191" s="125"/>
      <c r="H2191" s="125"/>
      <c r="I2191" s="746"/>
      <c r="J2191" s="747"/>
      <c r="K2191" s="748"/>
      <c r="L2191" s="746"/>
      <c r="M2191" s="747"/>
      <c r="N2191" s="753"/>
    </row>
    <row r="2192" spans="2:14" ht="14.25" hidden="1" customHeight="1" x14ac:dyDescent="0.25">
      <c r="B2192" s="124"/>
      <c r="C2192" s="125"/>
      <c r="D2192" s="125"/>
      <c r="E2192" s="125"/>
      <c r="F2192" s="125"/>
      <c r="G2192" s="125"/>
      <c r="H2192" s="125"/>
      <c r="I2192" s="746"/>
      <c r="J2192" s="747"/>
      <c r="K2192" s="748"/>
      <c r="L2192" s="746"/>
      <c r="M2192" s="747"/>
      <c r="N2192" s="753"/>
    </row>
    <row r="2193" spans="2:14" ht="14.25" hidden="1" customHeight="1" x14ac:dyDescent="0.25">
      <c r="B2193" s="124"/>
      <c r="C2193" s="125"/>
      <c r="D2193" s="125"/>
      <c r="E2193" s="125"/>
      <c r="F2193" s="125"/>
      <c r="G2193" s="125"/>
      <c r="H2193" s="125"/>
      <c r="I2193" s="746"/>
      <c r="J2193" s="747"/>
      <c r="K2193" s="748"/>
      <c r="L2193" s="746"/>
      <c r="M2193" s="747"/>
      <c r="N2193" s="753"/>
    </row>
    <row r="2194" spans="2:14" ht="14.25" hidden="1" customHeight="1" x14ac:dyDescent="0.25">
      <c r="B2194" s="124"/>
      <c r="C2194" s="125"/>
      <c r="D2194" s="125"/>
      <c r="E2194" s="125"/>
      <c r="F2194" s="125"/>
      <c r="G2194" s="125"/>
      <c r="H2194" s="125"/>
      <c r="I2194" s="746"/>
      <c r="J2194" s="747"/>
      <c r="K2194" s="748"/>
      <c r="L2194" s="746"/>
      <c r="M2194" s="747"/>
      <c r="N2194" s="753"/>
    </row>
    <row r="2195" spans="2:14" ht="14.25" hidden="1" customHeight="1" x14ac:dyDescent="0.25">
      <c r="B2195" s="124"/>
      <c r="C2195" s="125"/>
      <c r="D2195" s="125"/>
      <c r="E2195" s="125"/>
      <c r="F2195" s="125"/>
      <c r="G2195" s="125"/>
      <c r="H2195" s="125"/>
      <c r="I2195" s="746"/>
      <c r="J2195" s="747"/>
      <c r="K2195" s="748"/>
      <c r="L2195" s="746"/>
      <c r="M2195" s="747"/>
      <c r="N2195" s="753"/>
    </row>
    <row r="2196" spans="2:14" ht="14.25" hidden="1" customHeight="1" x14ac:dyDescent="0.25">
      <c r="B2196" s="124"/>
      <c r="C2196" s="125"/>
      <c r="D2196" s="125"/>
      <c r="E2196" s="125"/>
      <c r="F2196" s="125"/>
      <c r="G2196" s="125"/>
      <c r="H2196" s="125"/>
      <c r="I2196" s="746"/>
      <c r="J2196" s="747"/>
      <c r="K2196" s="748"/>
      <c r="L2196" s="746"/>
      <c r="M2196" s="747"/>
      <c r="N2196" s="753"/>
    </row>
    <row r="2197" spans="2:14" ht="14.25" hidden="1" customHeight="1" x14ac:dyDescent="0.25">
      <c r="B2197" s="124"/>
      <c r="C2197" s="125"/>
      <c r="D2197" s="125"/>
      <c r="E2197" s="125"/>
      <c r="F2197" s="125"/>
      <c r="G2197" s="125"/>
      <c r="H2197" s="125"/>
      <c r="I2197" s="746"/>
      <c r="J2197" s="747"/>
      <c r="K2197" s="748"/>
      <c r="L2197" s="746"/>
      <c r="M2197" s="747"/>
      <c r="N2197" s="753"/>
    </row>
    <row r="2198" spans="2:14" ht="14.25" hidden="1" customHeight="1" x14ac:dyDescent="0.25">
      <c r="B2198" s="124"/>
      <c r="C2198" s="125"/>
      <c r="D2198" s="125"/>
      <c r="E2198" s="125"/>
      <c r="F2198" s="125"/>
      <c r="G2198" s="125"/>
      <c r="H2198" s="125"/>
      <c r="I2198" s="746"/>
      <c r="J2198" s="747"/>
      <c r="K2198" s="748"/>
      <c r="L2198" s="746"/>
      <c r="M2198" s="747"/>
      <c r="N2198" s="753"/>
    </row>
    <row r="2199" spans="2:14" ht="14.25" hidden="1" customHeight="1" x14ac:dyDescent="0.25">
      <c r="B2199" s="127"/>
      <c r="C2199" s="125"/>
      <c r="D2199" s="125"/>
      <c r="E2199" s="125"/>
      <c r="F2199" s="125"/>
      <c r="G2199" s="125"/>
      <c r="H2199" s="125"/>
      <c r="I2199" s="749"/>
      <c r="J2199" s="750"/>
      <c r="K2199" s="751"/>
      <c r="L2199" s="749"/>
      <c r="M2199" s="750"/>
      <c r="N2199" s="754"/>
    </row>
    <row r="2200" spans="2:14" ht="14.25" hidden="1" customHeight="1" x14ac:dyDescent="0.25">
      <c r="B2200" s="209"/>
      <c r="C2200" s="118"/>
      <c r="D2200" s="118"/>
      <c r="E2200" s="118"/>
      <c r="F2200" s="118"/>
      <c r="G2200" s="118"/>
      <c r="H2200" s="118"/>
      <c r="I2200" s="118"/>
      <c r="J2200" s="118"/>
      <c r="K2200" s="118"/>
      <c r="L2200" s="118"/>
      <c r="M2200" s="118"/>
      <c r="N2200" s="210"/>
    </row>
    <row r="2201" spans="2:14" ht="14.25" hidden="1" customHeight="1" x14ac:dyDescent="0.25">
      <c r="B2201" s="209"/>
      <c r="C2201" s="118"/>
      <c r="D2201" s="118"/>
      <c r="E2201" s="118"/>
      <c r="F2201" s="118"/>
      <c r="G2201" s="118"/>
      <c r="H2201" s="118"/>
      <c r="I2201" s="118"/>
      <c r="J2201" s="118"/>
      <c r="K2201" s="118"/>
      <c r="L2201" s="118"/>
      <c r="M2201" s="118"/>
      <c r="N2201" s="210"/>
    </row>
    <row r="2202" spans="2:14" ht="14.25" hidden="1" customHeight="1" x14ac:dyDescent="0.25">
      <c r="B2202" s="209"/>
      <c r="C2202" s="118"/>
      <c r="D2202" s="118"/>
      <c r="E2202" s="118"/>
      <c r="F2202" s="118"/>
      <c r="G2202" s="118"/>
      <c r="H2202" s="118"/>
      <c r="I2202" s="118"/>
      <c r="J2202" s="118"/>
      <c r="K2202" s="118"/>
      <c r="L2202" s="118"/>
      <c r="M2202" s="118"/>
      <c r="N2202" s="210"/>
    </row>
    <row r="2203" spans="2:14" ht="14.25" hidden="1" customHeight="1" x14ac:dyDescent="0.25">
      <c r="B2203" s="209"/>
      <c r="C2203" s="118"/>
      <c r="D2203" s="118"/>
      <c r="E2203" s="118"/>
      <c r="F2203" s="118"/>
      <c r="G2203" s="118"/>
      <c r="H2203" s="118"/>
      <c r="I2203" s="118"/>
      <c r="J2203" s="118"/>
      <c r="K2203" s="118"/>
      <c r="L2203" s="118"/>
      <c r="M2203" s="118"/>
      <c r="N2203" s="210"/>
    </row>
    <row r="2204" spans="2:14" ht="14.25" hidden="1" customHeight="1" x14ac:dyDescent="0.25">
      <c r="B2204" s="775" t="s">
        <v>414</v>
      </c>
      <c r="C2204" s="747"/>
      <c r="D2204" s="747"/>
      <c r="E2204" s="128"/>
      <c r="F2204" s="128"/>
      <c r="G2204" s="128"/>
      <c r="H2204" s="128"/>
      <c r="I2204" s="776"/>
      <c r="J2204" s="747"/>
      <c r="K2204" s="747"/>
      <c r="L2204" s="118"/>
      <c r="M2204" s="118"/>
      <c r="N2204" s="210"/>
    </row>
    <row r="2205" spans="2:14" ht="14.25" hidden="1" customHeight="1" x14ac:dyDescent="0.25">
      <c r="B2205" s="129"/>
      <c r="C2205" s="130"/>
      <c r="D2205" s="130"/>
      <c r="E2205" s="130"/>
      <c r="F2205" s="130"/>
      <c r="G2205" s="130"/>
      <c r="H2205" s="130"/>
      <c r="I2205" s="130"/>
      <c r="J2205" s="130"/>
      <c r="K2205" s="130"/>
      <c r="L2205" s="130"/>
      <c r="M2205" s="130"/>
      <c r="N2205" s="131"/>
    </row>
    <row r="2206" spans="2:14" ht="14.25" hidden="1" customHeight="1" x14ac:dyDescent="0.25">
      <c r="B2206" s="132"/>
      <c r="C2206" s="132"/>
      <c r="D2206" s="132"/>
      <c r="E2206" s="132"/>
      <c r="F2206" s="132"/>
      <c r="G2206" s="132"/>
      <c r="H2206" s="132"/>
      <c r="I2206" s="132"/>
      <c r="J2206" s="132"/>
      <c r="K2206" s="132"/>
      <c r="L2206" s="132"/>
      <c r="M2206" s="132"/>
      <c r="N2206" s="132"/>
    </row>
    <row r="2207" spans="2:14" ht="45" hidden="1" customHeight="1" x14ac:dyDescent="0.25">
      <c r="B2207" s="728"/>
      <c r="C2207" s="729"/>
      <c r="D2207" s="730" t="s">
        <v>393</v>
      </c>
      <c r="E2207" s="729"/>
      <c r="F2207" s="729"/>
      <c r="G2207" s="729"/>
      <c r="H2207" s="729"/>
      <c r="I2207" s="729"/>
      <c r="J2207" s="729"/>
      <c r="K2207" s="729"/>
      <c r="L2207" s="729"/>
      <c r="M2207" s="729"/>
      <c r="N2207" s="731"/>
    </row>
    <row r="2208" spans="2:14" ht="14.25" hidden="1" customHeight="1" x14ac:dyDescent="0.25">
      <c r="B2208" s="732" t="s">
        <v>394</v>
      </c>
      <c r="C2208" s="733"/>
      <c r="D2208" s="733"/>
      <c r="E2208" s="733"/>
      <c r="F2208" s="733"/>
      <c r="G2208" s="733"/>
      <c r="H2208" s="733"/>
      <c r="I2208" s="733"/>
      <c r="J2208" s="733"/>
      <c r="K2208" s="733"/>
      <c r="L2208" s="733"/>
      <c r="M2208" s="733"/>
      <c r="N2208" s="734"/>
    </row>
    <row r="2209" spans="2:14" ht="33" hidden="1" customHeight="1" x14ac:dyDescent="0.25">
      <c r="B2209" s="735" t="s">
        <v>395</v>
      </c>
      <c r="C2209" s="736"/>
      <c r="D2209" s="779" t="s">
        <v>532</v>
      </c>
      <c r="E2209" s="733"/>
      <c r="F2209" s="733"/>
      <c r="G2209" s="733"/>
      <c r="H2209" s="733"/>
      <c r="I2209" s="733"/>
      <c r="J2209" s="733"/>
      <c r="K2209" s="733"/>
      <c r="L2209" s="733"/>
      <c r="M2209" s="733"/>
      <c r="N2209" s="734"/>
    </row>
    <row r="2210" spans="2:14" ht="14.25" hidden="1" customHeight="1" x14ac:dyDescent="0.25">
      <c r="B2210" s="740" t="s">
        <v>26</v>
      </c>
      <c r="C2210" s="741"/>
      <c r="D2210" s="119" t="s">
        <v>396</v>
      </c>
      <c r="E2210" s="742" t="s">
        <v>397</v>
      </c>
      <c r="F2210" s="733"/>
      <c r="G2210" s="733"/>
      <c r="H2210" s="736"/>
      <c r="I2210" s="742" t="s">
        <v>398</v>
      </c>
      <c r="J2210" s="733"/>
      <c r="K2210" s="736"/>
      <c r="L2210" s="742" t="s">
        <v>399</v>
      </c>
      <c r="M2210" s="733"/>
      <c r="N2210" s="734"/>
    </row>
    <row r="2211" spans="2:14" ht="14.25" hidden="1" customHeight="1" x14ac:dyDescent="0.25">
      <c r="B2211" s="777">
        <v>63</v>
      </c>
      <c r="C2211" s="736"/>
      <c r="D2211" s="123">
        <f>SUM(H2214:H2232)</f>
        <v>1</v>
      </c>
      <c r="E2211" s="778" t="s">
        <v>29</v>
      </c>
      <c r="F2211" s="733"/>
      <c r="G2211" s="733"/>
      <c r="H2211" s="736"/>
      <c r="I2211" s="744"/>
      <c r="J2211" s="745"/>
      <c r="K2211" s="741"/>
      <c r="L2211" s="744"/>
      <c r="M2211" s="745"/>
      <c r="N2211" s="752"/>
    </row>
    <row r="2212" spans="2:14" ht="14.25" hidden="1" customHeight="1" x14ac:dyDescent="0.25">
      <c r="B2212" s="755" t="s">
        <v>416</v>
      </c>
      <c r="C2212" s="733"/>
      <c r="D2212" s="733"/>
      <c r="E2212" s="733"/>
      <c r="F2212" s="733"/>
      <c r="G2212" s="733"/>
      <c r="H2212" s="736"/>
      <c r="I2212" s="746"/>
      <c r="J2212" s="747"/>
      <c r="K2212" s="748"/>
      <c r="L2212" s="746"/>
      <c r="M2212" s="747"/>
      <c r="N2212" s="753"/>
    </row>
    <row r="2213" spans="2:14" ht="14.25" hidden="1" customHeight="1" x14ac:dyDescent="0.25">
      <c r="B2213" s="121" t="s">
        <v>400</v>
      </c>
      <c r="C2213" s="122" t="s">
        <v>401</v>
      </c>
      <c r="D2213" s="123" t="s">
        <v>402</v>
      </c>
      <c r="E2213" s="123" t="s">
        <v>403</v>
      </c>
      <c r="F2213" s="123" t="s">
        <v>404</v>
      </c>
      <c r="G2213" s="123" t="s">
        <v>405</v>
      </c>
      <c r="H2213" s="123" t="s">
        <v>406</v>
      </c>
      <c r="I2213" s="746"/>
      <c r="J2213" s="747"/>
      <c r="K2213" s="748"/>
      <c r="L2213" s="746"/>
      <c r="M2213" s="747"/>
      <c r="N2213" s="753"/>
    </row>
    <row r="2214" spans="2:14" ht="14.25" hidden="1" customHeight="1" x14ac:dyDescent="0.25">
      <c r="B2214" s="124"/>
      <c r="C2214" s="125" t="s">
        <v>481</v>
      </c>
      <c r="D2214" s="125">
        <v>1</v>
      </c>
      <c r="E2214" s="125"/>
      <c r="F2214" s="125"/>
      <c r="G2214" s="125"/>
      <c r="H2214" s="125">
        <f>D2214</f>
        <v>1</v>
      </c>
      <c r="I2214" s="746"/>
      <c r="J2214" s="747"/>
      <c r="K2214" s="748"/>
      <c r="L2214" s="746"/>
      <c r="M2214" s="747"/>
      <c r="N2214" s="753"/>
    </row>
    <row r="2215" spans="2:14" ht="14.25" hidden="1" customHeight="1" x14ac:dyDescent="0.25">
      <c r="B2215" s="124"/>
      <c r="C2215" s="125"/>
      <c r="D2215" s="125"/>
      <c r="E2215" s="125"/>
      <c r="F2215" s="125"/>
      <c r="G2215" s="125"/>
      <c r="H2215" s="125"/>
      <c r="I2215" s="746"/>
      <c r="J2215" s="747"/>
      <c r="K2215" s="748"/>
      <c r="L2215" s="746"/>
      <c r="M2215" s="747"/>
      <c r="N2215" s="753"/>
    </row>
    <row r="2216" spans="2:14" ht="14.25" hidden="1" customHeight="1" x14ac:dyDescent="0.25">
      <c r="B2216" s="124"/>
      <c r="C2216" s="125"/>
      <c r="D2216" s="125"/>
      <c r="E2216" s="125"/>
      <c r="F2216" s="125"/>
      <c r="G2216" s="125"/>
      <c r="H2216" s="125"/>
      <c r="I2216" s="746"/>
      <c r="J2216" s="747"/>
      <c r="K2216" s="748"/>
      <c r="L2216" s="746"/>
      <c r="M2216" s="747"/>
      <c r="N2216" s="753"/>
    </row>
    <row r="2217" spans="2:14" ht="14.25" hidden="1" customHeight="1" x14ac:dyDescent="0.25">
      <c r="B2217" s="124"/>
      <c r="C2217" s="125"/>
      <c r="D2217" s="125"/>
      <c r="E2217" s="125"/>
      <c r="F2217" s="125"/>
      <c r="G2217" s="125"/>
      <c r="H2217" s="125"/>
      <c r="I2217" s="746"/>
      <c r="J2217" s="747"/>
      <c r="K2217" s="748"/>
      <c r="L2217" s="746"/>
      <c r="M2217" s="747"/>
      <c r="N2217" s="753"/>
    </row>
    <row r="2218" spans="2:14" ht="14.25" hidden="1" customHeight="1" x14ac:dyDescent="0.25">
      <c r="B2218" s="124"/>
      <c r="C2218" s="125"/>
      <c r="D2218" s="125"/>
      <c r="E2218" s="125"/>
      <c r="F2218" s="125"/>
      <c r="G2218" s="125"/>
      <c r="H2218" s="125"/>
      <c r="I2218" s="746"/>
      <c r="J2218" s="747"/>
      <c r="K2218" s="748"/>
      <c r="L2218" s="746"/>
      <c r="M2218" s="747"/>
      <c r="N2218" s="753"/>
    </row>
    <row r="2219" spans="2:14" ht="14.25" hidden="1" customHeight="1" x14ac:dyDescent="0.25">
      <c r="B2219" s="124"/>
      <c r="C2219" s="125"/>
      <c r="D2219" s="125"/>
      <c r="E2219" s="125"/>
      <c r="F2219" s="125"/>
      <c r="G2219" s="125"/>
      <c r="H2219" s="125"/>
      <c r="I2219" s="746"/>
      <c r="J2219" s="747"/>
      <c r="K2219" s="748"/>
      <c r="L2219" s="746"/>
      <c r="M2219" s="747"/>
      <c r="N2219" s="753"/>
    </row>
    <row r="2220" spans="2:14" ht="14.25" hidden="1" customHeight="1" x14ac:dyDescent="0.25">
      <c r="B2220" s="124"/>
      <c r="C2220" s="125"/>
      <c r="D2220" s="125"/>
      <c r="E2220" s="125"/>
      <c r="F2220" s="125"/>
      <c r="G2220" s="125"/>
      <c r="H2220" s="125"/>
      <c r="I2220" s="746"/>
      <c r="J2220" s="747"/>
      <c r="K2220" s="748"/>
      <c r="L2220" s="746"/>
      <c r="M2220" s="747"/>
      <c r="N2220" s="753"/>
    </row>
    <row r="2221" spans="2:14" ht="14.25" hidden="1" customHeight="1" x14ac:dyDescent="0.25">
      <c r="B2221" s="124"/>
      <c r="C2221" s="125"/>
      <c r="D2221" s="125"/>
      <c r="E2221" s="125"/>
      <c r="F2221" s="125"/>
      <c r="G2221" s="125"/>
      <c r="H2221" s="125"/>
      <c r="I2221" s="746"/>
      <c r="J2221" s="747"/>
      <c r="K2221" s="748"/>
      <c r="L2221" s="746"/>
      <c r="M2221" s="747"/>
      <c r="N2221" s="753"/>
    </row>
    <row r="2222" spans="2:14" ht="14.25" hidden="1" customHeight="1" x14ac:dyDescent="0.25">
      <c r="B2222" s="124"/>
      <c r="C2222" s="125"/>
      <c r="D2222" s="125"/>
      <c r="E2222" s="125"/>
      <c r="F2222" s="125"/>
      <c r="G2222" s="125"/>
      <c r="H2222" s="125"/>
      <c r="I2222" s="746"/>
      <c r="J2222" s="747"/>
      <c r="K2222" s="748"/>
      <c r="L2222" s="746"/>
      <c r="M2222" s="747"/>
      <c r="N2222" s="753"/>
    </row>
    <row r="2223" spans="2:14" ht="14.25" hidden="1" customHeight="1" x14ac:dyDescent="0.25">
      <c r="B2223" s="124"/>
      <c r="C2223" s="125"/>
      <c r="D2223" s="125"/>
      <c r="E2223" s="125"/>
      <c r="F2223" s="125"/>
      <c r="G2223" s="125"/>
      <c r="H2223" s="125"/>
      <c r="I2223" s="746"/>
      <c r="J2223" s="747"/>
      <c r="K2223" s="748"/>
      <c r="L2223" s="746"/>
      <c r="M2223" s="747"/>
      <c r="N2223" s="753"/>
    </row>
    <row r="2224" spans="2:14" ht="14.25" hidden="1" customHeight="1" x14ac:dyDescent="0.25">
      <c r="B2224" s="124"/>
      <c r="C2224" s="125"/>
      <c r="D2224" s="125"/>
      <c r="E2224" s="125"/>
      <c r="F2224" s="125"/>
      <c r="G2224" s="125"/>
      <c r="H2224" s="125"/>
      <c r="I2224" s="746"/>
      <c r="J2224" s="747"/>
      <c r="K2224" s="748"/>
      <c r="L2224" s="746"/>
      <c r="M2224" s="747"/>
      <c r="N2224" s="753"/>
    </row>
    <row r="2225" spans="2:14" ht="14.25" hidden="1" customHeight="1" x14ac:dyDescent="0.25">
      <c r="B2225" s="124"/>
      <c r="C2225" s="125"/>
      <c r="D2225" s="125"/>
      <c r="E2225" s="125"/>
      <c r="F2225" s="125"/>
      <c r="G2225" s="125"/>
      <c r="H2225" s="125"/>
      <c r="I2225" s="746"/>
      <c r="J2225" s="747"/>
      <c r="K2225" s="748"/>
      <c r="L2225" s="746"/>
      <c r="M2225" s="747"/>
      <c r="N2225" s="753"/>
    </row>
    <row r="2226" spans="2:14" ht="14.25" hidden="1" customHeight="1" x14ac:dyDescent="0.25">
      <c r="B2226" s="124"/>
      <c r="C2226" s="125"/>
      <c r="D2226" s="125"/>
      <c r="E2226" s="125"/>
      <c r="F2226" s="125"/>
      <c r="G2226" s="125"/>
      <c r="H2226" s="125"/>
      <c r="I2226" s="746"/>
      <c r="J2226" s="747"/>
      <c r="K2226" s="748"/>
      <c r="L2226" s="746"/>
      <c r="M2226" s="747"/>
      <c r="N2226" s="753"/>
    </row>
    <row r="2227" spans="2:14" ht="14.25" hidden="1" customHeight="1" x14ac:dyDescent="0.25">
      <c r="B2227" s="124"/>
      <c r="C2227" s="125"/>
      <c r="D2227" s="125"/>
      <c r="E2227" s="125"/>
      <c r="F2227" s="125"/>
      <c r="G2227" s="125"/>
      <c r="H2227" s="125"/>
      <c r="I2227" s="746"/>
      <c r="J2227" s="747"/>
      <c r="K2227" s="748"/>
      <c r="L2227" s="746"/>
      <c r="M2227" s="747"/>
      <c r="N2227" s="753"/>
    </row>
    <row r="2228" spans="2:14" ht="14.25" hidden="1" customHeight="1" x14ac:dyDescent="0.25">
      <c r="B2228" s="124"/>
      <c r="C2228" s="125"/>
      <c r="D2228" s="125"/>
      <c r="E2228" s="125"/>
      <c r="F2228" s="125"/>
      <c r="G2228" s="125"/>
      <c r="H2228" s="125"/>
      <c r="I2228" s="746"/>
      <c r="J2228" s="747"/>
      <c r="K2228" s="748"/>
      <c r="L2228" s="746"/>
      <c r="M2228" s="747"/>
      <c r="N2228" s="753"/>
    </row>
    <row r="2229" spans="2:14" ht="14.25" hidden="1" customHeight="1" x14ac:dyDescent="0.25">
      <c r="B2229" s="124"/>
      <c r="C2229" s="125"/>
      <c r="D2229" s="125"/>
      <c r="E2229" s="125"/>
      <c r="F2229" s="125"/>
      <c r="G2229" s="125"/>
      <c r="H2229" s="125"/>
      <c r="I2229" s="746"/>
      <c r="J2229" s="747"/>
      <c r="K2229" s="748"/>
      <c r="L2229" s="746"/>
      <c r="M2229" s="747"/>
      <c r="N2229" s="753"/>
    </row>
    <row r="2230" spans="2:14" ht="14.25" hidden="1" customHeight="1" x14ac:dyDescent="0.25">
      <c r="B2230" s="124"/>
      <c r="C2230" s="125"/>
      <c r="D2230" s="125"/>
      <c r="E2230" s="125"/>
      <c r="F2230" s="125"/>
      <c r="G2230" s="125"/>
      <c r="H2230" s="125"/>
      <c r="I2230" s="746"/>
      <c r="J2230" s="747"/>
      <c r="K2230" s="748"/>
      <c r="L2230" s="746"/>
      <c r="M2230" s="747"/>
      <c r="N2230" s="753"/>
    </row>
    <row r="2231" spans="2:14" ht="14.25" hidden="1" customHeight="1" x14ac:dyDescent="0.25">
      <c r="B2231" s="124"/>
      <c r="C2231" s="125"/>
      <c r="D2231" s="125"/>
      <c r="E2231" s="125"/>
      <c r="F2231" s="125"/>
      <c r="G2231" s="125"/>
      <c r="H2231" s="125"/>
      <c r="I2231" s="746"/>
      <c r="J2231" s="747"/>
      <c r="K2231" s="748"/>
      <c r="L2231" s="746"/>
      <c r="M2231" s="747"/>
      <c r="N2231" s="753"/>
    </row>
    <row r="2232" spans="2:14" ht="14.25" hidden="1" customHeight="1" x14ac:dyDescent="0.25">
      <c r="B2232" s="127"/>
      <c r="C2232" s="125"/>
      <c r="D2232" s="125"/>
      <c r="E2232" s="125"/>
      <c r="F2232" s="125"/>
      <c r="G2232" s="125"/>
      <c r="H2232" s="125"/>
      <c r="I2232" s="749"/>
      <c r="J2232" s="750"/>
      <c r="K2232" s="751"/>
      <c r="L2232" s="749"/>
      <c r="M2232" s="750"/>
      <c r="N2232" s="754"/>
    </row>
    <row r="2233" spans="2:14" ht="14.25" hidden="1" customHeight="1" x14ac:dyDescent="0.25">
      <c r="B2233" s="209"/>
      <c r="C2233" s="118"/>
      <c r="D2233" s="118"/>
      <c r="E2233" s="118"/>
      <c r="F2233" s="118"/>
      <c r="G2233" s="118"/>
      <c r="H2233" s="118"/>
      <c r="I2233" s="118"/>
      <c r="J2233" s="118"/>
      <c r="K2233" s="118"/>
      <c r="L2233" s="118"/>
      <c r="M2233" s="118"/>
      <c r="N2233" s="210"/>
    </row>
    <row r="2234" spans="2:14" ht="14.25" hidden="1" customHeight="1" x14ac:dyDescent="0.25">
      <c r="B2234" s="209"/>
      <c r="C2234" s="118"/>
      <c r="D2234" s="118"/>
      <c r="E2234" s="118"/>
      <c r="F2234" s="118"/>
      <c r="G2234" s="118"/>
      <c r="H2234" s="118"/>
      <c r="I2234" s="118"/>
      <c r="J2234" s="118"/>
      <c r="K2234" s="118"/>
      <c r="L2234" s="118"/>
      <c r="M2234" s="118"/>
      <c r="N2234" s="210"/>
    </row>
    <row r="2235" spans="2:14" ht="14.25" hidden="1" customHeight="1" x14ac:dyDescent="0.25">
      <c r="B2235" s="209"/>
      <c r="C2235" s="118"/>
      <c r="D2235" s="118"/>
      <c r="E2235" s="118"/>
      <c r="F2235" s="118"/>
      <c r="G2235" s="118"/>
      <c r="H2235" s="118"/>
      <c r="I2235" s="118"/>
      <c r="J2235" s="118"/>
      <c r="K2235" s="118"/>
      <c r="L2235" s="118"/>
      <c r="M2235" s="118"/>
      <c r="N2235" s="210"/>
    </row>
    <row r="2236" spans="2:14" ht="14.25" hidden="1" customHeight="1" x14ac:dyDescent="0.25">
      <c r="B2236" s="209"/>
      <c r="C2236" s="118"/>
      <c r="D2236" s="118"/>
      <c r="E2236" s="118"/>
      <c r="F2236" s="118"/>
      <c r="G2236" s="118"/>
      <c r="H2236" s="118"/>
      <c r="I2236" s="118"/>
      <c r="J2236" s="118"/>
      <c r="K2236" s="118"/>
      <c r="L2236" s="118"/>
      <c r="M2236" s="118"/>
      <c r="N2236" s="210"/>
    </row>
    <row r="2237" spans="2:14" ht="14.25" hidden="1" customHeight="1" x14ac:dyDescent="0.25">
      <c r="B2237" s="775" t="s">
        <v>414</v>
      </c>
      <c r="C2237" s="747"/>
      <c r="D2237" s="747"/>
      <c r="E2237" s="128"/>
      <c r="F2237" s="128"/>
      <c r="G2237" s="128"/>
      <c r="H2237" s="128"/>
      <c r="I2237" s="776"/>
      <c r="J2237" s="747"/>
      <c r="K2237" s="747"/>
      <c r="L2237" s="118"/>
      <c r="M2237" s="118"/>
      <c r="N2237" s="210"/>
    </row>
    <row r="2238" spans="2:14" ht="14.25" hidden="1" customHeight="1" x14ac:dyDescent="0.25">
      <c r="B2238" s="129"/>
      <c r="C2238" s="130"/>
      <c r="D2238" s="130"/>
      <c r="E2238" s="130"/>
      <c r="F2238" s="130"/>
      <c r="G2238" s="130"/>
      <c r="H2238" s="130"/>
      <c r="I2238" s="130"/>
      <c r="J2238" s="130"/>
      <c r="K2238" s="130"/>
      <c r="L2238" s="130"/>
      <c r="M2238" s="130"/>
      <c r="N2238" s="131"/>
    </row>
    <row r="2239" spans="2:14" ht="14.25" customHeight="1" thickBot="1" x14ac:dyDescent="0.3">
      <c r="B2239" s="132"/>
      <c r="C2239" s="132"/>
      <c r="D2239" s="132"/>
      <c r="E2239" s="132"/>
      <c r="F2239" s="132"/>
      <c r="G2239" s="132"/>
      <c r="H2239" s="132"/>
      <c r="I2239" s="132"/>
      <c r="J2239" s="132"/>
      <c r="K2239" s="132"/>
      <c r="L2239" s="132"/>
      <c r="M2239" s="132"/>
      <c r="N2239" s="132"/>
    </row>
    <row r="2240" spans="2:14" ht="40.5" customHeight="1" x14ac:dyDescent="0.25">
      <c r="B2240" s="728"/>
      <c r="C2240" s="729"/>
      <c r="D2240" s="730" t="s">
        <v>393</v>
      </c>
      <c r="E2240" s="729"/>
      <c r="F2240" s="729"/>
      <c r="G2240" s="729"/>
      <c r="H2240" s="729"/>
      <c r="I2240" s="729"/>
      <c r="J2240" s="729"/>
      <c r="K2240" s="729"/>
      <c r="L2240" s="729"/>
      <c r="M2240" s="729"/>
      <c r="N2240" s="731"/>
    </row>
    <row r="2241" spans="2:14" ht="14.25" customHeight="1" x14ac:dyDescent="0.25">
      <c r="B2241" s="732" t="s">
        <v>394</v>
      </c>
      <c r="C2241" s="733"/>
      <c r="D2241" s="733"/>
      <c r="E2241" s="733"/>
      <c r="F2241" s="733"/>
      <c r="G2241" s="733"/>
      <c r="H2241" s="733"/>
      <c r="I2241" s="733"/>
      <c r="J2241" s="733"/>
      <c r="K2241" s="733"/>
      <c r="L2241" s="733"/>
      <c r="M2241" s="733"/>
      <c r="N2241" s="734"/>
    </row>
    <row r="2242" spans="2:14" ht="21" customHeight="1" x14ac:dyDescent="0.25">
      <c r="B2242" s="735" t="s">
        <v>395</v>
      </c>
      <c r="C2242" s="736"/>
      <c r="D2242" s="737" t="str">
        <f>VLOOKUP(B2244,Buenaventura!A9:G2554,3,FALSE)</f>
        <v xml:space="preserve">Rasqueteada de pintura y retiro de mortero en mal estado  </v>
      </c>
      <c r="E2242" s="738"/>
      <c r="F2242" s="738"/>
      <c r="G2242" s="738"/>
      <c r="H2242" s="738"/>
      <c r="I2242" s="738"/>
      <c r="J2242" s="738"/>
      <c r="K2242" s="738"/>
      <c r="L2242" s="738"/>
      <c r="M2242" s="738"/>
      <c r="N2242" s="739"/>
    </row>
    <row r="2243" spans="2:14" ht="14.25" customHeight="1" x14ac:dyDescent="0.25">
      <c r="B2243" s="740" t="s">
        <v>26</v>
      </c>
      <c r="C2243" s="741"/>
      <c r="D2243" s="119" t="s">
        <v>396</v>
      </c>
      <c r="E2243" s="742" t="s">
        <v>397</v>
      </c>
      <c r="F2243" s="733"/>
      <c r="G2243" s="733"/>
      <c r="H2243" s="736"/>
      <c r="I2243" s="742" t="s">
        <v>398</v>
      </c>
      <c r="J2243" s="733"/>
      <c r="K2243" s="736"/>
      <c r="L2243" s="742" t="s">
        <v>399</v>
      </c>
      <c r="M2243" s="733"/>
      <c r="N2243" s="734"/>
    </row>
    <row r="2244" spans="2:14" ht="14.25" customHeight="1" x14ac:dyDescent="0.25">
      <c r="B2244" s="283">
        <v>39</v>
      </c>
      <c r="C2244" s="284" t="str">
        <f>VLOOKUP(B2244,Buenaventura!A9:G2567,2,FALSE)</f>
        <v>PR-01</v>
      </c>
      <c r="D2244" s="285">
        <f>SUM(H2247:H2250)*60%</f>
        <v>12</v>
      </c>
      <c r="E2244" s="743" t="str">
        <f>VLOOKUP(B2244,Buenaventura!A9:G2566,4,FALSE)</f>
        <v>ML</v>
      </c>
      <c r="F2244" s="743"/>
      <c r="G2244" s="743"/>
      <c r="H2244" s="743"/>
      <c r="I2244" s="744"/>
      <c r="J2244" s="745"/>
      <c r="K2244" s="741"/>
      <c r="L2244" s="744"/>
      <c r="M2244" s="745"/>
      <c r="N2244" s="752"/>
    </row>
    <row r="2245" spans="2:14" ht="14.25" customHeight="1" x14ac:dyDescent="0.25">
      <c r="B2245" s="755" t="s">
        <v>416</v>
      </c>
      <c r="C2245" s="733"/>
      <c r="D2245" s="733"/>
      <c r="E2245" s="733"/>
      <c r="F2245" s="733"/>
      <c r="G2245" s="733"/>
      <c r="H2245" s="736"/>
      <c r="I2245" s="746"/>
      <c r="J2245" s="747"/>
      <c r="K2245" s="748"/>
      <c r="L2245" s="746"/>
      <c r="M2245" s="747"/>
      <c r="N2245" s="753"/>
    </row>
    <row r="2246" spans="2:14" ht="14.25" customHeight="1" x14ac:dyDescent="0.25">
      <c r="B2246" s="121" t="s">
        <v>400</v>
      </c>
      <c r="C2246" s="122" t="s">
        <v>401</v>
      </c>
      <c r="D2246" s="123" t="s">
        <v>402</v>
      </c>
      <c r="E2246" s="123" t="s">
        <v>403</v>
      </c>
      <c r="F2246" s="123" t="s">
        <v>404</v>
      </c>
      <c r="G2246" s="123" t="s">
        <v>405</v>
      </c>
      <c r="H2246" s="123" t="s">
        <v>406</v>
      </c>
      <c r="I2246" s="746"/>
      <c r="J2246" s="747"/>
      <c r="K2246" s="748"/>
      <c r="L2246" s="746"/>
      <c r="M2246" s="747"/>
      <c r="N2246" s="753"/>
    </row>
    <row r="2247" spans="2:14" ht="14.25" customHeight="1" x14ac:dyDescent="0.25">
      <c r="B2247" s="124"/>
      <c r="C2247" s="142" t="s">
        <v>531</v>
      </c>
      <c r="D2247" s="125"/>
      <c r="E2247" s="125"/>
      <c r="F2247" s="125">
        <v>20</v>
      </c>
      <c r="G2247" s="125"/>
      <c r="H2247" s="125">
        <f>F2247</f>
        <v>20</v>
      </c>
      <c r="I2247" s="746"/>
      <c r="J2247" s="747"/>
      <c r="K2247" s="748"/>
      <c r="L2247" s="746"/>
      <c r="M2247" s="747"/>
      <c r="N2247" s="753"/>
    </row>
    <row r="2248" spans="2:14" ht="14.25" customHeight="1" x14ac:dyDescent="0.25">
      <c r="B2248" s="124"/>
      <c r="C2248" s="215"/>
      <c r="D2248" s="125"/>
      <c r="E2248" s="125"/>
      <c r="F2248" s="125"/>
      <c r="G2248" s="125"/>
      <c r="H2248" s="125"/>
      <c r="I2248" s="746"/>
      <c r="J2248" s="747"/>
      <c r="K2248" s="748"/>
      <c r="L2248" s="746"/>
      <c r="M2248" s="747"/>
      <c r="N2248" s="753"/>
    </row>
    <row r="2249" spans="2:14" ht="14.25" customHeight="1" x14ac:dyDescent="0.25">
      <c r="B2249" s="124"/>
      <c r="C2249" s="215"/>
      <c r="D2249" s="125"/>
      <c r="E2249" s="125"/>
      <c r="F2249" s="125"/>
      <c r="G2249" s="125"/>
      <c r="H2249" s="125"/>
      <c r="I2249" s="746"/>
      <c r="J2249" s="747"/>
      <c r="K2249" s="748"/>
      <c r="L2249" s="746"/>
      <c r="M2249" s="747"/>
      <c r="N2249" s="753"/>
    </row>
    <row r="2250" spans="2:14" ht="14.25" customHeight="1" x14ac:dyDescent="0.25">
      <c r="B2250" s="124"/>
      <c r="C2250" s="215"/>
      <c r="D2250" s="125"/>
      <c r="E2250" s="125"/>
      <c r="F2250" s="125"/>
      <c r="G2250" s="125"/>
      <c r="H2250" s="125"/>
      <c r="I2250" s="746"/>
      <c r="J2250" s="747"/>
      <c r="K2250" s="748"/>
      <c r="L2250" s="746"/>
      <c r="M2250" s="747"/>
      <c r="N2250" s="753"/>
    </row>
    <row r="2251" spans="2:14" ht="14.25" customHeight="1" x14ac:dyDescent="0.25">
      <c r="B2251" s="124"/>
      <c r="C2251" s="125"/>
      <c r="D2251" s="125"/>
      <c r="E2251" s="125"/>
      <c r="F2251" s="125"/>
      <c r="G2251" s="125"/>
      <c r="H2251" s="125"/>
      <c r="I2251" s="746"/>
      <c r="J2251" s="747"/>
      <c r="K2251" s="748"/>
      <c r="L2251" s="746"/>
      <c r="M2251" s="747"/>
      <c r="N2251" s="753"/>
    </row>
    <row r="2252" spans="2:14" ht="14.25" customHeight="1" x14ac:dyDescent="0.25">
      <c r="B2252" s="124"/>
      <c r="C2252" s="125"/>
      <c r="D2252" s="125"/>
      <c r="E2252" s="125"/>
      <c r="F2252" s="125"/>
      <c r="G2252" s="125"/>
      <c r="H2252" s="125"/>
      <c r="I2252" s="746"/>
      <c r="J2252" s="747"/>
      <c r="K2252" s="748"/>
      <c r="L2252" s="746"/>
      <c r="M2252" s="747"/>
      <c r="N2252" s="753"/>
    </row>
    <row r="2253" spans="2:14" ht="14.25" customHeight="1" x14ac:dyDescent="0.25">
      <c r="B2253" s="124"/>
      <c r="C2253" s="125"/>
      <c r="D2253" s="125"/>
      <c r="E2253" s="125"/>
      <c r="F2253" s="125"/>
      <c r="G2253" s="125"/>
      <c r="H2253" s="125"/>
      <c r="I2253" s="746"/>
      <c r="J2253" s="747"/>
      <c r="K2253" s="748"/>
      <c r="L2253" s="746"/>
      <c r="M2253" s="747"/>
      <c r="N2253" s="753"/>
    </row>
    <row r="2254" spans="2:14" ht="14.25" customHeight="1" x14ac:dyDescent="0.25">
      <c r="B2254" s="124"/>
      <c r="C2254" s="125"/>
      <c r="D2254" s="125"/>
      <c r="E2254" s="125"/>
      <c r="F2254" s="125"/>
      <c r="G2254" s="125"/>
      <c r="H2254" s="125"/>
      <c r="I2254" s="746"/>
      <c r="J2254" s="747"/>
      <c r="K2254" s="748"/>
      <c r="L2254" s="746"/>
      <c r="M2254" s="747"/>
      <c r="N2254" s="753"/>
    </row>
    <row r="2255" spans="2:14" ht="14.25" customHeight="1" x14ac:dyDescent="0.25">
      <c r="B2255" s="127"/>
      <c r="C2255" s="125"/>
      <c r="D2255" s="125"/>
      <c r="E2255" s="125"/>
      <c r="F2255" s="125"/>
      <c r="G2255" s="125"/>
      <c r="H2255" s="125"/>
      <c r="I2255" s="749"/>
      <c r="J2255" s="750"/>
      <c r="K2255" s="751"/>
      <c r="L2255" s="749"/>
      <c r="M2255" s="750"/>
      <c r="N2255" s="754"/>
    </row>
    <row r="2256" spans="2:14" ht="14.25" customHeight="1" x14ac:dyDescent="0.25">
      <c r="B2256" s="209"/>
      <c r="C2256" s="118"/>
      <c r="D2256" s="118"/>
      <c r="E2256" s="118"/>
      <c r="F2256" s="118"/>
      <c r="G2256" s="118"/>
      <c r="H2256" s="118"/>
      <c r="I2256" s="118"/>
      <c r="J2256" s="118"/>
      <c r="K2256" s="118"/>
      <c r="L2256" s="118"/>
      <c r="M2256" s="118"/>
      <c r="N2256" s="210"/>
    </row>
    <row r="2257" spans="2:14" ht="14.25" customHeight="1" x14ac:dyDescent="0.25">
      <c r="B2257" s="209"/>
      <c r="C2257" s="118"/>
      <c r="D2257" s="118"/>
      <c r="E2257" s="118"/>
      <c r="F2257" s="118"/>
      <c r="G2257" s="118"/>
      <c r="H2257" s="118"/>
      <c r="I2257" s="118"/>
      <c r="J2257" s="118"/>
      <c r="K2257" s="118"/>
      <c r="L2257" s="118"/>
      <c r="M2257" s="118"/>
      <c r="N2257" s="210"/>
    </row>
    <row r="2258" spans="2:14" ht="14.25" customHeight="1" x14ac:dyDescent="0.25">
      <c r="B2258" s="209"/>
      <c r="C2258" s="118"/>
      <c r="D2258" s="118"/>
      <c r="E2258" s="118"/>
      <c r="F2258" s="118"/>
      <c r="G2258" s="118"/>
      <c r="H2258" s="118"/>
      <c r="I2258" s="118"/>
      <c r="J2258" s="118"/>
      <c r="K2258" s="118"/>
      <c r="L2258" s="118"/>
      <c r="M2258" s="118"/>
      <c r="N2258" s="210"/>
    </row>
    <row r="2259" spans="2:14" ht="14.25" customHeight="1" x14ac:dyDescent="0.25">
      <c r="B2259" s="209"/>
      <c r="C2259" s="118"/>
      <c r="D2259" s="118"/>
      <c r="E2259" s="118"/>
      <c r="F2259" s="118"/>
      <c r="G2259" s="118"/>
      <c r="H2259" s="118"/>
      <c r="I2259" s="118"/>
      <c r="J2259" s="118"/>
      <c r="K2259" s="118"/>
      <c r="L2259" s="118"/>
      <c r="M2259" s="118"/>
      <c r="N2259" s="210"/>
    </row>
    <row r="2260" spans="2:14" ht="14.25" customHeight="1" x14ac:dyDescent="0.25">
      <c r="B2260" s="775" t="s">
        <v>414</v>
      </c>
      <c r="C2260" s="747"/>
      <c r="D2260" s="747"/>
      <c r="E2260" s="128"/>
      <c r="F2260" s="128"/>
      <c r="G2260" s="128"/>
      <c r="H2260" s="128"/>
      <c r="I2260" s="776"/>
      <c r="J2260" s="747"/>
      <c r="K2260" s="747"/>
      <c r="L2260" s="118"/>
      <c r="M2260" s="118"/>
      <c r="N2260" s="210"/>
    </row>
    <row r="2261" spans="2:14" ht="14.25" customHeight="1" thickBot="1" x14ac:dyDescent="0.3">
      <c r="B2261" s="129"/>
      <c r="C2261" s="130"/>
      <c r="D2261" s="130"/>
      <c r="E2261" s="130"/>
      <c r="F2261" s="130"/>
      <c r="G2261" s="130"/>
      <c r="H2261" s="130"/>
      <c r="I2261" s="130"/>
      <c r="J2261" s="130"/>
      <c r="K2261" s="130"/>
      <c r="L2261" s="130"/>
      <c r="M2261" s="130"/>
      <c r="N2261" s="131"/>
    </row>
    <row r="2262" spans="2:14" ht="14.25" customHeight="1" thickBot="1" x14ac:dyDescent="0.3">
      <c r="B2262" s="132"/>
      <c r="C2262" s="132"/>
      <c r="D2262" s="132"/>
      <c r="E2262" s="132"/>
      <c r="F2262" s="132"/>
      <c r="G2262" s="132"/>
      <c r="H2262" s="132"/>
      <c r="I2262" s="132"/>
      <c r="J2262" s="132"/>
      <c r="K2262" s="132"/>
      <c r="L2262" s="132"/>
      <c r="M2262" s="132"/>
      <c r="N2262" s="132"/>
    </row>
    <row r="2263" spans="2:14" ht="52.5" customHeight="1" x14ac:dyDescent="0.25">
      <c r="B2263" s="728"/>
      <c r="C2263" s="729"/>
      <c r="D2263" s="730" t="s">
        <v>393</v>
      </c>
      <c r="E2263" s="729"/>
      <c r="F2263" s="729"/>
      <c r="G2263" s="729"/>
      <c r="H2263" s="729"/>
      <c r="I2263" s="729"/>
      <c r="J2263" s="729"/>
      <c r="K2263" s="729"/>
      <c r="L2263" s="729"/>
      <c r="M2263" s="729"/>
      <c r="N2263" s="731"/>
    </row>
    <row r="2264" spans="2:14" ht="14.25" customHeight="1" x14ac:dyDescent="0.25">
      <c r="B2264" s="732" t="s">
        <v>394</v>
      </c>
      <c r="C2264" s="733"/>
      <c r="D2264" s="733"/>
      <c r="E2264" s="733"/>
      <c r="F2264" s="733"/>
      <c r="G2264" s="733"/>
      <c r="H2264" s="733"/>
      <c r="I2264" s="733"/>
      <c r="J2264" s="733"/>
      <c r="K2264" s="733"/>
      <c r="L2264" s="733"/>
      <c r="M2264" s="733"/>
      <c r="N2264" s="734"/>
    </row>
    <row r="2265" spans="2:14" ht="14.25" customHeight="1" x14ac:dyDescent="0.25">
      <c r="B2265" s="735" t="s">
        <v>395</v>
      </c>
      <c r="C2265" s="736"/>
      <c r="D2265" s="737" t="str">
        <f>VLOOKUP(B2267,Buenaventura!A9:G2587,3,FALSE)</f>
        <v xml:space="preserve">Suministro e instalación de recubrimiento cementoso (Recubrimiento a base de cemento, arena y aditivos especiales), impermeable para muros color blanco </v>
      </c>
      <c r="E2265" s="738"/>
      <c r="F2265" s="738"/>
      <c r="G2265" s="738"/>
      <c r="H2265" s="738"/>
      <c r="I2265" s="738"/>
      <c r="J2265" s="738"/>
      <c r="K2265" s="738"/>
      <c r="L2265" s="738"/>
      <c r="M2265" s="738"/>
      <c r="N2265" s="739"/>
    </row>
    <row r="2266" spans="2:14" ht="14.25" customHeight="1" x14ac:dyDescent="0.25">
      <c r="B2266" s="740" t="s">
        <v>26</v>
      </c>
      <c r="C2266" s="741"/>
      <c r="D2266" s="119" t="s">
        <v>396</v>
      </c>
      <c r="E2266" s="742" t="s">
        <v>397</v>
      </c>
      <c r="F2266" s="733"/>
      <c r="G2266" s="733"/>
      <c r="H2266" s="736"/>
      <c r="I2266" s="742" t="s">
        <v>398</v>
      </c>
      <c r="J2266" s="733"/>
      <c r="K2266" s="736"/>
      <c r="L2266" s="742" t="s">
        <v>399</v>
      </c>
      <c r="M2266" s="733"/>
      <c r="N2266" s="734"/>
    </row>
    <row r="2267" spans="2:14" ht="14.25" customHeight="1" x14ac:dyDescent="0.25">
      <c r="B2267" s="283">
        <v>40</v>
      </c>
      <c r="C2267" s="284" t="str">
        <f>VLOOKUP(B2267,Buenaventura!A9:G2600,2,FALSE)</f>
        <v>RI-09</v>
      </c>
      <c r="D2267" s="285">
        <f>SUM(H2270:H2273)</f>
        <v>20</v>
      </c>
      <c r="E2267" s="743" t="str">
        <f>VLOOKUP(B2267,Buenaventura!A9:G2599,4,FALSE)</f>
        <v>ML</v>
      </c>
      <c r="F2267" s="743"/>
      <c r="G2267" s="743"/>
      <c r="H2267" s="743"/>
      <c r="I2267" s="744"/>
      <c r="J2267" s="745"/>
      <c r="K2267" s="741"/>
      <c r="L2267" s="744"/>
      <c r="M2267" s="745"/>
      <c r="N2267" s="752"/>
    </row>
    <row r="2268" spans="2:14" ht="14.25" customHeight="1" x14ac:dyDescent="0.25">
      <c r="B2268" s="755" t="s">
        <v>416</v>
      </c>
      <c r="C2268" s="733"/>
      <c r="D2268" s="733"/>
      <c r="E2268" s="733"/>
      <c r="F2268" s="733"/>
      <c r="G2268" s="733"/>
      <c r="H2268" s="736"/>
      <c r="I2268" s="746"/>
      <c r="J2268" s="747"/>
      <c r="K2268" s="748"/>
      <c r="L2268" s="746"/>
      <c r="M2268" s="747"/>
      <c r="N2268" s="753"/>
    </row>
    <row r="2269" spans="2:14" ht="14.25" customHeight="1" x14ac:dyDescent="0.25">
      <c r="B2269" s="121" t="s">
        <v>400</v>
      </c>
      <c r="C2269" s="122" t="s">
        <v>401</v>
      </c>
      <c r="D2269" s="123" t="s">
        <v>402</v>
      </c>
      <c r="E2269" s="123" t="s">
        <v>403</v>
      </c>
      <c r="F2269" s="123" t="s">
        <v>404</v>
      </c>
      <c r="G2269" s="123" t="s">
        <v>405</v>
      </c>
      <c r="H2269" s="123" t="s">
        <v>406</v>
      </c>
      <c r="I2269" s="746"/>
      <c r="J2269" s="747"/>
      <c r="K2269" s="748"/>
      <c r="L2269" s="746"/>
      <c r="M2269" s="747"/>
      <c r="N2269" s="753"/>
    </row>
    <row r="2270" spans="2:14" ht="14.25" customHeight="1" x14ac:dyDescent="0.25">
      <c r="B2270" s="124"/>
      <c r="C2270" s="142" t="s">
        <v>531</v>
      </c>
      <c r="D2270" s="125"/>
      <c r="E2270" s="125"/>
      <c r="F2270" s="125">
        <v>20</v>
      </c>
      <c r="G2270" s="125"/>
      <c r="H2270" s="125">
        <f>F2270</f>
        <v>20</v>
      </c>
      <c r="I2270" s="746"/>
      <c r="J2270" s="747"/>
      <c r="K2270" s="748"/>
      <c r="L2270" s="746"/>
      <c r="M2270" s="747"/>
      <c r="N2270" s="753"/>
    </row>
    <row r="2271" spans="2:14" ht="14.25" customHeight="1" x14ac:dyDescent="0.25">
      <c r="B2271" s="124"/>
      <c r="C2271" s="125"/>
      <c r="D2271" s="125"/>
      <c r="E2271" s="125"/>
      <c r="F2271" s="125"/>
      <c r="G2271" s="125"/>
      <c r="H2271" s="125"/>
      <c r="I2271" s="746"/>
      <c r="J2271" s="747"/>
      <c r="K2271" s="748"/>
      <c r="L2271" s="746"/>
      <c r="M2271" s="747"/>
      <c r="N2271" s="753"/>
    </row>
    <row r="2272" spans="2:14" ht="14.25" customHeight="1" x14ac:dyDescent="0.25">
      <c r="B2272" s="124"/>
      <c r="C2272" s="125"/>
      <c r="D2272" s="125"/>
      <c r="E2272" s="125"/>
      <c r="F2272" s="125"/>
      <c r="G2272" s="125"/>
      <c r="H2272" s="125"/>
      <c r="I2272" s="746"/>
      <c r="J2272" s="747"/>
      <c r="K2272" s="748"/>
      <c r="L2272" s="746"/>
      <c r="M2272" s="747"/>
      <c r="N2272" s="753"/>
    </row>
    <row r="2273" spans="2:14" ht="14.25" customHeight="1" x14ac:dyDescent="0.25">
      <c r="B2273" s="124"/>
      <c r="C2273" s="125"/>
      <c r="D2273" s="125"/>
      <c r="E2273" s="125"/>
      <c r="F2273" s="125"/>
      <c r="G2273" s="125"/>
      <c r="H2273" s="125"/>
      <c r="I2273" s="746"/>
      <c r="J2273" s="747"/>
      <c r="K2273" s="748"/>
      <c r="L2273" s="746"/>
      <c r="M2273" s="747"/>
      <c r="N2273" s="753"/>
    </row>
    <row r="2274" spans="2:14" ht="14.25" customHeight="1" x14ac:dyDescent="0.25">
      <c r="B2274" s="124"/>
      <c r="C2274" s="125"/>
      <c r="D2274" s="125"/>
      <c r="E2274" s="125"/>
      <c r="F2274" s="125"/>
      <c r="G2274" s="125"/>
      <c r="H2274" s="125"/>
      <c r="I2274" s="746"/>
      <c r="J2274" s="747"/>
      <c r="K2274" s="748"/>
      <c r="L2274" s="746"/>
      <c r="M2274" s="747"/>
      <c r="N2274" s="753"/>
    </row>
    <row r="2275" spans="2:14" ht="14.25" customHeight="1" x14ac:dyDescent="0.25">
      <c r="B2275" s="124"/>
      <c r="C2275" s="125"/>
      <c r="D2275" s="125"/>
      <c r="E2275" s="125"/>
      <c r="F2275" s="125"/>
      <c r="G2275" s="125"/>
      <c r="H2275" s="125"/>
      <c r="I2275" s="746"/>
      <c r="J2275" s="747"/>
      <c r="K2275" s="748"/>
      <c r="L2275" s="746"/>
      <c r="M2275" s="747"/>
      <c r="N2275" s="753"/>
    </row>
    <row r="2276" spans="2:14" ht="14.25" customHeight="1" x14ac:dyDescent="0.25">
      <c r="B2276" s="124"/>
      <c r="C2276" s="125"/>
      <c r="D2276" s="125"/>
      <c r="E2276" s="125"/>
      <c r="F2276" s="125"/>
      <c r="G2276" s="125"/>
      <c r="H2276" s="125"/>
      <c r="I2276" s="746"/>
      <c r="J2276" s="747"/>
      <c r="K2276" s="748"/>
      <c r="L2276" s="746"/>
      <c r="M2276" s="747"/>
      <c r="N2276" s="753"/>
    </row>
    <row r="2277" spans="2:14" ht="14.25" customHeight="1" x14ac:dyDescent="0.25">
      <c r="B2277" s="124"/>
      <c r="C2277" s="125"/>
      <c r="D2277" s="125"/>
      <c r="E2277" s="125"/>
      <c r="F2277" s="125"/>
      <c r="G2277" s="125"/>
      <c r="H2277" s="125"/>
      <c r="I2277" s="746"/>
      <c r="J2277" s="747"/>
      <c r="K2277" s="748"/>
      <c r="L2277" s="746"/>
      <c r="M2277" s="747"/>
      <c r="N2277" s="753"/>
    </row>
    <row r="2278" spans="2:14" ht="14.25" customHeight="1" x14ac:dyDescent="0.25">
      <c r="B2278" s="124"/>
      <c r="C2278" s="125"/>
      <c r="D2278" s="125"/>
      <c r="E2278" s="125"/>
      <c r="F2278" s="125"/>
      <c r="G2278" s="125"/>
      <c r="H2278" s="125"/>
      <c r="I2278" s="746"/>
      <c r="J2278" s="747"/>
      <c r="K2278" s="748"/>
      <c r="L2278" s="746"/>
      <c r="M2278" s="747"/>
      <c r="N2278" s="753"/>
    </row>
    <row r="2279" spans="2:14" ht="14.25" customHeight="1" x14ac:dyDescent="0.25">
      <c r="B2279" s="124"/>
      <c r="C2279" s="125"/>
      <c r="D2279" s="125"/>
      <c r="E2279" s="125"/>
      <c r="F2279" s="125"/>
      <c r="G2279" s="125"/>
      <c r="H2279" s="125"/>
      <c r="I2279" s="746"/>
      <c r="J2279" s="747"/>
      <c r="K2279" s="748"/>
      <c r="L2279" s="746"/>
      <c r="M2279" s="747"/>
      <c r="N2279" s="753"/>
    </row>
    <row r="2280" spans="2:14" ht="14.25" customHeight="1" x14ac:dyDescent="0.25">
      <c r="B2280" s="124"/>
      <c r="C2280" s="125"/>
      <c r="D2280" s="125"/>
      <c r="E2280" s="125"/>
      <c r="F2280" s="125"/>
      <c r="G2280" s="125"/>
      <c r="H2280" s="125"/>
      <c r="I2280" s="746"/>
      <c r="J2280" s="747"/>
      <c r="K2280" s="748"/>
      <c r="L2280" s="746"/>
      <c r="M2280" s="747"/>
      <c r="N2280" s="753"/>
    </row>
    <row r="2281" spans="2:14" ht="14.25" customHeight="1" x14ac:dyDescent="0.25">
      <c r="B2281" s="127"/>
      <c r="C2281" s="125"/>
      <c r="D2281" s="125"/>
      <c r="E2281" s="125"/>
      <c r="F2281" s="125"/>
      <c r="G2281" s="125"/>
      <c r="H2281" s="125"/>
      <c r="I2281" s="749"/>
      <c r="J2281" s="750"/>
      <c r="K2281" s="751"/>
      <c r="L2281" s="749"/>
      <c r="M2281" s="750"/>
      <c r="N2281" s="754"/>
    </row>
    <row r="2282" spans="2:14" ht="14.25" customHeight="1" x14ac:dyDescent="0.25">
      <c r="B2282" s="209"/>
      <c r="C2282" s="118"/>
      <c r="D2282" s="118"/>
      <c r="E2282" s="118"/>
      <c r="F2282" s="118"/>
      <c r="G2282" s="118"/>
      <c r="H2282" s="118"/>
      <c r="I2282" s="118"/>
      <c r="J2282" s="118"/>
      <c r="K2282" s="118"/>
      <c r="L2282" s="118"/>
      <c r="M2282" s="118"/>
      <c r="N2282" s="210"/>
    </row>
    <row r="2283" spans="2:14" ht="14.25" customHeight="1" x14ac:dyDescent="0.25">
      <c r="B2283" s="209"/>
      <c r="C2283" s="118"/>
      <c r="D2283" s="118"/>
      <c r="E2283" s="118"/>
      <c r="F2283" s="118"/>
      <c r="G2283" s="118"/>
      <c r="H2283" s="118"/>
      <c r="I2283" s="118"/>
      <c r="J2283" s="118"/>
      <c r="K2283" s="118"/>
      <c r="L2283" s="118"/>
      <c r="M2283" s="118"/>
      <c r="N2283" s="210"/>
    </row>
    <row r="2284" spans="2:14" ht="14.25" customHeight="1" x14ac:dyDescent="0.25">
      <c r="B2284" s="209"/>
      <c r="C2284" s="118"/>
      <c r="D2284" s="118"/>
      <c r="E2284" s="118"/>
      <c r="F2284" s="118"/>
      <c r="G2284" s="118"/>
      <c r="H2284" s="118"/>
      <c r="I2284" s="118"/>
      <c r="J2284" s="118"/>
      <c r="K2284" s="118"/>
      <c r="L2284" s="118"/>
      <c r="M2284" s="118"/>
      <c r="N2284" s="210"/>
    </row>
    <row r="2285" spans="2:14" ht="14.25" customHeight="1" x14ac:dyDescent="0.25">
      <c r="B2285" s="209"/>
      <c r="C2285" s="118"/>
      <c r="D2285" s="118"/>
      <c r="E2285" s="118"/>
      <c r="F2285" s="118"/>
      <c r="G2285" s="118"/>
      <c r="H2285" s="118"/>
      <c r="I2285" s="118"/>
      <c r="J2285" s="118"/>
      <c r="K2285" s="118"/>
      <c r="L2285" s="118"/>
      <c r="M2285" s="118"/>
      <c r="N2285" s="210"/>
    </row>
    <row r="2286" spans="2:14" ht="14.25" customHeight="1" x14ac:dyDescent="0.25">
      <c r="B2286" s="775" t="s">
        <v>414</v>
      </c>
      <c r="C2286" s="747"/>
      <c r="D2286" s="747"/>
      <c r="E2286" s="128"/>
      <c r="F2286" s="128"/>
      <c r="G2286" s="128"/>
      <c r="H2286" s="128"/>
      <c r="I2286" s="776"/>
      <c r="J2286" s="747"/>
      <c r="K2286" s="747"/>
      <c r="L2286" s="118"/>
      <c r="M2286" s="118"/>
      <c r="N2286" s="210"/>
    </row>
    <row r="2287" spans="2:14" ht="14.25" customHeight="1" thickBot="1" x14ac:dyDescent="0.3">
      <c r="B2287" s="129"/>
      <c r="C2287" s="130"/>
      <c r="D2287" s="130"/>
      <c r="E2287" s="130"/>
      <c r="F2287" s="130"/>
      <c r="G2287" s="130"/>
      <c r="H2287" s="130"/>
      <c r="I2287" s="130"/>
      <c r="J2287" s="130"/>
      <c r="K2287" s="130"/>
      <c r="L2287" s="130"/>
      <c r="M2287" s="130"/>
      <c r="N2287" s="131"/>
    </row>
    <row r="2288" spans="2:14" ht="14.25" customHeight="1" thickBot="1" x14ac:dyDescent="0.3">
      <c r="B2288" s="132"/>
      <c r="C2288" s="132"/>
      <c r="D2288" s="132"/>
      <c r="E2288" s="132"/>
      <c r="F2288" s="132"/>
      <c r="G2288" s="132"/>
      <c r="H2288" s="132"/>
      <c r="I2288" s="132"/>
      <c r="J2288" s="132"/>
      <c r="K2288" s="132"/>
      <c r="L2288" s="132"/>
      <c r="M2288" s="132"/>
      <c r="N2288" s="132"/>
    </row>
    <row r="2289" spans="2:14" ht="38.25" customHeight="1" x14ac:dyDescent="0.25">
      <c r="B2289" s="728"/>
      <c r="C2289" s="729"/>
      <c r="D2289" s="730" t="s">
        <v>393</v>
      </c>
      <c r="E2289" s="729"/>
      <c r="F2289" s="729"/>
      <c r="G2289" s="729"/>
      <c r="H2289" s="729"/>
      <c r="I2289" s="729"/>
      <c r="J2289" s="729"/>
      <c r="K2289" s="729"/>
      <c r="L2289" s="729"/>
      <c r="M2289" s="729"/>
      <c r="N2289" s="731"/>
    </row>
    <row r="2290" spans="2:14" ht="14.25" customHeight="1" x14ac:dyDescent="0.25">
      <c r="B2290" s="732" t="s">
        <v>394</v>
      </c>
      <c r="C2290" s="733"/>
      <c r="D2290" s="733"/>
      <c r="E2290" s="733"/>
      <c r="F2290" s="733"/>
      <c r="G2290" s="733"/>
      <c r="H2290" s="733"/>
      <c r="I2290" s="733"/>
      <c r="J2290" s="733"/>
      <c r="K2290" s="733"/>
      <c r="L2290" s="733"/>
      <c r="M2290" s="733"/>
      <c r="N2290" s="734"/>
    </row>
    <row r="2291" spans="2:14" ht="14.25" customHeight="1" x14ac:dyDescent="0.25">
      <c r="B2291" s="735" t="s">
        <v>395</v>
      </c>
      <c r="C2291" s="736"/>
      <c r="D2291" s="737" t="str">
        <f>VLOOKUP(B2293,Buenaventura!A9:G2620,3,FALSE)</f>
        <v xml:space="preserve">Suministro y aplicación de estuco plástico </v>
      </c>
      <c r="E2291" s="738"/>
      <c r="F2291" s="738"/>
      <c r="G2291" s="738"/>
      <c r="H2291" s="738"/>
      <c r="I2291" s="738"/>
      <c r="J2291" s="738"/>
      <c r="K2291" s="738"/>
      <c r="L2291" s="738"/>
      <c r="M2291" s="738"/>
      <c r="N2291" s="739"/>
    </row>
    <row r="2292" spans="2:14" ht="14.25" customHeight="1" x14ac:dyDescent="0.25">
      <c r="B2292" s="740" t="s">
        <v>26</v>
      </c>
      <c r="C2292" s="741"/>
      <c r="D2292" s="119" t="s">
        <v>396</v>
      </c>
      <c r="E2292" s="742" t="s">
        <v>397</v>
      </c>
      <c r="F2292" s="733"/>
      <c r="G2292" s="733"/>
      <c r="H2292" s="736"/>
      <c r="I2292" s="742" t="s">
        <v>398</v>
      </c>
      <c r="J2292" s="733"/>
      <c r="K2292" s="736"/>
      <c r="L2292" s="742" t="s">
        <v>399</v>
      </c>
      <c r="M2292" s="733"/>
      <c r="N2292" s="734"/>
    </row>
    <row r="2293" spans="2:14" ht="14.25" customHeight="1" x14ac:dyDescent="0.25">
      <c r="B2293" s="283">
        <v>41</v>
      </c>
      <c r="C2293" s="284" t="str">
        <f>VLOOKUP(B2293,Buenaventura!A9:G2633,2,FALSE)</f>
        <v>AC-01</v>
      </c>
      <c r="D2293" s="285">
        <f>SUM(H2296:H2299)</f>
        <v>12</v>
      </c>
      <c r="E2293" s="743" t="str">
        <f>VLOOKUP(B2293,Buenaventura!A9:G2632,4,FALSE)</f>
        <v>ML</v>
      </c>
      <c r="F2293" s="743"/>
      <c r="G2293" s="743"/>
      <c r="H2293" s="743"/>
      <c r="I2293" s="744"/>
      <c r="J2293" s="745"/>
      <c r="K2293" s="741"/>
      <c r="L2293" s="744"/>
      <c r="M2293" s="745"/>
      <c r="N2293" s="752"/>
    </row>
    <row r="2294" spans="2:14" ht="14.25" customHeight="1" x14ac:dyDescent="0.25">
      <c r="B2294" s="755"/>
      <c r="C2294" s="733"/>
      <c r="D2294" s="733"/>
      <c r="E2294" s="733"/>
      <c r="F2294" s="733"/>
      <c r="G2294" s="733"/>
      <c r="H2294" s="736"/>
      <c r="I2294" s="746"/>
      <c r="J2294" s="747"/>
      <c r="K2294" s="748"/>
      <c r="L2294" s="746"/>
      <c r="M2294" s="747"/>
      <c r="N2294" s="753"/>
    </row>
    <row r="2295" spans="2:14" ht="14.25" customHeight="1" x14ac:dyDescent="0.25">
      <c r="B2295" s="121" t="s">
        <v>400</v>
      </c>
      <c r="C2295" s="122" t="s">
        <v>401</v>
      </c>
      <c r="D2295" s="123" t="s">
        <v>402</v>
      </c>
      <c r="E2295" s="123" t="s">
        <v>403</v>
      </c>
      <c r="F2295" s="123" t="s">
        <v>404</v>
      </c>
      <c r="G2295" s="123" t="s">
        <v>405</v>
      </c>
      <c r="H2295" s="123" t="s">
        <v>406</v>
      </c>
      <c r="I2295" s="746"/>
      <c r="J2295" s="747"/>
      <c r="K2295" s="748"/>
      <c r="L2295" s="746"/>
      <c r="M2295" s="747"/>
      <c r="N2295" s="753"/>
    </row>
    <row r="2296" spans="2:14" ht="14.25" customHeight="1" x14ac:dyDescent="0.25">
      <c r="B2296" s="124"/>
      <c r="C2296" s="142" t="s">
        <v>531</v>
      </c>
      <c r="D2296" s="125">
        <v>12</v>
      </c>
      <c r="E2296" s="125"/>
      <c r="F2296" s="125"/>
      <c r="G2296" s="125"/>
      <c r="H2296" s="125">
        <f>D2296</f>
        <v>12</v>
      </c>
      <c r="I2296" s="746"/>
      <c r="J2296" s="747"/>
      <c r="K2296" s="748"/>
      <c r="L2296" s="746"/>
      <c r="M2296" s="747"/>
      <c r="N2296" s="753"/>
    </row>
    <row r="2297" spans="2:14" ht="14.25" customHeight="1" x14ac:dyDescent="0.25">
      <c r="B2297" s="124"/>
      <c r="C2297" s="125"/>
      <c r="D2297" s="125"/>
      <c r="E2297" s="125"/>
      <c r="F2297" s="125"/>
      <c r="G2297" s="125"/>
      <c r="H2297" s="125"/>
      <c r="I2297" s="746"/>
      <c r="J2297" s="747"/>
      <c r="K2297" s="748"/>
      <c r="L2297" s="746"/>
      <c r="M2297" s="747"/>
      <c r="N2297" s="753"/>
    </row>
    <row r="2298" spans="2:14" ht="14.25" customHeight="1" x14ac:dyDescent="0.25">
      <c r="B2298" s="124"/>
      <c r="C2298" s="125"/>
      <c r="D2298" s="125"/>
      <c r="E2298" s="125"/>
      <c r="F2298" s="125"/>
      <c r="G2298" s="125"/>
      <c r="H2298" s="125"/>
      <c r="I2298" s="746"/>
      <c r="J2298" s="747"/>
      <c r="K2298" s="748"/>
      <c r="L2298" s="746"/>
      <c r="M2298" s="747"/>
      <c r="N2298" s="753"/>
    </row>
    <row r="2299" spans="2:14" ht="14.25" customHeight="1" x14ac:dyDescent="0.25">
      <c r="B2299" s="124"/>
      <c r="C2299" s="125"/>
      <c r="D2299" s="125"/>
      <c r="E2299" s="125"/>
      <c r="F2299" s="125"/>
      <c r="G2299" s="125"/>
      <c r="H2299" s="125"/>
      <c r="I2299" s="746"/>
      <c r="J2299" s="747"/>
      <c r="K2299" s="748"/>
      <c r="L2299" s="746"/>
      <c r="M2299" s="747"/>
      <c r="N2299" s="753"/>
    </row>
    <row r="2300" spans="2:14" ht="14.25" customHeight="1" x14ac:dyDescent="0.25">
      <c r="B2300" s="124"/>
      <c r="C2300" s="125"/>
      <c r="D2300" s="125"/>
      <c r="E2300" s="125"/>
      <c r="F2300" s="125"/>
      <c r="G2300" s="125"/>
      <c r="H2300" s="125"/>
      <c r="I2300" s="746"/>
      <c r="J2300" s="747"/>
      <c r="K2300" s="748"/>
      <c r="L2300" s="746"/>
      <c r="M2300" s="747"/>
      <c r="N2300" s="753"/>
    </row>
    <row r="2301" spans="2:14" ht="14.25" customHeight="1" x14ac:dyDescent="0.25">
      <c r="B2301" s="124"/>
      <c r="C2301" s="125"/>
      <c r="D2301" s="125"/>
      <c r="E2301" s="125"/>
      <c r="F2301" s="125"/>
      <c r="G2301" s="125"/>
      <c r="H2301" s="125"/>
      <c r="I2301" s="746"/>
      <c r="J2301" s="747"/>
      <c r="K2301" s="748"/>
      <c r="L2301" s="746"/>
      <c r="M2301" s="747"/>
      <c r="N2301" s="753"/>
    </row>
    <row r="2302" spans="2:14" ht="14.25" customHeight="1" x14ac:dyDescent="0.25">
      <c r="B2302" s="124"/>
      <c r="C2302" s="125"/>
      <c r="D2302" s="125"/>
      <c r="E2302" s="125"/>
      <c r="F2302" s="125"/>
      <c r="G2302" s="125"/>
      <c r="H2302" s="125"/>
      <c r="I2302" s="746"/>
      <c r="J2302" s="747"/>
      <c r="K2302" s="748"/>
      <c r="L2302" s="746"/>
      <c r="M2302" s="747"/>
      <c r="N2302" s="753"/>
    </row>
    <row r="2303" spans="2:14" ht="14.25" customHeight="1" x14ac:dyDescent="0.25">
      <c r="B2303" s="124"/>
      <c r="C2303" s="125"/>
      <c r="D2303" s="125"/>
      <c r="E2303" s="125"/>
      <c r="F2303" s="125"/>
      <c r="G2303" s="125"/>
      <c r="H2303" s="125"/>
      <c r="I2303" s="746"/>
      <c r="J2303" s="747"/>
      <c r="K2303" s="748"/>
      <c r="L2303" s="746"/>
      <c r="M2303" s="747"/>
      <c r="N2303" s="753"/>
    </row>
    <row r="2304" spans="2:14" ht="14.25" customHeight="1" x14ac:dyDescent="0.25">
      <c r="B2304" s="124"/>
      <c r="C2304" s="125"/>
      <c r="D2304" s="125"/>
      <c r="E2304" s="125"/>
      <c r="F2304" s="125"/>
      <c r="G2304" s="125"/>
      <c r="H2304" s="125"/>
      <c r="I2304" s="746"/>
      <c r="J2304" s="747"/>
      <c r="K2304" s="748"/>
      <c r="L2304" s="746"/>
      <c r="M2304" s="747"/>
      <c r="N2304" s="753"/>
    </row>
    <row r="2305" spans="2:16" ht="14.25" customHeight="1" x14ac:dyDescent="0.25">
      <c r="B2305" s="127"/>
      <c r="C2305" s="125"/>
      <c r="D2305" s="125"/>
      <c r="E2305" s="125"/>
      <c r="F2305" s="125"/>
      <c r="G2305" s="125"/>
      <c r="H2305" s="125"/>
      <c r="I2305" s="749"/>
      <c r="J2305" s="750"/>
      <c r="K2305" s="751"/>
      <c r="L2305" s="749"/>
      <c r="M2305" s="750"/>
      <c r="N2305" s="754"/>
    </row>
    <row r="2306" spans="2:16" ht="14.25" customHeight="1" x14ac:dyDescent="0.25">
      <c r="B2306" s="209"/>
      <c r="C2306" s="118"/>
      <c r="D2306" s="118"/>
      <c r="E2306" s="118"/>
      <c r="F2306" s="118"/>
      <c r="G2306" s="118"/>
      <c r="H2306" s="118"/>
      <c r="I2306" s="118"/>
      <c r="J2306" s="118"/>
      <c r="K2306" s="118"/>
      <c r="L2306" s="118"/>
      <c r="M2306" s="118"/>
      <c r="N2306" s="210"/>
    </row>
    <row r="2307" spans="2:16" ht="14.25" customHeight="1" x14ac:dyDescent="0.25">
      <c r="B2307" s="209"/>
      <c r="C2307" s="118"/>
      <c r="D2307" s="118"/>
      <c r="E2307" s="118"/>
      <c r="F2307" s="118"/>
      <c r="G2307" s="118"/>
      <c r="H2307" s="118"/>
      <c r="I2307" s="118"/>
      <c r="J2307" s="118"/>
      <c r="K2307" s="118"/>
      <c r="L2307" s="118"/>
      <c r="M2307" s="118"/>
      <c r="N2307" s="210"/>
    </row>
    <row r="2308" spans="2:16" ht="14.25" customHeight="1" x14ac:dyDescent="0.25">
      <c r="B2308" s="209"/>
      <c r="C2308" s="118"/>
      <c r="D2308" s="118"/>
      <c r="E2308" s="118"/>
      <c r="F2308" s="118"/>
      <c r="G2308" s="118"/>
      <c r="H2308" s="118"/>
      <c r="I2308" s="118"/>
      <c r="J2308" s="118"/>
      <c r="K2308" s="118"/>
      <c r="L2308" s="118"/>
      <c r="M2308" s="118"/>
      <c r="N2308" s="210"/>
    </row>
    <row r="2309" spans="2:16" ht="14.25" customHeight="1" x14ac:dyDescent="0.25">
      <c r="B2309" s="209"/>
      <c r="C2309" s="118"/>
      <c r="D2309" s="118"/>
      <c r="E2309" s="118"/>
      <c r="F2309" s="118"/>
      <c r="G2309" s="118"/>
      <c r="H2309" s="118"/>
      <c r="I2309" s="118"/>
      <c r="J2309" s="118"/>
      <c r="K2309" s="118"/>
      <c r="L2309" s="118"/>
      <c r="M2309" s="118"/>
      <c r="N2309" s="210"/>
    </row>
    <row r="2310" spans="2:16" ht="14.25" customHeight="1" x14ac:dyDescent="0.25">
      <c r="B2310" s="775" t="s">
        <v>414</v>
      </c>
      <c r="C2310" s="747"/>
      <c r="D2310" s="747"/>
      <c r="E2310" s="128"/>
      <c r="F2310" s="128"/>
      <c r="G2310" s="128"/>
      <c r="H2310" s="128"/>
      <c r="I2310" s="776"/>
      <c r="J2310" s="747"/>
      <c r="K2310" s="747"/>
      <c r="L2310" s="118"/>
      <c r="M2310" s="118"/>
      <c r="N2310" s="210"/>
    </row>
    <row r="2311" spans="2:16" ht="14.25" customHeight="1" thickBot="1" x14ac:dyDescent="0.3">
      <c r="B2311" s="129"/>
      <c r="C2311" s="130"/>
      <c r="D2311" s="130"/>
      <c r="E2311" s="130"/>
      <c r="F2311" s="130"/>
      <c r="G2311" s="130"/>
      <c r="H2311" s="130"/>
      <c r="I2311" s="130"/>
      <c r="J2311" s="130"/>
      <c r="K2311" s="130"/>
      <c r="L2311" s="130"/>
      <c r="M2311" s="130"/>
      <c r="N2311" s="131"/>
    </row>
    <row r="2312" spans="2:16" ht="14.25" hidden="1" customHeight="1" x14ac:dyDescent="0.25">
      <c r="B2312" s="132"/>
      <c r="C2312" s="132"/>
      <c r="D2312" s="132"/>
      <c r="E2312" s="132"/>
      <c r="F2312" s="132"/>
      <c r="G2312" s="132"/>
      <c r="H2312" s="132"/>
      <c r="I2312" s="132"/>
      <c r="J2312" s="132"/>
      <c r="K2312" s="132"/>
      <c r="L2312" s="132"/>
      <c r="M2312" s="132"/>
      <c r="N2312" s="132"/>
    </row>
    <row r="2313" spans="2:16" ht="39" hidden="1" customHeight="1" x14ac:dyDescent="0.25">
      <c r="B2313" s="728"/>
      <c r="C2313" s="729"/>
      <c r="D2313" s="730" t="s">
        <v>393</v>
      </c>
      <c r="E2313" s="729"/>
      <c r="F2313" s="729"/>
      <c r="G2313" s="729"/>
      <c r="H2313" s="729"/>
      <c r="I2313" s="729"/>
      <c r="J2313" s="729"/>
      <c r="K2313" s="729"/>
      <c r="L2313" s="729"/>
      <c r="M2313" s="729"/>
      <c r="N2313" s="731"/>
    </row>
    <row r="2314" spans="2:16" ht="14.25" hidden="1" customHeight="1" x14ac:dyDescent="0.25">
      <c r="B2314" s="732" t="s">
        <v>394</v>
      </c>
      <c r="C2314" s="733"/>
      <c r="D2314" s="733"/>
      <c r="E2314" s="733"/>
      <c r="F2314" s="733"/>
      <c r="G2314" s="733"/>
      <c r="H2314" s="733"/>
      <c r="I2314" s="733"/>
      <c r="J2314" s="733"/>
      <c r="K2314" s="733"/>
      <c r="L2314" s="733"/>
      <c r="M2314" s="733"/>
      <c r="N2314" s="734"/>
    </row>
    <row r="2315" spans="2:16" ht="14.25" hidden="1" customHeight="1" x14ac:dyDescent="0.25">
      <c r="B2315" s="735" t="s">
        <v>395</v>
      </c>
      <c r="C2315" s="736"/>
      <c r="D2315" s="779" t="s">
        <v>533</v>
      </c>
      <c r="E2315" s="733"/>
      <c r="F2315" s="733"/>
      <c r="G2315" s="733"/>
      <c r="H2315" s="733"/>
      <c r="I2315" s="733"/>
      <c r="J2315" s="733"/>
      <c r="K2315" s="733"/>
      <c r="L2315" s="733"/>
      <c r="M2315" s="733"/>
      <c r="N2315" s="734"/>
    </row>
    <row r="2316" spans="2:16" ht="14.25" hidden="1" customHeight="1" x14ac:dyDescent="0.25">
      <c r="B2316" s="740" t="s">
        <v>26</v>
      </c>
      <c r="C2316" s="741"/>
      <c r="D2316" s="119" t="s">
        <v>396</v>
      </c>
      <c r="E2316" s="742" t="s">
        <v>397</v>
      </c>
      <c r="F2316" s="733"/>
      <c r="G2316" s="733"/>
      <c r="H2316" s="736"/>
      <c r="I2316" s="742" t="s">
        <v>398</v>
      </c>
      <c r="J2316" s="733"/>
      <c r="K2316" s="736"/>
      <c r="L2316" s="742" t="s">
        <v>399</v>
      </c>
      <c r="M2316" s="733"/>
      <c r="N2316" s="734"/>
    </row>
    <row r="2317" spans="2:16" ht="14.25" hidden="1" customHeight="1" x14ac:dyDescent="0.25">
      <c r="B2317" s="777">
        <v>67</v>
      </c>
      <c r="C2317" s="736"/>
      <c r="D2317" s="123">
        <f>SUM(H2320:H2339)</f>
        <v>3</v>
      </c>
      <c r="E2317" s="778" t="s">
        <v>29</v>
      </c>
      <c r="F2317" s="733"/>
      <c r="G2317" s="733"/>
      <c r="H2317" s="736"/>
      <c r="I2317" s="744"/>
      <c r="J2317" s="745"/>
      <c r="K2317" s="741"/>
      <c r="L2317" s="744"/>
      <c r="M2317" s="745"/>
      <c r="N2317" s="752"/>
    </row>
    <row r="2318" spans="2:16" ht="14.25" hidden="1" customHeight="1" x14ac:dyDescent="0.25">
      <c r="B2318" s="755" t="s">
        <v>416</v>
      </c>
      <c r="C2318" s="733"/>
      <c r="D2318" s="733"/>
      <c r="E2318" s="733"/>
      <c r="F2318" s="733"/>
      <c r="G2318" s="733"/>
      <c r="H2318" s="736"/>
      <c r="I2318" s="746"/>
      <c r="J2318" s="747"/>
      <c r="K2318" s="748"/>
      <c r="L2318" s="746"/>
      <c r="M2318" s="747"/>
      <c r="N2318" s="753"/>
      <c r="P2318" s="231"/>
    </row>
    <row r="2319" spans="2:16" ht="14.25" hidden="1" customHeight="1" x14ac:dyDescent="0.25">
      <c r="B2319" s="121" t="s">
        <v>400</v>
      </c>
      <c r="C2319" s="122" t="s">
        <v>401</v>
      </c>
      <c r="D2319" s="123" t="s">
        <v>402</v>
      </c>
      <c r="E2319" s="123" t="s">
        <v>403</v>
      </c>
      <c r="F2319" s="123" t="s">
        <v>404</v>
      </c>
      <c r="G2319" s="123" t="s">
        <v>405</v>
      </c>
      <c r="H2319" s="123" t="s">
        <v>406</v>
      </c>
      <c r="I2319" s="746"/>
      <c r="J2319" s="747"/>
      <c r="K2319" s="748"/>
      <c r="L2319" s="746"/>
      <c r="M2319" s="747"/>
      <c r="N2319" s="753"/>
    </row>
    <row r="2320" spans="2:16" ht="14.25" hidden="1" customHeight="1" x14ac:dyDescent="0.25">
      <c r="B2320" s="124" t="s">
        <v>514</v>
      </c>
      <c r="C2320" s="765" t="s">
        <v>515</v>
      </c>
      <c r="D2320" s="125">
        <v>1</v>
      </c>
      <c r="E2320" s="125"/>
      <c r="F2320" s="125"/>
      <c r="G2320" s="125"/>
      <c r="H2320" s="125">
        <f>D2320</f>
        <v>1</v>
      </c>
      <c r="I2320" s="746"/>
      <c r="J2320" s="747"/>
      <c r="K2320" s="748"/>
      <c r="L2320" s="746"/>
      <c r="M2320" s="747"/>
      <c r="N2320" s="753"/>
    </row>
    <row r="2321" spans="2:14" ht="14.25" hidden="1" customHeight="1" x14ac:dyDescent="0.25">
      <c r="B2321" s="124"/>
      <c r="C2321" s="780"/>
      <c r="D2321" s="125"/>
      <c r="E2321" s="125"/>
      <c r="F2321" s="125"/>
      <c r="G2321" s="125"/>
      <c r="H2321" s="125"/>
      <c r="I2321" s="746"/>
      <c r="J2321" s="747"/>
      <c r="K2321" s="748"/>
      <c r="L2321" s="746"/>
      <c r="M2321" s="747"/>
      <c r="N2321" s="753"/>
    </row>
    <row r="2322" spans="2:14" ht="14.25" hidden="1" customHeight="1" x14ac:dyDescent="0.25">
      <c r="B2322" s="124" t="s">
        <v>516</v>
      </c>
      <c r="C2322" s="780"/>
      <c r="D2322" s="125">
        <v>1</v>
      </c>
      <c r="E2322" s="125"/>
      <c r="F2322" s="125"/>
      <c r="G2322" s="125"/>
      <c r="H2322" s="125">
        <f t="shared" ref="H2322:H2323" si="54">D2322</f>
        <v>1</v>
      </c>
      <c r="I2322" s="746"/>
      <c r="J2322" s="747"/>
      <c r="K2322" s="748"/>
      <c r="L2322" s="746"/>
      <c r="M2322" s="747"/>
      <c r="N2322" s="753"/>
    </row>
    <row r="2323" spans="2:14" ht="14.25" hidden="1" customHeight="1" x14ac:dyDescent="0.25">
      <c r="B2323" s="124" t="s">
        <v>517</v>
      </c>
      <c r="C2323" s="781"/>
      <c r="D2323" s="125">
        <v>1</v>
      </c>
      <c r="E2323" s="125"/>
      <c r="F2323" s="125"/>
      <c r="G2323" s="125"/>
      <c r="H2323" s="125">
        <f t="shared" si="54"/>
        <v>1</v>
      </c>
      <c r="I2323" s="746"/>
      <c r="J2323" s="747"/>
      <c r="K2323" s="748"/>
      <c r="L2323" s="746"/>
      <c r="M2323" s="747"/>
      <c r="N2323" s="753"/>
    </row>
    <row r="2324" spans="2:14" ht="14.25" hidden="1" customHeight="1" x14ac:dyDescent="0.25">
      <c r="B2324" s="124"/>
      <c r="C2324" s="765"/>
      <c r="D2324" s="125"/>
      <c r="E2324" s="125"/>
      <c r="F2324" s="125"/>
      <c r="G2324" s="125"/>
      <c r="H2324" s="125"/>
      <c r="I2324" s="746"/>
      <c r="J2324" s="747"/>
      <c r="K2324" s="748"/>
      <c r="L2324" s="746"/>
      <c r="M2324" s="747"/>
      <c r="N2324" s="753"/>
    </row>
    <row r="2325" spans="2:14" ht="14.25" hidden="1" customHeight="1" x14ac:dyDescent="0.25">
      <c r="B2325" s="124"/>
      <c r="C2325" s="781"/>
      <c r="D2325" s="125"/>
      <c r="E2325" s="125"/>
      <c r="F2325" s="125"/>
      <c r="G2325" s="125"/>
      <c r="H2325" s="125"/>
      <c r="I2325" s="746"/>
      <c r="J2325" s="747"/>
      <c r="K2325" s="748"/>
      <c r="L2325" s="746"/>
      <c r="M2325" s="747"/>
      <c r="N2325" s="753"/>
    </row>
    <row r="2326" spans="2:14" ht="14.25" hidden="1" customHeight="1" x14ac:dyDescent="0.25">
      <c r="B2326" s="124"/>
      <c r="C2326" s="765"/>
      <c r="D2326" s="125"/>
      <c r="E2326" s="125"/>
      <c r="F2326" s="125"/>
      <c r="G2326" s="125"/>
      <c r="H2326" s="125"/>
      <c r="I2326" s="746"/>
      <c r="J2326" s="747"/>
      <c r="K2326" s="748"/>
      <c r="L2326" s="746"/>
      <c r="M2326" s="747"/>
      <c r="N2326" s="753"/>
    </row>
    <row r="2327" spans="2:14" ht="14.25" hidden="1" customHeight="1" x14ac:dyDescent="0.25">
      <c r="B2327" s="124"/>
      <c r="C2327" s="780"/>
      <c r="D2327" s="125"/>
      <c r="E2327" s="125"/>
      <c r="F2327" s="125"/>
      <c r="G2327" s="125"/>
      <c r="H2327" s="125"/>
      <c r="I2327" s="746"/>
      <c r="J2327" s="747"/>
      <c r="K2327" s="748"/>
      <c r="L2327" s="746"/>
      <c r="M2327" s="747"/>
      <c r="N2327" s="753"/>
    </row>
    <row r="2328" spans="2:14" ht="14.25" hidden="1" customHeight="1" x14ac:dyDescent="0.25">
      <c r="B2328" s="124"/>
      <c r="C2328" s="765"/>
      <c r="D2328" s="125"/>
      <c r="E2328" s="125"/>
      <c r="F2328" s="125"/>
      <c r="G2328" s="125"/>
      <c r="H2328" s="125"/>
      <c r="I2328" s="746"/>
      <c r="J2328" s="747"/>
      <c r="K2328" s="748"/>
      <c r="L2328" s="746"/>
      <c r="M2328" s="747"/>
      <c r="N2328" s="753"/>
    </row>
    <row r="2329" spans="2:14" ht="14.25" hidden="1" customHeight="1" x14ac:dyDescent="0.25">
      <c r="B2329" s="124"/>
      <c r="C2329" s="780"/>
      <c r="D2329" s="125"/>
      <c r="E2329" s="125"/>
      <c r="F2329" s="125"/>
      <c r="G2329" s="125"/>
      <c r="H2329" s="125"/>
      <c r="I2329" s="746"/>
      <c r="J2329" s="747"/>
      <c r="K2329" s="748"/>
      <c r="L2329" s="746"/>
      <c r="M2329" s="747"/>
      <c r="N2329" s="753"/>
    </row>
    <row r="2330" spans="2:14" ht="14.25" hidden="1" customHeight="1" x14ac:dyDescent="0.25">
      <c r="B2330" s="124"/>
      <c r="C2330" s="765"/>
      <c r="D2330" s="125"/>
      <c r="E2330" s="125"/>
      <c r="F2330" s="125"/>
      <c r="G2330" s="125"/>
      <c r="H2330" s="125"/>
      <c r="I2330" s="746"/>
      <c r="J2330" s="747"/>
      <c r="K2330" s="748"/>
      <c r="L2330" s="746"/>
      <c r="M2330" s="747"/>
      <c r="N2330" s="753"/>
    </row>
    <row r="2331" spans="2:14" ht="14.25" hidden="1" customHeight="1" x14ac:dyDescent="0.25">
      <c r="B2331" s="124"/>
      <c r="C2331" s="780"/>
      <c r="D2331" s="125"/>
      <c r="E2331" s="125"/>
      <c r="F2331" s="125"/>
      <c r="G2331" s="125"/>
      <c r="H2331" s="125"/>
      <c r="I2331" s="746"/>
      <c r="J2331" s="747"/>
      <c r="K2331" s="748"/>
      <c r="L2331" s="746"/>
      <c r="M2331" s="747"/>
      <c r="N2331" s="753"/>
    </row>
    <row r="2332" spans="2:14" ht="14.25" hidden="1" customHeight="1" x14ac:dyDescent="0.25">
      <c r="B2332" s="124"/>
      <c r="C2332" s="125"/>
      <c r="D2332" s="125"/>
      <c r="E2332" s="125"/>
      <c r="F2332" s="125"/>
      <c r="G2332" s="125"/>
      <c r="H2332" s="125"/>
      <c r="I2332" s="746"/>
      <c r="J2332" s="747"/>
      <c r="K2332" s="748"/>
      <c r="L2332" s="746"/>
      <c r="M2332" s="747"/>
      <c r="N2332" s="753"/>
    </row>
    <row r="2333" spans="2:14" ht="14.25" hidden="1" customHeight="1" x14ac:dyDescent="0.25">
      <c r="B2333" s="124"/>
      <c r="C2333" s="125"/>
      <c r="D2333" s="125"/>
      <c r="E2333" s="125"/>
      <c r="F2333" s="125"/>
      <c r="G2333" s="125"/>
      <c r="H2333" s="125"/>
      <c r="I2333" s="746"/>
      <c r="J2333" s="747"/>
      <c r="K2333" s="748"/>
      <c r="L2333" s="746"/>
      <c r="M2333" s="747"/>
      <c r="N2333" s="753"/>
    </row>
    <row r="2334" spans="2:14" ht="14.25" hidden="1" customHeight="1" x14ac:dyDescent="0.25">
      <c r="B2334" s="124"/>
      <c r="C2334" s="125"/>
      <c r="D2334" s="125"/>
      <c r="E2334" s="125"/>
      <c r="F2334" s="125"/>
      <c r="G2334" s="125"/>
      <c r="H2334" s="125"/>
      <c r="I2334" s="746"/>
      <c r="J2334" s="747"/>
      <c r="K2334" s="748"/>
      <c r="L2334" s="746"/>
      <c r="M2334" s="747"/>
      <c r="N2334" s="753"/>
    </row>
    <row r="2335" spans="2:14" ht="14.25" hidden="1" customHeight="1" x14ac:dyDescent="0.25">
      <c r="B2335" s="124"/>
      <c r="C2335" s="125"/>
      <c r="D2335" s="125"/>
      <c r="E2335" s="125"/>
      <c r="F2335" s="125"/>
      <c r="G2335" s="125"/>
      <c r="H2335" s="125"/>
      <c r="I2335" s="746"/>
      <c r="J2335" s="747"/>
      <c r="K2335" s="748"/>
      <c r="L2335" s="746"/>
      <c r="M2335" s="747"/>
      <c r="N2335" s="753"/>
    </row>
    <row r="2336" spans="2:14" ht="14.25" hidden="1" customHeight="1" x14ac:dyDescent="0.25">
      <c r="B2336" s="124"/>
      <c r="C2336" s="125"/>
      <c r="D2336" s="125"/>
      <c r="E2336" s="125"/>
      <c r="F2336" s="125"/>
      <c r="G2336" s="125"/>
      <c r="H2336" s="125"/>
      <c r="I2336" s="746"/>
      <c r="J2336" s="747"/>
      <c r="K2336" s="748"/>
      <c r="L2336" s="746"/>
      <c r="M2336" s="747"/>
      <c r="N2336" s="753"/>
    </row>
    <row r="2337" spans="2:14" ht="14.25" hidden="1" customHeight="1" x14ac:dyDescent="0.25">
      <c r="B2337" s="124"/>
      <c r="C2337" s="125"/>
      <c r="D2337" s="125"/>
      <c r="E2337" s="125"/>
      <c r="F2337" s="125"/>
      <c r="G2337" s="125"/>
      <c r="H2337" s="125"/>
      <c r="I2337" s="746"/>
      <c r="J2337" s="747"/>
      <c r="K2337" s="748"/>
      <c r="L2337" s="746"/>
      <c r="M2337" s="747"/>
      <c r="N2337" s="753"/>
    </row>
    <row r="2338" spans="2:14" ht="14.25" hidden="1" customHeight="1" x14ac:dyDescent="0.25">
      <c r="B2338" s="124"/>
      <c r="C2338" s="125"/>
      <c r="D2338" s="125"/>
      <c r="E2338" s="125"/>
      <c r="F2338" s="125"/>
      <c r="G2338" s="125"/>
      <c r="H2338" s="125"/>
      <c r="I2338" s="746"/>
      <c r="J2338" s="747"/>
      <c r="K2338" s="748"/>
      <c r="L2338" s="746"/>
      <c r="M2338" s="747"/>
      <c r="N2338" s="753"/>
    </row>
    <row r="2339" spans="2:14" ht="14.25" hidden="1" customHeight="1" x14ac:dyDescent="0.25">
      <c r="B2339" s="127"/>
      <c r="C2339" s="125"/>
      <c r="D2339" s="125"/>
      <c r="E2339" s="125"/>
      <c r="F2339" s="125"/>
      <c r="G2339" s="125"/>
      <c r="H2339" s="125"/>
      <c r="I2339" s="749"/>
      <c r="J2339" s="750"/>
      <c r="K2339" s="751"/>
      <c r="L2339" s="749"/>
      <c r="M2339" s="750"/>
      <c r="N2339" s="754"/>
    </row>
    <row r="2340" spans="2:14" ht="14.25" hidden="1" customHeight="1" x14ac:dyDescent="0.25">
      <c r="B2340" s="209"/>
      <c r="C2340" s="118"/>
      <c r="D2340" s="118"/>
      <c r="E2340" s="118"/>
      <c r="F2340" s="118"/>
      <c r="G2340" s="118"/>
      <c r="H2340" s="118"/>
      <c r="I2340" s="118"/>
      <c r="J2340" s="118"/>
      <c r="K2340" s="118"/>
      <c r="L2340" s="118"/>
      <c r="M2340" s="118"/>
      <c r="N2340" s="210"/>
    </row>
    <row r="2341" spans="2:14" ht="14.25" hidden="1" customHeight="1" x14ac:dyDescent="0.25">
      <c r="B2341" s="209"/>
      <c r="C2341" s="118"/>
      <c r="D2341" s="118"/>
      <c r="E2341" s="118"/>
      <c r="F2341" s="118"/>
      <c r="G2341" s="118"/>
      <c r="H2341" s="118"/>
      <c r="I2341" s="118"/>
      <c r="J2341" s="118"/>
      <c r="K2341" s="118"/>
      <c r="L2341" s="118"/>
      <c r="M2341" s="118"/>
      <c r="N2341" s="210"/>
    </row>
    <row r="2342" spans="2:14" ht="14.25" hidden="1" customHeight="1" x14ac:dyDescent="0.25">
      <c r="B2342" s="209"/>
      <c r="C2342" s="118"/>
      <c r="D2342" s="118"/>
      <c r="E2342" s="118"/>
      <c r="F2342" s="118"/>
      <c r="G2342" s="118"/>
      <c r="H2342" s="118"/>
      <c r="I2342" s="118"/>
      <c r="J2342" s="118"/>
      <c r="K2342" s="118"/>
      <c r="L2342" s="118"/>
      <c r="M2342" s="118"/>
      <c r="N2342" s="210"/>
    </row>
    <row r="2343" spans="2:14" ht="14.25" hidden="1" customHeight="1" x14ac:dyDescent="0.25">
      <c r="B2343" s="209"/>
      <c r="C2343" s="118"/>
      <c r="D2343" s="118"/>
      <c r="E2343" s="118"/>
      <c r="F2343" s="118"/>
      <c r="G2343" s="118"/>
      <c r="H2343" s="118"/>
      <c r="I2343" s="118"/>
      <c r="J2343" s="118"/>
      <c r="K2343" s="118"/>
      <c r="L2343" s="118"/>
      <c r="M2343" s="118"/>
      <c r="N2343" s="210"/>
    </row>
    <row r="2344" spans="2:14" ht="14.25" hidden="1" customHeight="1" x14ac:dyDescent="0.25">
      <c r="B2344" s="775" t="s">
        <v>414</v>
      </c>
      <c r="C2344" s="747"/>
      <c r="D2344" s="747"/>
      <c r="E2344" s="128"/>
      <c r="F2344" s="128"/>
      <c r="G2344" s="128"/>
      <c r="H2344" s="128"/>
      <c r="I2344" s="776"/>
      <c r="J2344" s="747"/>
      <c r="K2344" s="747"/>
      <c r="L2344" s="118"/>
      <c r="M2344" s="118"/>
      <c r="N2344" s="210"/>
    </row>
    <row r="2345" spans="2:14" ht="14.25" hidden="1" customHeight="1" x14ac:dyDescent="0.25">
      <c r="B2345" s="129"/>
      <c r="C2345" s="130"/>
      <c r="D2345" s="130"/>
      <c r="E2345" s="130"/>
      <c r="F2345" s="130"/>
      <c r="G2345" s="130"/>
      <c r="H2345" s="130"/>
      <c r="I2345" s="130"/>
      <c r="J2345" s="130"/>
      <c r="K2345" s="130"/>
      <c r="L2345" s="130"/>
      <c r="M2345" s="130"/>
      <c r="N2345" s="131"/>
    </row>
    <row r="2346" spans="2:14" ht="14.25" customHeight="1" thickBot="1" x14ac:dyDescent="0.3"/>
    <row r="2347" spans="2:14" ht="45" customHeight="1" x14ac:dyDescent="0.25">
      <c r="B2347" s="728"/>
      <c r="C2347" s="729"/>
      <c r="D2347" s="730" t="s">
        <v>393</v>
      </c>
      <c r="E2347" s="729"/>
      <c r="F2347" s="729"/>
      <c r="G2347" s="729"/>
      <c r="H2347" s="729"/>
      <c r="I2347" s="729"/>
      <c r="J2347" s="729"/>
      <c r="K2347" s="729"/>
      <c r="L2347" s="729"/>
      <c r="M2347" s="729"/>
      <c r="N2347" s="731"/>
    </row>
    <row r="2348" spans="2:14" ht="14.25" customHeight="1" x14ac:dyDescent="0.25">
      <c r="B2348" s="732" t="s">
        <v>394</v>
      </c>
      <c r="C2348" s="733"/>
      <c r="D2348" s="733"/>
      <c r="E2348" s="733"/>
      <c r="F2348" s="733"/>
      <c r="G2348" s="733"/>
      <c r="H2348" s="733"/>
      <c r="I2348" s="733"/>
      <c r="J2348" s="733"/>
      <c r="K2348" s="733"/>
      <c r="L2348" s="733"/>
      <c r="M2348" s="733"/>
      <c r="N2348" s="734"/>
    </row>
    <row r="2349" spans="2:14" ht="35.25" customHeight="1" x14ac:dyDescent="0.25">
      <c r="B2349" s="735" t="s">
        <v>395</v>
      </c>
      <c r="C2349" s="736"/>
      <c r="D2349" s="737" t="str">
        <f>VLOOKUP(B2351,Buenaventura!A9:G2687,3,FALSE)</f>
        <v>Suministro y aplicación de vinilo tipo 2 (3 manos)</v>
      </c>
      <c r="E2349" s="738"/>
      <c r="F2349" s="738"/>
      <c r="G2349" s="738"/>
      <c r="H2349" s="738"/>
      <c r="I2349" s="738"/>
      <c r="J2349" s="738"/>
      <c r="K2349" s="738"/>
      <c r="L2349" s="738"/>
      <c r="M2349" s="738"/>
      <c r="N2349" s="739"/>
    </row>
    <row r="2350" spans="2:14" ht="14.25" customHeight="1" x14ac:dyDescent="0.25">
      <c r="B2350" s="740" t="s">
        <v>26</v>
      </c>
      <c r="C2350" s="741"/>
      <c r="D2350" s="119" t="s">
        <v>396</v>
      </c>
      <c r="E2350" s="742" t="s">
        <v>397</v>
      </c>
      <c r="F2350" s="733"/>
      <c r="G2350" s="733"/>
      <c r="H2350" s="736"/>
      <c r="I2350" s="742" t="s">
        <v>398</v>
      </c>
      <c r="J2350" s="733"/>
      <c r="K2350" s="736"/>
      <c r="L2350" s="742" t="s">
        <v>399</v>
      </c>
      <c r="M2350" s="733"/>
      <c r="N2350" s="734"/>
    </row>
    <row r="2351" spans="2:14" ht="14.25" customHeight="1" x14ac:dyDescent="0.25">
      <c r="B2351" s="283">
        <v>42</v>
      </c>
      <c r="C2351" s="284" t="str">
        <f>VLOOKUP(B2351,Buenaventura!A9:G2700,2,FALSE)</f>
        <v>AC-17</v>
      </c>
      <c r="D2351" s="285">
        <f>SUM(H2355:H2358)</f>
        <v>8.25</v>
      </c>
      <c r="E2351" s="743" t="str">
        <f>VLOOKUP(B2351,Buenaventura!A9:G2699,4,FALSE)</f>
        <v>ML</v>
      </c>
      <c r="F2351" s="743"/>
      <c r="G2351" s="743"/>
      <c r="H2351" s="743"/>
      <c r="I2351" s="744"/>
      <c r="J2351" s="745"/>
      <c r="K2351" s="741"/>
      <c r="L2351" s="744"/>
      <c r="M2351" s="745"/>
      <c r="N2351" s="752"/>
    </row>
    <row r="2352" spans="2:14" ht="14.25" customHeight="1" x14ac:dyDescent="0.25">
      <c r="B2352" s="755" t="s">
        <v>416</v>
      </c>
      <c r="C2352" s="733"/>
      <c r="D2352" s="733"/>
      <c r="E2352" s="733"/>
      <c r="F2352" s="733"/>
      <c r="G2352" s="733"/>
      <c r="H2352" s="736"/>
      <c r="I2352" s="746"/>
      <c r="J2352" s="747"/>
      <c r="K2352" s="748"/>
      <c r="L2352" s="746"/>
      <c r="M2352" s="747"/>
      <c r="N2352" s="753"/>
    </row>
    <row r="2353" spans="2:14" ht="14.25" customHeight="1" x14ac:dyDescent="0.25">
      <c r="B2353" s="121" t="s">
        <v>400</v>
      </c>
      <c r="C2353" s="122" t="s">
        <v>401</v>
      </c>
      <c r="D2353" s="123" t="s">
        <v>402</v>
      </c>
      <c r="E2353" s="123" t="s">
        <v>403</v>
      </c>
      <c r="F2353" s="123" t="s">
        <v>404</v>
      </c>
      <c r="G2353" s="123" t="s">
        <v>405</v>
      </c>
      <c r="H2353" s="123" t="s">
        <v>406</v>
      </c>
      <c r="I2353" s="746"/>
      <c r="J2353" s="747"/>
      <c r="K2353" s="748"/>
      <c r="L2353" s="746"/>
      <c r="M2353" s="747"/>
      <c r="N2353" s="753"/>
    </row>
    <row r="2354" spans="2:14" ht="14.25" customHeight="1" x14ac:dyDescent="0.25">
      <c r="B2354" s="124"/>
      <c r="C2354" s="125"/>
      <c r="D2354" s="125"/>
      <c r="E2354" s="125"/>
      <c r="F2354" s="125"/>
      <c r="G2354" s="125"/>
      <c r="H2354" s="125"/>
      <c r="I2354" s="746"/>
      <c r="J2354" s="747"/>
      <c r="K2354" s="748"/>
      <c r="L2354" s="746"/>
      <c r="M2354" s="747"/>
      <c r="N2354" s="753"/>
    </row>
    <row r="2355" spans="2:14" ht="14.25" customHeight="1" x14ac:dyDescent="0.25">
      <c r="B2355" s="124"/>
      <c r="C2355" s="125" t="s">
        <v>534</v>
      </c>
      <c r="D2355" s="125"/>
      <c r="E2355" s="125">
        <v>0.2</v>
      </c>
      <c r="F2355" s="125">
        <v>15</v>
      </c>
      <c r="G2355" s="125">
        <v>0.25</v>
      </c>
      <c r="H2355" s="125">
        <f>G2355*F2355*E2355</f>
        <v>0.75</v>
      </c>
      <c r="I2355" s="746"/>
      <c r="J2355" s="747"/>
      <c r="K2355" s="748"/>
      <c r="L2355" s="746"/>
      <c r="M2355" s="747"/>
      <c r="N2355" s="753"/>
    </row>
    <row r="2356" spans="2:14" ht="14.25" customHeight="1" x14ac:dyDescent="0.25">
      <c r="B2356" s="124"/>
      <c r="C2356" s="125"/>
      <c r="D2356" s="125"/>
      <c r="E2356" s="125"/>
      <c r="F2356" s="125"/>
      <c r="G2356" s="125"/>
      <c r="H2356" s="125">
        <f t="shared" ref="H2356:H2358" si="55">G2356*F2356*E2356</f>
        <v>0</v>
      </c>
      <c r="I2356" s="746"/>
      <c r="J2356" s="747"/>
      <c r="K2356" s="748"/>
      <c r="L2356" s="746"/>
      <c r="M2356" s="747"/>
      <c r="N2356" s="753"/>
    </row>
    <row r="2357" spans="2:14" ht="14.25" customHeight="1" x14ac:dyDescent="0.25">
      <c r="B2357" s="124"/>
      <c r="C2357" s="125" t="s">
        <v>535</v>
      </c>
      <c r="D2357" s="125"/>
      <c r="E2357" s="125">
        <v>0.3</v>
      </c>
      <c r="F2357" s="125">
        <v>50</v>
      </c>
      <c r="G2357" s="125">
        <v>0.5</v>
      </c>
      <c r="H2357" s="125">
        <f t="shared" si="55"/>
        <v>7.5</v>
      </c>
      <c r="I2357" s="746"/>
      <c r="J2357" s="747"/>
      <c r="K2357" s="748"/>
      <c r="L2357" s="746"/>
      <c r="M2357" s="747"/>
      <c r="N2357" s="753"/>
    </row>
    <row r="2358" spans="2:14" ht="14.25" customHeight="1" x14ac:dyDescent="0.25">
      <c r="B2358" s="124"/>
      <c r="C2358" s="125"/>
      <c r="D2358" s="125"/>
      <c r="E2358" s="125"/>
      <c r="F2358" s="125"/>
      <c r="G2358" s="125"/>
      <c r="H2358" s="125">
        <f t="shared" si="55"/>
        <v>0</v>
      </c>
      <c r="I2358" s="746"/>
      <c r="J2358" s="747"/>
      <c r="K2358" s="748"/>
      <c r="L2358" s="746"/>
      <c r="M2358" s="747"/>
      <c r="N2358" s="753"/>
    </row>
    <row r="2359" spans="2:14" ht="14.25" customHeight="1" x14ac:dyDescent="0.25">
      <c r="B2359" s="124"/>
      <c r="C2359" s="125"/>
      <c r="D2359" s="125"/>
      <c r="E2359" s="125"/>
      <c r="F2359" s="125"/>
      <c r="G2359" s="125"/>
      <c r="H2359" s="125"/>
      <c r="I2359" s="746"/>
      <c r="J2359" s="747"/>
      <c r="K2359" s="748"/>
      <c r="L2359" s="746"/>
      <c r="M2359" s="747"/>
      <c r="N2359" s="753"/>
    </row>
    <row r="2360" spans="2:14" ht="14.25" customHeight="1" x14ac:dyDescent="0.25">
      <c r="B2360" s="124"/>
      <c r="C2360" s="125"/>
      <c r="D2360" s="125"/>
      <c r="E2360" s="125"/>
      <c r="F2360" s="125"/>
      <c r="G2360" s="125"/>
      <c r="H2360" s="125"/>
      <c r="I2360" s="746"/>
      <c r="J2360" s="747"/>
      <c r="K2360" s="748"/>
      <c r="L2360" s="746"/>
      <c r="M2360" s="747"/>
      <c r="N2360" s="753"/>
    </row>
    <row r="2361" spans="2:14" ht="14.25" customHeight="1" x14ac:dyDescent="0.25">
      <c r="B2361" s="124"/>
      <c r="C2361" s="125"/>
      <c r="D2361" s="125"/>
      <c r="E2361" s="125"/>
      <c r="F2361" s="125"/>
      <c r="G2361" s="125"/>
      <c r="H2361" s="125"/>
      <c r="I2361" s="746"/>
      <c r="J2361" s="747"/>
      <c r="K2361" s="748"/>
      <c r="L2361" s="746"/>
      <c r="M2361" s="747"/>
      <c r="N2361" s="753"/>
    </row>
    <row r="2362" spans="2:14" ht="14.25" customHeight="1" x14ac:dyDescent="0.25">
      <c r="B2362" s="124"/>
      <c r="C2362" s="125"/>
      <c r="D2362" s="125"/>
      <c r="E2362" s="125"/>
      <c r="F2362" s="125"/>
      <c r="G2362" s="125"/>
      <c r="H2362" s="125"/>
      <c r="I2362" s="746"/>
      <c r="J2362" s="747"/>
      <c r="K2362" s="748"/>
      <c r="L2362" s="746"/>
      <c r="M2362" s="747"/>
      <c r="N2362" s="753"/>
    </row>
    <row r="2363" spans="2:14" ht="14.25" customHeight="1" x14ac:dyDescent="0.25">
      <c r="B2363" s="124"/>
      <c r="C2363" s="125"/>
      <c r="D2363" s="125"/>
      <c r="E2363" s="125"/>
      <c r="F2363" s="125"/>
      <c r="G2363" s="125"/>
      <c r="H2363" s="125"/>
      <c r="I2363" s="746"/>
      <c r="J2363" s="747"/>
      <c r="K2363" s="748"/>
      <c r="L2363" s="746"/>
      <c r="M2363" s="747"/>
      <c r="N2363" s="753"/>
    </row>
    <row r="2364" spans="2:14" ht="14.25" customHeight="1" x14ac:dyDescent="0.25">
      <c r="B2364" s="124"/>
      <c r="C2364" s="125"/>
      <c r="D2364" s="125"/>
      <c r="E2364" s="125"/>
      <c r="F2364" s="125"/>
      <c r="G2364" s="125"/>
      <c r="H2364" s="125"/>
      <c r="I2364" s="746"/>
      <c r="J2364" s="747"/>
      <c r="K2364" s="748"/>
      <c r="L2364" s="746"/>
      <c r="M2364" s="747"/>
      <c r="N2364" s="753"/>
    </row>
    <row r="2365" spans="2:14" ht="14.25" customHeight="1" x14ac:dyDescent="0.25">
      <c r="B2365" s="124"/>
      <c r="C2365" s="125"/>
      <c r="D2365" s="125"/>
      <c r="E2365" s="125"/>
      <c r="F2365" s="125"/>
      <c r="G2365" s="125"/>
      <c r="H2365" s="125"/>
      <c r="I2365" s="746"/>
      <c r="J2365" s="747"/>
      <c r="K2365" s="748"/>
      <c r="L2365" s="746"/>
      <c r="M2365" s="747"/>
      <c r="N2365" s="753"/>
    </row>
    <row r="2366" spans="2:14" ht="14.25" customHeight="1" x14ac:dyDescent="0.25">
      <c r="B2366" s="124"/>
      <c r="C2366" s="125"/>
      <c r="D2366" s="125"/>
      <c r="E2366" s="125"/>
      <c r="F2366" s="125"/>
      <c r="G2366" s="125"/>
      <c r="H2366" s="125"/>
      <c r="I2366" s="746"/>
      <c r="J2366" s="747"/>
      <c r="K2366" s="748"/>
      <c r="L2366" s="746"/>
      <c r="M2366" s="747"/>
      <c r="N2366" s="753"/>
    </row>
    <row r="2367" spans="2:14" ht="14.25" customHeight="1" x14ac:dyDescent="0.25">
      <c r="B2367" s="124"/>
      <c r="C2367" s="125"/>
      <c r="D2367" s="125"/>
      <c r="E2367" s="125"/>
      <c r="F2367" s="125"/>
      <c r="G2367" s="125"/>
      <c r="H2367" s="125"/>
      <c r="I2367" s="746"/>
      <c r="J2367" s="747"/>
      <c r="K2367" s="748"/>
      <c r="L2367" s="746"/>
      <c r="M2367" s="747"/>
      <c r="N2367" s="753"/>
    </row>
    <row r="2368" spans="2:14" ht="14.25" customHeight="1" x14ac:dyDescent="0.25">
      <c r="B2368" s="127"/>
      <c r="C2368" s="125"/>
      <c r="D2368" s="125"/>
      <c r="E2368" s="125"/>
      <c r="F2368" s="125"/>
      <c r="G2368" s="125"/>
      <c r="H2368" s="125"/>
      <c r="I2368" s="749"/>
      <c r="J2368" s="750"/>
      <c r="K2368" s="751"/>
      <c r="L2368" s="749"/>
      <c r="M2368" s="750"/>
      <c r="N2368" s="754"/>
    </row>
    <row r="2369" spans="2:14" ht="14.25" customHeight="1" x14ac:dyDescent="0.25">
      <c r="B2369" s="209"/>
      <c r="C2369" s="118"/>
      <c r="D2369" s="118"/>
      <c r="E2369" s="118"/>
      <c r="F2369" s="118"/>
      <c r="G2369" s="118"/>
      <c r="H2369" s="118"/>
      <c r="I2369" s="118"/>
      <c r="J2369" s="118"/>
      <c r="K2369" s="118"/>
      <c r="L2369" s="118"/>
      <c r="M2369" s="118"/>
      <c r="N2369" s="210"/>
    </row>
    <row r="2370" spans="2:14" ht="14.25" customHeight="1" x14ac:dyDescent="0.25">
      <c r="B2370" s="209"/>
      <c r="C2370" s="118"/>
      <c r="D2370" s="118"/>
      <c r="E2370" s="118"/>
      <c r="F2370" s="118"/>
      <c r="G2370" s="118"/>
      <c r="H2370" s="118"/>
      <c r="I2370" s="118"/>
      <c r="J2370" s="118"/>
      <c r="K2370" s="118"/>
      <c r="L2370" s="118"/>
      <c r="M2370" s="118"/>
      <c r="N2370" s="210"/>
    </row>
    <row r="2371" spans="2:14" ht="14.25" customHeight="1" x14ac:dyDescent="0.25">
      <c r="B2371" s="209"/>
      <c r="C2371" s="118"/>
      <c r="D2371" s="118"/>
      <c r="E2371" s="118"/>
      <c r="F2371" s="118"/>
      <c r="G2371" s="118"/>
      <c r="H2371" s="118"/>
      <c r="I2371" s="118"/>
      <c r="J2371" s="118"/>
      <c r="K2371" s="118"/>
      <c r="L2371" s="118"/>
      <c r="M2371" s="118"/>
      <c r="N2371" s="210"/>
    </row>
    <row r="2372" spans="2:14" ht="14.25" customHeight="1" x14ac:dyDescent="0.25">
      <c r="B2372" s="209"/>
      <c r="C2372" s="118"/>
      <c r="D2372" s="118"/>
      <c r="E2372" s="118"/>
      <c r="F2372" s="118"/>
      <c r="G2372" s="118"/>
      <c r="H2372" s="118"/>
      <c r="I2372" s="118"/>
      <c r="J2372" s="118"/>
      <c r="K2372" s="118"/>
      <c r="L2372" s="118"/>
      <c r="M2372" s="118"/>
      <c r="N2372" s="210"/>
    </row>
    <row r="2373" spans="2:14" ht="14.25" customHeight="1" x14ac:dyDescent="0.25">
      <c r="B2373" s="775" t="s">
        <v>414</v>
      </c>
      <c r="C2373" s="747"/>
      <c r="D2373" s="747"/>
      <c r="E2373" s="128"/>
      <c r="F2373" s="128"/>
      <c r="G2373" s="128"/>
      <c r="H2373" s="128"/>
      <c r="I2373" s="776"/>
      <c r="J2373" s="747"/>
      <c r="K2373" s="747"/>
      <c r="L2373" s="118"/>
      <c r="M2373" s="118"/>
      <c r="N2373" s="210"/>
    </row>
    <row r="2374" spans="2:14" ht="14.25" customHeight="1" thickBot="1" x14ac:dyDescent="0.3">
      <c r="B2374" s="129"/>
      <c r="C2374" s="130"/>
      <c r="D2374" s="130"/>
      <c r="E2374" s="130"/>
      <c r="F2374" s="130"/>
      <c r="G2374" s="130"/>
      <c r="H2374" s="130"/>
      <c r="I2374" s="130"/>
      <c r="J2374" s="130"/>
      <c r="K2374" s="130"/>
      <c r="L2374" s="130"/>
      <c r="M2374" s="130"/>
      <c r="N2374" s="131"/>
    </row>
    <row r="2375" spans="2:14" ht="14.25" hidden="1" customHeight="1" x14ac:dyDescent="0.25"/>
    <row r="2376" spans="2:14" ht="42" hidden="1" customHeight="1" x14ac:dyDescent="0.25">
      <c r="B2376" s="728"/>
      <c r="C2376" s="729"/>
      <c r="D2376" s="730" t="s">
        <v>393</v>
      </c>
      <c r="E2376" s="729"/>
      <c r="F2376" s="729"/>
      <c r="G2376" s="729"/>
      <c r="H2376" s="729"/>
      <c r="I2376" s="729"/>
      <c r="J2376" s="729"/>
      <c r="K2376" s="729"/>
      <c r="L2376" s="729"/>
      <c r="M2376" s="729"/>
      <c r="N2376" s="731"/>
    </row>
    <row r="2377" spans="2:14" ht="14.25" hidden="1" customHeight="1" x14ac:dyDescent="0.25">
      <c r="B2377" s="732" t="s">
        <v>394</v>
      </c>
      <c r="C2377" s="733"/>
      <c r="D2377" s="733"/>
      <c r="E2377" s="733"/>
      <c r="F2377" s="733"/>
      <c r="G2377" s="733"/>
      <c r="H2377" s="733"/>
      <c r="I2377" s="733"/>
      <c r="J2377" s="733"/>
      <c r="K2377" s="733"/>
      <c r="L2377" s="733"/>
      <c r="M2377" s="733"/>
      <c r="N2377" s="734"/>
    </row>
    <row r="2378" spans="2:14" ht="14.25" hidden="1" customHeight="1" x14ac:dyDescent="0.25">
      <c r="B2378" s="735" t="s">
        <v>395</v>
      </c>
      <c r="C2378" s="736"/>
      <c r="D2378" s="779" t="s">
        <v>536</v>
      </c>
      <c r="E2378" s="733"/>
      <c r="F2378" s="733"/>
      <c r="G2378" s="733"/>
      <c r="H2378" s="733"/>
      <c r="I2378" s="733"/>
      <c r="J2378" s="733"/>
      <c r="K2378" s="733"/>
      <c r="L2378" s="733"/>
      <c r="M2378" s="733"/>
      <c r="N2378" s="734"/>
    </row>
    <row r="2379" spans="2:14" ht="14.25" hidden="1" customHeight="1" x14ac:dyDescent="0.25">
      <c r="B2379" s="740" t="s">
        <v>26</v>
      </c>
      <c r="C2379" s="741"/>
      <c r="D2379" s="119" t="s">
        <v>396</v>
      </c>
      <c r="E2379" s="742" t="s">
        <v>397</v>
      </c>
      <c r="F2379" s="733"/>
      <c r="G2379" s="733"/>
      <c r="H2379" s="736"/>
      <c r="I2379" s="742" t="s">
        <v>398</v>
      </c>
      <c r="J2379" s="733"/>
      <c r="K2379" s="736"/>
      <c r="L2379" s="742" t="s">
        <v>399</v>
      </c>
      <c r="M2379" s="733"/>
      <c r="N2379" s="734"/>
    </row>
    <row r="2380" spans="2:14" ht="14.25" hidden="1" customHeight="1" x14ac:dyDescent="0.25">
      <c r="B2380" s="777">
        <v>69</v>
      </c>
      <c r="C2380" s="736"/>
      <c r="D2380" s="123">
        <f>SUM(H2383:H2401)</f>
        <v>1</v>
      </c>
      <c r="E2380" s="778" t="s">
        <v>29</v>
      </c>
      <c r="F2380" s="733"/>
      <c r="G2380" s="733"/>
      <c r="H2380" s="736"/>
      <c r="I2380" s="744"/>
      <c r="J2380" s="745"/>
      <c r="K2380" s="741"/>
      <c r="L2380" s="744"/>
      <c r="M2380" s="745"/>
      <c r="N2380" s="752"/>
    </row>
    <row r="2381" spans="2:14" ht="14.25" hidden="1" customHeight="1" x14ac:dyDescent="0.25">
      <c r="B2381" s="755" t="s">
        <v>416</v>
      </c>
      <c r="C2381" s="733"/>
      <c r="D2381" s="733"/>
      <c r="E2381" s="733"/>
      <c r="F2381" s="733"/>
      <c r="G2381" s="733"/>
      <c r="H2381" s="736"/>
      <c r="I2381" s="746"/>
      <c r="J2381" s="747"/>
      <c r="K2381" s="748"/>
      <c r="L2381" s="746"/>
      <c r="M2381" s="747"/>
      <c r="N2381" s="753"/>
    </row>
    <row r="2382" spans="2:14" ht="14.25" hidden="1" customHeight="1" x14ac:dyDescent="0.25">
      <c r="B2382" s="121" t="s">
        <v>400</v>
      </c>
      <c r="C2382" s="122" t="s">
        <v>401</v>
      </c>
      <c r="D2382" s="123" t="s">
        <v>402</v>
      </c>
      <c r="E2382" s="123" t="s">
        <v>403</v>
      </c>
      <c r="F2382" s="123" t="s">
        <v>404</v>
      </c>
      <c r="G2382" s="123" t="s">
        <v>405</v>
      </c>
      <c r="H2382" s="123" t="s">
        <v>406</v>
      </c>
      <c r="I2382" s="746"/>
      <c r="J2382" s="747"/>
      <c r="K2382" s="748"/>
      <c r="L2382" s="746"/>
      <c r="M2382" s="747"/>
      <c r="N2382" s="753"/>
    </row>
    <row r="2383" spans="2:14" ht="14.25" hidden="1" customHeight="1" x14ac:dyDescent="0.25">
      <c r="B2383" s="124"/>
      <c r="C2383" s="125" t="s">
        <v>537</v>
      </c>
      <c r="D2383" s="125">
        <v>1</v>
      </c>
      <c r="E2383" s="125"/>
      <c r="F2383" s="125"/>
      <c r="G2383" s="125"/>
      <c r="H2383" s="125">
        <f>D2383</f>
        <v>1</v>
      </c>
      <c r="I2383" s="746"/>
      <c r="J2383" s="747"/>
      <c r="K2383" s="748"/>
      <c r="L2383" s="746"/>
      <c r="M2383" s="747"/>
      <c r="N2383" s="753"/>
    </row>
    <row r="2384" spans="2:14" ht="14.25" hidden="1" customHeight="1" x14ac:dyDescent="0.25">
      <c r="B2384" s="124"/>
      <c r="C2384" s="125"/>
      <c r="D2384" s="125"/>
      <c r="E2384" s="125"/>
      <c r="F2384" s="125"/>
      <c r="G2384" s="125"/>
      <c r="H2384" s="125"/>
      <c r="I2384" s="746"/>
      <c r="J2384" s="747"/>
      <c r="K2384" s="748"/>
      <c r="L2384" s="746"/>
      <c r="M2384" s="747"/>
      <c r="N2384" s="753"/>
    </row>
    <row r="2385" spans="2:14" ht="14.25" hidden="1" customHeight="1" x14ac:dyDescent="0.25">
      <c r="B2385" s="124"/>
      <c r="C2385" s="125"/>
      <c r="D2385" s="125"/>
      <c r="E2385" s="125"/>
      <c r="F2385" s="125"/>
      <c r="G2385" s="125"/>
      <c r="H2385" s="125"/>
      <c r="I2385" s="746"/>
      <c r="J2385" s="747"/>
      <c r="K2385" s="748"/>
      <c r="L2385" s="746"/>
      <c r="M2385" s="747"/>
      <c r="N2385" s="753"/>
    </row>
    <row r="2386" spans="2:14" ht="14.25" hidden="1" customHeight="1" x14ac:dyDescent="0.25">
      <c r="B2386" s="124"/>
      <c r="C2386" s="125"/>
      <c r="D2386" s="125"/>
      <c r="E2386" s="125"/>
      <c r="F2386" s="125"/>
      <c r="G2386" s="125"/>
      <c r="H2386" s="125"/>
      <c r="I2386" s="746"/>
      <c r="J2386" s="747"/>
      <c r="K2386" s="748"/>
      <c r="L2386" s="746"/>
      <c r="M2386" s="747"/>
      <c r="N2386" s="753"/>
    </row>
    <row r="2387" spans="2:14" ht="14.25" hidden="1" customHeight="1" x14ac:dyDescent="0.25">
      <c r="B2387" s="124"/>
      <c r="C2387" s="125"/>
      <c r="D2387" s="125"/>
      <c r="E2387" s="125"/>
      <c r="F2387" s="125"/>
      <c r="G2387" s="125"/>
      <c r="H2387" s="125"/>
      <c r="I2387" s="746"/>
      <c r="J2387" s="747"/>
      <c r="K2387" s="748"/>
      <c r="L2387" s="746"/>
      <c r="M2387" s="747"/>
      <c r="N2387" s="753"/>
    </row>
    <row r="2388" spans="2:14" ht="14.25" hidden="1" customHeight="1" x14ac:dyDescent="0.25">
      <c r="B2388" s="124"/>
      <c r="C2388" s="125"/>
      <c r="D2388" s="125"/>
      <c r="E2388" s="125"/>
      <c r="F2388" s="125"/>
      <c r="G2388" s="125"/>
      <c r="H2388" s="125"/>
      <c r="I2388" s="746"/>
      <c r="J2388" s="747"/>
      <c r="K2388" s="748"/>
      <c r="L2388" s="746"/>
      <c r="M2388" s="747"/>
      <c r="N2388" s="753"/>
    </row>
    <row r="2389" spans="2:14" ht="14.25" hidden="1" customHeight="1" x14ac:dyDescent="0.25">
      <c r="B2389" s="124"/>
      <c r="C2389" s="125"/>
      <c r="D2389" s="125"/>
      <c r="E2389" s="125"/>
      <c r="F2389" s="125"/>
      <c r="G2389" s="125"/>
      <c r="H2389" s="125"/>
      <c r="I2389" s="746"/>
      <c r="J2389" s="747"/>
      <c r="K2389" s="748"/>
      <c r="L2389" s="746"/>
      <c r="M2389" s="747"/>
      <c r="N2389" s="753"/>
    </row>
    <row r="2390" spans="2:14" ht="14.25" hidden="1" customHeight="1" x14ac:dyDescent="0.25">
      <c r="B2390" s="124"/>
      <c r="C2390" s="125"/>
      <c r="D2390" s="125"/>
      <c r="E2390" s="125"/>
      <c r="F2390" s="125"/>
      <c r="G2390" s="125"/>
      <c r="H2390" s="125"/>
      <c r="I2390" s="746"/>
      <c r="J2390" s="747"/>
      <c r="K2390" s="748"/>
      <c r="L2390" s="746"/>
      <c r="M2390" s="747"/>
      <c r="N2390" s="753"/>
    </row>
    <row r="2391" spans="2:14" ht="14.25" hidden="1" customHeight="1" x14ac:dyDescent="0.25">
      <c r="B2391" s="124"/>
      <c r="C2391" s="125"/>
      <c r="D2391" s="125"/>
      <c r="E2391" s="125"/>
      <c r="F2391" s="125"/>
      <c r="G2391" s="125"/>
      <c r="H2391" s="125"/>
      <c r="I2391" s="746"/>
      <c r="J2391" s="747"/>
      <c r="K2391" s="748"/>
      <c r="L2391" s="746"/>
      <c r="M2391" s="747"/>
      <c r="N2391" s="753"/>
    </row>
    <row r="2392" spans="2:14" ht="14.25" hidden="1" customHeight="1" x14ac:dyDescent="0.25">
      <c r="B2392" s="124"/>
      <c r="C2392" s="125"/>
      <c r="D2392" s="125"/>
      <c r="E2392" s="125"/>
      <c r="F2392" s="125"/>
      <c r="G2392" s="125"/>
      <c r="H2392" s="125"/>
      <c r="I2392" s="746"/>
      <c r="J2392" s="747"/>
      <c r="K2392" s="748"/>
      <c r="L2392" s="746"/>
      <c r="M2392" s="747"/>
      <c r="N2392" s="753"/>
    </row>
    <row r="2393" spans="2:14" ht="14.25" hidden="1" customHeight="1" x14ac:dyDescent="0.25">
      <c r="B2393" s="124"/>
      <c r="C2393" s="125"/>
      <c r="D2393" s="125"/>
      <c r="E2393" s="125"/>
      <c r="F2393" s="125"/>
      <c r="G2393" s="125"/>
      <c r="H2393" s="125"/>
      <c r="I2393" s="746"/>
      <c r="J2393" s="747"/>
      <c r="K2393" s="748"/>
      <c r="L2393" s="746"/>
      <c r="M2393" s="747"/>
      <c r="N2393" s="753"/>
    </row>
    <row r="2394" spans="2:14" ht="14.25" hidden="1" customHeight="1" x14ac:dyDescent="0.25">
      <c r="B2394" s="124"/>
      <c r="C2394" s="125"/>
      <c r="D2394" s="125"/>
      <c r="E2394" s="125"/>
      <c r="F2394" s="125"/>
      <c r="G2394" s="125"/>
      <c r="H2394" s="125"/>
      <c r="I2394" s="746"/>
      <c r="J2394" s="747"/>
      <c r="K2394" s="748"/>
      <c r="L2394" s="746"/>
      <c r="M2394" s="747"/>
      <c r="N2394" s="753"/>
    </row>
    <row r="2395" spans="2:14" ht="14.25" hidden="1" customHeight="1" x14ac:dyDescent="0.25">
      <c r="B2395" s="124"/>
      <c r="C2395" s="125"/>
      <c r="D2395" s="125"/>
      <c r="E2395" s="125"/>
      <c r="F2395" s="125"/>
      <c r="G2395" s="125"/>
      <c r="H2395" s="125"/>
      <c r="I2395" s="746"/>
      <c r="J2395" s="747"/>
      <c r="K2395" s="748"/>
      <c r="L2395" s="746"/>
      <c r="M2395" s="747"/>
      <c r="N2395" s="753"/>
    </row>
    <row r="2396" spans="2:14" ht="14.25" hidden="1" customHeight="1" x14ac:dyDescent="0.25">
      <c r="B2396" s="124"/>
      <c r="C2396" s="125"/>
      <c r="D2396" s="125"/>
      <c r="E2396" s="125"/>
      <c r="F2396" s="125"/>
      <c r="G2396" s="125"/>
      <c r="H2396" s="125"/>
      <c r="I2396" s="746"/>
      <c r="J2396" s="747"/>
      <c r="K2396" s="748"/>
      <c r="L2396" s="746"/>
      <c r="M2396" s="747"/>
      <c r="N2396" s="753"/>
    </row>
    <row r="2397" spans="2:14" ht="14.25" hidden="1" customHeight="1" x14ac:dyDescent="0.25">
      <c r="B2397" s="124"/>
      <c r="C2397" s="125"/>
      <c r="D2397" s="125"/>
      <c r="E2397" s="125"/>
      <c r="F2397" s="125"/>
      <c r="G2397" s="125"/>
      <c r="H2397" s="125"/>
      <c r="I2397" s="746"/>
      <c r="J2397" s="747"/>
      <c r="K2397" s="748"/>
      <c r="L2397" s="746"/>
      <c r="M2397" s="747"/>
      <c r="N2397" s="753"/>
    </row>
    <row r="2398" spans="2:14" ht="14.25" hidden="1" customHeight="1" x14ac:dyDescent="0.25">
      <c r="B2398" s="124"/>
      <c r="C2398" s="125"/>
      <c r="D2398" s="125"/>
      <c r="E2398" s="125"/>
      <c r="F2398" s="125"/>
      <c r="G2398" s="125"/>
      <c r="H2398" s="125"/>
      <c r="I2398" s="746"/>
      <c r="J2398" s="747"/>
      <c r="K2398" s="748"/>
      <c r="L2398" s="746"/>
      <c r="M2398" s="747"/>
      <c r="N2398" s="753"/>
    </row>
    <row r="2399" spans="2:14" ht="14.25" hidden="1" customHeight="1" x14ac:dyDescent="0.25">
      <c r="B2399" s="124"/>
      <c r="C2399" s="125"/>
      <c r="D2399" s="125"/>
      <c r="E2399" s="125"/>
      <c r="F2399" s="125"/>
      <c r="G2399" s="125"/>
      <c r="H2399" s="125"/>
      <c r="I2399" s="746"/>
      <c r="J2399" s="747"/>
      <c r="K2399" s="748"/>
      <c r="L2399" s="746"/>
      <c r="M2399" s="747"/>
      <c r="N2399" s="753"/>
    </row>
    <row r="2400" spans="2:14" ht="14.25" hidden="1" customHeight="1" x14ac:dyDescent="0.25">
      <c r="B2400" s="124"/>
      <c r="C2400" s="125"/>
      <c r="D2400" s="125"/>
      <c r="E2400" s="125"/>
      <c r="F2400" s="125"/>
      <c r="G2400" s="125"/>
      <c r="H2400" s="125"/>
      <c r="I2400" s="746"/>
      <c r="J2400" s="747"/>
      <c r="K2400" s="748"/>
      <c r="L2400" s="746"/>
      <c r="M2400" s="747"/>
      <c r="N2400" s="753"/>
    </row>
    <row r="2401" spans="2:14" ht="14.25" hidden="1" customHeight="1" x14ac:dyDescent="0.25">
      <c r="B2401" s="127"/>
      <c r="C2401" s="125"/>
      <c r="D2401" s="125"/>
      <c r="E2401" s="125"/>
      <c r="F2401" s="125"/>
      <c r="G2401" s="125"/>
      <c r="H2401" s="125"/>
      <c r="I2401" s="749"/>
      <c r="J2401" s="750"/>
      <c r="K2401" s="751"/>
      <c r="L2401" s="749"/>
      <c r="M2401" s="750"/>
      <c r="N2401" s="754"/>
    </row>
    <row r="2402" spans="2:14" ht="14.25" hidden="1" customHeight="1" x14ac:dyDescent="0.25">
      <c r="B2402" s="209"/>
      <c r="C2402" s="118"/>
      <c r="D2402" s="118"/>
      <c r="E2402" s="118"/>
      <c r="F2402" s="118"/>
      <c r="G2402" s="118"/>
      <c r="H2402" s="118"/>
      <c r="I2402" s="118"/>
      <c r="J2402" s="118"/>
      <c r="K2402" s="118"/>
      <c r="L2402" s="118"/>
      <c r="M2402" s="118"/>
      <c r="N2402" s="210"/>
    </row>
    <row r="2403" spans="2:14" ht="14.25" hidden="1" customHeight="1" x14ac:dyDescent="0.25">
      <c r="B2403" s="209"/>
      <c r="C2403" s="118"/>
      <c r="D2403" s="118"/>
      <c r="E2403" s="118"/>
      <c r="F2403" s="118"/>
      <c r="G2403" s="118"/>
      <c r="H2403" s="118"/>
      <c r="I2403" s="118"/>
      <c r="J2403" s="118"/>
      <c r="K2403" s="118"/>
      <c r="L2403" s="118"/>
      <c r="M2403" s="118"/>
      <c r="N2403" s="210"/>
    </row>
    <row r="2404" spans="2:14" ht="14.25" hidden="1" customHeight="1" x14ac:dyDescent="0.25">
      <c r="B2404" s="209"/>
      <c r="C2404" s="118"/>
      <c r="D2404" s="118"/>
      <c r="E2404" s="118"/>
      <c r="F2404" s="118"/>
      <c r="G2404" s="118"/>
      <c r="H2404" s="118"/>
      <c r="I2404" s="118"/>
      <c r="J2404" s="118"/>
      <c r="K2404" s="118"/>
      <c r="L2404" s="118"/>
      <c r="M2404" s="118"/>
      <c r="N2404" s="210"/>
    </row>
    <row r="2405" spans="2:14" ht="14.25" hidden="1" customHeight="1" x14ac:dyDescent="0.25">
      <c r="B2405" s="209"/>
      <c r="C2405" s="118"/>
      <c r="D2405" s="118"/>
      <c r="E2405" s="118"/>
      <c r="F2405" s="118"/>
      <c r="G2405" s="118"/>
      <c r="H2405" s="118"/>
      <c r="I2405" s="118"/>
      <c r="J2405" s="118"/>
      <c r="K2405" s="118"/>
      <c r="L2405" s="118"/>
      <c r="M2405" s="118"/>
      <c r="N2405" s="210"/>
    </row>
    <row r="2406" spans="2:14" ht="14.25" hidden="1" customHeight="1" x14ac:dyDescent="0.25">
      <c r="B2406" s="775" t="s">
        <v>414</v>
      </c>
      <c r="C2406" s="747"/>
      <c r="D2406" s="747"/>
      <c r="E2406" s="128"/>
      <c r="F2406" s="128"/>
      <c r="G2406" s="128"/>
      <c r="H2406" s="128"/>
      <c r="I2406" s="776"/>
      <c r="J2406" s="747"/>
      <c r="K2406" s="747"/>
      <c r="L2406" s="118"/>
      <c r="M2406" s="118"/>
      <c r="N2406" s="210"/>
    </row>
    <row r="2407" spans="2:14" ht="14.25" hidden="1" customHeight="1" x14ac:dyDescent="0.25">
      <c r="B2407" s="129"/>
      <c r="C2407" s="130"/>
      <c r="D2407" s="130"/>
      <c r="E2407" s="130"/>
      <c r="F2407" s="130"/>
      <c r="G2407" s="130"/>
      <c r="H2407" s="130"/>
      <c r="I2407" s="130"/>
      <c r="J2407" s="130"/>
      <c r="K2407" s="130"/>
      <c r="L2407" s="130"/>
      <c r="M2407" s="130"/>
      <c r="N2407" s="131"/>
    </row>
    <row r="2408" spans="2:14" ht="14.25" hidden="1" customHeight="1" x14ac:dyDescent="0.25"/>
    <row r="2409" spans="2:14" ht="45" hidden="1" customHeight="1" x14ac:dyDescent="0.25">
      <c r="B2409" s="728"/>
      <c r="C2409" s="729"/>
      <c r="D2409" s="730" t="s">
        <v>393</v>
      </c>
      <c r="E2409" s="729"/>
      <c r="F2409" s="729"/>
      <c r="G2409" s="729"/>
      <c r="H2409" s="729"/>
      <c r="I2409" s="729"/>
      <c r="J2409" s="729"/>
      <c r="K2409" s="729"/>
      <c r="L2409" s="729"/>
      <c r="M2409" s="729"/>
      <c r="N2409" s="731"/>
    </row>
    <row r="2410" spans="2:14" ht="14.25" hidden="1" customHeight="1" x14ac:dyDescent="0.25">
      <c r="B2410" s="732" t="s">
        <v>394</v>
      </c>
      <c r="C2410" s="733"/>
      <c r="D2410" s="733"/>
      <c r="E2410" s="733"/>
      <c r="F2410" s="733"/>
      <c r="G2410" s="733"/>
      <c r="H2410" s="733"/>
      <c r="I2410" s="733"/>
      <c r="J2410" s="733"/>
      <c r="K2410" s="733"/>
      <c r="L2410" s="733"/>
      <c r="M2410" s="733"/>
      <c r="N2410" s="734"/>
    </row>
    <row r="2411" spans="2:14" ht="42" hidden="1" customHeight="1" x14ac:dyDescent="0.25">
      <c r="B2411" s="735" t="s">
        <v>395</v>
      </c>
      <c r="C2411" s="736"/>
      <c r="D2411" s="779" t="s">
        <v>538</v>
      </c>
      <c r="E2411" s="733"/>
      <c r="F2411" s="733"/>
      <c r="G2411" s="733"/>
      <c r="H2411" s="733"/>
      <c r="I2411" s="733"/>
      <c r="J2411" s="733"/>
      <c r="K2411" s="733"/>
      <c r="L2411" s="733"/>
      <c r="M2411" s="733"/>
      <c r="N2411" s="734"/>
    </row>
    <row r="2412" spans="2:14" ht="14.25" hidden="1" customHeight="1" x14ac:dyDescent="0.25">
      <c r="B2412" s="740" t="s">
        <v>26</v>
      </c>
      <c r="C2412" s="741"/>
      <c r="D2412" s="119" t="s">
        <v>396</v>
      </c>
      <c r="E2412" s="742" t="s">
        <v>397</v>
      </c>
      <c r="F2412" s="733"/>
      <c r="G2412" s="733"/>
      <c r="H2412" s="736"/>
      <c r="I2412" s="742" t="s">
        <v>398</v>
      </c>
      <c r="J2412" s="733"/>
      <c r="K2412" s="736"/>
      <c r="L2412" s="742" t="s">
        <v>399</v>
      </c>
      <c r="M2412" s="733"/>
      <c r="N2412" s="734"/>
    </row>
    <row r="2413" spans="2:14" ht="14.25" hidden="1" customHeight="1" x14ac:dyDescent="0.25">
      <c r="B2413" s="777">
        <v>70</v>
      </c>
      <c r="C2413" s="736"/>
      <c r="D2413" s="123">
        <f>SUM(H2416:H2434)</f>
        <v>8</v>
      </c>
      <c r="E2413" s="778" t="s">
        <v>29</v>
      </c>
      <c r="F2413" s="733"/>
      <c r="G2413" s="733"/>
      <c r="H2413" s="736"/>
      <c r="I2413" s="744"/>
      <c r="J2413" s="745"/>
      <c r="K2413" s="741"/>
      <c r="L2413" s="744"/>
      <c r="M2413" s="745"/>
      <c r="N2413" s="752"/>
    </row>
    <row r="2414" spans="2:14" ht="14.25" hidden="1" customHeight="1" x14ac:dyDescent="0.25">
      <c r="B2414" s="755" t="s">
        <v>416</v>
      </c>
      <c r="C2414" s="733"/>
      <c r="D2414" s="733"/>
      <c r="E2414" s="733"/>
      <c r="F2414" s="733"/>
      <c r="G2414" s="733"/>
      <c r="H2414" s="736"/>
      <c r="I2414" s="746"/>
      <c r="J2414" s="747"/>
      <c r="K2414" s="748"/>
      <c r="L2414" s="746"/>
      <c r="M2414" s="747"/>
      <c r="N2414" s="753"/>
    </row>
    <row r="2415" spans="2:14" ht="14.25" hidden="1" customHeight="1" x14ac:dyDescent="0.25">
      <c r="B2415" s="121" t="s">
        <v>400</v>
      </c>
      <c r="C2415" s="122" t="s">
        <v>401</v>
      </c>
      <c r="D2415" s="123" t="s">
        <v>402</v>
      </c>
      <c r="E2415" s="123" t="s">
        <v>403</v>
      </c>
      <c r="F2415" s="123" t="s">
        <v>404</v>
      </c>
      <c r="G2415" s="123" t="s">
        <v>405</v>
      </c>
      <c r="H2415" s="123" t="s">
        <v>406</v>
      </c>
      <c r="I2415" s="746"/>
      <c r="J2415" s="747"/>
      <c r="K2415" s="748"/>
      <c r="L2415" s="746"/>
      <c r="M2415" s="747"/>
      <c r="N2415" s="753"/>
    </row>
    <row r="2416" spans="2:14" ht="14.25" hidden="1" customHeight="1" x14ac:dyDescent="0.25">
      <c r="B2416" s="124" t="s">
        <v>539</v>
      </c>
      <c r="C2416" s="141" t="s">
        <v>481</v>
      </c>
      <c r="D2416" s="125">
        <v>2</v>
      </c>
      <c r="E2416" s="125"/>
      <c r="F2416" s="125"/>
      <c r="G2416" s="125"/>
      <c r="H2416" s="125">
        <f t="shared" ref="H2416:H2421" si="56">D2416</f>
        <v>2</v>
      </c>
      <c r="I2416" s="746"/>
      <c r="J2416" s="747"/>
      <c r="K2416" s="748"/>
      <c r="L2416" s="746"/>
      <c r="M2416" s="747"/>
      <c r="N2416" s="753"/>
    </row>
    <row r="2417" spans="2:14" ht="14.25" hidden="1" customHeight="1" x14ac:dyDescent="0.25">
      <c r="B2417" s="124" t="s">
        <v>540</v>
      </c>
      <c r="C2417" s="161"/>
      <c r="D2417" s="125">
        <v>2</v>
      </c>
      <c r="E2417" s="125"/>
      <c r="F2417" s="125"/>
      <c r="G2417" s="125"/>
      <c r="H2417" s="125">
        <f t="shared" si="56"/>
        <v>2</v>
      </c>
      <c r="I2417" s="746"/>
      <c r="J2417" s="747"/>
      <c r="K2417" s="748"/>
      <c r="L2417" s="746"/>
      <c r="M2417" s="747"/>
      <c r="N2417" s="753"/>
    </row>
    <row r="2418" spans="2:14" ht="14.25" hidden="1" customHeight="1" x14ac:dyDescent="0.25">
      <c r="B2418" s="124" t="s">
        <v>539</v>
      </c>
      <c r="C2418" s="765" t="s">
        <v>488</v>
      </c>
      <c r="D2418" s="125">
        <v>1</v>
      </c>
      <c r="E2418" s="125"/>
      <c r="F2418" s="125"/>
      <c r="G2418" s="125"/>
      <c r="H2418" s="125">
        <f t="shared" si="56"/>
        <v>1</v>
      </c>
      <c r="I2418" s="746"/>
      <c r="J2418" s="747"/>
      <c r="K2418" s="748"/>
      <c r="L2418" s="746"/>
      <c r="M2418" s="747"/>
      <c r="N2418" s="753"/>
    </row>
    <row r="2419" spans="2:14" ht="14.25" hidden="1" customHeight="1" x14ac:dyDescent="0.25">
      <c r="B2419" s="124" t="s">
        <v>540</v>
      </c>
      <c r="C2419" s="780"/>
      <c r="D2419" s="125">
        <v>1</v>
      </c>
      <c r="E2419" s="125"/>
      <c r="F2419" s="125"/>
      <c r="G2419" s="125"/>
      <c r="H2419" s="125">
        <f t="shared" si="56"/>
        <v>1</v>
      </c>
      <c r="I2419" s="746"/>
      <c r="J2419" s="747"/>
      <c r="K2419" s="748"/>
      <c r="L2419" s="746"/>
      <c r="M2419" s="747"/>
      <c r="N2419" s="753"/>
    </row>
    <row r="2420" spans="2:14" ht="14.25" hidden="1" customHeight="1" x14ac:dyDescent="0.25">
      <c r="B2420" s="124" t="s">
        <v>541</v>
      </c>
      <c r="C2420" s="765" t="s">
        <v>494</v>
      </c>
      <c r="D2420" s="125">
        <v>1</v>
      </c>
      <c r="E2420" s="125"/>
      <c r="F2420" s="125"/>
      <c r="G2420" s="125"/>
      <c r="H2420" s="125">
        <f t="shared" si="56"/>
        <v>1</v>
      </c>
      <c r="I2420" s="746"/>
      <c r="J2420" s="747"/>
      <c r="K2420" s="748"/>
      <c r="L2420" s="746"/>
      <c r="M2420" s="747"/>
      <c r="N2420" s="753"/>
    </row>
    <row r="2421" spans="2:14" ht="14.25" hidden="1" customHeight="1" x14ac:dyDescent="0.25">
      <c r="B2421" s="124" t="s">
        <v>540</v>
      </c>
      <c r="C2421" s="780"/>
      <c r="D2421" s="125">
        <v>1</v>
      </c>
      <c r="E2421" s="125"/>
      <c r="F2421" s="125"/>
      <c r="G2421" s="125"/>
      <c r="H2421" s="125">
        <f t="shared" si="56"/>
        <v>1</v>
      </c>
      <c r="I2421" s="746"/>
      <c r="J2421" s="747"/>
      <c r="K2421" s="748"/>
      <c r="L2421" s="746"/>
      <c r="M2421" s="747"/>
      <c r="N2421" s="753"/>
    </row>
    <row r="2422" spans="2:14" ht="14.25" hidden="1" customHeight="1" x14ac:dyDescent="0.25">
      <c r="B2422" s="124"/>
      <c r="C2422" s="125"/>
      <c r="D2422" s="125"/>
      <c r="E2422" s="125"/>
      <c r="F2422" s="125"/>
      <c r="G2422" s="125"/>
      <c r="H2422" s="125"/>
      <c r="I2422" s="746"/>
      <c r="J2422" s="747"/>
      <c r="K2422" s="748"/>
      <c r="L2422" s="746"/>
      <c r="M2422" s="747"/>
      <c r="N2422" s="753"/>
    </row>
    <row r="2423" spans="2:14" ht="14.25" hidden="1" customHeight="1" x14ac:dyDescent="0.25">
      <c r="B2423" s="124"/>
      <c r="C2423" s="125"/>
      <c r="D2423" s="125"/>
      <c r="E2423" s="125"/>
      <c r="F2423" s="125"/>
      <c r="G2423" s="125"/>
      <c r="H2423" s="125"/>
      <c r="I2423" s="746"/>
      <c r="J2423" s="747"/>
      <c r="K2423" s="748"/>
      <c r="L2423" s="746"/>
      <c r="M2423" s="747"/>
      <c r="N2423" s="753"/>
    </row>
    <row r="2424" spans="2:14" ht="14.25" hidden="1" customHeight="1" x14ac:dyDescent="0.25">
      <c r="B2424" s="124"/>
      <c r="C2424" s="125"/>
      <c r="D2424" s="125"/>
      <c r="E2424" s="125"/>
      <c r="F2424" s="125"/>
      <c r="G2424" s="125"/>
      <c r="H2424" s="125"/>
      <c r="I2424" s="746"/>
      <c r="J2424" s="747"/>
      <c r="K2424" s="748"/>
      <c r="L2424" s="746"/>
      <c r="M2424" s="747"/>
      <c r="N2424" s="753"/>
    </row>
    <row r="2425" spans="2:14" ht="14.25" hidden="1" customHeight="1" x14ac:dyDescent="0.25">
      <c r="B2425" s="124"/>
      <c r="C2425" s="125"/>
      <c r="D2425" s="125"/>
      <c r="E2425" s="125"/>
      <c r="F2425" s="125"/>
      <c r="G2425" s="125"/>
      <c r="H2425" s="125"/>
      <c r="I2425" s="746"/>
      <c r="J2425" s="747"/>
      <c r="K2425" s="748"/>
      <c r="L2425" s="746"/>
      <c r="M2425" s="747"/>
      <c r="N2425" s="753"/>
    </row>
    <row r="2426" spans="2:14" ht="14.25" hidden="1" customHeight="1" x14ac:dyDescent="0.25">
      <c r="B2426" s="124"/>
      <c r="C2426" s="125"/>
      <c r="D2426" s="125"/>
      <c r="E2426" s="125"/>
      <c r="F2426" s="125"/>
      <c r="G2426" s="125"/>
      <c r="H2426" s="125"/>
      <c r="I2426" s="746"/>
      <c r="J2426" s="747"/>
      <c r="K2426" s="748"/>
      <c r="L2426" s="746"/>
      <c r="M2426" s="747"/>
      <c r="N2426" s="753"/>
    </row>
    <row r="2427" spans="2:14" ht="14.25" hidden="1" customHeight="1" x14ac:dyDescent="0.25">
      <c r="B2427" s="124"/>
      <c r="C2427" s="125"/>
      <c r="D2427" s="125"/>
      <c r="E2427" s="125"/>
      <c r="F2427" s="125"/>
      <c r="G2427" s="125"/>
      <c r="H2427" s="125"/>
      <c r="I2427" s="746"/>
      <c r="J2427" s="747"/>
      <c r="K2427" s="748"/>
      <c r="L2427" s="746"/>
      <c r="M2427" s="747"/>
      <c r="N2427" s="753"/>
    </row>
    <row r="2428" spans="2:14" ht="14.25" hidden="1" customHeight="1" x14ac:dyDescent="0.25">
      <c r="B2428" s="124"/>
      <c r="C2428" s="125"/>
      <c r="D2428" s="125"/>
      <c r="E2428" s="125"/>
      <c r="F2428" s="125"/>
      <c r="G2428" s="125"/>
      <c r="H2428" s="125"/>
      <c r="I2428" s="746"/>
      <c r="J2428" s="747"/>
      <c r="K2428" s="748"/>
      <c r="L2428" s="746"/>
      <c r="M2428" s="747"/>
      <c r="N2428" s="753"/>
    </row>
    <row r="2429" spans="2:14" ht="14.25" hidden="1" customHeight="1" x14ac:dyDescent="0.25">
      <c r="B2429" s="124"/>
      <c r="C2429" s="125"/>
      <c r="D2429" s="125"/>
      <c r="E2429" s="125"/>
      <c r="F2429" s="125"/>
      <c r="G2429" s="125"/>
      <c r="H2429" s="125"/>
      <c r="I2429" s="746"/>
      <c r="J2429" s="747"/>
      <c r="K2429" s="748"/>
      <c r="L2429" s="746"/>
      <c r="M2429" s="747"/>
      <c r="N2429" s="753"/>
    </row>
    <row r="2430" spans="2:14" ht="14.25" hidden="1" customHeight="1" x14ac:dyDescent="0.25">
      <c r="B2430" s="124"/>
      <c r="C2430" s="125"/>
      <c r="D2430" s="125"/>
      <c r="E2430" s="125"/>
      <c r="F2430" s="125"/>
      <c r="G2430" s="125"/>
      <c r="H2430" s="125"/>
      <c r="I2430" s="746"/>
      <c r="J2430" s="747"/>
      <c r="K2430" s="748"/>
      <c r="L2430" s="746"/>
      <c r="M2430" s="747"/>
      <c r="N2430" s="753"/>
    </row>
    <row r="2431" spans="2:14" ht="14.25" hidden="1" customHeight="1" x14ac:dyDescent="0.25">
      <c r="B2431" s="124"/>
      <c r="C2431" s="125"/>
      <c r="D2431" s="125"/>
      <c r="E2431" s="125"/>
      <c r="F2431" s="125"/>
      <c r="G2431" s="125"/>
      <c r="H2431" s="125"/>
      <c r="I2431" s="746"/>
      <c r="J2431" s="747"/>
      <c r="K2431" s="748"/>
      <c r="L2431" s="746"/>
      <c r="M2431" s="747"/>
      <c r="N2431" s="753"/>
    </row>
    <row r="2432" spans="2:14" ht="14.25" hidden="1" customHeight="1" x14ac:dyDescent="0.25">
      <c r="B2432" s="124"/>
      <c r="C2432" s="125"/>
      <c r="D2432" s="125"/>
      <c r="E2432" s="125"/>
      <c r="F2432" s="125"/>
      <c r="G2432" s="125"/>
      <c r="H2432" s="125"/>
      <c r="I2432" s="746"/>
      <c r="J2432" s="747"/>
      <c r="K2432" s="748"/>
      <c r="L2432" s="746"/>
      <c r="M2432" s="747"/>
      <c r="N2432" s="753"/>
    </row>
    <row r="2433" spans="2:14" ht="14.25" hidden="1" customHeight="1" x14ac:dyDescent="0.25">
      <c r="B2433" s="124"/>
      <c r="C2433" s="125"/>
      <c r="D2433" s="125"/>
      <c r="E2433" s="125"/>
      <c r="F2433" s="125"/>
      <c r="G2433" s="125"/>
      <c r="H2433" s="125"/>
      <c r="I2433" s="746"/>
      <c r="J2433" s="747"/>
      <c r="K2433" s="748"/>
      <c r="L2433" s="746"/>
      <c r="M2433" s="747"/>
      <c r="N2433" s="753"/>
    </row>
    <row r="2434" spans="2:14" ht="14.25" hidden="1" customHeight="1" x14ac:dyDescent="0.25">
      <c r="B2434" s="127"/>
      <c r="C2434" s="125"/>
      <c r="D2434" s="125"/>
      <c r="E2434" s="125"/>
      <c r="F2434" s="125"/>
      <c r="G2434" s="125"/>
      <c r="H2434" s="125"/>
      <c r="I2434" s="749"/>
      <c r="J2434" s="750"/>
      <c r="K2434" s="751"/>
      <c r="L2434" s="749"/>
      <c r="M2434" s="750"/>
      <c r="N2434" s="754"/>
    </row>
    <row r="2435" spans="2:14" ht="14.25" hidden="1" customHeight="1" x14ac:dyDescent="0.25">
      <c r="B2435" s="209"/>
      <c r="C2435" s="118"/>
      <c r="D2435" s="118"/>
      <c r="E2435" s="118"/>
      <c r="F2435" s="118"/>
      <c r="G2435" s="118"/>
      <c r="H2435" s="118"/>
      <c r="I2435" s="118"/>
      <c r="J2435" s="118"/>
      <c r="K2435" s="118"/>
      <c r="L2435" s="118"/>
      <c r="M2435" s="118"/>
      <c r="N2435" s="210"/>
    </row>
    <row r="2436" spans="2:14" ht="14.25" hidden="1" customHeight="1" x14ac:dyDescent="0.25">
      <c r="B2436" s="209"/>
      <c r="C2436" s="118"/>
      <c r="D2436" s="118"/>
      <c r="E2436" s="118"/>
      <c r="F2436" s="118"/>
      <c r="G2436" s="118"/>
      <c r="H2436" s="118"/>
      <c r="I2436" s="118"/>
      <c r="J2436" s="118"/>
      <c r="K2436" s="118"/>
      <c r="L2436" s="118"/>
      <c r="M2436" s="118"/>
      <c r="N2436" s="210"/>
    </row>
    <row r="2437" spans="2:14" ht="14.25" hidden="1" customHeight="1" x14ac:dyDescent="0.25">
      <c r="B2437" s="209"/>
      <c r="C2437" s="118"/>
      <c r="D2437" s="118"/>
      <c r="E2437" s="118"/>
      <c r="F2437" s="118"/>
      <c r="G2437" s="118"/>
      <c r="H2437" s="118"/>
      <c r="I2437" s="118"/>
      <c r="J2437" s="118"/>
      <c r="K2437" s="118"/>
      <c r="L2437" s="118"/>
      <c r="M2437" s="118"/>
      <c r="N2437" s="210"/>
    </row>
    <row r="2438" spans="2:14" ht="14.25" hidden="1" customHeight="1" x14ac:dyDescent="0.25">
      <c r="B2438" s="209"/>
      <c r="C2438" s="118"/>
      <c r="D2438" s="118"/>
      <c r="E2438" s="118"/>
      <c r="F2438" s="118"/>
      <c r="G2438" s="118"/>
      <c r="H2438" s="118"/>
      <c r="I2438" s="118"/>
      <c r="J2438" s="118"/>
      <c r="K2438" s="118"/>
      <c r="L2438" s="118"/>
      <c r="M2438" s="118"/>
      <c r="N2438" s="210"/>
    </row>
    <row r="2439" spans="2:14" ht="14.25" hidden="1" customHeight="1" x14ac:dyDescent="0.25">
      <c r="B2439" s="775" t="s">
        <v>414</v>
      </c>
      <c r="C2439" s="747"/>
      <c r="D2439" s="747"/>
      <c r="E2439" s="128"/>
      <c r="F2439" s="128"/>
      <c r="G2439" s="128"/>
      <c r="H2439" s="128"/>
      <c r="I2439" s="776"/>
      <c r="J2439" s="747"/>
      <c r="K2439" s="747"/>
      <c r="L2439" s="118"/>
      <c r="M2439" s="118"/>
      <c r="N2439" s="210"/>
    </row>
    <row r="2440" spans="2:14" ht="14.25" hidden="1" customHeight="1" x14ac:dyDescent="0.25">
      <c r="B2440" s="129"/>
      <c r="C2440" s="130"/>
      <c r="D2440" s="130"/>
      <c r="E2440" s="130"/>
      <c r="F2440" s="130"/>
      <c r="G2440" s="130"/>
      <c r="H2440" s="130"/>
      <c r="I2440" s="130"/>
      <c r="J2440" s="130"/>
      <c r="K2440" s="130"/>
      <c r="L2440" s="130"/>
      <c r="M2440" s="130"/>
      <c r="N2440" s="131"/>
    </row>
    <row r="2441" spans="2:14" ht="14.25" customHeight="1" x14ac:dyDescent="0.25"/>
    <row r="2442" spans="2:14" ht="51" hidden="1" customHeight="1" x14ac:dyDescent="0.25">
      <c r="B2442" s="728"/>
      <c r="C2442" s="729"/>
      <c r="D2442" s="730" t="s">
        <v>393</v>
      </c>
      <c r="E2442" s="729"/>
      <c r="F2442" s="729"/>
      <c r="G2442" s="729"/>
      <c r="H2442" s="729"/>
      <c r="I2442" s="729"/>
      <c r="J2442" s="729"/>
      <c r="K2442" s="729"/>
      <c r="L2442" s="729"/>
      <c r="M2442" s="729"/>
      <c r="N2442" s="731"/>
    </row>
    <row r="2443" spans="2:14" ht="14.25" hidden="1" customHeight="1" x14ac:dyDescent="0.25">
      <c r="B2443" s="732" t="s">
        <v>394</v>
      </c>
      <c r="C2443" s="733"/>
      <c r="D2443" s="733"/>
      <c r="E2443" s="733"/>
      <c r="F2443" s="733"/>
      <c r="G2443" s="733"/>
      <c r="H2443" s="733"/>
      <c r="I2443" s="733"/>
      <c r="J2443" s="733"/>
      <c r="K2443" s="733"/>
      <c r="L2443" s="733"/>
      <c r="M2443" s="733"/>
      <c r="N2443" s="734"/>
    </row>
    <row r="2444" spans="2:14" ht="14.25" hidden="1" customHeight="1" x14ac:dyDescent="0.25">
      <c r="B2444" s="735" t="s">
        <v>395</v>
      </c>
      <c r="C2444" s="736"/>
      <c r="D2444" s="779" t="s">
        <v>542</v>
      </c>
      <c r="E2444" s="733"/>
      <c r="F2444" s="733"/>
      <c r="G2444" s="733"/>
      <c r="H2444" s="733"/>
      <c r="I2444" s="733"/>
      <c r="J2444" s="733"/>
      <c r="K2444" s="733"/>
      <c r="L2444" s="733"/>
      <c r="M2444" s="733"/>
      <c r="N2444" s="734"/>
    </row>
    <row r="2445" spans="2:14" ht="14.25" hidden="1" customHeight="1" x14ac:dyDescent="0.25">
      <c r="B2445" s="740" t="s">
        <v>26</v>
      </c>
      <c r="C2445" s="741"/>
      <c r="D2445" s="119" t="s">
        <v>396</v>
      </c>
      <c r="E2445" s="742" t="s">
        <v>397</v>
      </c>
      <c r="F2445" s="733"/>
      <c r="G2445" s="733"/>
      <c r="H2445" s="736"/>
      <c r="I2445" s="742" t="s">
        <v>398</v>
      </c>
      <c r="J2445" s="733"/>
      <c r="K2445" s="736"/>
      <c r="L2445" s="742" t="s">
        <v>399</v>
      </c>
      <c r="M2445" s="733"/>
      <c r="N2445" s="734"/>
    </row>
    <row r="2446" spans="2:14" ht="14.25" hidden="1" customHeight="1" x14ac:dyDescent="0.25">
      <c r="B2446" s="777">
        <v>71</v>
      </c>
      <c r="C2446" s="736"/>
      <c r="D2446" s="123">
        <f>SUM(H2449:H2468)</f>
        <v>0</v>
      </c>
      <c r="E2446" s="778" t="s">
        <v>29</v>
      </c>
      <c r="F2446" s="733"/>
      <c r="G2446" s="733"/>
      <c r="H2446" s="736"/>
      <c r="I2446" s="744"/>
      <c r="J2446" s="745"/>
      <c r="K2446" s="741"/>
      <c r="L2446" s="744"/>
      <c r="M2446" s="745"/>
      <c r="N2446" s="752"/>
    </row>
    <row r="2447" spans="2:14" ht="14.25" hidden="1" customHeight="1" x14ac:dyDescent="0.25">
      <c r="B2447" s="755" t="s">
        <v>416</v>
      </c>
      <c r="C2447" s="733"/>
      <c r="D2447" s="733"/>
      <c r="E2447" s="733"/>
      <c r="F2447" s="733"/>
      <c r="G2447" s="733"/>
      <c r="H2447" s="736"/>
      <c r="I2447" s="746"/>
      <c r="J2447" s="747"/>
      <c r="K2447" s="748"/>
      <c r="L2447" s="746"/>
      <c r="M2447" s="747"/>
      <c r="N2447" s="753"/>
    </row>
    <row r="2448" spans="2:14" ht="14.25" hidden="1" customHeight="1" x14ac:dyDescent="0.25">
      <c r="B2448" s="121" t="s">
        <v>400</v>
      </c>
      <c r="C2448" s="122" t="s">
        <v>401</v>
      </c>
      <c r="D2448" s="123" t="s">
        <v>402</v>
      </c>
      <c r="E2448" s="123" t="s">
        <v>403</v>
      </c>
      <c r="F2448" s="123" t="s">
        <v>404</v>
      </c>
      <c r="G2448" s="123" t="s">
        <v>405</v>
      </c>
      <c r="H2448" s="123" t="s">
        <v>406</v>
      </c>
      <c r="I2448" s="746"/>
      <c r="J2448" s="747"/>
      <c r="K2448" s="748"/>
      <c r="L2448" s="746"/>
      <c r="M2448" s="747"/>
      <c r="N2448" s="753"/>
    </row>
    <row r="2449" spans="2:15" ht="14.25" hidden="1" customHeight="1" x14ac:dyDescent="0.25">
      <c r="B2449" s="124" t="s">
        <v>543</v>
      </c>
      <c r="C2449" s="141" t="s">
        <v>515</v>
      </c>
      <c r="D2449" s="125">
        <v>2</v>
      </c>
      <c r="E2449" s="125"/>
      <c r="F2449" s="125"/>
      <c r="G2449" s="125"/>
      <c r="H2449" s="125">
        <v>0</v>
      </c>
      <c r="I2449" s="746"/>
      <c r="J2449" s="747"/>
      <c r="K2449" s="748"/>
      <c r="L2449" s="746"/>
      <c r="M2449" s="747"/>
      <c r="N2449" s="753"/>
      <c r="O2449" s="133"/>
    </row>
    <row r="2450" spans="2:15" ht="14.25" hidden="1" customHeight="1" x14ac:dyDescent="0.25">
      <c r="B2450" s="124"/>
      <c r="C2450" s="765"/>
      <c r="D2450" s="125"/>
      <c r="E2450" s="125"/>
      <c r="F2450" s="125"/>
      <c r="G2450" s="125"/>
      <c r="H2450" s="125"/>
      <c r="I2450" s="746"/>
      <c r="J2450" s="747"/>
      <c r="K2450" s="748"/>
      <c r="L2450" s="746"/>
      <c r="M2450" s="747"/>
      <c r="N2450" s="753"/>
      <c r="O2450" s="133"/>
    </row>
    <row r="2451" spans="2:15" ht="14.25" hidden="1" customHeight="1" x14ac:dyDescent="0.25">
      <c r="B2451" s="124"/>
      <c r="C2451" s="781"/>
      <c r="D2451" s="125"/>
      <c r="E2451" s="125"/>
      <c r="F2451" s="125"/>
      <c r="G2451" s="125"/>
      <c r="H2451" s="125"/>
      <c r="I2451" s="746"/>
      <c r="J2451" s="747"/>
      <c r="K2451" s="748"/>
      <c r="L2451" s="746"/>
      <c r="M2451" s="747"/>
      <c r="N2451" s="753"/>
    </row>
    <row r="2452" spans="2:15" ht="14.25" hidden="1" customHeight="1" x14ac:dyDescent="0.25">
      <c r="B2452" s="124"/>
      <c r="C2452" s="765"/>
      <c r="D2452" s="125"/>
      <c r="E2452" s="125"/>
      <c r="F2452" s="125"/>
      <c r="G2452" s="125"/>
      <c r="H2452" s="125"/>
      <c r="I2452" s="746"/>
      <c r="J2452" s="747"/>
      <c r="K2452" s="748"/>
      <c r="L2452" s="746"/>
      <c r="M2452" s="747"/>
      <c r="N2452" s="753"/>
    </row>
    <row r="2453" spans="2:15" ht="14.25" hidden="1" customHeight="1" x14ac:dyDescent="0.25">
      <c r="B2453" s="124"/>
      <c r="C2453" s="780"/>
      <c r="D2453" s="125"/>
      <c r="E2453" s="125"/>
      <c r="F2453" s="125"/>
      <c r="G2453" s="125"/>
      <c r="H2453" s="125"/>
      <c r="I2453" s="746"/>
      <c r="J2453" s="747"/>
      <c r="K2453" s="748"/>
      <c r="L2453" s="746"/>
      <c r="M2453" s="747"/>
      <c r="N2453" s="753"/>
    </row>
    <row r="2454" spans="2:15" ht="14.25" hidden="1" customHeight="1" x14ac:dyDescent="0.25">
      <c r="B2454" s="124"/>
      <c r="C2454" s="765"/>
      <c r="D2454" s="125"/>
      <c r="E2454" s="125"/>
      <c r="F2454" s="125"/>
      <c r="G2454" s="125"/>
      <c r="H2454" s="125"/>
      <c r="I2454" s="746"/>
      <c r="J2454" s="747"/>
      <c r="K2454" s="748"/>
      <c r="L2454" s="746"/>
      <c r="M2454" s="747"/>
      <c r="N2454" s="753"/>
    </row>
    <row r="2455" spans="2:15" ht="14.25" hidden="1" customHeight="1" x14ac:dyDescent="0.25">
      <c r="B2455" s="124"/>
      <c r="C2455" s="780"/>
      <c r="D2455" s="125"/>
      <c r="E2455" s="125"/>
      <c r="F2455" s="125"/>
      <c r="G2455" s="125"/>
      <c r="H2455" s="125"/>
      <c r="I2455" s="746"/>
      <c r="J2455" s="747"/>
      <c r="K2455" s="748"/>
      <c r="L2455" s="746"/>
      <c r="M2455" s="747"/>
      <c r="N2455" s="753"/>
    </row>
    <row r="2456" spans="2:15" ht="14.25" hidden="1" customHeight="1" x14ac:dyDescent="0.25">
      <c r="B2456" s="124"/>
      <c r="C2456" s="125"/>
      <c r="D2456" s="125"/>
      <c r="E2456" s="125"/>
      <c r="F2456" s="125"/>
      <c r="G2456" s="125"/>
      <c r="H2456" s="125"/>
      <c r="I2456" s="746"/>
      <c r="J2456" s="747"/>
      <c r="K2456" s="748"/>
      <c r="L2456" s="746"/>
      <c r="M2456" s="747"/>
      <c r="N2456" s="753"/>
    </row>
    <row r="2457" spans="2:15" ht="14.25" hidden="1" customHeight="1" x14ac:dyDescent="0.25">
      <c r="B2457" s="124"/>
      <c r="C2457" s="125"/>
      <c r="D2457" s="125"/>
      <c r="E2457" s="125"/>
      <c r="F2457" s="125"/>
      <c r="G2457" s="125"/>
      <c r="H2457" s="125"/>
      <c r="I2457" s="746"/>
      <c r="J2457" s="747"/>
      <c r="K2457" s="748"/>
      <c r="L2457" s="746"/>
      <c r="M2457" s="747"/>
      <c r="N2457" s="753"/>
    </row>
    <row r="2458" spans="2:15" ht="14.25" hidden="1" customHeight="1" x14ac:dyDescent="0.25">
      <c r="B2458" s="124"/>
      <c r="C2458" s="125"/>
      <c r="D2458" s="125"/>
      <c r="E2458" s="125"/>
      <c r="F2458" s="125"/>
      <c r="G2458" s="125"/>
      <c r="H2458" s="125"/>
      <c r="I2458" s="746"/>
      <c r="J2458" s="747"/>
      <c r="K2458" s="748"/>
      <c r="L2458" s="746"/>
      <c r="M2458" s="747"/>
      <c r="N2458" s="753"/>
    </row>
    <row r="2459" spans="2:15" ht="14.25" hidden="1" customHeight="1" x14ac:dyDescent="0.25">
      <c r="B2459" s="124"/>
      <c r="C2459" s="125"/>
      <c r="D2459" s="125"/>
      <c r="E2459" s="125"/>
      <c r="F2459" s="125"/>
      <c r="G2459" s="125"/>
      <c r="H2459" s="125"/>
      <c r="I2459" s="746"/>
      <c r="J2459" s="747"/>
      <c r="K2459" s="748"/>
      <c r="L2459" s="746"/>
      <c r="M2459" s="747"/>
      <c r="N2459" s="753"/>
    </row>
    <row r="2460" spans="2:15" ht="14.25" hidden="1" customHeight="1" x14ac:dyDescent="0.25">
      <c r="B2460" s="124"/>
      <c r="C2460" s="125"/>
      <c r="D2460" s="125"/>
      <c r="E2460" s="125"/>
      <c r="F2460" s="125"/>
      <c r="G2460" s="125"/>
      <c r="H2460" s="125"/>
      <c r="I2460" s="746"/>
      <c r="J2460" s="747"/>
      <c r="K2460" s="748"/>
      <c r="L2460" s="746"/>
      <c r="M2460" s="747"/>
      <c r="N2460" s="753"/>
    </row>
    <row r="2461" spans="2:15" ht="14.25" hidden="1" customHeight="1" x14ac:dyDescent="0.25">
      <c r="B2461" s="124"/>
      <c r="C2461" s="125"/>
      <c r="D2461" s="125"/>
      <c r="E2461" s="125"/>
      <c r="F2461" s="125"/>
      <c r="G2461" s="125"/>
      <c r="H2461" s="125"/>
      <c r="I2461" s="746"/>
      <c r="J2461" s="747"/>
      <c r="K2461" s="748"/>
      <c r="L2461" s="746"/>
      <c r="M2461" s="747"/>
      <c r="N2461" s="753"/>
    </row>
    <row r="2462" spans="2:15" ht="14.25" hidden="1" customHeight="1" x14ac:dyDescent="0.25">
      <c r="B2462" s="124"/>
      <c r="C2462" s="125"/>
      <c r="D2462" s="125"/>
      <c r="E2462" s="125"/>
      <c r="F2462" s="125"/>
      <c r="G2462" s="125"/>
      <c r="H2462" s="125"/>
      <c r="I2462" s="746"/>
      <c r="J2462" s="747"/>
      <c r="K2462" s="748"/>
      <c r="L2462" s="746"/>
      <c r="M2462" s="747"/>
      <c r="N2462" s="753"/>
    </row>
    <row r="2463" spans="2:15" ht="14.25" hidden="1" customHeight="1" x14ac:dyDescent="0.25">
      <c r="B2463" s="124"/>
      <c r="C2463" s="125"/>
      <c r="D2463" s="125"/>
      <c r="E2463" s="125"/>
      <c r="F2463" s="125"/>
      <c r="G2463" s="125"/>
      <c r="H2463" s="125"/>
      <c r="I2463" s="746"/>
      <c r="J2463" s="747"/>
      <c r="K2463" s="748"/>
      <c r="L2463" s="746"/>
      <c r="M2463" s="747"/>
      <c r="N2463" s="753"/>
    </row>
    <row r="2464" spans="2:15" ht="14.25" hidden="1" customHeight="1" x14ac:dyDescent="0.25">
      <c r="B2464" s="124"/>
      <c r="C2464" s="125"/>
      <c r="D2464" s="125"/>
      <c r="E2464" s="125"/>
      <c r="F2464" s="125"/>
      <c r="G2464" s="125"/>
      <c r="H2464" s="125"/>
      <c r="I2464" s="746"/>
      <c r="J2464" s="747"/>
      <c r="K2464" s="748"/>
      <c r="L2464" s="746"/>
      <c r="M2464" s="747"/>
      <c r="N2464" s="753"/>
    </row>
    <row r="2465" spans="2:14" ht="14.25" hidden="1" customHeight="1" x14ac:dyDescent="0.25">
      <c r="B2465" s="124"/>
      <c r="C2465" s="125"/>
      <c r="D2465" s="125"/>
      <c r="E2465" s="125"/>
      <c r="F2465" s="125"/>
      <c r="G2465" s="125"/>
      <c r="H2465" s="125"/>
      <c r="I2465" s="746"/>
      <c r="J2465" s="747"/>
      <c r="K2465" s="748"/>
      <c r="L2465" s="746"/>
      <c r="M2465" s="747"/>
      <c r="N2465" s="753"/>
    </row>
    <row r="2466" spans="2:14" ht="14.25" hidden="1" customHeight="1" x14ac:dyDescent="0.25">
      <c r="B2466" s="124"/>
      <c r="C2466" s="125"/>
      <c r="D2466" s="125"/>
      <c r="E2466" s="125"/>
      <c r="F2466" s="125"/>
      <c r="G2466" s="125"/>
      <c r="H2466" s="125"/>
      <c r="I2466" s="746"/>
      <c r="J2466" s="747"/>
      <c r="K2466" s="748"/>
      <c r="L2466" s="746"/>
      <c r="M2466" s="747"/>
      <c r="N2466" s="753"/>
    </row>
    <row r="2467" spans="2:14" ht="14.25" hidden="1" customHeight="1" x14ac:dyDescent="0.25">
      <c r="B2467" s="124"/>
      <c r="C2467" s="125"/>
      <c r="D2467" s="125"/>
      <c r="E2467" s="125"/>
      <c r="F2467" s="125"/>
      <c r="G2467" s="125"/>
      <c r="H2467" s="125"/>
      <c r="I2467" s="746"/>
      <c r="J2467" s="747"/>
      <c r="K2467" s="748"/>
      <c r="L2467" s="746"/>
      <c r="M2467" s="747"/>
      <c r="N2467" s="753"/>
    </row>
    <row r="2468" spans="2:14" ht="14.25" hidden="1" customHeight="1" x14ac:dyDescent="0.25">
      <c r="B2468" s="127"/>
      <c r="C2468" s="125"/>
      <c r="D2468" s="125"/>
      <c r="E2468" s="125"/>
      <c r="F2468" s="125"/>
      <c r="G2468" s="125"/>
      <c r="H2468" s="125"/>
      <c r="I2468" s="749"/>
      <c r="J2468" s="750"/>
      <c r="K2468" s="751"/>
      <c r="L2468" s="749"/>
      <c r="M2468" s="750"/>
      <c r="N2468" s="754"/>
    </row>
    <row r="2469" spans="2:14" ht="14.25" hidden="1" customHeight="1" x14ac:dyDescent="0.25">
      <c r="B2469" s="209"/>
      <c r="C2469" s="118"/>
      <c r="D2469" s="118"/>
      <c r="E2469" s="118"/>
      <c r="F2469" s="118"/>
      <c r="G2469" s="118"/>
      <c r="H2469" s="118"/>
      <c r="I2469" s="118"/>
      <c r="J2469" s="118"/>
      <c r="K2469" s="118"/>
      <c r="L2469" s="118"/>
      <c r="M2469" s="118"/>
      <c r="N2469" s="210"/>
    </row>
    <row r="2470" spans="2:14" ht="14.25" hidden="1" customHeight="1" x14ac:dyDescent="0.25">
      <c r="B2470" s="209"/>
      <c r="C2470" s="118"/>
      <c r="D2470" s="118"/>
      <c r="E2470" s="118"/>
      <c r="F2470" s="118"/>
      <c r="G2470" s="118"/>
      <c r="H2470" s="118"/>
      <c r="I2470" s="118"/>
      <c r="J2470" s="118"/>
      <c r="K2470" s="118"/>
      <c r="L2470" s="118"/>
      <c r="M2470" s="118"/>
      <c r="N2470" s="210"/>
    </row>
    <row r="2471" spans="2:14" ht="14.25" hidden="1" customHeight="1" x14ac:dyDescent="0.25">
      <c r="B2471" s="209"/>
      <c r="C2471" s="118"/>
      <c r="D2471" s="118"/>
      <c r="E2471" s="118"/>
      <c r="F2471" s="118"/>
      <c r="G2471" s="118"/>
      <c r="H2471" s="118"/>
      <c r="I2471" s="118"/>
      <c r="J2471" s="118"/>
      <c r="K2471" s="118"/>
      <c r="L2471" s="118"/>
      <c r="M2471" s="118"/>
      <c r="N2471" s="210"/>
    </row>
    <row r="2472" spans="2:14" ht="14.25" hidden="1" customHeight="1" x14ac:dyDescent="0.25">
      <c r="B2472" s="209"/>
      <c r="C2472" s="118"/>
      <c r="D2472" s="118"/>
      <c r="E2472" s="118"/>
      <c r="F2472" s="118"/>
      <c r="G2472" s="118"/>
      <c r="H2472" s="118"/>
      <c r="I2472" s="118"/>
      <c r="J2472" s="118"/>
      <c r="K2472" s="118"/>
      <c r="L2472" s="118"/>
      <c r="M2472" s="118"/>
      <c r="N2472" s="210"/>
    </row>
    <row r="2473" spans="2:14" ht="14.25" hidden="1" customHeight="1" x14ac:dyDescent="0.25">
      <c r="B2473" s="775" t="s">
        <v>414</v>
      </c>
      <c r="C2473" s="747"/>
      <c r="D2473" s="747"/>
      <c r="E2473" s="128"/>
      <c r="F2473" s="128"/>
      <c r="G2473" s="128"/>
      <c r="H2473" s="128"/>
      <c r="I2473" s="776"/>
      <c r="J2473" s="747"/>
      <c r="K2473" s="747"/>
      <c r="L2473" s="118"/>
      <c r="M2473" s="118"/>
      <c r="N2473" s="210"/>
    </row>
    <row r="2474" spans="2:14" ht="14.25" hidden="1" customHeight="1" x14ac:dyDescent="0.25">
      <c r="B2474" s="129"/>
      <c r="C2474" s="130"/>
      <c r="D2474" s="130"/>
      <c r="E2474" s="130"/>
      <c r="F2474" s="130"/>
      <c r="G2474" s="130"/>
      <c r="H2474" s="130"/>
      <c r="I2474" s="130"/>
      <c r="J2474" s="130"/>
      <c r="K2474" s="130"/>
      <c r="L2474" s="130"/>
      <c r="M2474" s="130"/>
      <c r="N2474" s="131"/>
    </row>
    <row r="2475" spans="2:14" ht="14.25" customHeight="1" thickBot="1" x14ac:dyDescent="0.3"/>
    <row r="2476" spans="2:14" ht="46.5" hidden="1" customHeight="1" x14ac:dyDescent="0.25">
      <c r="B2476" s="728"/>
      <c r="C2476" s="729"/>
      <c r="D2476" s="730" t="s">
        <v>393</v>
      </c>
      <c r="E2476" s="729"/>
      <c r="F2476" s="729"/>
      <c r="G2476" s="729"/>
      <c r="H2476" s="729"/>
      <c r="I2476" s="729"/>
      <c r="J2476" s="729"/>
      <c r="K2476" s="729"/>
      <c r="L2476" s="729"/>
      <c r="M2476" s="729"/>
      <c r="N2476" s="731"/>
    </row>
    <row r="2477" spans="2:14" ht="14.25" hidden="1" customHeight="1" x14ac:dyDescent="0.25">
      <c r="B2477" s="732" t="s">
        <v>394</v>
      </c>
      <c r="C2477" s="733"/>
      <c r="D2477" s="733"/>
      <c r="E2477" s="733"/>
      <c r="F2477" s="733"/>
      <c r="G2477" s="733"/>
      <c r="H2477" s="733"/>
      <c r="I2477" s="733"/>
      <c r="J2477" s="733"/>
      <c r="K2477" s="733"/>
      <c r="L2477" s="733"/>
      <c r="M2477" s="733"/>
      <c r="N2477" s="734"/>
    </row>
    <row r="2478" spans="2:14" ht="14.25" hidden="1" customHeight="1" x14ac:dyDescent="0.25">
      <c r="B2478" s="735" t="s">
        <v>395</v>
      </c>
      <c r="C2478" s="736"/>
      <c r="D2478" s="779" t="s">
        <v>544</v>
      </c>
      <c r="E2478" s="733"/>
      <c r="F2478" s="733"/>
      <c r="G2478" s="733"/>
      <c r="H2478" s="733"/>
      <c r="I2478" s="733"/>
      <c r="J2478" s="733"/>
      <c r="K2478" s="733"/>
      <c r="L2478" s="733"/>
      <c r="M2478" s="733"/>
      <c r="N2478" s="734"/>
    </row>
    <row r="2479" spans="2:14" ht="14.25" hidden="1" customHeight="1" x14ac:dyDescent="0.25">
      <c r="B2479" s="740" t="s">
        <v>26</v>
      </c>
      <c r="C2479" s="741"/>
      <c r="D2479" s="119" t="s">
        <v>396</v>
      </c>
      <c r="E2479" s="742" t="s">
        <v>397</v>
      </c>
      <c r="F2479" s="733"/>
      <c r="G2479" s="733"/>
      <c r="H2479" s="736"/>
      <c r="I2479" s="742" t="s">
        <v>398</v>
      </c>
      <c r="J2479" s="733"/>
      <c r="K2479" s="736"/>
      <c r="L2479" s="742" t="s">
        <v>399</v>
      </c>
      <c r="M2479" s="733"/>
      <c r="N2479" s="734"/>
    </row>
    <row r="2480" spans="2:14" ht="14.25" hidden="1" customHeight="1" x14ac:dyDescent="0.25">
      <c r="B2480" s="777">
        <v>72</v>
      </c>
      <c r="C2480" s="736"/>
      <c r="D2480" s="123">
        <f>SUM(H2483:H2501)</f>
        <v>13</v>
      </c>
      <c r="E2480" s="778" t="s">
        <v>29</v>
      </c>
      <c r="F2480" s="733"/>
      <c r="G2480" s="733"/>
      <c r="H2480" s="736"/>
      <c r="I2480" s="744"/>
      <c r="J2480" s="745"/>
      <c r="K2480" s="741"/>
      <c r="L2480" s="744"/>
      <c r="M2480" s="745"/>
      <c r="N2480" s="752"/>
    </row>
    <row r="2481" spans="2:14" ht="14.25" hidden="1" customHeight="1" x14ac:dyDescent="0.25">
      <c r="B2481" s="755" t="s">
        <v>416</v>
      </c>
      <c r="C2481" s="733"/>
      <c r="D2481" s="733"/>
      <c r="E2481" s="733"/>
      <c r="F2481" s="733"/>
      <c r="G2481" s="733"/>
      <c r="H2481" s="736"/>
      <c r="I2481" s="746"/>
      <c r="J2481" s="747"/>
      <c r="K2481" s="748"/>
      <c r="L2481" s="746"/>
      <c r="M2481" s="747"/>
      <c r="N2481" s="753"/>
    </row>
    <row r="2482" spans="2:14" ht="14.25" hidden="1" customHeight="1" x14ac:dyDescent="0.25">
      <c r="B2482" s="121" t="s">
        <v>400</v>
      </c>
      <c r="C2482" s="122" t="s">
        <v>401</v>
      </c>
      <c r="D2482" s="123" t="s">
        <v>402</v>
      </c>
      <c r="E2482" s="123" t="s">
        <v>403</v>
      </c>
      <c r="F2482" s="123" t="s">
        <v>404</v>
      </c>
      <c r="G2482" s="123" t="s">
        <v>405</v>
      </c>
      <c r="H2482" s="123" t="s">
        <v>406</v>
      </c>
      <c r="I2482" s="746"/>
      <c r="J2482" s="747"/>
      <c r="K2482" s="748"/>
      <c r="L2482" s="746"/>
      <c r="M2482" s="747"/>
      <c r="N2482" s="753"/>
    </row>
    <row r="2483" spans="2:14" ht="14.25" hidden="1" customHeight="1" x14ac:dyDescent="0.25">
      <c r="B2483" s="124" t="s">
        <v>539</v>
      </c>
      <c r="C2483" s="141" t="s">
        <v>481</v>
      </c>
      <c r="D2483" s="125">
        <v>2</v>
      </c>
      <c r="E2483" s="125"/>
      <c r="F2483" s="125"/>
      <c r="G2483" s="125"/>
      <c r="H2483" s="125">
        <f t="shared" ref="H2483:H2490" si="57">D2483</f>
        <v>2</v>
      </c>
      <c r="I2483" s="746"/>
      <c r="J2483" s="747"/>
      <c r="K2483" s="748"/>
      <c r="L2483" s="746"/>
      <c r="M2483" s="747"/>
      <c r="N2483" s="753"/>
    </row>
    <row r="2484" spans="2:14" ht="14.25" hidden="1" customHeight="1" x14ac:dyDescent="0.25">
      <c r="B2484" s="124" t="s">
        <v>540</v>
      </c>
      <c r="C2484" s="161"/>
      <c r="D2484" s="125">
        <v>3</v>
      </c>
      <c r="E2484" s="125"/>
      <c r="F2484" s="125"/>
      <c r="G2484" s="125"/>
      <c r="H2484" s="125">
        <f t="shared" si="57"/>
        <v>3</v>
      </c>
      <c r="I2484" s="746"/>
      <c r="J2484" s="747"/>
      <c r="K2484" s="748"/>
      <c r="L2484" s="746"/>
      <c r="M2484" s="747"/>
      <c r="N2484" s="753"/>
    </row>
    <row r="2485" spans="2:14" ht="14.25" hidden="1" customHeight="1" x14ac:dyDescent="0.25">
      <c r="B2485" s="124" t="s">
        <v>539</v>
      </c>
      <c r="C2485" s="765" t="s">
        <v>488</v>
      </c>
      <c r="D2485" s="125">
        <v>2</v>
      </c>
      <c r="E2485" s="125"/>
      <c r="F2485" s="125"/>
      <c r="G2485" s="125"/>
      <c r="H2485" s="125">
        <f t="shared" si="57"/>
        <v>2</v>
      </c>
      <c r="I2485" s="746"/>
      <c r="J2485" s="747"/>
      <c r="K2485" s="748"/>
      <c r="L2485" s="746"/>
      <c r="M2485" s="747"/>
      <c r="N2485" s="753"/>
    </row>
    <row r="2486" spans="2:14" ht="14.25" hidden="1" customHeight="1" x14ac:dyDescent="0.25">
      <c r="B2486" s="124" t="s">
        <v>540</v>
      </c>
      <c r="C2486" s="780"/>
      <c r="D2486" s="125">
        <v>2</v>
      </c>
      <c r="E2486" s="125"/>
      <c r="F2486" s="125"/>
      <c r="G2486" s="125"/>
      <c r="H2486" s="125">
        <f t="shared" si="57"/>
        <v>2</v>
      </c>
      <c r="I2486" s="746"/>
      <c r="J2486" s="747"/>
      <c r="K2486" s="748"/>
      <c r="L2486" s="746"/>
      <c r="M2486" s="747"/>
      <c r="N2486" s="753"/>
    </row>
    <row r="2487" spans="2:14" ht="14.25" hidden="1" customHeight="1" x14ac:dyDescent="0.25">
      <c r="B2487" s="124" t="s">
        <v>541</v>
      </c>
      <c r="C2487" s="765" t="s">
        <v>494</v>
      </c>
      <c r="D2487" s="125">
        <v>2</v>
      </c>
      <c r="E2487" s="125"/>
      <c r="F2487" s="125"/>
      <c r="G2487" s="125"/>
      <c r="H2487" s="125">
        <f t="shared" si="57"/>
        <v>2</v>
      </c>
      <c r="I2487" s="746"/>
      <c r="J2487" s="747"/>
      <c r="K2487" s="748"/>
      <c r="L2487" s="746"/>
      <c r="M2487" s="747"/>
      <c r="N2487" s="753"/>
    </row>
    <row r="2488" spans="2:14" ht="14.25" hidden="1" customHeight="1" x14ac:dyDescent="0.25">
      <c r="B2488" s="124" t="s">
        <v>540</v>
      </c>
      <c r="C2488" s="780"/>
      <c r="D2488" s="125">
        <v>2</v>
      </c>
      <c r="E2488" s="125"/>
      <c r="F2488" s="125"/>
      <c r="G2488" s="125"/>
      <c r="H2488" s="125">
        <f t="shared" si="57"/>
        <v>2</v>
      </c>
      <c r="I2488" s="746"/>
      <c r="J2488" s="747"/>
      <c r="K2488" s="748"/>
      <c r="L2488" s="746"/>
      <c r="M2488" s="747"/>
      <c r="N2488" s="753"/>
    </row>
    <row r="2489" spans="2:14" ht="14.25" hidden="1" customHeight="1" x14ac:dyDescent="0.25">
      <c r="B2489" s="124"/>
      <c r="C2489" s="125"/>
      <c r="D2489" s="125"/>
      <c r="E2489" s="125"/>
      <c r="F2489" s="125"/>
      <c r="G2489" s="125"/>
      <c r="H2489" s="125">
        <f t="shared" si="57"/>
        <v>0</v>
      </c>
      <c r="I2489" s="746"/>
      <c r="J2489" s="747"/>
      <c r="K2489" s="748"/>
      <c r="L2489" s="746"/>
      <c r="M2489" s="747"/>
      <c r="N2489" s="753"/>
    </row>
    <row r="2490" spans="2:14" ht="14.25" hidden="1" customHeight="1" x14ac:dyDescent="0.25">
      <c r="B2490" s="124"/>
      <c r="C2490" s="125"/>
      <c r="D2490" s="125"/>
      <c r="E2490" s="125"/>
      <c r="F2490" s="125"/>
      <c r="G2490" s="125"/>
      <c r="H2490" s="125">
        <f t="shared" si="57"/>
        <v>0</v>
      </c>
      <c r="I2490" s="746"/>
      <c r="J2490" s="747"/>
      <c r="K2490" s="748"/>
      <c r="L2490" s="746"/>
      <c r="M2490" s="747"/>
      <c r="N2490" s="753"/>
    </row>
    <row r="2491" spans="2:14" ht="14.25" hidden="1" customHeight="1" x14ac:dyDescent="0.25">
      <c r="B2491" s="124"/>
      <c r="C2491" s="125"/>
      <c r="D2491" s="125"/>
      <c r="E2491" s="125"/>
      <c r="F2491" s="125"/>
      <c r="G2491" s="125"/>
      <c r="H2491" s="125"/>
      <c r="I2491" s="746"/>
      <c r="J2491" s="747"/>
      <c r="K2491" s="748"/>
      <c r="L2491" s="746"/>
      <c r="M2491" s="747"/>
      <c r="N2491" s="753"/>
    </row>
    <row r="2492" spans="2:14" ht="14.25" hidden="1" customHeight="1" x14ac:dyDescent="0.25">
      <c r="B2492" s="124"/>
      <c r="C2492" s="125"/>
      <c r="D2492" s="125"/>
      <c r="E2492" s="125"/>
      <c r="F2492" s="125"/>
      <c r="G2492" s="125"/>
      <c r="H2492" s="125"/>
      <c r="I2492" s="746"/>
      <c r="J2492" s="747"/>
      <c r="K2492" s="748"/>
      <c r="L2492" s="746"/>
      <c r="M2492" s="747"/>
      <c r="N2492" s="753"/>
    </row>
    <row r="2493" spans="2:14" ht="14.25" hidden="1" customHeight="1" x14ac:dyDescent="0.25">
      <c r="B2493" s="124"/>
      <c r="C2493" s="125"/>
      <c r="D2493" s="125"/>
      <c r="E2493" s="125"/>
      <c r="F2493" s="125"/>
      <c r="G2493" s="125"/>
      <c r="H2493" s="125"/>
      <c r="I2493" s="746"/>
      <c r="J2493" s="747"/>
      <c r="K2493" s="748"/>
      <c r="L2493" s="746"/>
      <c r="M2493" s="747"/>
      <c r="N2493" s="753"/>
    </row>
    <row r="2494" spans="2:14" ht="14.25" hidden="1" customHeight="1" x14ac:dyDescent="0.25">
      <c r="B2494" s="124"/>
      <c r="C2494" s="125"/>
      <c r="D2494" s="125"/>
      <c r="E2494" s="125"/>
      <c r="F2494" s="125"/>
      <c r="G2494" s="125"/>
      <c r="H2494" s="125"/>
      <c r="I2494" s="746"/>
      <c r="J2494" s="747"/>
      <c r="K2494" s="748"/>
      <c r="L2494" s="746"/>
      <c r="M2494" s="747"/>
      <c r="N2494" s="753"/>
    </row>
    <row r="2495" spans="2:14" ht="14.25" hidden="1" customHeight="1" x14ac:dyDescent="0.25">
      <c r="B2495" s="124"/>
      <c r="C2495" s="125"/>
      <c r="D2495" s="125"/>
      <c r="E2495" s="125"/>
      <c r="F2495" s="125"/>
      <c r="G2495" s="125"/>
      <c r="H2495" s="125"/>
      <c r="I2495" s="746"/>
      <c r="J2495" s="747"/>
      <c r="K2495" s="748"/>
      <c r="L2495" s="746"/>
      <c r="M2495" s="747"/>
      <c r="N2495" s="753"/>
    </row>
    <row r="2496" spans="2:14" ht="14.25" hidden="1" customHeight="1" x14ac:dyDescent="0.25">
      <c r="B2496" s="124"/>
      <c r="C2496" s="125"/>
      <c r="D2496" s="125"/>
      <c r="E2496" s="125"/>
      <c r="F2496" s="125"/>
      <c r="G2496" s="125"/>
      <c r="H2496" s="125"/>
      <c r="I2496" s="746"/>
      <c r="J2496" s="747"/>
      <c r="K2496" s="748"/>
      <c r="L2496" s="746"/>
      <c r="M2496" s="747"/>
      <c r="N2496" s="753"/>
    </row>
    <row r="2497" spans="2:14" ht="14.25" hidden="1" customHeight="1" x14ac:dyDescent="0.25">
      <c r="B2497" s="124"/>
      <c r="C2497" s="125"/>
      <c r="D2497" s="125"/>
      <c r="E2497" s="125"/>
      <c r="F2497" s="125"/>
      <c r="G2497" s="125"/>
      <c r="H2497" s="125"/>
      <c r="I2497" s="746"/>
      <c r="J2497" s="747"/>
      <c r="K2497" s="748"/>
      <c r="L2497" s="746"/>
      <c r="M2497" s="747"/>
      <c r="N2497" s="753"/>
    </row>
    <row r="2498" spans="2:14" ht="14.25" hidden="1" customHeight="1" x14ac:dyDescent="0.25">
      <c r="B2498" s="124"/>
      <c r="C2498" s="125"/>
      <c r="D2498" s="125"/>
      <c r="E2498" s="125"/>
      <c r="F2498" s="125"/>
      <c r="G2498" s="125"/>
      <c r="H2498" s="125"/>
      <c r="I2498" s="746"/>
      <c r="J2498" s="747"/>
      <c r="K2498" s="748"/>
      <c r="L2498" s="746"/>
      <c r="M2498" s="747"/>
      <c r="N2498" s="753"/>
    </row>
    <row r="2499" spans="2:14" ht="14.25" hidden="1" customHeight="1" x14ac:dyDescent="0.25">
      <c r="B2499" s="124"/>
      <c r="C2499" s="125"/>
      <c r="D2499" s="125"/>
      <c r="E2499" s="125"/>
      <c r="F2499" s="125"/>
      <c r="G2499" s="125"/>
      <c r="H2499" s="125"/>
      <c r="I2499" s="746"/>
      <c r="J2499" s="747"/>
      <c r="K2499" s="748"/>
      <c r="L2499" s="746"/>
      <c r="M2499" s="747"/>
      <c r="N2499" s="753"/>
    </row>
    <row r="2500" spans="2:14" ht="14.25" hidden="1" customHeight="1" x14ac:dyDescent="0.25">
      <c r="B2500" s="124"/>
      <c r="C2500" s="125"/>
      <c r="D2500" s="125"/>
      <c r="E2500" s="125"/>
      <c r="F2500" s="125"/>
      <c r="G2500" s="125"/>
      <c r="H2500" s="125"/>
      <c r="I2500" s="746"/>
      <c r="J2500" s="747"/>
      <c r="K2500" s="748"/>
      <c r="L2500" s="746"/>
      <c r="M2500" s="747"/>
      <c r="N2500" s="753"/>
    </row>
    <row r="2501" spans="2:14" ht="14.25" hidden="1" customHeight="1" x14ac:dyDescent="0.25">
      <c r="B2501" s="127"/>
      <c r="C2501" s="125"/>
      <c r="D2501" s="125"/>
      <c r="E2501" s="125"/>
      <c r="F2501" s="125"/>
      <c r="G2501" s="125"/>
      <c r="H2501" s="125"/>
      <c r="I2501" s="749"/>
      <c r="J2501" s="750"/>
      <c r="K2501" s="751"/>
      <c r="L2501" s="749"/>
      <c r="M2501" s="750"/>
      <c r="N2501" s="754"/>
    </row>
    <row r="2502" spans="2:14" ht="14.25" hidden="1" customHeight="1" x14ac:dyDescent="0.25">
      <c r="B2502" s="209"/>
      <c r="C2502" s="118"/>
      <c r="D2502" s="118"/>
      <c r="E2502" s="118"/>
      <c r="F2502" s="118"/>
      <c r="G2502" s="118"/>
      <c r="H2502" s="118"/>
      <c r="I2502" s="118"/>
      <c r="J2502" s="118"/>
      <c r="K2502" s="118"/>
      <c r="L2502" s="118"/>
      <c r="M2502" s="118"/>
      <c r="N2502" s="210"/>
    </row>
    <row r="2503" spans="2:14" ht="14.25" hidden="1" customHeight="1" x14ac:dyDescent="0.25">
      <c r="B2503" s="209"/>
      <c r="C2503" s="118"/>
      <c r="D2503" s="118"/>
      <c r="E2503" s="118"/>
      <c r="F2503" s="118"/>
      <c r="G2503" s="118"/>
      <c r="H2503" s="118"/>
      <c r="I2503" s="118"/>
      <c r="J2503" s="118"/>
      <c r="K2503" s="118"/>
      <c r="L2503" s="118"/>
      <c r="M2503" s="118"/>
      <c r="N2503" s="210"/>
    </row>
    <row r="2504" spans="2:14" ht="14.25" hidden="1" customHeight="1" x14ac:dyDescent="0.25">
      <c r="B2504" s="209"/>
      <c r="C2504" s="118"/>
      <c r="D2504" s="118"/>
      <c r="E2504" s="118"/>
      <c r="F2504" s="118"/>
      <c r="G2504" s="118"/>
      <c r="H2504" s="118"/>
      <c r="I2504" s="118"/>
      <c r="J2504" s="118"/>
      <c r="K2504" s="118"/>
      <c r="L2504" s="118"/>
      <c r="M2504" s="118"/>
      <c r="N2504" s="210"/>
    </row>
    <row r="2505" spans="2:14" ht="14.25" hidden="1" customHeight="1" x14ac:dyDescent="0.25">
      <c r="B2505" s="209"/>
      <c r="C2505" s="118"/>
      <c r="D2505" s="118"/>
      <c r="E2505" s="118"/>
      <c r="F2505" s="118"/>
      <c r="G2505" s="118"/>
      <c r="H2505" s="118"/>
      <c r="I2505" s="118"/>
      <c r="J2505" s="118"/>
      <c r="K2505" s="118"/>
      <c r="L2505" s="118"/>
      <c r="M2505" s="118"/>
      <c r="N2505" s="210"/>
    </row>
    <row r="2506" spans="2:14" ht="14.25" hidden="1" customHeight="1" x14ac:dyDescent="0.25">
      <c r="B2506" s="775" t="s">
        <v>414</v>
      </c>
      <c r="C2506" s="747"/>
      <c r="D2506" s="747"/>
      <c r="E2506" s="128"/>
      <c r="F2506" s="128"/>
      <c r="G2506" s="128"/>
      <c r="H2506" s="128"/>
      <c r="I2506" s="776"/>
      <c r="J2506" s="747"/>
      <c r="K2506" s="747"/>
      <c r="L2506" s="118"/>
      <c r="M2506" s="118"/>
      <c r="N2506" s="210"/>
    </row>
    <row r="2507" spans="2:14" ht="14.25" hidden="1" customHeight="1" x14ac:dyDescent="0.25">
      <c r="B2507" s="129"/>
      <c r="C2507" s="130"/>
      <c r="D2507" s="130"/>
      <c r="E2507" s="130"/>
      <c r="F2507" s="130"/>
      <c r="G2507" s="130"/>
      <c r="H2507" s="130"/>
      <c r="I2507" s="130"/>
      <c r="J2507" s="130"/>
      <c r="K2507" s="130"/>
      <c r="L2507" s="130"/>
      <c r="M2507" s="130"/>
      <c r="N2507" s="131"/>
    </row>
    <row r="2508" spans="2:14" ht="14.25" hidden="1" customHeight="1" x14ac:dyDescent="0.25"/>
    <row r="2509" spans="2:14" ht="39" hidden="1" customHeight="1" x14ac:dyDescent="0.25">
      <c r="B2509" s="728"/>
      <c r="C2509" s="729"/>
      <c r="D2509" s="730" t="s">
        <v>393</v>
      </c>
      <c r="E2509" s="729"/>
      <c r="F2509" s="729"/>
      <c r="G2509" s="729"/>
      <c r="H2509" s="729"/>
      <c r="I2509" s="729"/>
      <c r="J2509" s="729"/>
      <c r="K2509" s="729"/>
      <c r="L2509" s="729"/>
      <c r="M2509" s="729"/>
      <c r="N2509" s="731"/>
    </row>
    <row r="2510" spans="2:14" ht="14.25" hidden="1" customHeight="1" x14ac:dyDescent="0.25">
      <c r="B2510" s="732" t="s">
        <v>394</v>
      </c>
      <c r="C2510" s="733"/>
      <c r="D2510" s="733"/>
      <c r="E2510" s="733"/>
      <c r="F2510" s="733"/>
      <c r="G2510" s="733"/>
      <c r="H2510" s="733"/>
      <c r="I2510" s="733"/>
      <c r="J2510" s="733"/>
      <c r="K2510" s="733"/>
      <c r="L2510" s="733"/>
      <c r="M2510" s="733"/>
      <c r="N2510" s="734"/>
    </row>
    <row r="2511" spans="2:14" ht="14.25" hidden="1" customHeight="1" x14ac:dyDescent="0.25">
      <c r="B2511" s="735" t="s">
        <v>395</v>
      </c>
      <c r="C2511" s="736"/>
      <c r="D2511" s="779" t="s">
        <v>545</v>
      </c>
      <c r="E2511" s="733"/>
      <c r="F2511" s="733"/>
      <c r="G2511" s="733"/>
      <c r="H2511" s="733"/>
      <c r="I2511" s="733"/>
      <c r="J2511" s="733"/>
      <c r="K2511" s="733"/>
      <c r="L2511" s="733"/>
      <c r="M2511" s="733"/>
      <c r="N2511" s="734"/>
    </row>
    <row r="2512" spans="2:14" ht="14.25" hidden="1" customHeight="1" x14ac:dyDescent="0.25">
      <c r="B2512" s="740" t="s">
        <v>26</v>
      </c>
      <c r="C2512" s="741"/>
      <c r="D2512" s="119" t="s">
        <v>396</v>
      </c>
      <c r="E2512" s="742" t="s">
        <v>397</v>
      </c>
      <c r="F2512" s="733"/>
      <c r="G2512" s="733"/>
      <c r="H2512" s="736"/>
      <c r="I2512" s="742" t="s">
        <v>398</v>
      </c>
      <c r="J2512" s="733"/>
      <c r="K2512" s="736"/>
      <c r="L2512" s="742" t="s">
        <v>399</v>
      </c>
      <c r="M2512" s="733"/>
      <c r="N2512" s="734"/>
    </row>
    <row r="2513" spans="2:14" ht="14.25" hidden="1" customHeight="1" x14ac:dyDescent="0.25">
      <c r="B2513" s="777">
        <v>73</v>
      </c>
      <c r="C2513" s="736"/>
      <c r="D2513" s="123">
        <f>SUM(H2516:H2534)</f>
        <v>1</v>
      </c>
      <c r="E2513" s="778" t="s">
        <v>29</v>
      </c>
      <c r="F2513" s="733"/>
      <c r="G2513" s="733"/>
      <c r="H2513" s="736"/>
      <c r="I2513" s="744"/>
      <c r="J2513" s="745"/>
      <c r="K2513" s="741"/>
      <c r="L2513" s="744"/>
      <c r="M2513" s="745"/>
      <c r="N2513" s="752"/>
    </row>
    <row r="2514" spans="2:14" ht="14.25" hidden="1" customHeight="1" x14ac:dyDescent="0.25">
      <c r="B2514" s="755" t="s">
        <v>416</v>
      </c>
      <c r="C2514" s="733"/>
      <c r="D2514" s="733"/>
      <c r="E2514" s="733"/>
      <c r="F2514" s="733"/>
      <c r="G2514" s="733"/>
      <c r="H2514" s="736"/>
      <c r="I2514" s="746"/>
      <c r="J2514" s="747"/>
      <c r="K2514" s="748"/>
      <c r="L2514" s="746"/>
      <c r="M2514" s="747"/>
      <c r="N2514" s="753"/>
    </row>
    <row r="2515" spans="2:14" ht="14.25" hidden="1" customHeight="1" x14ac:dyDescent="0.25">
      <c r="B2515" s="121" t="s">
        <v>400</v>
      </c>
      <c r="C2515" s="122" t="s">
        <v>401</v>
      </c>
      <c r="D2515" s="123" t="s">
        <v>402</v>
      </c>
      <c r="E2515" s="123" t="s">
        <v>403</v>
      </c>
      <c r="F2515" s="123" t="s">
        <v>404</v>
      </c>
      <c r="G2515" s="123" t="s">
        <v>405</v>
      </c>
      <c r="H2515" s="123" t="s">
        <v>406</v>
      </c>
      <c r="I2515" s="746"/>
      <c r="J2515" s="747"/>
      <c r="K2515" s="748"/>
      <c r="L2515" s="746"/>
      <c r="M2515" s="747"/>
      <c r="N2515" s="753"/>
    </row>
    <row r="2516" spans="2:14" ht="14.25" hidden="1" customHeight="1" x14ac:dyDescent="0.25">
      <c r="B2516" s="124"/>
      <c r="C2516" s="125" t="s">
        <v>464</v>
      </c>
      <c r="D2516" s="125"/>
      <c r="E2516" s="125">
        <v>1</v>
      </c>
      <c r="F2516" s="125"/>
      <c r="G2516" s="125"/>
      <c r="H2516" s="125">
        <f>E2516</f>
        <v>1</v>
      </c>
      <c r="I2516" s="746"/>
      <c r="J2516" s="747"/>
      <c r="K2516" s="748"/>
      <c r="L2516" s="746"/>
      <c r="M2516" s="747"/>
      <c r="N2516" s="753"/>
    </row>
    <row r="2517" spans="2:14" ht="14.25" hidden="1" customHeight="1" x14ac:dyDescent="0.25">
      <c r="B2517" s="124"/>
      <c r="C2517" s="125"/>
      <c r="D2517" s="125"/>
      <c r="E2517" s="125"/>
      <c r="F2517" s="125"/>
      <c r="G2517" s="125"/>
      <c r="H2517" s="125"/>
      <c r="I2517" s="746"/>
      <c r="J2517" s="747"/>
      <c r="K2517" s="748"/>
      <c r="L2517" s="746"/>
      <c r="M2517" s="747"/>
      <c r="N2517" s="753"/>
    </row>
    <row r="2518" spans="2:14" ht="14.25" hidden="1" customHeight="1" x14ac:dyDescent="0.25">
      <c r="B2518" s="124"/>
      <c r="C2518" s="125"/>
      <c r="D2518" s="125"/>
      <c r="E2518" s="125"/>
      <c r="F2518" s="125"/>
      <c r="G2518" s="125"/>
      <c r="H2518" s="125"/>
      <c r="I2518" s="746"/>
      <c r="J2518" s="747"/>
      <c r="K2518" s="748"/>
      <c r="L2518" s="746"/>
      <c r="M2518" s="747"/>
      <c r="N2518" s="753"/>
    </row>
    <row r="2519" spans="2:14" ht="14.25" hidden="1" customHeight="1" x14ac:dyDescent="0.25">
      <c r="B2519" s="124"/>
      <c r="C2519" s="125"/>
      <c r="D2519" s="125"/>
      <c r="E2519" s="125"/>
      <c r="F2519" s="125"/>
      <c r="G2519" s="125"/>
      <c r="H2519" s="125"/>
      <c r="I2519" s="746"/>
      <c r="J2519" s="747"/>
      <c r="K2519" s="748"/>
      <c r="L2519" s="746"/>
      <c r="M2519" s="747"/>
      <c r="N2519" s="753"/>
    </row>
    <row r="2520" spans="2:14" ht="14.25" hidden="1" customHeight="1" x14ac:dyDescent="0.25">
      <c r="B2520" s="124"/>
      <c r="C2520" s="125"/>
      <c r="D2520" s="125"/>
      <c r="E2520" s="125"/>
      <c r="F2520" s="125"/>
      <c r="G2520" s="125"/>
      <c r="H2520" s="125"/>
      <c r="I2520" s="746"/>
      <c r="J2520" s="747"/>
      <c r="K2520" s="748"/>
      <c r="L2520" s="746"/>
      <c r="M2520" s="747"/>
      <c r="N2520" s="753"/>
    </row>
    <row r="2521" spans="2:14" ht="14.25" hidden="1" customHeight="1" x14ac:dyDescent="0.25">
      <c r="B2521" s="124"/>
      <c r="C2521" s="125"/>
      <c r="D2521" s="125"/>
      <c r="E2521" s="125"/>
      <c r="F2521" s="125"/>
      <c r="G2521" s="125"/>
      <c r="H2521" s="125"/>
      <c r="I2521" s="746"/>
      <c r="J2521" s="747"/>
      <c r="K2521" s="748"/>
      <c r="L2521" s="746"/>
      <c r="M2521" s="747"/>
      <c r="N2521" s="753"/>
    </row>
    <row r="2522" spans="2:14" ht="14.25" hidden="1" customHeight="1" x14ac:dyDescent="0.25">
      <c r="B2522" s="124"/>
      <c r="C2522" s="125"/>
      <c r="D2522" s="125"/>
      <c r="E2522" s="125"/>
      <c r="F2522" s="125"/>
      <c r="G2522" s="125"/>
      <c r="H2522" s="125"/>
      <c r="I2522" s="746"/>
      <c r="J2522" s="747"/>
      <c r="K2522" s="748"/>
      <c r="L2522" s="746"/>
      <c r="M2522" s="747"/>
      <c r="N2522" s="753"/>
    </row>
    <row r="2523" spans="2:14" ht="14.25" hidden="1" customHeight="1" x14ac:dyDescent="0.25">
      <c r="B2523" s="124"/>
      <c r="C2523" s="125"/>
      <c r="D2523" s="125"/>
      <c r="E2523" s="125"/>
      <c r="F2523" s="125"/>
      <c r="G2523" s="125"/>
      <c r="H2523" s="125"/>
      <c r="I2523" s="746"/>
      <c r="J2523" s="747"/>
      <c r="K2523" s="748"/>
      <c r="L2523" s="746"/>
      <c r="M2523" s="747"/>
      <c r="N2523" s="753"/>
    </row>
    <row r="2524" spans="2:14" ht="14.25" hidden="1" customHeight="1" x14ac:dyDescent="0.25">
      <c r="B2524" s="124"/>
      <c r="C2524" s="125"/>
      <c r="D2524" s="125"/>
      <c r="E2524" s="125"/>
      <c r="F2524" s="125"/>
      <c r="G2524" s="125"/>
      <c r="H2524" s="125"/>
      <c r="I2524" s="746"/>
      <c r="J2524" s="747"/>
      <c r="K2524" s="748"/>
      <c r="L2524" s="746"/>
      <c r="M2524" s="747"/>
      <c r="N2524" s="753"/>
    </row>
    <row r="2525" spans="2:14" ht="14.25" hidden="1" customHeight="1" x14ac:dyDescent="0.25">
      <c r="B2525" s="124"/>
      <c r="C2525" s="125"/>
      <c r="D2525" s="125"/>
      <c r="E2525" s="125"/>
      <c r="F2525" s="125"/>
      <c r="G2525" s="125"/>
      <c r="H2525" s="125"/>
      <c r="I2525" s="746"/>
      <c r="J2525" s="747"/>
      <c r="K2525" s="748"/>
      <c r="L2525" s="746"/>
      <c r="M2525" s="747"/>
      <c r="N2525" s="753"/>
    </row>
    <row r="2526" spans="2:14" ht="14.25" hidden="1" customHeight="1" x14ac:dyDescent="0.25">
      <c r="B2526" s="124"/>
      <c r="C2526" s="125"/>
      <c r="D2526" s="125"/>
      <c r="E2526" s="125"/>
      <c r="F2526" s="125"/>
      <c r="G2526" s="125"/>
      <c r="H2526" s="125"/>
      <c r="I2526" s="746"/>
      <c r="J2526" s="747"/>
      <c r="K2526" s="748"/>
      <c r="L2526" s="746"/>
      <c r="M2526" s="747"/>
      <c r="N2526" s="753"/>
    </row>
    <row r="2527" spans="2:14" ht="14.25" hidden="1" customHeight="1" x14ac:dyDescent="0.25">
      <c r="B2527" s="124"/>
      <c r="C2527" s="125"/>
      <c r="D2527" s="125"/>
      <c r="E2527" s="125"/>
      <c r="F2527" s="125"/>
      <c r="G2527" s="125"/>
      <c r="H2527" s="125"/>
      <c r="I2527" s="746"/>
      <c r="J2527" s="747"/>
      <c r="K2527" s="748"/>
      <c r="L2527" s="746"/>
      <c r="M2527" s="747"/>
      <c r="N2527" s="753"/>
    </row>
    <row r="2528" spans="2:14" ht="14.25" hidden="1" customHeight="1" x14ac:dyDescent="0.25">
      <c r="B2528" s="124"/>
      <c r="C2528" s="125"/>
      <c r="D2528" s="125"/>
      <c r="E2528" s="125"/>
      <c r="F2528" s="125"/>
      <c r="G2528" s="125"/>
      <c r="H2528" s="125"/>
      <c r="I2528" s="746"/>
      <c r="J2528" s="747"/>
      <c r="K2528" s="748"/>
      <c r="L2528" s="746"/>
      <c r="M2528" s="747"/>
      <c r="N2528" s="753"/>
    </row>
    <row r="2529" spans="2:14" ht="14.25" hidden="1" customHeight="1" x14ac:dyDescent="0.25">
      <c r="B2529" s="124"/>
      <c r="C2529" s="125"/>
      <c r="D2529" s="125"/>
      <c r="E2529" s="125"/>
      <c r="F2529" s="125"/>
      <c r="G2529" s="125"/>
      <c r="H2529" s="125"/>
      <c r="I2529" s="746"/>
      <c r="J2529" s="747"/>
      <c r="K2529" s="748"/>
      <c r="L2529" s="746"/>
      <c r="M2529" s="747"/>
      <c r="N2529" s="753"/>
    </row>
    <row r="2530" spans="2:14" ht="14.25" hidden="1" customHeight="1" x14ac:dyDescent="0.25">
      <c r="B2530" s="124"/>
      <c r="C2530" s="125"/>
      <c r="D2530" s="125"/>
      <c r="E2530" s="125"/>
      <c r="F2530" s="125"/>
      <c r="G2530" s="125"/>
      <c r="H2530" s="125"/>
      <c r="I2530" s="746"/>
      <c r="J2530" s="747"/>
      <c r="K2530" s="748"/>
      <c r="L2530" s="746"/>
      <c r="M2530" s="747"/>
      <c r="N2530" s="753"/>
    </row>
    <row r="2531" spans="2:14" ht="14.25" hidden="1" customHeight="1" x14ac:dyDescent="0.25">
      <c r="B2531" s="124"/>
      <c r="C2531" s="125"/>
      <c r="D2531" s="125"/>
      <c r="E2531" s="125"/>
      <c r="F2531" s="125"/>
      <c r="G2531" s="125"/>
      <c r="H2531" s="125"/>
      <c r="I2531" s="746"/>
      <c r="J2531" s="747"/>
      <c r="K2531" s="748"/>
      <c r="L2531" s="746"/>
      <c r="M2531" s="747"/>
      <c r="N2531" s="753"/>
    </row>
    <row r="2532" spans="2:14" ht="14.25" hidden="1" customHeight="1" x14ac:dyDescent="0.25">
      <c r="B2532" s="124"/>
      <c r="C2532" s="125"/>
      <c r="D2532" s="125"/>
      <c r="E2532" s="125"/>
      <c r="F2532" s="125"/>
      <c r="G2532" s="125"/>
      <c r="H2532" s="125"/>
      <c r="I2532" s="746"/>
      <c r="J2532" s="747"/>
      <c r="K2532" s="748"/>
      <c r="L2532" s="746"/>
      <c r="M2532" s="747"/>
      <c r="N2532" s="753"/>
    </row>
    <row r="2533" spans="2:14" ht="14.25" hidden="1" customHeight="1" x14ac:dyDescent="0.25">
      <c r="B2533" s="124"/>
      <c r="C2533" s="125"/>
      <c r="D2533" s="125"/>
      <c r="E2533" s="125"/>
      <c r="F2533" s="125"/>
      <c r="G2533" s="125"/>
      <c r="H2533" s="125"/>
      <c r="I2533" s="746"/>
      <c r="J2533" s="747"/>
      <c r="K2533" s="748"/>
      <c r="L2533" s="746"/>
      <c r="M2533" s="747"/>
      <c r="N2533" s="753"/>
    </row>
    <row r="2534" spans="2:14" ht="14.25" hidden="1" customHeight="1" x14ac:dyDescent="0.25">
      <c r="B2534" s="127"/>
      <c r="C2534" s="125"/>
      <c r="D2534" s="125"/>
      <c r="E2534" s="125"/>
      <c r="F2534" s="125"/>
      <c r="G2534" s="125"/>
      <c r="H2534" s="125"/>
      <c r="I2534" s="749"/>
      <c r="J2534" s="750"/>
      <c r="K2534" s="751"/>
      <c r="L2534" s="749"/>
      <c r="M2534" s="750"/>
      <c r="N2534" s="754"/>
    </row>
    <row r="2535" spans="2:14" ht="14.25" hidden="1" customHeight="1" x14ac:dyDescent="0.25">
      <c r="B2535" s="209"/>
      <c r="C2535" s="118"/>
      <c r="D2535" s="118"/>
      <c r="E2535" s="118"/>
      <c r="F2535" s="118"/>
      <c r="G2535" s="118"/>
      <c r="H2535" s="118"/>
      <c r="I2535" s="118"/>
      <c r="J2535" s="118"/>
      <c r="K2535" s="118"/>
      <c r="L2535" s="118"/>
      <c r="M2535" s="118"/>
      <c r="N2535" s="210"/>
    </row>
    <row r="2536" spans="2:14" ht="14.25" hidden="1" customHeight="1" x14ac:dyDescent="0.25">
      <c r="B2536" s="209"/>
      <c r="C2536" s="118"/>
      <c r="D2536" s="118"/>
      <c r="E2536" s="118"/>
      <c r="F2536" s="118"/>
      <c r="G2536" s="118"/>
      <c r="H2536" s="118"/>
      <c r="I2536" s="118"/>
      <c r="J2536" s="118"/>
      <c r="K2536" s="118"/>
      <c r="L2536" s="118"/>
      <c r="M2536" s="118"/>
      <c r="N2536" s="210"/>
    </row>
    <row r="2537" spans="2:14" ht="14.25" hidden="1" customHeight="1" x14ac:dyDescent="0.25">
      <c r="B2537" s="209"/>
      <c r="C2537" s="118"/>
      <c r="D2537" s="118"/>
      <c r="E2537" s="118"/>
      <c r="F2537" s="118"/>
      <c r="G2537" s="118"/>
      <c r="H2537" s="118"/>
      <c r="I2537" s="118"/>
      <c r="J2537" s="118"/>
      <c r="K2537" s="118"/>
      <c r="L2537" s="118"/>
      <c r="M2537" s="118"/>
      <c r="N2537" s="210"/>
    </row>
    <row r="2538" spans="2:14" ht="14.25" hidden="1" customHeight="1" x14ac:dyDescent="0.25">
      <c r="B2538" s="209"/>
      <c r="C2538" s="118"/>
      <c r="D2538" s="118"/>
      <c r="E2538" s="118"/>
      <c r="F2538" s="118"/>
      <c r="G2538" s="118"/>
      <c r="H2538" s="118"/>
      <c r="I2538" s="118"/>
      <c r="J2538" s="118"/>
      <c r="K2538" s="118"/>
      <c r="L2538" s="118"/>
      <c r="M2538" s="118"/>
      <c r="N2538" s="210"/>
    </row>
    <row r="2539" spans="2:14" ht="14.25" hidden="1" customHeight="1" x14ac:dyDescent="0.25">
      <c r="B2539" s="775" t="s">
        <v>414</v>
      </c>
      <c r="C2539" s="747"/>
      <c r="D2539" s="747"/>
      <c r="E2539" s="128"/>
      <c r="F2539" s="128"/>
      <c r="G2539" s="128"/>
      <c r="H2539" s="128"/>
      <c r="I2539" s="776"/>
      <c r="J2539" s="747"/>
      <c r="K2539" s="747"/>
      <c r="L2539" s="118"/>
      <c r="M2539" s="118"/>
      <c r="N2539" s="210"/>
    </row>
    <row r="2540" spans="2:14" ht="14.25" hidden="1" customHeight="1" x14ac:dyDescent="0.25">
      <c r="B2540" s="129"/>
      <c r="C2540" s="130"/>
      <c r="D2540" s="130"/>
      <c r="E2540" s="130"/>
      <c r="F2540" s="130"/>
      <c r="G2540" s="130"/>
      <c r="H2540" s="130"/>
      <c r="I2540" s="130"/>
      <c r="J2540" s="130"/>
      <c r="K2540" s="130"/>
      <c r="L2540" s="130"/>
      <c r="M2540" s="130"/>
      <c r="N2540" s="131"/>
    </row>
    <row r="2541" spans="2:14" ht="53.25" hidden="1" customHeight="1" x14ac:dyDescent="0.25">
      <c r="B2541" s="728"/>
      <c r="C2541" s="729"/>
      <c r="D2541" s="730" t="s">
        <v>393</v>
      </c>
      <c r="E2541" s="729"/>
      <c r="F2541" s="729"/>
      <c r="G2541" s="729"/>
      <c r="H2541" s="729"/>
      <c r="I2541" s="729"/>
      <c r="J2541" s="729"/>
      <c r="K2541" s="729"/>
      <c r="L2541" s="729"/>
      <c r="M2541" s="729"/>
      <c r="N2541" s="731"/>
    </row>
    <row r="2542" spans="2:14" ht="14.25" hidden="1" customHeight="1" x14ac:dyDescent="0.25">
      <c r="B2542" s="732" t="s">
        <v>394</v>
      </c>
      <c r="C2542" s="733"/>
      <c r="D2542" s="733"/>
      <c r="E2542" s="733"/>
      <c r="F2542" s="733"/>
      <c r="G2542" s="733"/>
      <c r="H2542" s="733"/>
      <c r="I2542" s="733"/>
      <c r="J2542" s="733"/>
      <c r="K2542" s="733"/>
      <c r="L2542" s="733"/>
      <c r="M2542" s="733"/>
      <c r="N2542" s="734"/>
    </row>
    <row r="2543" spans="2:14" ht="14.25" hidden="1" customHeight="1" x14ac:dyDescent="0.25">
      <c r="B2543" s="735" t="s">
        <v>395</v>
      </c>
      <c r="C2543" s="736"/>
      <c r="D2543" s="779" t="s">
        <v>253</v>
      </c>
      <c r="E2543" s="733"/>
      <c r="F2543" s="733"/>
      <c r="G2543" s="733"/>
      <c r="H2543" s="733"/>
      <c r="I2543" s="733"/>
      <c r="J2543" s="733"/>
      <c r="K2543" s="733"/>
      <c r="L2543" s="733"/>
      <c r="M2543" s="733"/>
      <c r="N2543" s="734"/>
    </row>
    <row r="2544" spans="2:14" ht="14.25" hidden="1" customHeight="1" x14ac:dyDescent="0.25">
      <c r="B2544" s="740" t="s">
        <v>26</v>
      </c>
      <c r="C2544" s="741"/>
      <c r="D2544" s="119" t="s">
        <v>396</v>
      </c>
      <c r="E2544" s="742" t="s">
        <v>397</v>
      </c>
      <c r="F2544" s="733"/>
      <c r="G2544" s="733"/>
      <c r="H2544" s="736"/>
      <c r="I2544" s="742" t="s">
        <v>398</v>
      </c>
      <c r="J2544" s="733"/>
      <c r="K2544" s="736"/>
      <c r="L2544" s="742" t="s">
        <v>399</v>
      </c>
      <c r="M2544" s="733"/>
      <c r="N2544" s="734"/>
    </row>
    <row r="2545" spans="2:14" ht="14.25" hidden="1" customHeight="1" x14ac:dyDescent="0.25">
      <c r="B2545" s="777">
        <v>74</v>
      </c>
      <c r="C2545" s="736"/>
      <c r="D2545" s="123">
        <f>SUM(H2548:H2566)</f>
        <v>20</v>
      </c>
      <c r="E2545" s="778" t="s">
        <v>46</v>
      </c>
      <c r="F2545" s="733"/>
      <c r="G2545" s="733"/>
      <c r="H2545" s="736"/>
      <c r="I2545" s="744"/>
      <c r="J2545" s="745"/>
      <c r="K2545" s="741"/>
      <c r="L2545" s="744"/>
      <c r="M2545" s="745"/>
      <c r="N2545" s="752"/>
    </row>
    <row r="2546" spans="2:14" ht="14.25" hidden="1" customHeight="1" x14ac:dyDescent="0.25">
      <c r="B2546" s="755" t="s">
        <v>416</v>
      </c>
      <c r="C2546" s="733"/>
      <c r="D2546" s="733"/>
      <c r="E2546" s="733"/>
      <c r="F2546" s="733"/>
      <c r="G2546" s="733"/>
      <c r="H2546" s="736"/>
      <c r="I2546" s="746"/>
      <c r="J2546" s="747"/>
      <c r="K2546" s="748"/>
      <c r="L2546" s="746"/>
      <c r="M2546" s="747"/>
      <c r="N2546" s="753"/>
    </row>
    <row r="2547" spans="2:14" ht="14.25" hidden="1" customHeight="1" x14ac:dyDescent="0.25">
      <c r="B2547" s="121" t="s">
        <v>400</v>
      </c>
      <c r="C2547" s="122" t="s">
        <v>401</v>
      </c>
      <c r="D2547" s="123" t="s">
        <v>402</v>
      </c>
      <c r="E2547" s="123" t="s">
        <v>403</v>
      </c>
      <c r="F2547" s="123" t="s">
        <v>404</v>
      </c>
      <c r="G2547" s="123" t="s">
        <v>405</v>
      </c>
      <c r="H2547" s="123" t="s">
        <v>406</v>
      </c>
      <c r="I2547" s="746"/>
      <c r="J2547" s="747"/>
      <c r="K2547" s="748"/>
      <c r="L2547" s="746"/>
      <c r="M2547" s="747"/>
      <c r="N2547" s="753"/>
    </row>
    <row r="2548" spans="2:14" ht="14.25" hidden="1" customHeight="1" x14ac:dyDescent="0.25">
      <c r="B2548" s="124"/>
      <c r="C2548" s="125" t="s">
        <v>546</v>
      </c>
      <c r="D2548" s="125">
        <v>20</v>
      </c>
      <c r="E2548" s="125"/>
      <c r="F2548" s="125"/>
      <c r="G2548" s="125"/>
      <c r="H2548" s="125">
        <f>D2548</f>
        <v>20</v>
      </c>
      <c r="I2548" s="746"/>
      <c r="J2548" s="747"/>
      <c r="K2548" s="748"/>
      <c r="L2548" s="746"/>
      <c r="M2548" s="747"/>
      <c r="N2548" s="753"/>
    </row>
    <row r="2549" spans="2:14" ht="14.25" hidden="1" customHeight="1" x14ac:dyDescent="0.25">
      <c r="B2549" s="124"/>
      <c r="C2549" s="125"/>
      <c r="D2549" s="125"/>
      <c r="E2549" s="125"/>
      <c r="F2549" s="125"/>
      <c r="G2549" s="125"/>
      <c r="H2549" s="125"/>
      <c r="I2549" s="746"/>
      <c r="J2549" s="747"/>
      <c r="K2549" s="748"/>
      <c r="L2549" s="746"/>
      <c r="M2549" s="747"/>
      <c r="N2549" s="753"/>
    </row>
    <row r="2550" spans="2:14" ht="14.25" hidden="1" customHeight="1" x14ac:dyDescent="0.25">
      <c r="B2550" s="124"/>
      <c r="C2550" s="125"/>
      <c r="D2550" s="125"/>
      <c r="E2550" s="125"/>
      <c r="F2550" s="125"/>
      <c r="G2550" s="125"/>
      <c r="H2550" s="125"/>
      <c r="I2550" s="746"/>
      <c r="J2550" s="747"/>
      <c r="K2550" s="748"/>
      <c r="L2550" s="746"/>
      <c r="M2550" s="747"/>
      <c r="N2550" s="753"/>
    </row>
    <row r="2551" spans="2:14" ht="14.25" hidden="1" customHeight="1" x14ac:dyDescent="0.25">
      <c r="B2551" s="124"/>
      <c r="C2551" s="125"/>
      <c r="D2551" s="125"/>
      <c r="E2551" s="125"/>
      <c r="F2551" s="125"/>
      <c r="G2551" s="125"/>
      <c r="H2551" s="125"/>
      <c r="I2551" s="746"/>
      <c r="J2551" s="747"/>
      <c r="K2551" s="748"/>
      <c r="L2551" s="746"/>
      <c r="M2551" s="747"/>
      <c r="N2551" s="753"/>
    </row>
    <row r="2552" spans="2:14" ht="14.25" hidden="1" customHeight="1" x14ac:dyDescent="0.25">
      <c r="B2552" s="124"/>
      <c r="C2552" s="125"/>
      <c r="D2552" s="125"/>
      <c r="E2552" s="125"/>
      <c r="F2552" s="125"/>
      <c r="G2552" s="125"/>
      <c r="H2552" s="125"/>
      <c r="I2552" s="746"/>
      <c r="J2552" s="747"/>
      <c r="K2552" s="748"/>
      <c r="L2552" s="746"/>
      <c r="M2552" s="747"/>
      <c r="N2552" s="753"/>
    </row>
    <row r="2553" spans="2:14" ht="14.25" hidden="1" customHeight="1" x14ac:dyDescent="0.25">
      <c r="B2553" s="124"/>
      <c r="C2553" s="125"/>
      <c r="D2553" s="125"/>
      <c r="E2553" s="125"/>
      <c r="F2553" s="125"/>
      <c r="G2553" s="125"/>
      <c r="H2553" s="125"/>
      <c r="I2553" s="746"/>
      <c r="J2553" s="747"/>
      <c r="K2553" s="748"/>
      <c r="L2553" s="746"/>
      <c r="M2553" s="747"/>
      <c r="N2553" s="753"/>
    </row>
    <row r="2554" spans="2:14" ht="14.25" hidden="1" customHeight="1" x14ac:dyDescent="0.25">
      <c r="B2554" s="124"/>
      <c r="C2554" s="125"/>
      <c r="D2554" s="125"/>
      <c r="E2554" s="125"/>
      <c r="F2554" s="125"/>
      <c r="G2554" s="125"/>
      <c r="H2554" s="125"/>
      <c r="I2554" s="746"/>
      <c r="J2554" s="747"/>
      <c r="K2554" s="748"/>
      <c r="L2554" s="746"/>
      <c r="M2554" s="747"/>
      <c r="N2554" s="753"/>
    </row>
    <row r="2555" spans="2:14" ht="14.25" hidden="1" customHeight="1" x14ac:dyDescent="0.25">
      <c r="B2555" s="124"/>
      <c r="C2555" s="125"/>
      <c r="D2555" s="125"/>
      <c r="E2555" s="125"/>
      <c r="F2555" s="125"/>
      <c r="G2555" s="125"/>
      <c r="H2555" s="125"/>
      <c r="I2555" s="746"/>
      <c r="J2555" s="747"/>
      <c r="K2555" s="748"/>
      <c r="L2555" s="746"/>
      <c r="M2555" s="747"/>
      <c r="N2555" s="753"/>
    </row>
    <row r="2556" spans="2:14" ht="14.25" hidden="1" customHeight="1" x14ac:dyDescent="0.25">
      <c r="B2556" s="124"/>
      <c r="C2556" s="125"/>
      <c r="D2556" s="125"/>
      <c r="E2556" s="125"/>
      <c r="F2556" s="125"/>
      <c r="G2556" s="125"/>
      <c r="H2556" s="125"/>
      <c r="I2556" s="746"/>
      <c r="J2556" s="747"/>
      <c r="K2556" s="748"/>
      <c r="L2556" s="746"/>
      <c r="M2556" s="747"/>
      <c r="N2556" s="753"/>
    </row>
    <row r="2557" spans="2:14" ht="14.25" hidden="1" customHeight="1" x14ac:dyDescent="0.25">
      <c r="B2557" s="124"/>
      <c r="C2557" s="125"/>
      <c r="D2557" s="125"/>
      <c r="E2557" s="125"/>
      <c r="F2557" s="125"/>
      <c r="G2557" s="125"/>
      <c r="H2557" s="125"/>
      <c r="I2557" s="746"/>
      <c r="J2557" s="747"/>
      <c r="K2557" s="748"/>
      <c r="L2557" s="746"/>
      <c r="M2557" s="747"/>
      <c r="N2557" s="753"/>
    </row>
    <row r="2558" spans="2:14" ht="14.25" hidden="1" customHeight="1" x14ac:dyDescent="0.25">
      <c r="B2558" s="124"/>
      <c r="C2558" s="125"/>
      <c r="D2558" s="125"/>
      <c r="E2558" s="125"/>
      <c r="F2558" s="125"/>
      <c r="G2558" s="125"/>
      <c r="H2558" s="125"/>
      <c r="I2558" s="746"/>
      <c r="J2558" s="747"/>
      <c r="K2558" s="748"/>
      <c r="L2558" s="746"/>
      <c r="M2558" s="747"/>
      <c r="N2558" s="753"/>
    </row>
    <row r="2559" spans="2:14" ht="14.25" hidden="1" customHeight="1" x14ac:dyDescent="0.25">
      <c r="B2559" s="124"/>
      <c r="C2559" s="125"/>
      <c r="D2559" s="125"/>
      <c r="E2559" s="125"/>
      <c r="F2559" s="125"/>
      <c r="G2559" s="125"/>
      <c r="H2559" s="125"/>
      <c r="I2559" s="746"/>
      <c r="J2559" s="747"/>
      <c r="K2559" s="748"/>
      <c r="L2559" s="746"/>
      <c r="M2559" s="747"/>
      <c r="N2559" s="753"/>
    </row>
    <row r="2560" spans="2:14" ht="14.25" hidden="1" customHeight="1" x14ac:dyDescent="0.25">
      <c r="B2560" s="124"/>
      <c r="C2560" s="125"/>
      <c r="D2560" s="125"/>
      <c r="E2560" s="125"/>
      <c r="F2560" s="125"/>
      <c r="G2560" s="125"/>
      <c r="H2560" s="125"/>
      <c r="I2560" s="746"/>
      <c r="J2560" s="747"/>
      <c r="K2560" s="748"/>
      <c r="L2560" s="746"/>
      <c r="M2560" s="747"/>
      <c r="N2560" s="753"/>
    </row>
    <row r="2561" spans="2:14" ht="14.25" hidden="1" customHeight="1" x14ac:dyDescent="0.25">
      <c r="B2561" s="124"/>
      <c r="C2561" s="125"/>
      <c r="D2561" s="125"/>
      <c r="E2561" s="125"/>
      <c r="F2561" s="125"/>
      <c r="G2561" s="125"/>
      <c r="H2561" s="125"/>
      <c r="I2561" s="746"/>
      <c r="J2561" s="747"/>
      <c r="K2561" s="748"/>
      <c r="L2561" s="746"/>
      <c r="M2561" s="747"/>
      <c r="N2561" s="753"/>
    </row>
    <row r="2562" spans="2:14" ht="14.25" hidden="1" customHeight="1" x14ac:dyDescent="0.25">
      <c r="B2562" s="124"/>
      <c r="C2562" s="125"/>
      <c r="D2562" s="125"/>
      <c r="E2562" s="125"/>
      <c r="F2562" s="125"/>
      <c r="G2562" s="125"/>
      <c r="H2562" s="125"/>
      <c r="I2562" s="746"/>
      <c r="J2562" s="747"/>
      <c r="K2562" s="748"/>
      <c r="L2562" s="746"/>
      <c r="M2562" s="747"/>
      <c r="N2562" s="753"/>
    </row>
    <row r="2563" spans="2:14" ht="14.25" hidden="1" customHeight="1" x14ac:dyDescent="0.25">
      <c r="B2563" s="124"/>
      <c r="C2563" s="125"/>
      <c r="D2563" s="125"/>
      <c r="E2563" s="125"/>
      <c r="F2563" s="125"/>
      <c r="G2563" s="125"/>
      <c r="H2563" s="125"/>
      <c r="I2563" s="746"/>
      <c r="J2563" s="747"/>
      <c r="K2563" s="748"/>
      <c r="L2563" s="746"/>
      <c r="M2563" s="747"/>
      <c r="N2563" s="753"/>
    </row>
    <row r="2564" spans="2:14" ht="14.25" hidden="1" customHeight="1" x14ac:dyDescent="0.25">
      <c r="B2564" s="124"/>
      <c r="C2564" s="125"/>
      <c r="D2564" s="125"/>
      <c r="E2564" s="125"/>
      <c r="F2564" s="125"/>
      <c r="G2564" s="125"/>
      <c r="H2564" s="125"/>
      <c r="I2564" s="746"/>
      <c r="J2564" s="747"/>
      <c r="K2564" s="748"/>
      <c r="L2564" s="746"/>
      <c r="M2564" s="747"/>
      <c r="N2564" s="753"/>
    </row>
    <row r="2565" spans="2:14" ht="14.25" hidden="1" customHeight="1" x14ac:dyDescent="0.25">
      <c r="B2565" s="124"/>
      <c r="C2565" s="125"/>
      <c r="D2565" s="125"/>
      <c r="E2565" s="125"/>
      <c r="F2565" s="125"/>
      <c r="G2565" s="125"/>
      <c r="H2565" s="125"/>
      <c r="I2565" s="746"/>
      <c r="J2565" s="747"/>
      <c r="K2565" s="748"/>
      <c r="L2565" s="746"/>
      <c r="M2565" s="747"/>
      <c r="N2565" s="753"/>
    </row>
    <row r="2566" spans="2:14" ht="14.25" hidden="1" customHeight="1" x14ac:dyDescent="0.25">
      <c r="B2566" s="127"/>
      <c r="C2566" s="125"/>
      <c r="D2566" s="125"/>
      <c r="E2566" s="125"/>
      <c r="F2566" s="125"/>
      <c r="G2566" s="125"/>
      <c r="H2566" s="125"/>
      <c r="I2566" s="749"/>
      <c r="J2566" s="750"/>
      <c r="K2566" s="751"/>
      <c r="L2566" s="749"/>
      <c r="M2566" s="750"/>
      <c r="N2566" s="754"/>
    </row>
    <row r="2567" spans="2:14" ht="14.25" hidden="1" customHeight="1" x14ac:dyDescent="0.25">
      <c r="B2567" s="209"/>
      <c r="C2567" s="118"/>
      <c r="D2567" s="118"/>
      <c r="E2567" s="118"/>
      <c r="F2567" s="118"/>
      <c r="G2567" s="118"/>
      <c r="H2567" s="118"/>
      <c r="I2567" s="118"/>
      <c r="J2567" s="118"/>
      <c r="K2567" s="118"/>
      <c r="L2567" s="118"/>
      <c r="M2567" s="118"/>
      <c r="N2567" s="210"/>
    </row>
    <row r="2568" spans="2:14" ht="14.25" hidden="1" customHeight="1" x14ac:dyDescent="0.25">
      <c r="B2568" s="209"/>
      <c r="C2568" s="118"/>
      <c r="D2568" s="118"/>
      <c r="E2568" s="118"/>
      <c r="F2568" s="118"/>
      <c r="G2568" s="118"/>
      <c r="H2568" s="118"/>
      <c r="I2568" s="118"/>
      <c r="J2568" s="118"/>
      <c r="K2568" s="118"/>
      <c r="L2568" s="118"/>
      <c r="M2568" s="118"/>
      <c r="N2568" s="210"/>
    </row>
    <row r="2569" spans="2:14" ht="14.25" hidden="1" customHeight="1" x14ac:dyDescent="0.25">
      <c r="B2569" s="209"/>
      <c r="C2569" s="118"/>
      <c r="D2569" s="118"/>
      <c r="E2569" s="118"/>
      <c r="F2569" s="118"/>
      <c r="G2569" s="118"/>
      <c r="H2569" s="118"/>
      <c r="I2569" s="118"/>
      <c r="J2569" s="118"/>
      <c r="K2569" s="118"/>
      <c r="L2569" s="118"/>
      <c r="M2569" s="118"/>
      <c r="N2569" s="210"/>
    </row>
    <row r="2570" spans="2:14" ht="14.25" hidden="1" customHeight="1" x14ac:dyDescent="0.25">
      <c r="B2570" s="209"/>
      <c r="C2570" s="118"/>
      <c r="D2570" s="118"/>
      <c r="E2570" s="118"/>
      <c r="F2570" s="118"/>
      <c r="G2570" s="118"/>
      <c r="H2570" s="118"/>
      <c r="I2570" s="118"/>
      <c r="J2570" s="118"/>
      <c r="K2570" s="118"/>
      <c r="L2570" s="118"/>
      <c r="M2570" s="118"/>
      <c r="N2570" s="210"/>
    </row>
    <row r="2571" spans="2:14" ht="14.25" hidden="1" customHeight="1" x14ac:dyDescent="0.25">
      <c r="B2571" s="775" t="s">
        <v>414</v>
      </c>
      <c r="C2571" s="747"/>
      <c r="D2571" s="747"/>
      <c r="E2571" s="128"/>
      <c r="F2571" s="128"/>
      <c r="G2571" s="128"/>
      <c r="H2571" s="128"/>
      <c r="I2571" s="776"/>
      <c r="J2571" s="747"/>
      <c r="K2571" s="747"/>
      <c r="L2571" s="118"/>
      <c r="M2571" s="118"/>
      <c r="N2571" s="210"/>
    </row>
    <row r="2572" spans="2:14" ht="14.25" hidden="1" customHeight="1" x14ac:dyDescent="0.25">
      <c r="B2572" s="129"/>
      <c r="C2572" s="130"/>
      <c r="D2572" s="130"/>
      <c r="E2572" s="130"/>
      <c r="F2572" s="130"/>
      <c r="G2572" s="130"/>
      <c r="H2572" s="130"/>
      <c r="I2572" s="130"/>
      <c r="J2572" s="130"/>
      <c r="K2572" s="130"/>
      <c r="L2572" s="130"/>
      <c r="M2572" s="130"/>
      <c r="N2572" s="131"/>
    </row>
    <row r="2573" spans="2:14" ht="14.25" hidden="1" customHeight="1" x14ac:dyDescent="0.25"/>
    <row r="2574" spans="2:14" ht="39.75" customHeight="1" x14ac:dyDescent="0.25">
      <c r="B2574" s="728"/>
      <c r="C2574" s="729"/>
      <c r="D2574" s="730" t="s">
        <v>393</v>
      </c>
      <c r="E2574" s="729"/>
      <c r="F2574" s="729"/>
      <c r="G2574" s="729"/>
      <c r="H2574" s="729"/>
      <c r="I2574" s="729"/>
      <c r="J2574" s="729"/>
      <c r="K2574" s="729"/>
      <c r="L2574" s="729"/>
      <c r="M2574" s="729"/>
      <c r="N2574" s="731"/>
    </row>
    <row r="2575" spans="2:14" ht="14.25" customHeight="1" x14ac:dyDescent="0.25">
      <c r="B2575" s="732" t="s">
        <v>394</v>
      </c>
      <c r="C2575" s="733"/>
      <c r="D2575" s="733"/>
      <c r="E2575" s="733"/>
      <c r="F2575" s="733"/>
      <c r="G2575" s="733"/>
      <c r="H2575" s="733"/>
      <c r="I2575" s="733"/>
      <c r="J2575" s="733"/>
      <c r="K2575" s="733"/>
      <c r="L2575" s="733"/>
      <c r="M2575" s="733"/>
      <c r="N2575" s="734"/>
    </row>
    <row r="2576" spans="2:14" ht="44.25" customHeight="1" x14ac:dyDescent="0.25">
      <c r="B2576" s="735" t="s">
        <v>395</v>
      </c>
      <c r="C2576" s="736"/>
      <c r="D2576" s="737" t="str">
        <f>VLOOKUP(B2578,Buenaventura!A9:G2918,3,FALSE)</f>
        <v>Suministro y aplicación de pintura en esmalte</v>
      </c>
      <c r="E2576" s="738"/>
      <c r="F2576" s="738"/>
      <c r="G2576" s="738"/>
      <c r="H2576" s="738"/>
      <c r="I2576" s="738"/>
      <c r="J2576" s="738"/>
      <c r="K2576" s="738"/>
      <c r="L2576" s="738"/>
      <c r="M2576" s="738"/>
      <c r="N2576" s="739"/>
    </row>
    <row r="2577" spans="2:14" ht="14.25" customHeight="1" x14ac:dyDescent="0.25">
      <c r="B2577" s="740" t="s">
        <v>26</v>
      </c>
      <c r="C2577" s="741"/>
      <c r="D2577" s="119" t="s">
        <v>396</v>
      </c>
      <c r="E2577" s="742" t="s">
        <v>397</v>
      </c>
      <c r="F2577" s="733"/>
      <c r="G2577" s="733"/>
      <c r="H2577" s="736"/>
      <c r="I2577" s="742" t="s">
        <v>398</v>
      </c>
      <c r="J2577" s="733"/>
      <c r="K2577" s="736"/>
      <c r="L2577" s="742" t="s">
        <v>399</v>
      </c>
      <c r="M2577" s="733"/>
      <c r="N2577" s="734"/>
    </row>
    <row r="2578" spans="2:14" ht="14.25" customHeight="1" x14ac:dyDescent="0.25">
      <c r="B2578" s="283">
        <v>43</v>
      </c>
      <c r="C2578" s="284" t="str">
        <f>VLOOKUP(B2578,Buenaventura!A9:G2931,2,FALSE)</f>
        <v>AC-07</v>
      </c>
      <c r="D2578" s="285">
        <f>SUM(H2581:H2584)</f>
        <v>1</v>
      </c>
      <c r="E2578" s="743" t="str">
        <f>VLOOKUP(B2578,Buenaventura!A9:G2930,4,FALSE)</f>
        <v>ML</v>
      </c>
      <c r="F2578" s="743"/>
      <c r="G2578" s="743"/>
      <c r="H2578" s="743"/>
      <c r="I2578" s="744"/>
      <c r="J2578" s="745"/>
      <c r="K2578" s="741"/>
      <c r="L2578" s="744"/>
      <c r="M2578" s="745"/>
      <c r="N2578" s="752"/>
    </row>
    <row r="2579" spans="2:14" ht="14.25" customHeight="1" x14ac:dyDescent="0.25">
      <c r="B2579" s="755" t="s">
        <v>416</v>
      </c>
      <c r="C2579" s="733"/>
      <c r="D2579" s="733"/>
      <c r="E2579" s="733"/>
      <c r="F2579" s="733"/>
      <c r="G2579" s="733"/>
      <c r="H2579" s="736"/>
      <c r="I2579" s="746"/>
      <c r="J2579" s="747"/>
      <c r="K2579" s="748"/>
      <c r="L2579" s="746"/>
      <c r="M2579" s="747"/>
      <c r="N2579" s="753"/>
    </row>
    <row r="2580" spans="2:14" ht="14.25" customHeight="1" x14ac:dyDescent="0.25">
      <c r="B2580" s="121" t="s">
        <v>400</v>
      </c>
      <c r="C2580" s="122" t="s">
        <v>401</v>
      </c>
      <c r="D2580" s="123" t="s">
        <v>402</v>
      </c>
      <c r="E2580" s="123" t="s">
        <v>403</v>
      </c>
      <c r="F2580" s="123" t="s">
        <v>404</v>
      </c>
      <c r="G2580" s="123" t="s">
        <v>405</v>
      </c>
      <c r="H2580" s="123" t="s">
        <v>406</v>
      </c>
      <c r="I2580" s="746"/>
      <c r="J2580" s="747"/>
      <c r="K2580" s="748"/>
      <c r="L2580" s="746"/>
      <c r="M2580" s="747"/>
      <c r="N2580" s="753"/>
    </row>
    <row r="2581" spans="2:14" ht="14.25" customHeight="1" x14ac:dyDescent="0.25">
      <c r="B2581" s="141"/>
      <c r="C2581" s="125" t="s">
        <v>547</v>
      </c>
      <c r="D2581" s="125">
        <v>1</v>
      </c>
      <c r="E2581" s="125"/>
      <c r="F2581" s="125"/>
      <c r="G2581" s="125"/>
      <c r="H2581" s="125">
        <f>D2581</f>
        <v>1</v>
      </c>
      <c r="I2581" s="746"/>
      <c r="J2581" s="747"/>
      <c r="K2581" s="748"/>
      <c r="L2581" s="746"/>
      <c r="M2581" s="747"/>
      <c r="N2581" s="753"/>
    </row>
    <row r="2582" spans="2:14" ht="14.25" customHeight="1" x14ac:dyDescent="0.25">
      <c r="B2582" s="141"/>
      <c r="C2582" s="141"/>
      <c r="D2582" s="125"/>
      <c r="E2582" s="125"/>
      <c r="F2582" s="125"/>
      <c r="G2582" s="125"/>
      <c r="H2582" s="125"/>
      <c r="I2582" s="746"/>
      <c r="J2582" s="747"/>
      <c r="K2582" s="748"/>
      <c r="L2582" s="746"/>
      <c r="M2582" s="747"/>
      <c r="N2582" s="753"/>
    </row>
    <row r="2583" spans="2:14" ht="13.5" customHeight="1" x14ac:dyDescent="0.25">
      <c r="B2583" s="141"/>
      <c r="C2583" s="141"/>
      <c r="D2583" s="125"/>
      <c r="E2583" s="125"/>
      <c r="F2583" s="125"/>
      <c r="G2583" s="125"/>
      <c r="H2583" s="125"/>
      <c r="I2583" s="746"/>
      <c r="J2583" s="747"/>
      <c r="K2583" s="748"/>
      <c r="L2583" s="746"/>
      <c r="M2583" s="747"/>
      <c r="N2583" s="753"/>
    </row>
    <row r="2584" spans="2:14" ht="13.5" customHeight="1" x14ac:dyDescent="0.25">
      <c r="B2584" s="141"/>
      <c r="C2584" s="141"/>
      <c r="D2584" s="125"/>
      <c r="E2584" s="125"/>
      <c r="F2584" s="125"/>
      <c r="G2584" s="125"/>
      <c r="H2584" s="125"/>
      <c r="I2584" s="746"/>
      <c r="J2584" s="747"/>
      <c r="K2584" s="748"/>
      <c r="L2584" s="746"/>
      <c r="M2584" s="747"/>
      <c r="N2584" s="753"/>
    </row>
    <row r="2585" spans="2:14" ht="13.5" customHeight="1" x14ac:dyDescent="0.25">
      <c r="B2585" s="141"/>
      <c r="C2585" s="141"/>
      <c r="D2585" s="125"/>
      <c r="E2585" s="125"/>
      <c r="F2585" s="125"/>
      <c r="G2585" s="125"/>
      <c r="H2585" s="125"/>
      <c r="I2585" s="746"/>
      <c r="J2585" s="747"/>
      <c r="K2585" s="748"/>
      <c r="L2585" s="746"/>
      <c r="M2585" s="747"/>
      <c r="N2585" s="753"/>
    </row>
    <row r="2586" spans="2:14" ht="13.5" customHeight="1" x14ac:dyDescent="0.25">
      <c r="B2586" s="141"/>
      <c r="C2586" s="141"/>
      <c r="D2586" s="125"/>
      <c r="E2586" s="125"/>
      <c r="F2586" s="125"/>
      <c r="G2586" s="125"/>
      <c r="H2586" s="125"/>
      <c r="I2586" s="746"/>
      <c r="J2586" s="747"/>
      <c r="K2586" s="748"/>
      <c r="L2586" s="746"/>
      <c r="M2586" s="747"/>
      <c r="N2586" s="753"/>
    </row>
    <row r="2587" spans="2:14" ht="13.5" customHeight="1" x14ac:dyDescent="0.25">
      <c r="B2587" s="141"/>
      <c r="C2587" s="141"/>
      <c r="D2587" s="125"/>
      <c r="E2587" s="125"/>
      <c r="F2587" s="125"/>
      <c r="G2587" s="125"/>
      <c r="H2587" s="125"/>
      <c r="I2587" s="746"/>
      <c r="J2587" s="747"/>
      <c r="K2587" s="748"/>
      <c r="L2587" s="746"/>
      <c r="M2587" s="747"/>
      <c r="N2587" s="753"/>
    </row>
    <row r="2588" spans="2:14" ht="13.5" customHeight="1" x14ac:dyDescent="0.25">
      <c r="B2588" s="141"/>
      <c r="C2588" s="141"/>
      <c r="D2588" s="125"/>
      <c r="E2588" s="125"/>
      <c r="F2588" s="125"/>
      <c r="G2588" s="125"/>
      <c r="H2588" s="125"/>
      <c r="I2588" s="746"/>
      <c r="J2588" s="747"/>
      <c r="K2588" s="748"/>
      <c r="L2588" s="746"/>
      <c r="M2588" s="747"/>
      <c r="N2588" s="753"/>
    </row>
    <row r="2589" spans="2:14" ht="13.5" customHeight="1" x14ac:dyDescent="0.25">
      <c r="B2589" s="141"/>
      <c r="C2589" s="141"/>
      <c r="D2589" s="125"/>
      <c r="E2589" s="125"/>
      <c r="F2589" s="125"/>
      <c r="G2589" s="125"/>
      <c r="H2589" s="125"/>
      <c r="I2589" s="746"/>
      <c r="J2589" s="747"/>
      <c r="K2589" s="748"/>
      <c r="L2589" s="746"/>
      <c r="M2589" s="747"/>
      <c r="N2589" s="753"/>
    </row>
    <row r="2590" spans="2:14" ht="13.5" customHeight="1" x14ac:dyDescent="0.25">
      <c r="B2590" s="124"/>
      <c r="C2590" s="141"/>
      <c r="D2590" s="125"/>
      <c r="E2590" s="125"/>
      <c r="F2590" s="125"/>
      <c r="G2590" s="125"/>
      <c r="H2590" s="125"/>
      <c r="I2590" s="746"/>
      <c r="J2590" s="747"/>
      <c r="K2590" s="748"/>
      <c r="L2590" s="746"/>
      <c r="M2590" s="747"/>
      <c r="N2590" s="753"/>
    </row>
    <row r="2591" spans="2:14" ht="13.5" customHeight="1" x14ac:dyDescent="0.25">
      <c r="B2591" s="124"/>
      <c r="C2591" s="141"/>
      <c r="D2591" s="125"/>
      <c r="E2591" s="125"/>
      <c r="F2591" s="125"/>
      <c r="G2591" s="125"/>
      <c r="H2591" s="125"/>
      <c r="I2591" s="746"/>
      <c r="J2591" s="747"/>
      <c r="K2591" s="748"/>
      <c r="L2591" s="746"/>
      <c r="M2591" s="747"/>
      <c r="N2591" s="753"/>
    </row>
    <row r="2592" spans="2:14" ht="13.5" customHeight="1" x14ac:dyDescent="0.25">
      <c r="B2592" s="124"/>
      <c r="C2592" s="141"/>
      <c r="D2592" s="125"/>
      <c r="E2592" s="125"/>
      <c r="F2592" s="125"/>
      <c r="G2592" s="125"/>
      <c r="H2592" s="125"/>
      <c r="I2592" s="746"/>
      <c r="J2592" s="747"/>
      <c r="K2592" s="748"/>
      <c r="L2592" s="746"/>
      <c r="M2592" s="747"/>
      <c r="N2592" s="753"/>
    </row>
    <row r="2593" spans="2:14" ht="13.5" customHeight="1" x14ac:dyDescent="0.25">
      <c r="B2593" s="124"/>
      <c r="C2593" s="125"/>
      <c r="D2593" s="125"/>
      <c r="E2593" s="125"/>
      <c r="F2593" s="125"/>
      <c r="G2593" s="125"/>
      <c r="H2593" s="125"/>
      <c r="I2593" s="746"/>
      <c r="J2593" s="747"/>
      <c r="K2593" s="748"/>
      <c r="L2593" s="746"/>
      <c r="M2593" s="747"/>
      <c r="N2593" s="753"/>
    </row>
    <row r="2594" spans="2:14" ht="13.5" customHeight="1" x14ac:dyDescent="0.25">
      <c r="B2594" s="124"/>
      <c r="C2594" s="125"/>
      <c r="D2594" s="125"/>
      <c r="E2594" s="125"/>
      <c r="F2594" s="125"/>
      <c r="G2594" s="125"/>
      <c r="H2594" s="125"/>
      <c r="I2594" s="746"/>
      <c r="J2594" s="747"/>
      <c r="K2594" s="748"/>
      <c r="L2594" s="746"/>
      <c r="M2594" s="747"/>
      <c r="N2594" s="753"/>
    </row>
    <row r="2595" spans="2:14" ht="13.5" customHeight="1" x14ac:dyDescent="0.25">
      <c r="B2595" s="124"/>
      <c r="C2595" s="125"/>
      <c r="D2595" s="125"/>
      <c r="E2595" s="125"/>
      <c r="F2595" s="125"/>
      <c r="G2595" s="125"/>
      <c r="H2595" s="125"/>
      <c r="I2595" s="746"/>
      <c r="J2595" s="747"/>
      <c r="K2595" s="748"/>
      <c r="L2595" s="746"/>
      <c r="M2595" s="747"/>
      <c r="N2595" s="753"/>
    </row>
    <row r="2596" spans="2:14" ht="13.5" customHeight="1" x14ac:dyDescent="0.25">
      <c r="B2596" s="124"/>
      <c r="C2596" s="125"/>
      <c r="D2596" s="125"/>
      <c r="E2596" s="125"/>
      <c r="F2596" s="125"/>
      <c r="G2596" s="125"/>
      <c r="H2596" s="125"/>
      <c r="I2596" s="746"/>
      <c r="J2596" s="747"/>
      <c r="K2596" s="748"/>
      <c r="L2596" s="746"/>
      <c r="M2596" s="747"/>
      <c r="N2596" s="753"/>
    </row>
    <row r="2597" spans="2:14" ht="13.5" customHeight="1" x14ac:dyDescent="0.25">
      <c r="B2597" s="124"/>
      <c r="C2597" s="125"/>
      <c r="D2597" s="125"/>
      <c r="E2597" s="125"/>
      <c r="F2597" s="125"/>
      <c r="G2597" s="125"/>
      <c r="H2597" s="125"/>
      <c r="I2597" s="746"/>
      <c r="J2597" s="747"/>
      <c r="K2597" s="748"/>
      <c r="L2597" s="746"/>
      <c r="M2597" s="747"/>
      <c r="N2597" s="753"/>
    </row>
    <row r="2598" spans="2:14" ht="13.5" customHeight="1" x14ac:dyDescent="0.25">
      <c r="B2598" s="124"/>
      <c r="C2598" s="125"/>
      <c r="D2598" s="125"/>
      <c r="E2598" s="125"/>
      <c r="F2598" s="125"/>
      <c r="G2598" s="125"/>
      <c r="H2598" s="125"/>
      <c r="I2598" s="746"/>
      <c r="J2598" s="747"/>
      <c r="K2598" s="748"/>
      <c r="L2598" s="746"/>
      <c r="M2598" s="747"/>
      <c r="N2598" s="753"/>
    </row>
    <row r="2599" spans="2:14" ht="13.5" customHeight="1" x14ac:dyDescent="0.25">
      <c r="B2599" s="124"/>
      <c r="C2599" s="125"/>
      <c r="D2599" s="125"/>
      <c r="E2599" s="125"/>
      <c r="F2599" s="125"/>
      <c r="G2599" s="125"/>
      <c r="H2599" s="125"/>
      <c r="I2599" s="746"/>
      <c r="J2599" s="747"/>
      <c r="K2599" s="748"/>
      <c r="L2599" s="746"/>
      <c r="M2599" s="747"/>
      <c r="N2599" s="753"/>
    </row>
    <row r="2600" spans="2:14" ht="13.5" customHeight="1" x14ac:dyDescent="0.25">
      <c r="B2600" s="124"/>
      <c r="C2600" s="125"/>
      <c r="D2600" s="125"/>
      <c r="E2600" s="125"/>
      <c r="F2600" s="125"/>
      <c r="G2600" s="125"/>
      <c r="H2600" s="125"/>
      <c r="I2600" s="746"/>
      <c r="J2600" s="747"/>
      <c r="K2600" s="748"/>
      <c r="L2600" s="746"/>
      <c r="M2600" s="747"/>
      <c r="N2600" s="753"/>
    </row>
    <row r="2601" spans="2:14" ht="14.25" customHeight="1" x14ac:dyDescent="0.25">
      <c r="B2601" s="127"/>
      <c r="C2601" s="125"/>
      <c r="D2601" s="125"/>
      <c r="E2601" s="125"/>
      <c r="F2601" s="125"/>
      <c r="G2601" s="125"/>
      <c r="H2601" s="125"/>
      <c r="I2601" s="749"/>
      <c r="J2601" s="750"/>
      <c r="K2601" s="751"/>
      <c r="L2601" s="749"/>
      <c r="M2601" s="750"/>
      <c r="N2601" s="754"/>
    </row>
    <row r="2602" spans="2:14" ht="14.25" customHeight="1" x14ac:dyDescent="0.25">
      <c r="B2602" s="209"/>
      <c r="C2602" s="118"/>
      <c r="D2602" s="118"/>
      <c r="E2602" s="118"/>
      <c r="F2602" s="118"/>
      <c r="G2602" s="118"/>
      <c r="H2602" s="118"/>
      <c r="I2602" s="118"/>
      <c r="J2602" s="118"/>
      <c r="K2602" s="118"/>
      <c r="L2602" s="118"/>
      <c r="M2602" s="118"/>
      <c r="N2602" s="210"/>
    </row>
    <row r="2603" spans="2:14" ht="14.25" customHeight="1" x14ac:dyDescent="0.25">
      <c r="B2603" s="209"/>
      <c r="C2603" s="118"/>
      <c r="D2603" s="118"/>
      <c r="E2603" s="118"/>
      <c r="F2603" s="118"/>
      <c r="G2603" s="118"/>
      <c r="H2603" s="118"/>
      <c r="I2603" s="118"/>
      <c r="J2603" s="118"/>
      <c r="K2603" s="118"/>
      <c r="L2603" s="118"/>
      <c r="M2603" s="118"/>
      <c r="N2603" s="210"/>
    </row>
    <row r="2604" spans="2:14" ht="14.25" customHeight="1" x14ac:dyDescent="0.25">
      <c r="B2604" s="209"/>
      <c r="C2604" s="118"/>
      <c r="D2604" s="118"/>
      <c r="E2604" s="118"/>
      <c r="F2604" s="118"/>
      <c r="G2604" s="118"/>
      <c r="H2604" s="118"/>
      <c r="I2604" s="118"/>
      <c r="J2604" s="118"/>
      <c r="K2604" s="118"/>
      <c r="L2604" s="118"/>
      <c r="M2604" s="118"/>
      <c r="N2604" s="210"/>
    </row>
    <row r="2605" spans="2:14" ht="14.25" customHeight="1" x14ac:dyDescent="0.25">
      <c r="B2605" s="209"/>
      <c r="C2605" s="118"/>
      <c r="D2605" s="118"/>
      <c r="E2605" s="118"/>
      <c r="F2605" s="118"/>
      <c r="G2605" s="118"/>
      <c r="H2605" s="118"/>
      <c r="I2605" s="118"/>
      <c r="J2605" s="118"/>
      <c r="K2605" s="118"/>
      <c r="L2605" s="118"/>
      <c r="M2605" s="118"/>
      <c r="N2605" s="210"/>
    </row>
    <row r="2606" spans="2:14" ht="14.25" customHeight="1" x14ac:dyDescent="0.25">
      <c r="B2606" s="775" t="s">
        <v>414</v>
      </c>
      <c r="C2606" s="747"/>
      <c r="D2606" s="747"/>
      <c r="E2606" s="128"/>
      <c r="F2606" s="128"/>
      <c r="G2606" s="128"/>
      <c r="H2606" s="128"/>
      <c r="I2606" s="776"/>
      <c r="J2606" s="747"/>
      <c r="K2606" s="747"/>
      <c r="L2606" s="118"/>
      <c r="M2606" s="118"/>
      <c r="N2606" s="210"/>
    </row>
    <row r="2607" spans="2:14" ht="14.25" customHeight="1" thickBot="1" x14ac:dyDescent="0.3">
      <c r="B2607" s="129"/>
      <c r="C2607" s="130"/>
      <c r="D2607" s="130"/>
      <c r="E2607" s="130"/>
      <c r="F2607" s="130"/>
      <c r="G2607" s="130"/>
      <c r="H2607" s="130"/>
      <c r="I2607" s="130"/>
      <c r="J2607" s="130"/>
      <c r="K2607" s="130"/>
      <c r="L2607" s="130"/>
      <c r="M2607" s="130"/>
      <c r="N2607" s="131"/>
    </row>
    <row r="2608" spans="2:14" ht="14.25" customHeight="1" x14ac:dyDescent="0.25"/>
    <row r="2609" spans="2:14" ht="14.25" customHeight="1" thickBot="1" x14ac:dyDescent="0.3"/>
    <row r="2610" spans="2:14" ht="42" customHeight="1" x14ac:dyDescent="0.25">
      <c r="B2610" s="728"/>
      <c r="C2610" s="729"/>
      <c r="D2610" s="730" t="s">
        <v>393</v>
      </c>
      <c r="E2610" s="729"/>
      <c r="F2610" s="729"/>
      <c r="G2610" s="729"/>
      <c r="H2610" s="729"/>
      <c r="I2610" s="729"/>
      <c r="J2610" s="729"/>
      <c r="K2610" s="729"/>
      <c r="L2610" s="729"/>
      <c r="M2610" s="729"/>
      <c r="N2610" s="731"/>
    </row>
    <row r="2611" spans="2:14" ht="14.25" customHeight="1" x14ac:dyDescent="0.25">
      <c r="B2611" s="732" t="s">
        <v>394</v>
      </c>
      <c r="C2611" s="733"/>
      <c r="D2611" s="733"/>
      <c r="E2611" s="733"/>
      <c r="F2611" s="733"/>
      <c r="G2611" s="733"/>
      <c r="H2611" s="733"/>
      <c r="I2611" s="733"/>
      <c r="J2611" s="733"/>
      <c r="K2611" s="733"/>
      <c r="L2611" s="733"/>
      <c r="M2611" s="733"/>
      <c r="N2611" s="734"/>
    </row>
    <row r="2612" spans="2:14" ht="24.75" customHeight="1" x14ac:dyDescent="0.25">
      <c r="B2612" s="735" t="s">
        <v>395</v>
      </c>
      <c r="C2612" s="736"/>
      <c r="D2612" s="737" t="str">
        <f>VLOOKUP(B2614,Buenaventura!A9:G2962,3,FALSE)</f>
        <v xml:space="preserve">Suministro y fabricación de viga de cimentación en concreto cuyas medidas son 20 cm x 25 cm de alto, incluye acero de refuerzo </v>
      </c>
      <c r="E2612" s="738"/>
      <c r="F2612" s="738"/>
      <c r="G2612" s="738"/>
      <c r="H2612" s="738"/>
      <c r="I2612" s="738"/>
      <c r="J2612" s="738"/>
      <c r="K2612" s="738"/>
      <c r="L2612" s="738"/>
      <c r="M2612" s="738"/>
      <c r="N2612" s="739"/>
    </row>
    <row r="2613" spans="2:14" ht="14.25" customHeight="1" x14ac:dyDescent="0.25">
      <c r="B2613" s="740" t="s">
        <v>26</v>
      </c>
      <c r="C2613" s="741"/>
      <c r="D2613" s="119" t="s">
        <v>396</v>
      </c>
      <c r="E2613" s="742" t="s">
        <v>397</v>
      </c>
      <c r="F2613" s="733"/>
      <c r="G2613" s="733"/>
      <c r="H2613" s="736"/>
      <c r="I2613" s="742" t="s">
        <v>398</v>
      </c>
      <c r="J2613" s="733"/>
      <c r="K2613" s="736"/>
      <c r="L2613" s="742" t="s">
        <v>399</v>
      </c>
      <c r="M2613" s="733"/>
      <c r="N2613" s="734"/>
    </row>
    <row r="2614" spans="2:14" ht="14.25" customHeight="1" x14ac:dyDescent="0.25">
      <c r="B2614" s="283">
        <v>44</v>
      </c>
      <c r="C2614" s="284" t="str">
        <f>VLOOKUP(B2614,Buenaventura!A9:G2975,2,FALSE)</f>
        <v>DI-29</v>
      </c>
      <c r="D2614" s="285">
        <f>SUM(H2617:H2620)</f>
        <v>12.5</v>
      </c>
      <c r="E2614" s="743" t="str">
        <f>VLOOKUP(B2614,Buenaventura!A9:G2974,4,FALSE)</f>
        <v>M3</v>
      </c>
      <c r="F2614" s="743"/>
      <c r="G2614" s="743"/>
      <c r="H2614" s="743"/>
      <c r="I2614" s="744"/>
      <c r="J2614" s="745"/>
      <c r="K2614" s="741"/>
      <c r="L2614" s="744"/>
      <c r="M2614" s="745"/>
      <c r="N2614" s="752"/>
    </row>
    <row r="2615" spans="2:14" ht="14.25" customHeight="1" x14ac:dyDescent="0.25">
      <c r="B2615" s="755" t="s">
        <v>416</v>
      </c>
      <c r="C2615" s="733"/>
      <c r="D2615" s="733"/>
      <c r="E2615" s="733"/>
      <c r="F2615" s="733"/>
      <c r="G2615" s="733"/>
      <c r="H2615" s="736"/>
      <c r="I2615" s="746"/>
      <c r="J2615" s="747"/>
      <c r="K2615" s="748"/>
      <c r="L2615" s="746"/>
      <c r="M2615" s="747"/>
      <c r="N2615" s="753"/>
    </row>
    <row r="2616" spans="2:14" ht="14.25" customHeight="1" x14ac:dyDescent="0.25">
      <c r="B2616" s="121" t="s">
        <v>400</v>
      </c>
      <c r="C2616" s="122" t="s">
        <v>401</v>
      </c>
      <c r="D2616" s="123" t="s">
        <v>402</v>
      </c>
      <c r="E2616" s="123" t="s">
        <v>403</v>
      </c>
      <c r="F2616" s="123" t="s">
        <v>404</v>
      </c>
      <c r="G2616" s="123" t="s">
        <v>405</v>
      </c>
      <c r="H2616" s="123" t="s">
        <v>406</v>
      </c>
      <c r="I2616" s="746"/>
      <c r="J2616" s="747"/>
      <c r="K2616" s="748"/>
      <c r="L2616" s="746"/>
      <c r="M2616" s="747"/>
      <c r="N2616" s="753"/>
    </row>
    <row r="2617" spans="2:14" ht="14.25" customHeight="1" x14ac:dyDescent="0.25">
      <c r="B2617" s="124"/>
      <c r="C2617" s="125" t="s">
        <v>534</v>
      </c>
      <c r="D2617" s="125"/>
      <c r="E2617" s="125">
        <v>2.5</v>
      </c>
      <c r="F2617" s="125">
        <v>5</v>
      </c>
      <c r="G2617" s="125"/>
      <c r="H2617" s="125">
        <f>E2617*F2617</f>
        <v>12.5</v>
      </c>
      <c r="I2617" s="746"/>
      <c r="J2617" s="747"/>
      <c r="K2617" s="748"/>
      <c r="L2617" s="746"/>
      <c r="M2617" s="747"/>
      <c r="N2617" s="753"/>
    </row>
    <row r="2618" spans="2:14" ht="14.25" customHeight="1" x14ac:dyDescent="0.25">
      <c r="B2618" s="124"/>
      <c r="C2618" s="125"/>
      <c r="D2618" s="125"/>
      <c r="E2618" s="125"/>
      <c r="F2618" s="125"/>
      <c r="G2618" s="125"/>
      <c r="H2618" s="125"/>
      <c r="I2618" s="746"/>
      <c r="J2618" s="747"/>
      <c r="K2618" s="748"/>
      <c r="L2618" s="746"/>
      <c r="M2618" s="747"/>
      <c r="N2618" s="753"/>
    </row>
    <row r="2619" spans="2:14" ht="14.25" customHeight="1" x14ac:dyDescent="0.25">
      <c r="B2619" s="124"/>
      <c r="C2619" s="125"/>
      <c r="D2619" s="125"/>
      <c r="E2619" s="125"/>
      <c r="F2619" s="125"/>
      <c r="G2619" s="125"/>
      <c r="H2619" s="125"/>
      <c r="I2619" s="746"/>
      <c r="J2619" s="747"/>
      <c r="K2619" s="748"/>
      <c r="L2619" s="746"/>
      <c r="M2619" s="747"/>
      <c r="N2619" s="753"/>
    </row>
    <row r="2620" spans="2:14" ht="14.25" customHeight="1" x14ac:dyDescent="0.25">
      <c r="B2620" s="124"/>
      <c r="C2620" s="125"/>
      <c r="D2620" s="125"/>
      <c r="E2620" s="125"/>
      <c r="F2620" s="125"/>
      <c r="G2620" s="125"/>
      <c r="H2620" s="125"/>
      <c r="I2620" s="746"/>
      <c r="J2620" s="747"/>
      <c r="K2620" s="748"/>
      <c r="L2620" s="746"/>
      <c r="M2620" s="747"/>
      <c r="N2620" s="753"/>
    </row>
    <row r="2621" spans="2:14" ht="14.25" customHeight="1" x14ac:dyDescent="0.25">
      <c r="B2621" s="124"/>
      <c r="C2621" s="125"/>
      <c r="D2621" s="125"/>
      <c r="E2621" s="125"/>
      <c r="F2621" s="125"/>
      <c r="G2621" s="125"/>
      <c r="H2621" s="125"/>
      <c r="I2621" s="746"/>
      <c r="J2621" s="747"/>
      <c r="K2621" s="748"/>
      <c r="L2621" s="746"/>
      <c r="M2621" s="747"/>
      <c r="N2621" s="753"/>
    </row>
    <row r="2622" spans="2:14" ht="14.25" customHeight="1" x14ac:dyDescent="0.25">
      <c r="B2622" s="124"/>
      <c r="C2622" s="125"/>
      <c r="D2622" s="125"/>
      <c r="E2622" s="125"/>
      <c r="F2622" s="125"/>
      <c r="G2622" s="125"/>
      <c r="H2622" s="125"/>
      <c r="I2622" s="746"/>
      <c r="J2622" s="747"/>
      <c r="K2622" s="748"/>
      <c r="L2622" s="746"/>
      <c r="M2622" s="747"/>
      <c r="N2622" s="753"/>
    </row>
    <row r="2623" spans="2:14" ht="14.25" customHeight="1" x14ac:dyDescent="0.25">
      <c r="B2623" s="124"/>
      <c r="C2623" s="125"/>
      <c r="D2623" s="125"/>
      <c r="E2623" s="125"/>
      <c r="F2623" s="125"/>
      <c r="G2623" s="125"/>
      <c r="H2623" s="125"/>
      <c r="I2623" s="746"/>
      <c r="J2623" s="747"/>
      <c r="K2623" s="748"/>
      <c r="L2623" s="746"/>
      <c r="M2623" s="747"/>
      <c r="N2623" s="753"/>
    </row>
    <row r="2624" spans="2:14" ht="14.25" customHeight="1" x14ac:dyDescent="0.25">
      <c r="B2624" s="124"/>
      <c r="C2624" s="125"/>
      <c r="D2624" s="125"/>
      <c r="E2624" s="125"/>
      <c r="F2624" s="125"/>
      <c r="G2624" s="125"/>
      <c r="H2624" s="125"/>
      <c r="I2624" s="746"/>
      <c r="J2624" s="747"/>
      <c r="K2624" s="748"/>
      <c r="L2624" s="746"/>
      <c r="M2624" s="747"/>
      <c r="N2624" s="753"/>
    </row>
    <row r="2625" spans="2:14" ht="14.25" customHeight="1" x14ac:dyDescent="0.25">
      <c r="B2625" s="124"/>
      <c r="C2625" s="125"/>
      <c r="D2625" s="125"/>
      <c r="E2625" s="125"/>
      <c r="F2625" s="125"/>
      <c r="G2625" s="125"/>
      <c r="H2625" s="125"/>
      <c r="I2625" s="746"/>
      <c r="J2625" s="747"/>
      <c r="K2625" s="748"/>
      <c r="L2625" s="746"/>
      <c r="M2625" s="747"/>
      <c r="N2625" s="753"/>
    </row>
    <row r="2626" spans="2:14" ht="14.25" customHeight="1" x14ac:dyDescent="0.25">
      <c r="B2626" s="124"/>
      <c r="C2626" s="125"/>
      <c r="D2626" s="125"/>
      <c r="E2626" s="125"/>
      <c r="F2626" s="125"/>
      <c r="G2626" s="125"/>
      <c r="H2626" s="125"/>
      <c r="I2626" s="746"/>
      <c r="J2626" s="747"/>
      <c r="K2626" s="748"/>
      <c r="L2626" s="746"/>
      <c r="M2626" s="747"/>
      <c r="N2626" s="753"/>
    </row>
    <row r="2627" spans="2:14" ht="14.25" customHeight="1" x14ac:dyDescent="0.25">
      <c r="B2627" s="124"/>
      <c r="C2627" s="125"/>
      <c r="D2627" s="125"/>
      <c r="E2627" s="125"/>
      <c r="F2627" s="125"/>
      <c r="G2627" s="125"/>
      <c r="H2627" s="125"/>
      <c r="I2627" s="746"/>
      <c r="J2627" s="747"/>
      <c r="K2627" s="748"/>
      <c r="L2627" s="746"/>
      <c r="M2627" s="747"/>
      <c r="N2627" s="753"/>
    </row>
    <row r="2628" spans="2:14" ht="14.25" customHeight="1" x14ac:dyDescent="0.25">
      <c r="B2628" s="124"/>
      <c r="C2628" s="125"/>
      <c r="D2628" s="125"/>
      <c r="E2628" s="125"/>
      <c r="F2628" s="125"/>
      <c r="G2628" s="125"/>
      <c r="H2628" s="125"/>
      <c r="I2628" s="746"/>
      <c r="J2628" s="747"/>
      <c r="K2628" s="748"/>
      <c r="L2628" s="746"/>
      <c r="M2628" s="747"/>
      <c r="N2628" s="753"/>
    </row>
    <row r="2629" spans="2:14" ht="14.25" customHeight="1" x14ac:dyDescent="0.25">
      <c r="B2629" s="124"/>
      <c r="C2629" s="125"/>
      <c r="D2629" s="125"/>
      <c r="E2629" s="125"/>
      <c r="F2629" s="125"/>
      <c r="G2629" s="125"/>
      <c r="H2629" s="125"/>
      <c r="I2629" s="746"/>
      <c r="J2629" s="747"/>
      <c r="K2629" s="748"/>
      <c r="L2629" s="746"/>
      <c r="M2629" s="747"/>
      <c r="N2629" s="753"/>
    </row>
    <row r="2630" spans="2:14" ht="14.25" customHeight="1" x14ac:dyDescent="0.25">
      <c r="B2630" s="124"/>
      <c r="C2630" s="125"/>
      <c r="D2630" s="125"/>
      <c r="E2630" s="125"/>
      <c r="F2630" s="125"/>
      <c r="G2630" s="125"/>
      <c r="H2630" s="125"/>
      <c r="I2630" s="746"/>
      <c r="J2630" s="747"/>
      <c r="K2630" s="748"/>
      <c r="L2630" s="746"/>
      <c r="M2630" s="747"/>
      <c r="N2630" s="753"/>
    </row>
    <row r="2631" spans="2:14" ht="14.25" customHeight="1" x14ac:dyDescent="0.25">
      <c r="B2631" s="124"/>
      <c r="C2631" s="125"/>
      <c r="D2631" s="125"/>
      <c r="E2631" s="125"/>
      <c r="F2631" s="125"/>
      <c r="G2631" s="125"/>
      <c r="H2631" s="125"/>
      <c r="I2631" s="746"/>
      <c r="J2631" s="747"/>
      <c r="K2631" s="748"/>
      <c r="L2631" s="746"/>
      <c r="M2631" s="747"/>
      <c r="N2631" s="753"/>
    </row>
    <row r="2632" spans="2:14" ht="14.25" customHeight="1" x14ac:dyDescent="0.25">
      <c r="B2632" s="124"/>
      <c r="C2632" s="125"/>
      <c r="D2632" s="125"/>
      <c r="E2632" s="125"/>
      <c r="F2632" s="125"/>
      <c r="G2632" s="125"/>
      <c r="H2632" s="125"/>
      <c r="I2632" s="746"/>
      <c r="J2632" s="747"/>
      <c r="K2632" s="748"/>
      <c r="L2632" s="746"/>
      <c r="M2632" s="747"/>
      <c r="N2632" s="753"/>
    </row>
    <row r="2633" spans="2:14" ht="14.25" customHeight="1" x14ac:dyDescent="0.25">
      <c r="B2633" s="124"/>
      <c r="C2633" s="125"/>
      <c r="D2633" s="125"/>
      <c r="E2633" s="125"/>
      <c r="F2633" s="125"/>
      <c r="G2633" s="125"/>
      <c r="H2633" s="125"/>
      <c r="I2633" s="746"/>
      <c r="J2633" s="747"/>
      <c r="K2633" s="748"/>
      <c r="L2633" s="746"/>
      <c r="M2633" s="747"/>
      <c r="N2633" s="753"/>
    </row>
    <row r="2634" spans="2:14" ht="14.25" customHeight="1" x14ac:dyDescent="0.25">
      <c r="B2634" s="124"/>
      <c r="C2634" s="125"/>
      <c r="D2634" s="125"/>
      <c r="E2634" s="125"/>
      <c r="F2634" s="125"/>
      <c r="G2634" s="125"/>
      <c r="H2634" s="125"/>
      <c r="I2634" s="746"/>
      <c r="J2634" s="747"/>
      <c r="K2634" s="748"/>
      <c r="L2634" s="746"/>
      <c r="M2634" s="747"/>
      <c r="N2634" s="753"/>
    </row>
    <row r="2635" spans="2:14" ht="14.25" customHeight="1" x14ac:dyDescent="0.25">
      <c r="B2635" s="127"/>
      <c r="C2635" s="125"/>
      <c r="D2635" s="125"/>
      <c r="E2635" s="125"/>
      <c r="F2635" s="125"/>
      <c r="G2635" s="125"/>
      <c r="H2635" s="125"/>
      <c r="I2635" s="749"/>
      <c r="J2635" s="750"/>
      <c r="K2635" s="751"/>
      <c r="L2635" s="749"/>
      <c r="M2635" s="750"/>
      <c r="N2635" s="754"/>
    </row>
    <row r="2636" spans="2:14" ht="14.25" customHeight="1" x14ac:dyDescent="0.25">
      <c r="B2636" s="209"/>
      <c r="C2636" s="118"/>
      <c r="D2636" s="118"/>
      <c r="E2636" s="118"/>
      <c r="F2636" s="118"/>
      <c r="G2636" s="118"/>
      <c r="H2636" s="118"/>
      <c r="I2636" s="118"/>
      <c r="J2636" s="118"/>
      <c r="K2636" s="118"/>
      <c r="L2636" s="118"/>
      <c r="M2636" s="118"/>
      <c r="N2636" s="210"/>
    </row>
    <row r="2637" spans="2:14" ht="14.25" customHeight="1" x14ac:dyDescent="0.25">
      <c r="B2637" s="209"/>
      <c r="C2637" s="118"/>
      <c r="D2637" s="118"/>
      <c r="E2637" s="118"/>
      <c r="F2637" s="118"/>
      <c r="G2637" s="118"/>
      <c r="H2637" s="118"/>
      <c r="I2637" s="118"/>
      <c r="J2637" s="118"/>
      <c r="K2637" s="118"/>
      <c r="L2637" s="118"/>
      <c r="M2637" s="118"/>
      <c r="N2637" s="210"/>
    </row>
    <row r="2638" spans="2:14" ht="14.25" customHeight="1" x14ac:dyDescent="0.25">
      <c r="B2638" s="209"/>
      <c r="C2638" s="118"/>
      <c r="D2638" s="118"/>
      <c r="E2638" s="118"/>
      <c r="F2638" s="118"/>
      <c r="G2638" s="118"/>
      <c r="H2638" s="118"/>
      <c r="I2638" s="118"/>
      <c r="J2638" s="118"/>
      <c r="K2638" s="118"/>
      <c r="L2638" s="118"/>
      <c r="M2638" s="118"/>
      <c r="N2638" s="210"/>
    </row>
    <row r="2639" spans="2:14" ht="14.25" customHeight="1" x14ac:dyDescent="0.25">
      <c r="B2639" s="209"/>
      <c r="C2639" s="118"/>
      <c r="D2639" s="118"/>
      <c r="E2639" s="118"/>
      <c r="F2639" s="118"/>
      <c r="G2639" s="118"/>
      <c r="H2639" s="118"/>
      <c r="I2639" s="118"/>
      <c r="J2639" s="118"/>
      <c r="K2639" s="118"/>
      <c r="L2639" s="118"/>
      <c r="M2639" s="118"/>
      <c r="N2639" s="210"/>
    </row>
    <row r="2640" spans="2:14" ht="14.25" customHeight="1" x14ac:dyDescent="0.25">
      <c r="B2640" s="775" t="s">
        <v>414</v>
      </c>
      <c r="C2640" s="747"/>
      <c r="D2640" s="747"/>
      <c r="E2640" s="128"/>
      <c r="F2640" s="128"/>
      <c r="G2640" s="128"/>
      <c r="H2640" s="128"/>
      <c r="I2640" s="776"/>
      <c r="J2640" s="747"/>
      <c r="K2640" s="747"/>
      <c r="L2640" s="118"/>
      <c r="M2640" s="118"/>
      <c r="N2640" s="210"/>
    </row>
    <row r="2641" spans="2:14" ht="14.25" customHeight="1" thickBot="1" x14ac:dyDescent="0.3">
      <c r="B2641" s="129"/>
      <c r="C2641" s="130"/>
      <c r="D2641" s="130"/>
      <c r="E2641" s="130"/>
      <c r="F2641" s="130"/>
      <c r="G2641" s="130"/>
      <c r="H2641" s="130"/>
      <c r="I2641" s="130"/>
      <c r="J2641" s="130"/>
      <c r="K2641" s="130"/>
      <c r="L2641" s="130"/>
      <c r="M2641" s="130"/>
      <c r="N2641" s="131"/>
    </row>
    <row r="2642" spans="2:14" ht="14.25" hidden="1" customHeight="1" x14ac:dyDescent="0.25">
      <c r="B2642" s="132"/>
      <c r="C2642" s="132"/>
      <c r="D2642" s="132"/>
      <c r="E2642" s="132"/>
      <c r="F2642" s="132"/>
      <c r="G2642" s="132"/>
      <c r="H2642" s="132"/>
      <c r="I2642" s="132"/>
      <c r="J2642" s="132"/>
      <c r="K2642" s="132"/>
      <c r="L2642" s="132"/>
      <c r="M2642" s="132"/>
      <c r="N2642" s="132"/>
    </row>
    <row r="2643" spans="2:14" ht="44.25" hidden="1" customHeight="1" x14ac:dyDescent="0.25">
      <c r="B2643" s="784"/>
      <c r="C2643" s="785"/>
      <c r="D2643" s="786" t="s">
        <v>393</v>
      </c>
      <c r="E2643" s="785"/>
      <c r="F2643" s="785"/>
      <c r="G2643" s="785"/>
      <c r="H2643" s="785"/>
      <c r="I2643" s="785"/>
      <c r="J2643" s="785"/>
      <c r="K2643" s="785"/>
      <c r="L2643" s="785"/>
      <c r="M2643" s="785"/>
      <c r="N2643" s="787"/>
    </row>
    <row r="2644" spans="2:14" ht="14.25" hidden="1" customHeight="1" x14ac:dyDescent="0.25">
      <c r="B2644" s="732" t="s">
        <v>394</v>
      </c>
      <c r="C2644" s="733"/>
      <c r="D2644" s="733"/>
      <c r="E2644" s="733"/>
      <c r="F2644" s="733"/>
      <c r="G2644" s="733"/>
      <c r="H2644" s="733"/>
      <c r="I2644" s="733"/>
      <c r="J2644" s="733"/>
      <c r="K2644" s="733"/>
      <c r="L2644" s="733"/>
      <c r="M2644" s="733"/>
      <c r="N2644" s="734"/>
    </row>
    <row r="2645" spans="2:14" ht="14.25" hidden="1" customHeight="1" x14ac:dyDescent="0.25">
      <c r="B2645" s="735" t="s">
        <v>395</v>
      </c>
      <c r="C2645" s="736"/>
      <c r="D2645" s="779" t="s">
        <v>548</v>
      </c>
      <c r="E2645" s="733"/>
      <c r="F2645" s="733"/>
      <c r="G2645" s="733"/>
      <c r="H2645" s="733"/>
      <c r="I2645" s="733"/>
      <c r="J2645" s="733"/>
      <c r="K2645" s="733"/>
      <c r="L2645" s="733"/>
      <c r="M2645" s="733"/>
      <c r="N2645" s="734"/>
    </row>
    <row r="2646" spans="2:14" ht="14.25" hidden="1" customHeight="1" x14ac:dyDescent="0.25">
      <c r="B2646" s="783" t="s">
        <v>26</v>
      </c>
      <c r="C2646" s="736"/>
      <c r="D2646" s="119" t="s">
        <v>396</v>
      </c>
      <c r="E2646" s="742" t="s">
        <v>397</v>
      </c>
      <c r="F2646" s="733"/>
      <c r="G2646" s="733"/>
      <c r="H2646" s="736"/>
      <c r="I2646" s="742" t="s">
        <v>398</v>
      </c>
      <c r="J2646" s="733"/>
      <c r="K2646" s="736"/>
      <c r="L2646" s="742" t="s">
        <v>399</v>
      </c>
      <c r="M2646" s="733"/>
      <c r="N2646" s="734"/>
    </row>
    <row r="2647" spans="2:14" ht="14.25" hidden="1" customHeight="1" x14ac:dyDescent="0.25">
      <c r="B2647" s="777">
        <v>77</v>
      </c>
      <c r="C2647" s="736"/>
      <c r="D2647" s="123">
        <f>SUM(H2650:H2668)</f>
        <v>1</v>
      </c>
      <c r="E2647" s="778" t="s">
        <v>29</v>
      </c>
      <c r="F2647" s="733"/>
      <c r="G2647" s="733"/>
      <c r="H2647" s="736"/>
      <c r="I2647" s="744"/>
      <c r="J2647" s="745"/>
      <c r="K2647" s="741"/>
      <c r="L2647" s="744"/>
      <c r="M2647" s="745"/>
      <c r="N2647" s="752"/>
    </row>
    <row r="2648" spans="2:14" ht="14.25" hidden="1" customHeight="1" x14ac:dyDescent="0.25">
      <c r="B2648" s="755" t="s">
        <v>416</v>
      </c>
      <c r="C2648" s="733"/>
      <c r="D2648" s="733"/>
      <c r="E2648" s="733"/>
      <c r="F2648" s="733"/>
      <c r="G2648" s="733"/>
      <c r="H2648" s="736"/>
      <c r="I2648" s="746"/>
      <c r="J2648" s="747"/>
      <c r="K2648" s="748"/>
      <c r="L2648" s="746"/>
      <c r="M2648" s="747"/>
      <c r="N2648" s="753"/>
    </row>
    <row r="2649" spans="2:14" ht="14.25" hidden="1" customHeight="1" x14ac:dyDescent="0.25">
      <c r="B2649" s="121" t="s">
        <v>400</v>
      </c>
      <c r="C2649" s="122" t="s">
        <v>401</v>
      </c>
      <c r="D2649" s="123" t="s">
        <v>402</v>
      </c>
      <c r="E2649" s="123" t="s">
        <v>403</v>
      </c>
      <c r="F2649" s="123" t="s">
        <v>404</v>
      </c>
      <c r="G2649" s="123" t="s">
        <v>405</v>
      </c>
      <c r="H2649" s="123" t="s">
        <v>406</v>
      </c>
      <c r="I2649" s="746"/>
      <c r="J2649" s="747"/>
      <c r="K2649" s="748"/>
      <c r="L2649" s="746"/>
      <c r="M2649" s="747"/>
      <c r="N2649" s="753"/>
    </row>
    <row r="2650" spans="2:14" ht="14.25" hidden="1" customHeight="1" x14ac:dyDescent="0.25">
      <c r="B2650" s="124"/>
      <c r="C2650" s="125" t="s">
        <v>515</v>
      </c>
      <c r="D2650" s="125">
        <v>1</v>
      </c>
      <c r="E2650" s="125"/>
      <c r="F2650" s="125"/>
      <c r="G2650" s="125"/>
      <c r="H2650" s="125">
        <f>D2650</f>
        <v>1</v>
      </c>
      <c r="I2650" s="746"/>
      <c r="J2650" s="747"/>
      <c r="K2650" s="748"/>
      <c r="L2650" s="746"/>
      <c r="M2650" s="747"/>
      <c r="N2650" s="753"/>
    </row>
    <row r="2651" spans="2:14" ht="14.25" hidden="1" customHeight="1" x14ac:dyDescent="0.25">
      <c r="B2651" s="124"/>
      <c r="C2651" s="125"/>
      <c r="D2651" s="125"/>
      <c r="E2651" s="125"/>
      <c r="F2651" s="125"/>
      <c r="G2651" s="125"/>
      <c r="H2651" s="125"/>
      <c r="I2651" s="746"/>
      <c r="J2651" s="747"/>
      <c r="K2651" s="748"/>
      <c r="L2651" s="746"/>
      <c r="M2651" s="747"/>
      <c r="N2651" s="753"/>
    </row>
    <row r="2652" spans="2:14" ht="14.25" hidden="1" customHeight="1" x14ac:dyDescent="0.25">
      <c r="B2652" s="124"/>
      <c r="C2652" s="125"/>
      <c r="D2652" s="125"/>
      <c r="E2652" s="125"/>
      <c r="F2652" s="125"/>
      <c r="G2652" s="125"/>
      <c r="H2652" s="125"/>
      <c r="I2652" s="746"/>
      <c r="J2652" s="747"/>
      <c r="K2652" s="748"/>
      <c r="L2652" s="746"/>
      <c r="M2652" s="747"/>
      <c r="N2652" s="753"/>
    </row>
    <row r="2653" spans="2:14" ht="14.25" hidden="1" customHeight="1" x14ac:dyDescent="0.25">
      <c r="B2653" s="124"/>
      <c r="C2653" s="125"/>
      <c r="D2653" s="125"/>
      <c r="E2653" s="125"/>
      <c r="F2653" s="125"/>
      <c r="G2653" s="125"/>
      <c r="H2653" s="125"/>
      <c r="I2653" s="746"/>
      <c r="J2653" s="747"/>
      <c r="K2653" s="748"/>
      <c r="L2653" s="746"/>
      <c r="M2653" s="747"/>
      <c r="N2653" s="753"/>
    </row>
    <row r="2654" spans="2:14" ht="14.25" hidden="1" customHeight="1" x14ac:dyDescent="0.25">
      <c r="B2654" s="124"/>
      <c r="C2654" s="125"/>
      <c r="D2654" s="125"/>
      <c r="E2654" s="125"/>
      <c r="F2654" s="125"/>
      <c r="G2654" s="125"/>
      <c r="H2654" s="125"/>
      <c r="I2654" s="746"/>
      <c r="J2654" s="747"/>
      <c r="K2654" s="748"/>
      <c r="L2654" s="746"/>
      <c r="M2654" s="747"/>
      <c r="N2654" s="753"/>
    </row>
    <row r="2655" spans="2:14" ht="14.25" hidden="1" customHeight="1" x14ac:dyDescent="0.25">
      <c r="B2655" s="124"/>
      <c r="C2655" s="125"/>
      <c r="D2655" s="125"/>
      <c r="E2655" s="125"/>
      <c r="F2655" s="125"/>
      <c r="G2655" s="125"/>
      <c r="H2655" s="125"/>
      <c r="I2655" s="746"/>
      <c r="J2655" s="747"/>
      <c r="K2655" s="748"/>
      <c r="L2655" s="746"/>
      <c r="M2655" s="747"/>
      <c r="N2655" s="753"/>
    </row>
    <row r="2656" spans="2:14" ht="14.25" hidden="1" customHeight="1" x14ac:dyDescent="0.25">
      <c r="B2656" s="124"/>
      <c r="C2656" s="125"/>
      <c r="D2656" s="125"/>
      <c r="E2656" s="125"/>
      <c r="F2656" s="125"/>
      <c r="G2656" s="125"/>
      <c r="H2656" s="125"/>
      <c r="I2656" s="746"/>
      <c r="J2656" s="747"/>
      <c r="K2656" s="748"/>
      <c r="L2656" s="746"/>
      <c r="M2656" s="747"/>
      <c r="N2656" s="753"/>
    </row>
    <row r="2657" spans="2:14" ht="14.25" hidden="1" customHeight="1" x14ac:dyDescent="0.25">
      <c r="B2657" s="124"/>
      <c r="C2657" s="125"/>
      <c r="D2657" s="125"/>
      <c r="E2657" s="125"/>
      <c r="F2657" s="125"/>
      <c r="G2657" s="125"/>
      <c r="H2657" s="125"/>
      <c r="I2657" s="746"/>
      <c r="J2657" s="747"/>
      <c r="K2657" s="748"/>
      <c r="L2657" s="746"/>
      <c r="M2657" s="747"/>
      <c r="N2657" s="753"/>
    </row>
    <row r="2658" spans="2:14" ht="14.25" hidden="1" customHeight="1" x14ac:dyDescent="0.25">
      <c r="B2658" s="124"/>
      <c r="C2658" s="125"/>
      <c r="D2658" s="125"/>
      <c r="E2658" s="125"/>
      <c r="F2658" s="125"/>
      <c r="G2658" s="125"/>
      <c r="H2658" s="125"/>
      <c r="I2658" s="746"/>
      <c r="J2658" s="747"/>
      <c r="K2658" s="748"/>
      <c r="L2658" s="746"/>
      <c r="M2658" s="747"/>
      <c r="N2658" s="753"/>
    </row>
    <row r="2659" spans="2:14" ht="14.25" hidden="1" customHeight="1" x14ac:dyDescent="0.25">
      <c r="B2659" s="124"/>
      <c r="C2659" s="125"/>
      <c r="D2659" s="125"/>
      <c r="E2659" s="125"/>
      <c r="F2659" s="125"/>
      <c r="G2659" s="125"/>
      <c r="H2659" s="125"/>
      <c r="I2659" s="746"/>
      <c r="J2659" s="747"/>
      <c r="K2659" s="748"/>
      <c r="L2659" s="746"/>
      <c r="M2659" s="747"/>
      <c r="N2659" s="753"/>
    </row>
    <row r="2660" spans="2:14" ht="14.25" hidden="1" customHeight="1" x14ac:dyDescent="0.25">
      <c r="B2660" s="124"/>
      <c r="C2660" s="125"/>
      <c r="D2660" s="125"/>
      <c r="E2660" s="125"/>
      <c r="F2660" s="125"/>
      <c r="G2660" s="125"/>
      <c r="H2660" s="125"/>
      <c r="I2660" s="746"/>
      <c r="J2660" s="747"/>
      <c r="K2660" s="748"/>
      <c r="L2660" s="746"/>
      <c r="M2660" s="747"/>
      <c r="N2660" s="753"/>
    </row>
    <row r="2661" spans="2:14" ht="14.25" hidden="1" customHeight="1" x14ac:dyDescent="0.25">
      <c r="B2661" s="124"/>
      <c r="C2661" s="125"/>
      <c r="D2661" s="125"/>
      <c r="E2661" s="125"/>
      <c r="F2661" s="125"/>
      <c r="G2661" s="125"/>
      <c r="H2661" s="125"/>
      <c r="I2661" s="746"/>
      <c r="J2661" s="747"/>
      <c r="K2661" s="748"/>
      <c r="L2661" s="746"/>
      <c r="M2661" s="747"/>
      <c r="N2661" s="753"/>
    </row>
    <row r="2662" spans="2:14" ht="14.25" hidden="1" customHeight="1" x14ac:dyDescent="0.25">
      <c r="B2662" s="124"/>
      <c r="C2662" s="125"/>
      <c r="D2662" s="125"/>
      <c r="E2662" s="125"/>
      <c r="F2662" s="125"/>
      <c r="G2662" s="125"/>
      <c r="H2662" s="125"/>
      <c r="I2662" s="746"/>
      <c r="J2662" s="747"/>
      <c r="K2662" s="748"/>
      <c r="L2662" s="746"/>
      <c r="M2662" s="747"/>
      <c r="N2662" s="753"/>
    </row>
    <row r="2663" spans="2:14" ht="14.25" hidden="1" customHeight="1" x14ac:dyDescent="0.25">
      <c r="B2663" s="124"/>
      <c r="C2663" s="125"/>
      <c r="D2663" s="125"/>
      <c r="E2663" s="125"/>
      <c r="F2663" s="125"/>
      <c r="G2663" s="125"/>
      <c r="H2663" s="125"/>
      <c r="I2663" s="746"/>
      <c r="J2663" s="747"/>
      <c r="K2663" s="748"/>
      <c r="L2663" s="746"/>
      <c r="M2663" s="747"/>
      <c r="N2663" s="753"/>
    </row>
    <row r="2664" spans="2:14" ht="14.25" hidden="1" customHeight="1" x14ac:dyDescent="0.25">
      <c r="B2664" s="124"/>
      <c r="C2664" s="125"/>
      <c r="D2664" s="125"/>
      <c r="E2664" s="125"/>
      <c r="F2664" s="125"/>
      <c r="G2664" s="125"/>
      <c r="H2664" s="125"/>
      <c r="I2664" s="746"/>
      <c r="J2664" s="747"/>
      <c r="K2664" s="748"/>
      <c r="L2664" s="746"/>
      <c r="M2664" s="747"/>
      <c r="N2664" s="753"/>
    </row>
    <row r="2665" spans="2:14" ht="14.25" hidden="1" customHeight="1" x14ac:dyDescent="0.25">
      <c r="B2665" s="124"/>
      <c r="C2665" s="125"/>
      <c r="D2665" s="125"/>
      <c r="E2665" s="125"/>
      <c r="F2665" s="125"/>
      <c r="G2665" s="125"/>
      <c r="H2665" s="125"/>
      <c r="I2665" s="746"/>
      <c r="J2665" s="747"/>
      <c r="K2665" s="748"/>
      <c r="L2665" s="746"/>
      <c r="M2665" s="747"/>
      <c r="N2665" s="753"/>
    </row>
    <row r="2666" spans="2:14" ht="14.25" hidden="1" customHeight="1" x14ac:dyDescent="0.25">
      <c r="B2666" s="124"/>
      <c r="C2666" s="125"/>
      <c r="D2666" s="125"/>
      <c r="E2666" s="125"/>
      <c r="F2666" s="125"/>
      <c r="G2666" s="125"/>
      <c r="H2666" s="125"/>
      <c r="I2666" s="746"/>
      <c r="J2666" s="747"/>
      <c r="K2666" s="748"/>
      <c r="L2666" s="746"/>
      <c r="M2666" s="747"/>
      <c r="N2666" s="753"/>
    </row>
    <row r="2667" spans="2:14" ht="14.25" hidden="1" customHeight="1" x14ac:dyDescent="0.25">
      <c r="B2667" s="124"/>
      <c r="C2667" s="125"/>
      <c r="D2667" s="125"/>
      <c r="E2667" s="125"/>
      <c r="F2667" s="125"/>
      <c r="G2667" s="125"/>
      <c r="H2667" s="125"/>
      <c r="I2667" s="746"/>
      <c r="J2667" s="747"/>
      <c r="K2667" s="748"/>
      <c r="L2667" s="746"/>
      <c r="M2667" s="747"/>
      <c r="N2667" s="753"/>
    </row>
    <row r="2668" spans="2:14" ht="14.25" hidden="1" customHeight="1" x14ac:dyDescent="0.25">
      <c r="B2668" s="127"/>
      <c r="C2668" s="125"/>
      <c r="D2668" s="125"/>
      <c r="E2668" s="125"/>
      <c r="F2668" s="125"/>
      <c r="G2668" s="125"/>
      <c r="H2668" s="125"/>
      <c r="I2668" s="749"/>
      <c r="J2668" s="750"/>
      <c r="K2668" s="751"/>
      <c r="L2668" s="749"/>
      <c r="M2668" s="750"/>
      <c r="N2668" s="754"/>
    </row>
    <row r="2669" spans="2:14" ht="14.25" hidden="1" customHeight="1" x14ac:dyDescent="0.25">
      <c r="B2669" s="209"/>
      <c r="C2669" s="118"/>
      <c r="D2669" s="118"/>
      <c r="E2669" s="118"/>
      <c r="F2669" s="118"/>
      <c r="G2669" s="118"/>
      <c r="H2669" s="118"/>
      <c r="I2669" s="118"/>
      <c r="J2669" s="118"/>
      <c r="K2669" s="118"/>
      <c r="L2669" s="118"/>
      <c r="M2669" s="118"/>
      <c r="N2669" s="210"/>
    </row>
    <row r="2670" spans="2:14" ht="14.25" hidden="1" customHeight="1" x14ac:dyDescent="0.25">
      <c r="B2670" s="209"/>
      <c r="C2670" s="118"/>
      <c r="D2670" s="118"/>
      <c r="E2670" s="118"/>
      <c r="F2670" s="118"/>
      <c r="G2670" s="118"/>
      <c r="H2670" s="118"/>
      <c r="I2670" s="118"/>
      <c r="J2670" s="118"/>
      <c r="K2670" s="118"/>
      <c r="L2670" s="118"/>
      <c r="M2670" s="118"/>
      <c r="N2670" s="210"/>
    </row>
    <row r="2671" spans="2:14" ht="14.25" hidden="1" customHeight="1" x14ac:dyDescent="0.25">
      <c r="B2671" s="209"/>
      <c r="C2671" s="118"/>
      <c r="D2671" s="118"/>
      <c r="E2671" s="118"/>
      <c r="F2671" s="118"/>
      <c r="G2671" s="118"/>
      <c r="H2671" s="118"/>
      <c r="I2671" s="118"/>
      <c r="J2671" s="118"/>
      <c r="K2671" s="118"/>
      <c r="L2671" s="118"/>
      <c r="M2671" s="118"/>
      <c r="N2671" s="210"/>
    </row>
    <row r="2672" spans="2:14" ht="14.25" hidden="1" customHeight="1" x14ac:dyDescent="0.25">
      <c r="B2672" s="209"/>
      <c r="C2672" s="118"/>
      <c r="D2672" s="118"/>
      <c r="E2672" s="118"/>
      <c r="F2672" s="118"/>
      <c r="G2672" s="118"/>
      <c r="H2672" s="118"/>
      <c r="I2672" s="118"/>
      <c r="J2672" s="118"/>
      <c r="K2672" s="118"/>
      <c r="L2672" s="118"/>
      <c r="M2672" s="118"/>
      <c r="N2672" s="210"/>
    </row>
    <row r="2673" spans="2:14" ht="14.25" hidden="1" customHeight="1" x14ac:dyDescent="0.25">
      <c r="B2673" s="775" t="s">
        <v>414</v>
      </c>
      <c r="C2673" s="747"/>
      <c r="D2673" s="747"/>
      <c r="E2673" s="128"/>
      <c r="F2673" s="128"/>
      <c r="G2673" s="128"/>
      <c r="H2673" s="128"/>
      <c r="I2673" s="776"/>
      <c r="J2673" s="747"/>
      <c r="K2673" s="747"/>
      <c r="L2673" s="118"/>
      <c r="M2673" s="118"/>
      <c r="N2673" s="210"/>
    </row>
    <row r="2674" spans="2:14" ht="14.25" hidden="1" customHeight="1" x14ac:dyDescent="0.25">
      <c r="B2674" s="129"/>
      <c r="C2674" s="130"/>
      <c r="D2674" s="130"/>
      <c r="E2674" s="130"/>
      <c r="F2674" s="130"/>
      <c r="G2674" s="130"/>
      <c r="H2674" s="130"/>
      <c r="I2674" s="130"/>
      <c r="J2674" s="130"/>
      <c r="K2674" s="130"/>
      <c r="L2674" s="130"/>
      <c r="M2674" s="130"/>
      <c r="N2674" s="131"/>
    </row>
    <row r="2675" spans="2:14" ht="14.25" customHeight="1" thickBot="1" x14ac:dyDescent="0.3">
      <c r="B2675" s="132"/>
      <c r="C2675" s="132"/>
      <c r="D2675" s="132"/>
      <c r="E2675" s="132"/>
      <c r="F2675" s="132"/>
      <c r="G2675" s="132"/>
      <c r="H2675" s="132"/>
      <c r="I2675" s="132"/>
      <c r="J2675" s="132"/>
      <c r="K2675" s="132"/>
      <c r="L2675" s="132"/>
      <c r="M2675" s="132"/>
      <c r="N2675" s="132"/>
    </row>
    <row r="2676" spans="2:14" ht="39.75" customHeight="1" x14ac:dyDescent="0.25">
      <c r="B2676" s="728"/>
      <c r="C2676" s="729"/>
      <c r="D2676" s="730" t="s">
        <v>393</v>
      </c>
      <c r="E2676" s="729"/>
      <c r="F2676" s="729"/>
      <c r="G2676" s="729"/>
      <c r="H2676" s="729"/>
      <c r="I2676" s="729"/>
      <c r="J2676" s="729"/>
      <c r="K2676" s="729"/>
      <c r="L2676" s="729"/>
      <c r="M2676" s="729"/>
      <c r="N2676" s="731"/>
    </row>
    <row r="2677" spans="2:14" ht="14.25" customHeight="1" x14ac:dyDescent="0.25">
      <c r="B2677" s="732" t="s">
        <v>394</v>
      </c>
      <c r="C2677" s="733"/>
      <c r="D2677" s="733"/>
      <c r="E2677" s="733"/>
      <c r="F2677" s="733"/>
      <c r="G2677" s="733"/>
      <c r="H2677" s="733"/>
      <c r="I2677" s="733"/>
      <c r="J2677" s="733"/>
      <c r="K2677" s="733"/>
      <c r="L2677" s="733"/>
      <c r="M2677" s="733"/>
      <c r="N2677" s="734"/>
    </row>
    <row r="2678" spans="2:14" ht="21" customHeight="1" x14ac:dyDescent="0.25">
      <c r="B2678" s="735" t="s">
        <v>395</v>
      </c>
      <c r="C2678" s="736"/>
      <c r="D2678" s="737" t="str">
        <f>VLOOKUP(B2680,Buenaventura!A9:G3028,3,FALSE)</f>
        <v>Suministro e instalación de contenedor o modulo metalico cuyas medidas son 2,40m  de ancho x 4,00m de largo, incluye acabado con  Sistema epóxico anticorrosivo (tipo marino o industrial), Capa de acabado (esmalte o epóxico) y piso delight vinílico para tráfico pesado, con panel solar,además todos los elementos, materiales, equipos, mano de obra, transporte, cargue, descargue, izaje (si se requiere), anclaje y fijación en sitio.</v>
      </c>
      <c r="E2678" s="738"/>
      <c r="F2678" s="738"/>
      <c r="G2678" s="738"/>
      <c r="H2678" s="738"/>
      <c r="I2678" s="738"/>
      <c r="J2678" s="738"/>
      <c r="K2678" s="738"/>
      <c r="L2678" s="738"/>
      <c r="M2678" s="738"/>
      <c r="N2678" s="739"/>
    </row>
    <row r="2679" spans="2:14" ht="14.25" customHeight="1" x14ac:dyDescent="0.25">
      <c r="B2679" s="740" t="s">
        <v>26</v>
      </c>
      <c r="C2679" s="741"/>
      <c r="D2679" s="119" t="s">
        <v>396</v>
      </c>
      <c r="E2679" s="742" t="s">
        <v>397</v>
      </c>
      <c r="F2679" s="733"/>
      <c r="G2679" s="733"/>
      <c r="H2679" s="736"/>
      <c r="I2679" s="742" t="s">
        <v>398</v>
      </c>
      <c r="J2679" s="733"/>
      <c r="K2679" s="736"/>
      <c r="L2679" s="742" t="s">
        <v>399</v>
      </c>
      <c r="M2679" s="733"/>
      <c r="N2679" s="734"/>
    </row>
    <row r="2680" spans="2:14" ht="14.25" customHeight="1" x14ac:dyDescent="0.25">
      <c r="B2680" s="283">
        <v>45</v>
      </c>
      <c r="C2680" s="284" t="str">
        <f>VLOOKUP(B2680,Buenaventura!A9:G3041,2,FALSE)</f>
        <v>VA-62</v>
      </c>
      <c r="D2680" s="285">
        <f>SUM(H2683:H2686)</f>
        <v>12.5</v>
      </c>
      <c r="E2680" s="743" t="str">
        <f>VLOOKUP(B2680,Buenaventura!A9:G3040,4,FALSE)</f>
        <v>UND</v>
      </c>
      <c r="F2680" s="743"/>
      <c r="G2680" s="743"/>
      <c r="H2680" s="743"/>
      <c r="I2680" s="744"/>
      <c r="J2680" s="745"/>
      <c r="K2680" s="741"/>
      <c r="L2680" s="744"/>
      <c r="M2680" s="745"/>
      <c r="N2680" s="752"/>
    </row>
    <row r="2681" spans="2:14" ht="14.25" customHeight="1" x14ac:dyDescent="0.25">
      <c r="B2681" s="755" t="s">
        <v>416</v>
      </c>
      <c r="C2681" s="733"/>
      <c r="D2681" s="733"/>
      <c r="E2681" s="733"/>
      <c r="F2681" s="733"/>
      <c r="G2681" s="733"/>
      <c r="H2681" s="736"/>
      <c r="I2681" s="746"/>
      <c r="J2681" s="747"/>
      <c r="K2681" s="748"/>
      <c r="L2681" s="746"/>
      <c r="M2681" s="747"/>
      <c r="N2681" s="753"/>
    </row>
    <row r="2682" spans="2:14" ht="14.25" customHeight="1" x14ac:dyDescent="0.25">
      <c r="B2682" s="121" t="s">
        <v>400</v>
      </c>
      <c r="C2682" s="122" t="s">
        <v>401</v>
      </c>
      <c r="D2682" s="123" t="s">
        <v>402</v>
      </c>
      <c r="E2682" s="123" t="s">
        <v>403</v>
      </c>
      <c r="F2682" s="123" t="s">
        <v>404</v>
      </c>
      <c r="G2682" s="123" t="s">
        <v>405</v>
      </c>
      <c r="H2682" s="123" t="s">
        <v>406</v>
      </c>
      <c r="I2682" s="746"/>
      <c r="J2682" s="747"/>
      <c r="K2682" s="748"/>
      <c r="L2682" s="746"/>
      <c r="M2682" s="747"/>
      <c r="N2682" s="753"/>
    </row>
    <row r="2683" spans="2:14" ht="14.25" customHeight="1" x14ac:dyDescent="0.25">
      <c r="B2683" s="136"/>
      <c r="C2683" s="125" t="s">
        <v>534</v>
      </c>
      <c r="D2683" s="125"/>
      <c r="E2683" s="125">
        <v>2.5</v>
      </c>
      <c r="F2683" s="125">
        <v>5</v>
      </c>
      <c r="G2683" s="125"/>
      <c r="H2683" s="125">
        <f>E2683*F2683</f>
        <v>12.5</v>
      </c>
      <c r="I2683" s="746"/>
      <c r="J2683" s="747"/>
      <c r="K2683" s="748"/>
      <c r="L2683" s="746"/>
      <c r="M2683" s="747"/>
      <c r="N2683" s="753"/>
    </row>
    <row r="2684" spans="2:14" ht="14.25" customHeight="1" x14ac:dyDescent="0.25">
      <c r="B2684" s="124"/>
      <c r="C2684" s="125"/>
      <c r="D2684" s="125"/>
      <c r="E2684" s="125"/>
      <c r="F2684" s="125"/>
      <c r="G2684" s="125"/>
      <c r="H2684" s="125"/>
      <c r="I2684" s="746"/>
      <c r="J2684" s="747"/>
      <c r="K2684" s="748"/>
      <c r="L2684" s="746"/>
      <c r="M2684" s="747"/>
      <c r="N2684" s="753"/>
    </row>
    <row r="2685" spans="2:14" ht="14.25" customHeight="1" x14ac:dyDescent="0.25">
      <c r="B2685" s="124"/>
      <c r="C2685" s="125"/>
      <c r="D2685" s="125"/>
      <c r="E2685" s="125"/>
      <c r="F2685" s="125"/>
      <c r="G2685" s="125"/>
      <c r="H2685" s="125"/>
      <c r="I2685" s="746"/>
      <c r="J2685" s="747"/>
      <c r="K2685" s="748"/>
      <c r="L2685" s="746"/>
      <c r="M2685" s="747"/>
      <c r="N2685" s="753"/>
    </row>
    <row r="2686" spans="2:14" ht="14.25" customHeight="1" x14ac:dyDescent="0.25">
      <c r="B2686" s="124"/>
      <c r="C2686" s="125"/>
      <c r="D2686" s="125"/>
      <c r="E2686" s="125"/>
      <c r="F2686" s="125"/>
      <c r="G2686" s="125"/>
      <c r="H2686" s="125"/>
      <c r="I2686" s="746"/>
      <c r="J2686" s="747"/>
      <c r="K2686" s="748"/>
      <c r="L2686" s="746"/>
      <c r="M2686" s="747"/>
      <c r="N2686" s="753"/>
    </row>
    <row r="2687" spans="2:14" ht="14.25" customHeight="1" x14ac:dyDescent="0.25">
      <c r="B2687" s="124"/>
      <c r="C2687" s="125"/>
      <c r="D2687" s="125"/>
      <c r="E2687" s="125"/>
      <c r="F2687" s="125"/>
      <c r="G2687" s="125"/>
      <c r="H2687" s="125"/>
      <c r="I2687" s="746"/>
      <c r="J2687" s="747"/>
      <c r="K2687" s="748"/>
      <c r="L2687" s="746"/>
      <c r="M2687" s="747"/>
      <c r="N2687" s="753"/>
    </row>
    <row r="2688" spans="2:14" ht="14.25" customHeight="1" x14ac:dyDescent="0.25">
      <c r="B2688" s="124"/>
      <c r="C2688" s="125"/>
      <c r="D2688" s="125"/>
      <c r="E2688" s="125"/>
      <c r="F2688" s="125"/>
      <c r="G2688" s="125"/>
      <c r="H2688" s="125"/>
      <c r="I2688" s="746"/>
      <c r="J2688" s="747"/>
      <c r="K2688" s="748"/>
      <c r="L2688" s="746"/>
      <c r="M2688" s="747"/>
      <c r="N2688" s="753"/>
    </row>
    <row r="2689" spans="2:14" ht="14.25" customHeight="1" x14ac:dyDescent="0.25">
      <c r="B2689" s="124"/>
      <c r="C2689" s="125"/>
      <c r="D2689" s="125"/>
      <c r="E2689" s="125"/>
      <c r="F2689" s="125"/>
      <c r="G2689" s="125"/>
      <c r="H2689" s="125"/>
      <c r="I2689" s="746"/>
      <c r="J2689" s="747"/>
      <c r="K2689" s="748"/>
      <c r="L2689" s="746"/>
      <c r="M2689" s="747"/>
      <c r="N2689" s="753"/>
    </row>
    <row r="2690" spans="2:14" ht="14.25" customHeight="1" x14ac:dyDescent="0.25">
      <c r="B2690" s="124"/>
      <c r="C2690" s="125"/>
      <c r="D2690" s="125"/>
      <c r="E2690" s="125"/>
      <c r="F2690" s="125"/>
      <c r="G2690" s="125"/>
      <c r="H2690" s="125"/>
      <c r="I2690" s="746"/>
      <c r="J2690" s="747"/>
      <c r="K2690" s="748"/>
      <c r="L2690" s="746"/>
      <c r="M2690" s="747"/>
      <c r="N2690" s="753"/>
    </row>
    <row r="2691" spans="2:14" ht="14.25" customHeight="1" x14ac:dyDescent="0.25">
      <c r="B2691" s="124"/>
      <c r="C2691" s="125"/>
      <c r="D2691" s="125"/>
      <c r="E2691" s="125"/>
      <c r="F2691" s="125"/>
      <c r="G2691" s="125"/>
      <c r="H2691" s="125"/>
      <c r="I2691" s="746"/>
      <c r="J2691" s="747"/>
      <c r="K2691" s="748"/>
      <c r="L2691" s="746"/>
      <c r="M2691" s="747"/>
      <c r="N2691" s="753"/>
    </row>
    <row r="2692" spans="2:14" ht="14.25" customHeight="1" x14ac:dyDescent="0.25">
      <c r="B2692" s="124"/>
      <c r="C2692" s="125"/>
      <c r="D2692" s="125"/>
      <c r="E2692" s="125"/>
      <c r="F2692" s="125"/>
      <c r="G2692" s="125"/>
      <c r="H2692" s="125"/>
      <c r="I2692" s="746"/>
      <c r="J2692" s="747"/>
      <c r="K2692" s="748"/>
      <c r="L2692" s="746"/>
      <c r="M2692" s="747"/>
      <c r="N2692" s="753"/>
    </row>
    <row r="2693" spans="2:14" ht="14.25" customHeight="1" x14ac:dyDescent="0.25">
      <c r="B2693" s="124"/>
      <c r="C2693" s="125"/>
      <c r="D2693" s="125"/>
      <c r="E2693" s="125"/>
      <c r="F2693" s="125"/>
      <c r="G2693" s="125"/>
      <c r="H2693" s="125"/>
      <c r="I2693" s="746"/>
      <c r="J2693" s="747"/>
      <c r="K2693" s="748"/>
      <c r="L2693" s="746"/>
      <c r="M2693" s="747"/>
      <c r="N2693" s="753"/>
    </row>
    <row r="2694" spans="2:14" ht="14.25" customHeight="1" x14ac:dyDescent="0.25">
      <c r="B2694" s="124"/>
      <c r="C2694" s="125"/>
      <c r="D2694" s="125"/>
      <c r="E2694" s="125"/>
      <c r="F2694" s="125"/>
      <c r="G2694" s="125"/>
      <c r="H2694" s="125"/>
      <c r="I2694" s="746"/>
      <c r="J2694" s="747"/>
      <c r="K2694" s="748"/>
      <c r="L2694" s="746"/>
      <c r="M2694" s="747"/>
      <c r="N2694" s="753"/>
    </row>
    <row r="2695" spans="2:14" ht="14.25" customHeight="1" x14ac:dyDescent="0.25">
      <c r="B2695" s="124"/>
      <c r="C2695" s="125"/>
      <c r="D2695" s="125"/>
      <c r="E2695" s="125"/>
      <c r="F2695" s="125"/>
      <c r="G2695" s="125"/>
      <c r="H2695" s="125"/>
      <c r="I2695" s="746"/>
      <c r="J2695" s="747"/>
      <c r="K2695" s="748"/>
      <c r="L2695" s="746"/>
      <c r="M2695" s="747"/>
      <c r="N2695" s="753"/>
    </row>
    <row r="2696" spans="2:14" ht="14.25" customHeight="1" x14ac:dyDescent="0.25">
      <c r="B2696" s="124"/>
      <c r="C2696" s="125"/>
      <c r="D2696" s="125"/>
      <c r="E2696" s="125"/>
      <c r="F2696" s="125"/>
      <c r="G2696" s="125"/>
      <c r="H2696" s="125"/>
      <c r="I2696" s="746"/>
      <c r="J2696" s="747"/>
      <c r="K2696" s="748"/>
      <c r="L2696" s="746"/>
      <c r="M2696" s="747"/>
      <c r="N2696" s="753"/>
    </row>
    <row r="2697" spans="2:14" ht="14.25" customHeight="1" x14ac:dyDescent="0.25">
      <c r="B2697" s="124"/>
      <c r="C2697" s="125"/>
      <c r="D2697" s="125"/>
      <c r="E2697" s="125"/>
      <c r="F2697" s="125"/>
      <c r="G2697" s="125"/>
      <c r="H2697" s="125"/>
      <c r="I2697" s="746"/>
      <c r="J2697" s="747"/>
      <c r="K2697" s="748"/>
      <c r="L2697" s="746"/>
      <c r="M2697" s="747"/>
      <c r="N2697" s="753"/>
    </row>
    <row r="2698" spans="2:14" ht="14.25" customHeight="1" x14ac:dyDescent="0.25">
      <c r="B2698" s="124"/>
      <c r="C2698" s="125"/>
      <c r="D2698" s="125"/>
      <c r="E2698" s="125"/>
      <c r="F2698" s="125"/>
      <c r="G2698" s="125"/>
      <c r="H2698" s="125"/>
      <c r="I2698" s="746"/>
      <c r="J2698" s="747"/>
      <c r="K2698" s="748"/>
      <c r="L2698" s="746"/>
      <c r="M2698" s="747"/>
      <c r="N2698" s="753"/>
    </row>
    <row r="2699" spans="2:14" ht="14.25" customHeight="1" x14ac:dyDescent="0.25">
      <c r="B2699" s="124"/>
      <c r="C2699" s="125"/>
      <c r="D2699" s="125"/>
      <c r="E2699" s="125"/>
      <c r="F2699" s="125"/>
      <c r="G2699" s="125"/>
      <c r="H2699" s="125"/>
      <c r="I2699" s="746"/>
      <c r="J2699" s="747"/>
      <c r="K2699" s="748"/>
      <c r="L2699" s="746"/>
      <c r="M2699" s="747"/>
      <c r="N2699" s="753"/>
    </row>
    <row r="2700" spans="2:14" ht="14.25" customHeight="1" x14ac:dyDescent="0.25">
      <c r="B2700" s="124"/>
      <c r="C2700" s="125"/>
      <c r="D2700" s="125"/>
      <c r="E2700" s="125"/>
      <c r="F2700" s="125"/>
      <c r="G2700" s="125"/>
      <c r="H2700" s="125"/>
      <c r="I2700" s="746"/>
      <c r="J2700" s="747"/>
      <c r="K2700" s="748"/>
      <c r="L2700" s="746"/>
      <c r="M2700" s="747"/>
      <c r="N2700" s="753"/>
    </row>
    <row r="2701" spans="2:14" ht="14.25" customHeight="1" x14ac:dyDescent="0.25">
      <c r="B2701" s="124"/>
      <c r="C2701" s="125"/>
      <c r="D2701" s="125"/>
      <c r="E2701" s="125"/>
      <c r="F2701" s="125"/>
      <c r="G2701" s="125"/>
      <c r="H2701" s="125"/>
      <c r="I2701" s="746"/>
      <c r="J2701" s="747"/>
      <c r="K2701" s="748"/>
      <c r="L2701" s="746"/>
      <c r="M2701" s="747"/>
      <c r="N2701" s="753"/>
    </row>
    <row r="2702" spans="2:14" ht="14.25" customHeight="1" x14ac:dyDescent="0.25">
      <c r="B2702" s="127"/>
      <c r="C2702" s="125"/>
      <c r="D2702" s="125"/>
      <c r="E2702" s="125"/>
      <c r="F2702" s="125"/>
      <c r="G2702" s="125"/>
      <c r="H2702" s="125"/>
      <c r="I2702" s="749"/>
      <c r="J2702" s="750"/>
      <c r="K2702" s="751"/>
      <c r="L2702" s="749"/>
      <c r="M2702" s="750"/>
      <c r="N2702" s="754"/>
    </row>
    <row r="2703" spans="2:14" ht="14.25" customHeight="1" x14ac:dyDescent="0.25">
      <c r="B2703" s="209"/>
      <c r="C2703" s="118"/>
      <c r="D2703" s="118"/>
      <c r="E2703" s="118"/>
      <c r="F2703" s="118"/>
      <c r="G2703" s="118"/>
      <c r="H2703" s="118"/>
      <c r="I2703" s="118"/>
      <c r="J2703" s="118"/>
      <c r="K2703" s="118"/>
      <c r="L2703" s="118"/>
      <c r="M2703" s="118"/>
      <c r="N2703" s="210"/>
    </row>
    <row r="2704" spans="2:14" ht="14.25" customHeight="1" x14ac:dyDescent="0.25">
      <c r="B2704" s="209"/>
      <c r="C2704" s="118"/>
      <c r="D2704" s="118"/>
      <c r="E2704" s="118"/>
      <c r="F2704" s="118"/>
      <c r="G2704" s="118"/>
      <c r="H2704" s="118"/>
      <c r="I2704" s="118"/>
      <c r="J2704" s="118"/>
      <c r="K2704" s="118"/>
      <c r="L2704" s="118"/>
      <c r="M2704" s="118"/>
      <c r="N2704" s="210"/>
    </row>
    <row r="2705" spans="2:14" ht="14.25" customHeight="1" x14ac:dyDescent="0.25">
      <c r="B2705" s="209"/>
      <c r="C2705" s="118"/>
      <c r="D2705" s="118"/>
      <c r="E2705" s="118"/>
      <c r="F2705" s="118"/>
      <c r="G2705" s="118"/>
      <c r="H2705" s="118"/>
      <c r="I2705" s="118"/>
      <c r="J2705" s="118"/>
      <c r="K2705" s="118"/>
      <c r="L2705" s="118"/>
      <c r="M2705" s="118"/>
      <c r="N2705" s="210"/>
    </row>
    <row r="2706" spans="2:14" ht="14.25" customHeight="1" x14ac:dyDescent="0.25">
      <c r="B2706" s="209"/>
      <c r="C2706" s="118"/>
      <c r="D2706" s="118"/>
      <c r="E2706" s="118"/>
      <c r="F2706" s="118"/>
      <c r="G2706" s="118"/>
      <c r="H2706" s="118"/>
      <c r="I2706" s="118"/>
      <c r="J2706" s="118"/>
      <c r="K2706" s="118"/>
      <c r="L2706" s="118"/>
      <c r="M2706" s="118"/>
      <c r="N2706" s="210"/>
    </row>
    <row r="2707" spans="2:14" ht="14.25" customHeight="1" x14ac:dyDescent="0.25">
      <c r="B2707" s="775" t="s">
        <v>414</v>
      </c>
      <c r="C2707" s="747"/>
      <c r="D2707" s="747"/>
      <c r="E2707" s="128"/>
      <c r="F2707" s="128"/>
      <c r="G2707" s="128"/>
      <c r="H2707" s="128"/>
      <c r="I2707" s="776"/>
      <c r="J2707" s="747"/>
      <c r="K2707" s="747"/>
      <c r="L2707" s="118"/>
      <c r="M2707" s="118"/>
      <c r="N2707" s="210"/>
    </row>
    <row r="2708" spans="2:14" ht="14.25" customHeight="1" thickBot="1" x14ac:dyDescent="0.3">
      <c r="B2708" s="129"/>
      <c r="C2708" s="130"/>
      <c r="D2708" s="130"/>
      <c r="E2708" s="130"/>
      <c r="F2708" s="130"/>
      <c r="G2708" s="130"/>
      <c r="H2708" s="130"/>
      <c r="I2708" s="130"/>
      <c r="J2708" s="130"/>
      <c r="K2708" s="130"/>
      <c r="L2708" s="130"/>
      <c r="M2708" s="130"/>
      <c r="N2708" s="131"/>
    </row>
    <row r="2709" spans="2:14" ht="14.25" hidden="1" customHeight="1" x14ac:dyDescent="0.25">
      <c r="B2709" s="132"/>
      <c r="C2709" s="132"/>
      <c r="D2709" s="132"/>
      <c r="E2709" s="132"/>
      <c r="F2709" s="132"/>
      <c r="G2709" s="132"/>
      <c r="H2709" s="132"/>
      <c r="I2709" s="132"/>
      <c r="J2709" s="132"/>
      <c r="K2709" s="132"/>
      <c r="L2709" s="132"/>
      <c r="M2709" s="132"/>
      <c r="N2709" s="132"/>
    </row>
    <row r="2710" spans="2:14" ht="43.5" hidden="1" customHeight="1" x14ac:dyDescent="0.25">
      <c r="B2710" s="728"/>
      <c r="C2710" s="729"/>
      <c r="D2710" s="730" t="s">
        <v>393</v>
      </c>
      <c r="E2710" s="729"/>
      <c r="F2710" s="729"/>
      <c r="G2710" s="729"/>
      <c r="H2710" s="729"/>
      <c r="I2710" s="729"/>
      <c r="J2710" s="729"/>
      <c r="K2710" s="729"/>
      <c r="L2710" s="729"/>
      <c r="M2710" s="729"/>
      <c r="N2710" s="731"/>
    </row>
    <row r="2711" spans="2:14" ht="14.25" hidden="1" customHeight="1" x14ac:dyDescent="0.25">
      <c r="B2711" s="732" t="s">
        <v>394</v>
      </c>
      <c r="C2711" s="733"/>
      <c r="D2711" s="733"/>
      <c r="E2711" s="733"/>
      <c r="F2711" s="733"/>
      <c r="G2711" s="733"/>
      <c r="H2711" s="733"/>
      <c r="I2711" s="733"/>
      <c r="J2711" s="733"/>
      <c r="K2711" s="733"/>
      <c r="L2711" s="733"/>
      <c r="M2711" s="733"/>
      <c r="N2711" s="734"/>
    </row>
    <row r="2712" spans="2:14" ht="14.25" hidden="1" customHeight="1" x14ac:dyDescent="0.25">
      <c r="B2712" s="735" t="s">
        <v>395</v>
      </c>
      <c r="C2712" s="736"/>
      <c r="D2712" s="779" t="s">
        <v>549</v>
      </c>
      <c r="E2712" s="733"/>
      <c r="F2712" s="733"/>
      <c r="G2712" s="733"/>
      <c r="H2712" s="733"/>
      <c r="I2712" s="733"/>
      <c r="J2712" s="733"/>
      <c r="K2712" s="733"/>
      <c r="L2712" s="733"/>
      <c r="M2712" s="733"/>
      <c r="N2712" s="734"/>
    </row>
    <row r="2713" spans="2:14" ht="14.25" hidden="1" customHeight="1" x14ac:dyDescent="0.25">
      <c r="B2713" s="740" t="s">
        <v>26</v>
      </c>
      <c r="C2713" s="741"/>
      <c r="D2713" s="119" t="s">
        <v>396</v>
      </c>
      <c r="E2713" s="742" t="s">
        <v>397</v>
      </c>
      <c r="F2713" s="733"/>
      <c r="G2713" s="733"/>
      <c r="H2713" s="736"/>
      <c r="I2713" s="742" t="s">
        <v>398</v>
      </c>
      <c r="J2713" s="733"/>
      <c r="K2713" s="736"/>
      <c r="L2713" s="742" t="s">
        <v>399</v>
      </c>
      <c r="M2713" s="733"/>
      <c r="N2713" s="734"/>
    </row>
    <row r="2714" spans="2:14" ht="14.25" hidden="1" customHeight="1" x14ac:dyDescent="0.25">
      <c r="B2714" s="777"/>
      <c r="C2714" s="736"/>
      <c r="D2714" s="123">
        <f>ROUND(SUM(H2717:H2735),0)</f>
        <v>2</v>
      </c>
      <c r="E2714" s="778" t="s">
        <v>29</v>
      </c>
      <c r="F2714" s="733"/>
      <c r="G2714" s="733"/>
      <c r="H2714" s="736"/>
      <c r="I2714" s="744"/>
      <c r="J2714" s="745"/>
      <c r="K2714" s="741"/>
      <c r="L2714" s="744"/>
      <c r="M2714" s="745"/>
      <c r="N2714" s="752"/>
    </row>
    <row r="2715" spans="2:14" ht="14.25" hidden="1" customHeight="1" x14ac:dyDescent="0.25">
      <c r="B2715" s="755" t="s">
        <v>416</v>
      </c>
      <c r="C2715" s="733"/>
      <c r="D2715" s="733"/>
      <c r="E2715" s="733"/>
      <c r="F2715" s="733"/>
      <c r="G2715" s="733"/>
      <c r="H2715" s="736"/>
      <c r="I2715" s="746"/>
      <c r="J2715" s="747"/>
      <c r="K2715" s="748"/>
      <c r="L2715" s="746"/>
      <c r="M2715" s="747"/>
      <c r="N2715" s="753"/>
    </row>
    <row r="2716" spans="2:14" ht="14.25" hidden="1" customHeight="1" x14ac:dyDescent="0.25">
      <c r="B2716" s="121" t="s">
        <v>400</v>
      </c>
      <c r="C2716" s="122" t="s">
        <v>401</v>
      </c>
      <c r="D2716" s="123" t="s">
        <v>402</v>
      </c>
      <c r="E2716" s="123" t="s">
        <v>403</v>
      </c>
      <c r="F2716" s="123" t="s">
        <v>404</v>
      </c>
      <c r="G2716" s="123" t="s">
        <v>405</v>
      </c>
      <c r="H2716" s="123" t="s">
        <v>406</v>
      </c>
      <c r="I2716" s="746"/>
      <c r="J2716" s="747"/>
      <c r="K2716" s="748"/>
      <c r="L2716" s="746"/>
      <c r="M2716" s="747"/>
      <c r="N2716" s="753"/>
    </row>
    <row r="2717" spans="2:14" ht="14.25" hidden="1" customHeight="1" x14ac:dyDescent="0.25">
      <c r="B2717" s="124"/>
      <c r="C2717" s="125" t="s">
        <v>550</v>
      </c>
      <c r="D2717" s="125">
        <v>2</v>
      </c>
      <c r="E2717" s="125"/>
      <c r="F2717" s="125"/>
      <c r="G2717" s="125"/>
      <c r="H2717" s="125">
        <f>D2717</f>
        <v>2</v>
      </c>
      <c r="I2717" s="746"/>
      <c r="J2717" s="747"/>
      <c r="K2717" s="748"/>
      <c r="L2717" s="746"/>
      <c r="M2717" s="747"/>
      <c r="N2717" s="753"/>
    </row>
    <row r="2718" spans="2:14" ht="14.25" hidden="1" customHeight="1" x14ac:dyDescent="0.25">
      <c r="B2718" s="124"/>
      <c r="C2718" s="125"/>
      <c r="D2718" s="125"/>
      <c r="E2718" s="125"/>
      <c r="F2718" s="125"/>
      <c r="G2718" s="125"/>
      <c r="H2718" s="125"/>
      <c r="I2718" s="746"/>
      <c r="J2718" s="747"/>
      <c r="K2718" s="748"/>
      <c r="L2718" s="746"/>
      <c r="M2718" s="747"/>
      <c r="N2718" s="753"/>
    </row>
    <row r="2719" spans="2:14" ht="14.25" hidden="1" customHeight="1" x14ac:dyDescent="0.25">
      <c r="B2719" s="124"/>
      <c r="C2719" s="125"/>
      <c r="D2719" s="125"/>
      <c r="E2719" s="125"/>
      <c r="F2719" s="125"/>
      <c r="G2719" s="125"/>
      <c r="H2719" s="125"/>
      <c r="I2719" s="746"/>
      <c r="J2719" s="747"/>
      <c r="K2719" s="748"/>
      <c r="L2719" s="746"/>
      <c r="M2719" s="747"/>
      <c r="N2719" s="753"/>
    </row>
    <row r="2720" spans="2:14" ht="14.25" hidden="1" customHeight="1" x14ac:dyDescent="0.25">
      <c r="B2720" s="124"/>
      <c r="C2720" s="125"/>
      <c r="D2720" s="125"/>
      <c r="E2720" s="125"/>
      <c r="F2720" s="125"/>
      <c r="G2720" s="125"/>
      <c r="H2720" s="125"/>
      <c r="I2720" s="746"/>
      <c r="J2720" s="747"/>
      <c r="K2720" s="748"/>
      <c r="L2720" s="746"/>
      <c r="M2720" s="747"/>
      <c r="N2720" s="753"/>
    </row>
    <row r="2721" spans="2:14" ht="14.25" hidden="1" customHeight="1" x14ac:dyDescent="0.25">
      <c r="B2721" s="124"/>
      <c r="C2721" s="125"/>
      <c r="D2721" s="125"/>
      <c r="E2721" s="125"/>
      <c r="F2721" s="125"/>
      <c r="G2721" s="125"/>
      <c r="H2721" s="125"/>
      <c r="I2721" s="746"/>
      <c r="J2721" s="747"/>
      <c r="K2721" s="748"/>
      <c r="L2721" s="746"/>
      <c r="M2721" s="747"/>
      <c r="N2721" s="753"/>
    </row>
    <row r="2722" spans="2:14" ht="14.25" hidden="1" customHeight="1" x14ac:dyDescent="0.25">
      <c r="B2722" s="124"/>
      <c r="C2722" s="125"/>
      <c r="D2722" s="125"/>
      <c r="E2722" s="125"/>
      <c r="F2722" s="125"/>
      <c r="G2722" s="125"/>
      <c r="H2722" s="125"/>
      <c r="I2722" s="746"/>
      <c r="J2722" s="747"/>
      <c r="K2722" s="748"/>
      <c r="L2722" s="746"/>
      <c r="M2722" s="747"/>
      <c r="N2722" s="753"/>
    </row>
    <row r="2723" spans="2:14" ht="14.25" hidden="1" customHeight="1" x14ac:dyDescent="0.25">
      <c r="B2723" s="124"/>
      <c r="C2723" s="125"/>
      <c r="D2723" s="125"/>
      <c r="E2723" s="125"/>
      <c r="F2723" s="125"/>
      <c r="G2723" s="125"/>
      <c r="H2723" s="125"/>
      <c r="I2723" s="746"/>
      <c r="J2723" s="747"/>
      <c r="K2723" s="748"/>
      <c r="L2723" s="746"/>
      <c r="M2723" s="747"/>
      <c r="N2723" s="753"/>
    </row>
    <row r="2724" spans="2:14" ht="14.25" hidden="1" customHeight="1" x14ac:dyDescent="0.25">
      <c r="B2724" s="124"/>
      <c r="C2724" s="125"/>
      <c r="D2724" s="125"/>
      <c r="E2724" s="125"/>
      <c r="F2724" s="125"/>
      <c r="G2724" s="125"/>
      <c r="H2724" s="125"/>
      <c r="I2724" s="746"/>
      <c r="J2724" s="747"/>
      <c r="K2724" s="748"/>
      <c r="L2724" s="746"/>
      <c r="M2724" s="747"/>
      <c r="N2724" s="753"/>
    </row>
    <row r="2725" spans="2:14" ht="14.25" hidden="1" customHeight="1" x14ac:dyDescent="0.25">
      <c r="B2725" s="124"/>
      <c r="C2725" s="125"/>
      <c r="D2725" s="125"/>
      <c r="E2725" s="125"/>
      <c r="F2725" s="125"/>
      <c r="G2725" s="125"/>
      <c r="H2725" s="125"/>
      <c r="I2725" s="746"/>
      <c r="J2725" s="747"/>
      <c r="K2725" s="748"/>
      <c r="L2725" s="746"/>
      <c r="M2725" s="747"/>
      <c r="N2725" s="753"/>
    </row>
    <row r="2726" spans="2:14" ht="14.25" hidden="1" customHeight="1" x14ac:dyDescent="0.25">
      <c r="B2726" s="124"/>
      <c r="C2726" s="125"/>
      <c r="D2726" s="125"/>
      <c r="E2726" s="125"/>
      <c r="F2726" s="125"/>
      <c r="G2726" s="125"/>
      <c r="H2726" s="125"/>
      <c r="I2726" s="746"/>
      <c r="J2726" s="747"/>
      <c r="K2726" s="748"/>
      <c r="L2726" s="746"/>
      <c r="M2726" s="747"/>
      <c r="N2726" s="753"/>
    </row>
    <row r="2727" spans="2:14" ht="14.25" hidden="1" customHeight="1" x14ac:dyDescent="0.25">
      <c r="B2727" s="124"/>
      <c r="C2727" s="125"/>
      <c r="D2727" s="125"/>
      <c r="E2727" s="125"/>
      <c r="F2727" s="125"/>
      <c r="G2727" s="125"/>
      <c r="H2727" s="125"/>
      <c r="I2727" s="746"/>
      <c r="J2727" s="747"/>
      <c r="K2727" s="748"/>
      <c r="L2727" s="746"/>
      <c r="M2727" s="747"/>
      <c r="N2727" s="753"/>
    </row>
    <row r="2728" spans="2:14" ht="14.25" hidden="1" customHeight="1" x14ac:dyDescent="0.25">
      <c r="B2728" s="124"/>
      <c r="C2728" s="125"/>
      <c r="D2728" s="125"/>
      <c r="E2728" s="125"/>
      <c r="F2728" s="125"/>
      <c r="G2728" s="125"/>
      <c r="H2728" s="125"/>
      <c r="I2728" s="746"/>
      <c r="J2728" s="747"/>
      <c r="K2728" s="748"/>
      <c r="L2728" s="746"/>
      <c r="M2728" s="747"/>
      <c r="N2728" s="753"/>
    </row>
    <row r="2729" spans="2:14" ht="14.25" hidden="1" customHeight="1" x14ac:dyDescent="0.25">
      <c r="B2729" s="124"/>
      <c r="C2729" s="125"/>
      <c r="D2729" s="125"/>
      <c r="E2729" s="125"/>
      <c r="F2729" s="125"/>
      <c r="G2729" s="125"/>
      <c r="H2729" s="125"/>
      <c r="I2729" s="746"/>
      <c r="J2729" s="747"/>
      <c r="K2729" s="748"/>
      <c r="L2729" s="746"/>
      <c r="M2729" s="747"/>
      <c r="N2729" s="753"/>
    </row>
    <row r="2730" spans="2:14" ht="14.25" hidden="1" customHeight="1" x14ac:dyDescent="0.25">
      <c r="B2730" s="124"/>
      <c r="C2730" s="125"/>
      <c r="D2730" s="125"/>
      <c r="E2730" s="125"/>
      <c r="F2730" s="125"/>
      <c r="G2730" s="125"/>
      <c r="H2730" s="125"/>
      <c r="I2730" s="746"/>
      <c r="J2730" s="747"/>
      <c r="K2730" s="748"/>
      <c r="L2730" s="746"/>
      <c r="M2730" s="747"/>
      <c r="N2730" s="753"/>
    </row>
    <row r="2731" spans="2:14" ht="14.25" hidden="1" customHeight="1" x14ac:dyDescent="0.25">
      <c r="B2731" s="124"/>
      <c r="C2731" s="125"/>
      <c r="D2731" s="125"/>
      <c r="E2731" s="125"/>
      <c r="F2731" s="125"/>
      <c r="G2731" s="125"/>
      <c r="H2731" s="125"/>
      <c r="I2731" s="746"/>
      <c r="J2731" s="747"/>
      <c r="K2731" s="748"/>
      <c r="L2731" s="746"/>
      <c r="M2731" s="747"/>
      <c r="N2731" s="753"/>
    </row>
    <row r="2732" spans="2:14" ht="14.25" hidden="1" customHeight="1" x14ac:dyDescent="0.25">
      <c r="B2732" s="124"/>
      <c r="C2732" s="125"/>
      <c r="D2732" s="125"/>
      <c r="E2732" s="125"/>
      <c r="F2732" s="125"/>
      <c r="G2732" s="125"/>
      <c r="H2732" s="125"/>
      <c r="I2732" s="746"/>
      <c r="J2732" s="747"/>
      <c r="K2732" s="748"/>
      <c r="L2732" s="746"/>
      <c r="M2732" s="747"/>
      <c r="N2732" s="753"/>
    </row>
    <row r="2733" spans="2:14" ht="14.25" hidden="1" customHeight="1" x14ac:dyDescent="0.25">
      <c r="B2733" s="124"/>
      <c r="C2733" s="125"/>
      <c r="D2733" s="125"/>
      <c r="E2733" s="125"/>
      <c r="F2733" s="125"/>
      <c r="G2733" s="125"/>
      <c r="H2733" s="125"/>
      <c r="I2733" s="746"/>
      <c r="J2733" s="747"/>
      <c r="K2733" s="748"/>
      <c r="L2733" s="746"/>
      <c r="M2733" s="747"/>
      <c r="N2733" s="753"/>
    </row>
    <row r="2734" spans="2:14" ht="14.25" hidden="1" customHeight="1" x14ac:dyDescent="0.25">
      <c r="B2734" s="124"/>
      <c r="C2734" s="125"/>
      <c r="D2734" s="125"/>
      <c r="E2734" s="125"/>
      <c r="F2734" s="125"/>
      <c r="G2734" s="125"/>
      <c r="H2734" s="125"/>
      <c r="I2734" s="746"/>
      <c r="J2734" s="747"/>
      <c r="K2734" s="748"/>
      <c r="L2734" s="746"/>
      <c r="M2734" s="747"/>
      <c r="N2734" s="753"/>
    </row>
    <row r="2735" spans="2:14" ht="14.25" hidden="1" customHeight="1" x14ac:dyDescent="0.25">
      <c r="B2735" s="127"/>
      <c r="C2735" s="125"/>
      <c r="D2735" s="125"/>
      <c r="E2735" s="125"/>
      <c r="F2735" s="125"/>
      <c r="G2735" s="125"/>
      <c r="H2735" s="125"/>
      <c r="I2735" s="749"/>
      <c r="J2735" s="750"/>
      <c r="K2735" s="751"/>
      <c r="L2735" s="749"/>
      <c r="M2735" s="750"/>
      <c r="N2735" s="754"/>
    </row>
    <row r="2736" spans="2:14" ht="14.25" hidden="1" customHeight="1" x14ac:dyDescent="0.25">
      <c r="B2736" s="209"/>
      <c r="C2736" s="118"/>
      <c r="D2736" s="118"/>
      <c r="E2736" s="118"/>
      <c r="F2736" s="118"/>
      <c r="G2736" s="118"/>
      <c r="H2736" s="118"/>
      <c r="I2736" s="118"/>
      <c r="J2736" s="118"/>
      <c r="K2736" s="118"/>
      <c r="L2736" s="118"/>
      <c r="M2736" s="118"/>
      <c r="N2736" s="210"/>
    </row>
    <row r="2737" spans="2:14" ht="14.25" hidden="1" customHeight="1" x14ac:dyDescent="0.25">
      <c r="B2737" s="209"/>
      <c r="C2737" s="118"/>
      <c r="D2737" s="118"/>
      <c r="E2737" s="118"/>
      <c r="F2737" s="118"/>
      <c r="G2737" s="118"/>
      <c r="H2737" s="118"/>
      <c r="I2737" s="118"/>
      <c r="J2737" s="118"/>
      <c r="K2737" s="118"/>
      <c r="L2737" s="118"/>
      <c r="M2737" s="118"/>
      <c r="N2737" s="210"/>
    </row>
    <row r="2738" spans="2:14" ht="14.25" hidden="1" customHeight="1" x14ac:dyDescent="0.25">
      <c r="B2738" s="209"/>
      <c r="C2738" s="118"/>
      <c r="D2738" s="118"/>
      <c r="E2738" s="118"/>
      <c r="F2738" s="118"/>
      <c r="G2738" s="118"/>
      <c r="H2738" s="118"/>
      <c r="I2738" s="118"/>
      <c r="J2738" s="118"/>
      <c r="K2738" s="118"/>
      <c r="L2738" s="118"/>
      <c r="M2738" s="118"/>
      <c r="N2738" s="210"/>
    </row>
    <row r="2739" spans="2:14" ht="14.25" hidden="1" customHeight="1" x14ac:dyDescent="0.25">
      <c r="B2739" s="209"/>
      <c r="C2739" s="118"/>
      <c r="D2739" s="118"/>
      <c r="E2739" s="118"/>
      <c r="F2739" s="118"/>
      <c r="G2739" s="118"/>
      <c r="H2739" s="118"/>
      <c r="I2739" s="118"/>
      <c r="J2739" s="118"/>
      <c r="K2739" s="118"/>
      <c r="L2739" s="118"/>
      <c r="M2739" s="118"/>
      <c r="N2739" s="210"/>
    </row>
    <row r="2740" spans="2:14" ht="14.25" hidden="1" customHeight="1" x14ac:dyDescent="0.25">
      <c r="B2740" s="775" t="s">
        <v>414</v>
      </c>
      <c r="C2740" s="747"/>
      <c r="D2740" s="747"/>
      <c r="E2740" s="128"/>
      <c r="F2740" s="128"/>
      <c r="G2740" s="128"/>
      <c r="H2740" s="128"/>
      <c r="I2740" s="776"/>
      <c r="J2740" s="747"/>
      <c r="K2740" s="747"/>
      <c r="L2740" s="118"/>
      <c r="M2740" s="118"/>
      <c r="N2740" s="210"/>
    </row>
    <row r="2741" spans="2:14" ht="14.25" hidden="1" customHeight="1" x14ac:dyDescent="0.25">
      <c r="B2741" s="129"/>
      <c r="C2741" s="130"/>
      <c r="D2741" s="130"/>
      <c r="E2741" s="130"/>
      <c r="F2741" s="130"/>
      <c r="G2741" s="130"/>
      <c r="H2741" s="130"/>
      <c r="I2741" s="130"/>
      <c r="J2741" s="130"/>
      <c r="K2741" s="130"/>
      <c r="L2741" s="130"/>
      <c r="M2741" s="130"/>
      <c r="N2741" s="131"/>
    </row>
    <row r="2742" spans="2:14" ht="14.25" hidden="1" customHeight="1" x14ac:dyDescent="0.25">
      <c r="B2742" s="118"/>
      <c r="C2742" s="118"/>
      <c r="D2742" s="118"/>
      <c r="E2742" s="118"/>
      <c r="F2742" s="118"/>
      <c r="G2742" s="118"/>
      <c r="H2742" s="118"/>
      <c r="I2742" s="118"/>
      <c r="J2742" s="118"/>
      <c r="K2742" s="118"/>
      <c r="L2742" s="118"/>
      <c r="M2742" s="118"/>
      <c r="N2742" s="118"/>
    </row>
    <row r="2743" spans="2:14" ht="43.5" hidden="1" customHeight="1" x14ac:dyDescent="0.25">
      <c r="B2743" s="728"/>
      <c r="C2743" s="729"/>
      <c r="D2743" s="730" t="s">
        <v>393</v>
      </c>
      <c r="E2743" s="729"/>
      <c r="F2743" s="729"/>
      <c r="G2743" s="729"/>
      <c r="H2743" s="729"/>
      <c r="I2743" s="729"/>
      <c r="J2743" s="729"/>
      <c r="K2743" s="729"/>
      <c r="L2743" s="729"/>
      <c r="M2743" s="729"/>
      <c r="N2743" s="731"/>
    </row>
    <row r="2744" spans="2:14" ht="14.25" hidden="1" customHeight="1" x14ac:dyDescent="0.25">
      <c r="B2744" s="732" t="s">
        <v>394</v>
      </c>
      <c r="C2744" s="733"/>
      <c r="D2744" s="733"/>
      <c r="E2744" s="733"/>
      <c r="F2744" s="733"/>
      <c r="G2744" s="733"/>
      <c r="H2744" s="733"/>
      <c r="I2744" s="733"/>
      <c r="J2744" s="733"/>
      <c r="K2744" s="733"/>
      <c r="L2744" s="733"/>
      <c r="M2744" s="733"/>
      <c r="N2744" s="734"/>
    </row>
    <row r="2745" spans="2:14" ht="14.25" hidden="1" customHeight="1" x14ac:dyDescent="0.25">
      <c r="B2745" s="735" t="s">
        <v>395</v>
      </c>
      <c r="C2745" s="736"/>
      <c r="D2745" s="779" t="s">
        <v>424</v>
      </c>
      <c r="E2745" s="733"/>
      <c r="F2745" s="733"/>
      <c r="G2745" s="733"/>
      <c r="H2745" s="733"/>
      <c r="I2745" s="733"/>
      <c r="J2745" s="733"/>
      <c r="K2745" s="733"/>
      <c r="L2745" s="733"/>
      <c r="M2745" s="733"/>
      <c r="N2745" s="734"/>
    </row>
    <row r="2746" spans="2:14" ht="14.25" hidden="1" customHeight="1" x14ac:dyDescent="0.25">
      <c r="B2746" s="740" t="s">
        <v>26</v>
      </c>
      <c r="C2746" s="741"/>
      <c r="D2746" s="119" t="s">
        <v>396</v>
      </c>
      <c r="E2746" s="742" t="s">
        <v>397</v>
      </c>
      <c r="F2746" s="733"/>
      <c r="G2746" s="733"/>
      <c r="H2746" s="736"/>
      <c r="I2746" s="742" t="s">
        <v>398</v>
      </c>
      <c r="J2746" s="733"/>
      <c r="K2746" s="736"/>
      <c r="L2746" s="742" t="s">
        <v>399</v>
      </c>
      <c r="M2746" s="733"/>
      <c r="N2746" s="734"/>
    </row>
    <row r="2747" spans="2:14" ht="14.25" hidden="1" customHeight="1" x14ac:dyDescent="0.25">
      <c r="B2747" s="777"/>
      <c r="C2747" s="736"/>
      <c r="D2747" s="123">
        <f>ROUND(SUM(H2750:H2771),0)</f>
        <v>88</v>
      </c>
      <c r="E2747" s="778" t="s">
        <v>51</v>
      </c>
      <c r="F2747" s="733"/>
      <c r="G2747" s="733"/>
      <c r="H2747" s="736"/>
      <c r="I2747" s="744"/>
      <c r="J2747" s="745"/>
      <c r="K2747" s="745"/>
      <c r="L2747" s="744"/>
      <c r="M2747" s="745"/>
      <c r="N2747" s="752"/>
    </row>
    <row r="2748" spans="2:14" ht="14.25" hidden="1" customHeight="1" x14ac:dyDescent="0.25">
      <c r="B2748" s="755" t="s">
        <v>416</v>
      </c>
      <c r="C2748" s="733"/>
      <c r="D2748" s="733"/>
      <c r="E2748" s="733"/>
      <c r="F2748" s="733"/>
      <c r="G2748" s="733"/>
      <c r="H2748" s="736"/>
      <c r="I2748" s="746"/>
      <c r="J2748" s="747"/>
      <c r="K2748" s="782"/>
      <c r="L2748" s="746"/>
      <c r="M2748" s="747"/>
      <c r="N2748" s="753"/>
    </row>
    <row r="2749" spans="2:14" ht="14.25" hidden="1" customHeight="1" x14ac:dyDescent="0.25">
      <c r="B2749" s="121" t="s">
        <v>400</v>
      </c>
      <c r="C2749" s="122" t="s">
        <v>401</v>
      </c>
      <c r="D2749" s="123" t="s">
        <v>402</v>
      </c>
      <c r="E2749" s="123" t="s">
        <v>403</v>
      </c>
      <c r="F2749" s="123" t="s">
        <v>404</v>
      </c>
      <c r="G2749" s="123" t="s">
        <v>405</v>
      </c>
      <c r="H2749" s="123" t="s">
        <v>406</v>
      </c>
      <c r="I2749" s="746"/>
      <c r="J2749" s="747"/>
      <c r="K2749" s="782"/>
      <c r="L2749" s="746"/>
      <c r="M2749" s="747"/>
      <c r="N2749" s="753"/>
    </row>
    <row r="2750" spans="2:14" ht="14.25" hidden="1" customHeight="1" x14ac:dyDescent="0.25">
      <c r="B2750" s="124" t="s">
        <v>514</v>
      </c>
      <c r="C2750" s="765" t="s">
        <v>515</v>
      </c>
      <c r="D2750" s="125"/>
      <c r="E2750" s="125">
        <v>1.94</v>
      </c>
      <c r="F2750" s="125">
        <v>3.1</v>
      </c>
      <c r="G2750" s="125"/>
      <c r="H2750" s="125">
        <f t="shared" ref="H2750:H2756" si="58">E2750*F2750</f>
        <v>6.0140000000000002</v>
      </c>
      <c r="I2750" s="746"/>
      <c r="J2750" s="747"/>
      <c r="K2750" s="782"/>
      <c r="L2750" s="746"/>
      <c r="M2750" s="747"/>
      <c r="N2750" s="753"/>
    </row>
    <row r="2751" spans="2:14" ht="14.25" hidden="1" customHeight="1" x14ac:dyDescent="0.25">
      <c r="B2751" s="124" t="s">
        <v>551</v>
      </c>
      <c r="C2751" s="780"/>
      <c r="D2751" s="125"/>
      <c r="E2751" s="125">
        <v>1.9</v>
      </c>
      <c r="F2751" s="125">
        <v>2.2999999999999998</v>
      </c>
      <c r="G2751" s="125"/>
      <c r="H2751" s="125">
        <f t="shared" si="58"/>
        <v>4.3699999999999992</v>
      </c>
      <c r="I2751" s="746"/>
      <c r="J2751" s="747"/>
      <c r="K2751" s="782"/>
      <c r="L2751" s="746"/>
      <c r="M2751" s="747"/>
      <c r="N2751" s="753"/>
    </row>
    <row r="2752" spans="2:14" ht="14.25" hidden="1" customHeight="1" x14ac:dyDescent="0.25">
      <c r="B2752" s="124" t="s">
        <v>516</v>
      </c>
      <c r="C2752" s="780"/>
      <c r="D2752" s="125"/>
      <c r="E2752" s="125">
        <v>1.9</v>
      </c>
      <c r="F2752" s="125">
        <v>2.35</v>
      </c>
      <c r="G2752" s="125"/>
      <c r="H2752" s="125">
        <f t="shared" si="58"/>
        <v>4.4649999999999999</v>
      </c>
      <c r="I2752" s="746"/>
      <c r="J2752" s="747"/>
      <c r="K2752" s="782"/>
      <c r="L2752" s="746"/>
      <c r="M2752" s="747"/>
      <c r="N2752" s="753"/>
    </row>
    <row r="2753" spans="2:14" ht="14.25" hidden="1" customHeight="1" x14ac:dyDescent="0.25">
      <c r="B2753" s="124" t="s">
        <v>517</v>
      </c>
      <c r="C2753" s="780"/>
      <c r="D2753" s="125"/>
      <c r="E2753" s="125">
        <v>3.1</v>
      </c>
      <c r="F2753" s="125">
        <v>1.9</v>
      </c>
      <c r="G2753" s="125"/>
      <c r="H2753" s="125">
        <f t="shared" si="58"/>
        <v>5.89</v>
      </c>
      <c r="I2753" s="746"/>
      <c r="J2753" s="747"/>
      <c r="K2753" s="782"/>
      <c r="L2753" s="746"/>
      <c r="M2753" s="747"/>
      <c r="N2753" s="753"/>
    </row>
    <row r="2754" spans="2:14" ht="14.25" hidden="1" customHeight="1" x14ac:dyDescent="0.25">
      <c r="B2754" s="124" t="s">
        <v>552</v>
      </c>
      <c r="C2754" s="765" t="s">
        <v>477</v>
      </c>
      <c r="D2754" s="125"/>
      <c r="E2754" s="125">
        <v>1</v>
      </c>
      <c r="F2754" s="125">
        <v>1.3</v>
      </c>
      <c r="G2754" s="125"/>
      <c r="H2754" s="125">
        <f t="shared" si="58"/>
        <v>1.3</v>
      </c>
      <c r="I2754" s="746"/>
      <c r="J2754" s="747"/>
      <c r="K2754" s="782"/>
      <c r="L2754" s="746"/>
      <c r="M2754" s="747"/>
      <c r="N2754" s="753"/>
    </row>
    <row r="2755" spans="2:14" ht="14.25" hidden="1" customHeight="1" x14ac:dyDescent="0.25">
      <c r="B2755" s="124" t="s">
        <v>553</v>
      </c>
      <c r="C2755" s="781"/>
      <c r="D2755" s="125"/>
      <c r="E2755" s="125">
        <v>1</v>
      </c>
      <c r="F2755" s="125">
        <v>1.3</v>
      </c>
      <c r="G2755" s="125"/>
      <c r="H2755" s="125">
        <f t="shared" si="58"/>
        <v>1.3</v>
      </c>
      <c r="I2755" s="746"/>
      <c r="J2755" s="747"/>
      <c r="K2755" s="782"/>
      <c r="L2755" s="746"/>
      <c r="M2755" s="747"/>
      <c r="N2755" s="753"/>
    </row>
    <row r="2756" spans="2:14" ht="14.25" hidden="1" customHeight="1" x14ac:dyDescent="0.25">
      <c r="B2756" s="124" t="s">
        <v>552</v>
      </c>
      <c r="C2756" s="765" t="s">
        <v>481</v>
      </c>
      <c r="D2756" s="125"/>
      <c r="E2756" s="125">
        <v>3.5</v>
      </c>
      <c r="F2756" s="125">
        <v>2.9</v>
      </c>
      <c r="G2756" s="125"/>
      <c r="H2756" s="125">
        <f t="shared" si="58"/>
        <v>10.15</v>
      </c>
      <c r="I2756" s="746"/>
      <c r="J2756" s="747"/>
      <c r="K2756" s="782"/>
      <c r="L2756" s="746"/>
      <c r="M2756" s="747"/>
      <c r="N2756" s="753"/>
    </row>
    <row r="2757" spans="2:14" ht="14.25" hidden="1" customHeight="1" x14ac:dyDescent="0.25">
      <c r="B2757" s="124"/>
      <c r="C2757" s="780"/>
      <c r="D2757" s="125"/>
      <c r="E2757" s="125"/>
      <c r="F2757" s="125"/>
      <c r="G2757" s="125"/>
      <c r="H2757" s="125"/>
      <c r="I2757" s="746"/>
      <c r="J2757" s="747"/>
      <c r="K2757" s="782"/>
      <c r="L2757" s="746"/>
      <c r="M2757" s="747"/>
      <c r="N2757" s="753"/>
    </row>
    <row r="2758" spans="2:14" ht="14.25" hidden="1" customHeight="1" x14ac:dyDescent="0.25">
      <c r="B2758" s="124" t="s">
        <v>553</v>
      </c>
      <c r="C2758" s="780"/>
      <c r="D2758" s="125"/>
      <c r="E2758" s="125">
        <v>3.3</v>
      </c>
      <c r="F2758" s="125">
        <v>3</v>
      </c>
      <c r="G2758" s="125"/>
      <c r="H2758" s="125">
        <f>E2758*F2758</f>
        <v>9.8999999999999986</v>
      </c>
      <c r="I2758" s="746"/>
      <c r="J2758" s="747"/>
      <c r="K2758" s="782"/>
      <c r="L2758" s="746"/>
      <c r="M2758" s="747"/>
      <c r="N2758" s="753"/>
    </row>
    <row r="2759" spans="2:14" ht="14.25" hidden="1" customHeight="1" x14ac:dyDescent="0.25">
      <c r="B2759" s="124"/>
      <c r="C2759" s="781"/>
      <c r="D2759" s="125"/>
      <c r="E2759" s="125"/>
      <c r="F2759" s="125"/>
      <c r="G2759" s="125"/>
      <c r="H2759" s="125"/>
      <c r="I2759" s="746"/>
      <c r="J2759" s="747"/>
      <c r="K2759" s="782"/>
      <c r="L2759" s="746"/>
      <c r="M2759" s="747"/>
      <c r="N2759" s="753"/>
    </row>
    <row r="2760" spans="2:14" ht="14.25" hidden="1" customHeight="1" x14ac:dyDescent="0.25">
      <c r="B2760" s="124" t="s">
        <v>552</v>
      </c>
      <c r="C2760" s="765" t="s">
        <v>488</v>
      </c>
      <c r="D2760" s="125"/>
      <c r="E2760" s="125">
        <v>2.1</v>
      </c>
      <c r="F2760" s="125">
        <v>3.95</v>
      </c>
      <c r="G2760" s="125"/>
      <c r="H2760" s="125">
        <f>E2760*F2760</f>
        <v>8.2949999999999999</v>
      </c>
      <c r="I2760" s="746"/>
      <c r="J2760" s="747"/>
      <c r="K2760" s="782"/>
      <c r="L2760" s="746"/>
      <c r="M2760" s="747"/>
      <c r="N2760" s="753"/>
    </row>
    <row r="2761" spans="2:14" ht="14.25" hidden="1" customHeight="1" x14ac:dyDescent="0.25">
      <c r="B2761" s="124"/>
      <c r="C2761" s="780"/>
      <c r="D2761" s="125"/>
      <c r="E2761" s="125"/>
      <c r="F2761" s="125"/>
      <c r="G2761" s="125"/>
      <c r="H2761" s="125"/>
      <c r="I2761" s="746"/>
      <c r="J2761" s="747"/>
      <c r="K2761" s="782"/>
      <c r="L2761" s="746"/>
      <c r="M2761" s="747"/>
      <c r="N2761" s="753"/>
    </row>
    <row r="2762" spans="2:14" ht="14.25" hidden="1" customHeight="1" x14ac:dyDescent="0.25">
      <c r="B2762" s="124" t="s">
        <v>553</v>
      </c>
      <c r="C2762" s="780"/>
      <c r="D2762" s="125"/>
      <c r="E2762" s="125">
        <v>2.2999999999999998</v>
      </c>
      <c r="F2762" s="125">
        <v>3.8</v>
      </c>
      <c r="G2762" s="125"/>
      <c r="H2762" s="125">
        <f>E2762*F2762</f>
        <v>8.7399999999999984</v>
      </c>
      <c r="I2762" s="746"/>
      <c r="J2762" s="747"/>
      <c r="K2762" s="782"/>
      <c r="L2762" s="746"/>
      <c r="M2762" s="747"/>
      <c r="N2762" s="753"/>
    </row>
    <row r="2763" spans="2:14" ht="14.25" hidden="1" customHeight="1" x14ac:dyDescent="0.25">
      <c r="B2763" s="124"/>
      <c r="C2763" s="781"/>
      <c r="D2763" s="125"/>
      <c r="E2763" s="125"/>
      <c r="F2763" s="125"/>
      <c r="G2763" s="125"/>
      <c r="H2763" s="125"/>
      <c r="I2763" s="746"/>
      <c r="J2763" s="747"/>
      <c r="K2763" s="782"/>
      <c r="L2763" s="746"/>
      <c r="M2763" s="747"/>
      <c r="N2763" s="753"/>
    </row>
    <row r="2764" spans="2:14" ht="14.25" hidden="1" customHeight="1" x14ac:dyDescent="0.25">
      <c r="B2764" s="124" t="s">
        <v>552</v>
      </c>
      <c r="C2764" s="765" t="s">
        <v>494</v>
      </c>
      <c r="D2764" s="125"/>
      <c r="E2764" s="125">
        <v>2</v>
      </c>
      <c r="F2764" s="125">
        <v>3.85</v>
      </c>
      <c r="G2764" s="125"/>
      <c r="H2764" s="125">
        <f>E2764*F2764</f>
        <v>7.7</v>
      </c>
      <c r="I2764" s="746"/>
      <c r="J2764" s="747"/>
      <c r="K2764" s="782"/>
      <c r="L2764" s="746"/>
      <c r="M2764" s="747"/>
      <c r="N2764" s="753"/>
    </row>
    <row r="2765" spans="2:14" ht="14.25" hidden="1" customHeight="1" x14ac:dyDescent="0.25">
      <c r="B2765" s="124"/>
      <c r="C2765" s="780"/>
      <c r="D2765" s="125"/>
      <c r="E2765" s="125"/>
      <c r="F2765" s="125"/>
      <c r="G2765" s="125"/>
      <c r="H2765" s="125"/>
      <c r="I2765" s="746"/>
      <c r="J2765" s="747"/>
      <c r="K2765" s="782"/>
      <c r="L2765" s="746"/>
      <c r="M2765" s="747"/>
      <c r="N2765" s="753"/>
    </row>
    <row r="2766" spans="2:14" ht="14.25" hidden="1" customHeight="1" x14ac:dyDescent="0.25">
      <c r="B2766" s="124" t="s">
        <v>553</v>
      </c>
      <c r="C2766" s="780"/>
      <c r="D2766" s="125"/>
      <c r="E2766" s="125">
        <v>2</v>
      </c>
      <c r="F2766" s="125">
        <v>3.85</v>
      </c>
      <c r="G2766" s="125"/>
      <c r="H2766" s="125">
        <f>E2766*F2766</f>
        <v>7.7</v>
      </c>
      <c r="I2766" s="746"/>
      <c r="J2766" s="747"/>
      <c r="K2766" s="782"/>
      <c r="L2766" s="746"/>
      <c r="M2766" s="747"/>
      <c r="N2766" s="753"/>
    </row>
    <row r="2767" spans="2:14" ht="14.25" hidden="1" customHeight="1" x14ac:dyDescent="0.25">
      <c r="B2767" s="124"/>
      <c r="C2767" s="781"/>
      <c r="D2767" s="125"/>
      <c r="E2767" s="125"/>
      <c r="F2767" s="125"/>
      <c r="G2767" s="125"/>
      <c r="H2767" s="125"/>
      <c r="I2767" s="746"/>
      <c r="J2767" s="747"/>
      <c r="K2767" s="782"/>
      <c r="L2767" s="746"/>
      <c r="M2767" s="747"/>
      <c r="N2767" s="753"/>
    </row>
    <row r="2768" spans="2:14" ht="14.25" hidden="1" customHeight="1" x14ac:dyDescent="0.25">
      <c r="B2768" s="127" t="s">
        <v>554</v>
      </c>
      <c r="C2768" s="204" t="s">
        <v>481</v>
      </c>
      <c r="D2768" s="125"/>
      <c r="E2768" s="125">
        <v>1.25</v>
      </c>
      <c r="F2768" s="125">
        <v>1.9</v>
      </c>
      <c r="G2768" s="125"/>
      <c r="H2768" s="125">
        <f t="shared" ref="H2768:H2771" si="59">E2768*F2768</f>
        <v>2.375</v>
      </c>
      <c r="I2768" s="746"/>
      <c r="J2768" s="747"/>
      <c r="K2768" s="782"/>
      <c r="L2768" s="746"/>
      <c r="M2768" s="747"/>
      <c r="N2768" s="753"/>
    </row>
    <row r="2769" spans="2:14" ht="14.25" hidden="1" customHeight="1" x14ac:dyDescent="0.25">
      <c r="B2769" s="127" t="s">
        <v>555</v>
      </c>
      <c r="C2769" s="204" t="s">
        <v>481</v>
      </c>
      <c r="D2769" s="125"/>
      <c r="E2769" s="125">
        <v>1.4</v>
      </c>
      <c r="F2769" s="125">
        <v>1.4</v>
      </c>
      <c r="G2769" s="125"/>
      <c r="H2769" s="125">
        <f t="shared" si="59"/>
        <v>1.9599999999999997</v>
      </c>
      <c r="I2769" s="746"/>
      <c r="J2769" s="747"/>
      <c r="K2769" s="782"/>
      <c r="L2769" s="746"/>
      <c r="M2769" s="747"/>
      <c r="N2769" s="753"/>
    </row>
    <row r="2770" spans="2:14" ht="14.25" hidden="1" customHeight="1" x14ac:dyDescent="0.25">
      <c r="B2770" s="127" t="s">
        <v>556</v>
      </c>
      <c r="C2770" s="204" t="s">
        <v>488</v>
      </c>
      <c r="D2770" s="125"/>
      <c r="E2770" s="125">
        <v>1</v>
      </c>
      <c r="F2770" s="125">
        <v>3.95</v>
      </c>
      <c r="G2770" s="125"/>
      <c r="H2770" s="125">
        <f t="shared" si="59"/>
        <v>3.95</v>
      </c>
      <c r="I2770" s="746"/>
      <c r="J2770" s="747"/>
      <c r="K2770" s="782"/>
      <c r="L2770" s="746"/>
      <c r="M2770" s="747"/>
      <c r="N2770" s="753"/>
    </row>
    <row r="2771" spans="2:14" ht="14.25" hidden="1" customHeight="1" x14ac:dyDescent="0.25">
      <c r="B2771" s="127" t="s">
        <v>557</v>
      </c>
      <c r="C2771" s="125" t="s">
        <v>494</v>
      </c>
      <c r="D2771" s="125"/>
      <c r="E2771" s="125">
        <v>1.1000000000000001</v>
      </c>
      <c r="F2771" s="125">
        <v>3.9</v>
      </c>
      <c r="G2771" s="125"/>
      <c r="H2771" s="125">
        <f t="shared" si="59"/>
        <v>4.29</v>
      </c>
      <c r="I2771" s="746"/>
      <c r="J2771" s="747"/>
      <c r="K2771" s="782"/>
      <c r="L2771" s="746"/>
      <c r="M2771" s="747"/>
      <c r="N2771" s="753"/>
    </row>
    <row r="2772" spans="2:14" ht="14.25" hidden="1" customHeight="1" x14ac:dyDescent="0.25">
      <c r="B2772" s="127"/>
      <c r="C2772" s="125"/>
      <c r="D2772" s="125"/>
      <c r="E2772" s="125"/>
      <c r="F2772" s="125"/>
      <c r="G2772" s="125"/>
      <c r="H2772" s="125"/>
      <c r="I2772" s="749"/>
      <c r="J2772" s="750"/>
      <c r="K2772" s="750"/>
      <c r="L2772" s="749"/>
      <c r="M2772" s="750"/>
      <c r="N2772" s="754"/>
    </row>
    <row r="2773" spans="2:14" ht="14.25" hidden="1" customHeight="1" x14ac:dyDescent="0.25">
      <c r="B2773" s="209"/>
      <c r="C2773" s="118"/>
      <c r="D2773" s="118"/>
      <c r="E2773" s="118"/>
      <c r="F2773" s="118"/>
      <c r="G2773" s="118"/>
      <c r="H2773" s="118"/>
      <c r="I2773" s="118"/>
      <c r="J2773" s="118"/>
      <c r="K2773" s="118"/>
      <c r="L2773" s="118"/>
      <c r="M2773" s="118"/>
      <c r="N2773" s="210"/>
    </row>
    <row r="2774" spans="2:14" ht="14.25" hidden="1" customHeight="1" x14ac:dyDescent="0.25">
      <c r="B2774" s="209"/>
      <c r="C2774" s="118"/>
      <c r="D2774" s="118"/>
      <c r="E2774" s="118"/>
      <c r="F2774" s="118"/>
      <c r="G2774" s="118"/>
      <c r="H2774" s="118"/>
      <c r="I2774" s="118"/>
      <c r="J2774" s="118"/>
      <c r="K2774" s="118"/>
      <c r="L2774" s="118"/>
      <c r="M2774" s="118"/>
      <c r="N2774" s="210"/>
    </row>
    <row r="2775" spans="2:14" ht="14.25" hidden="1" customHeight="1" x14ac:dyDescent="0.25">
      <c r="B2775" s="209"/>
      <c r="C2775" s="118"/>
      <c r="D2775" s="118"/>
      <c r="E2775" s="118"/>
      <c r="F2775" s="118"/>
      <c r="G2775" s="118"/>
      <c r="H2775" s="118"/>
      <c r="I2775" s="118"/>
      <c r="J2775" s="118"/>
      <c r="K2775" s="118"/>
      <c r="L2775" s="118"/>
      <c r="M2775" s="118"/>
      <c r="N2775" s="210"/>
    </row>
    <row r="2776" spans="2:14" ht="14.25" hidden="1" customHeight="1" x14ac:dyDescent="0.25">
      <c r="B2776" s="209"/>
      <c r="C2776" s="118"/>
      <c r="D2776" s="118"/>
      <c r="E2776" s="118"/>
      <c r="F2776" s="118"/>
      <c r="G2776" s="118"/>
      <c r="H2776" s="118"/>
      <c r="I2776" s="118"/>
      <c r="J2776" s="118"/>
      <c r="K2776" s="118"/>
      <c r="L2776" s="118"/>
      <c r="M2776" s="118"/>
      <c r="N2776" s="210"/>
    </row>
    <row r="2777" spans="2:14" ht="14.25" hidden="1" customHeight="1" x14ac:dyDescent="0.25">
      <c r="B2777" s="775" t="s">
        <v>414</v>
      </c>
      <c r="C2777" s="747"/>
      <c r="D2777" s="747"/>
      <c r="E2777" s="128"/>
      <c r="F2777" s="128"/>
      <c r="G2777" s="128"/>
      <c r="H2777" s="128"/>
      <c r="I2777" s="776"/>
      <c r="J2777" s="747"/>
      <c r="K2777" s="747"/>
      <c r="L2777" s="118"/>
      <c r="M2777" s="118"/>
      <c r="N2777" s="210"/>
    </row>
    <row r="2778" spans="2:14" ht="14.25" hidden="1" customHeight="1" x14ac:dyDescent="0.25">
      <c r="B2778" s="129"/>
      <c r="C2778" s="130"/>
      <c r="D2778" s="130"/>
      <c r="E2778" s="130"/>
      <c r="F2778" s="130"/>
      <c r="G2778" s="130"/>
      <c r="H2778" s="130"/>
      <c r="I2778" s="130"/>
      <c r="J2778" s="130"/>
      <c r="K2778" s="130"/>
      <c r="L2778" s="130"/>
      <c r="M2778" s="130"/>
      <c r="N2778" s="131"/>
    </row>
    <row r="2779" spans="2:14" ht="14.25" hidden="1" customHeight="1" x14ac:dyDescent="0.25">
      <c r="B2779" s="118"/>
      <c r="C2779" s="118"/>
      <c r="D2779" s="118"/>
      <c r="E2779" s="118"/>
      <c r="F2779" s="118"/>
      <c r="G2779" s="118"/>
      <c r="H2779" s="118"/>
      <c r="I2779" s="118"/>
      <c r="J2779" s="118"/>
      <c r="K2779" s="118"/>
      <c r="L2779" s="118"/>
      <c r="M2779" s="118"/>
      <c r="N2779" s="118"/>
    </row>
    <row r="2780" spans="2:14" ht="43.5" hidden="1" customHeight="1" x14ac:dyDescent="0.25">
      <c r="B2780" s="728"/>
      <c r="C2780" s="729"/>
      <c r="D2780" s="730" t="s">
        <v>393</v>
      </c>
      <c r="E2780" s="729"/>
      <c r="F2780" s="729"/>
      <c r="G2780" s="729"/>
      <c r="H2780" s="729"/>
      <c r="I2780" s="729"/>
      <c r="J2780" s="729"/>
      <c r="K2780" s="729"/>
      <c r="L2780" s="729"/>
      <c r="M2780" s="729"/>
      <c r="N2780" s="731"/>
    </row>
    <row r="2781" spans="2:14" ht="14.25" hidden="1" customHeight="1" x14ac:dyDescent="0.25">
      <c r="B2781" s="732" t="s">
        <v>394</v>
      </c>
      <c r="C2781" s="733"/>
      <c r="D2781" s="733"/>
      <c r="E2781" s="733"/>
      <c r="F2781" s="733"/>
      <c r="G2781" s="733"/>
      <c r="H2781" s="733"/>
      <c r="I2781" s="733"/>
      <c r="J2781" s="733"/>
      <c r="K2781" s="733"/>
      <c r="L2781" s="733"/>
      <c r="M2781" s="733"/>
      <c r="N2781" s="734"/>
    </row>
    <row r="2782" spans="2:14" ht="14.25" hidden="1" customHeight="1" x14ac:dyDescent="0.25">
      <c r="B2782" s="735" t="s">
        <v>395</v>
      </c>
      <c r="C2782" s="736"/>
      <c r="D2782" s="779" t="s">
        <v>430</v>
      </c>
      <c r="E2782" s="733"/>
      <c r="F2782" s="733"/>
      <c r="G2782" s="733"/>
      <c r="H2782" s="733"/>
      <c r="I2782" s="733"/>
      <c r="J2782" s="733"/>
      <c r="K2782" s="733"/>
      <c r="L2782" s="733"/>
      <c r="M2782" s="733"/>
      <c r="N2782" s="734"/>
    </row>
    <row r="2783" spans="2:14" ht="14.25" hidden="1" customHeight="1" x14ac:dyDescent="0.25">
      <c r="B2783" s="740" t="s">
        <v>26</v>
      </c>
      <c r="C2783" s="741"/>
      <c r="D2783" s="119" t="s">
        <v>396</v>
      </c>
      <c r="E2783" s="742" t="s">
        <v>397</v>
      </c>
      <c r="F2783" s="733"/>
      <c r="G2783" s="733"/>
      <c r="H2783" s="736"/>
      <c r="I2783" s="742" t="s">
        <v>398</v>
      </c>
      <c r="J2783" s="733"/>
      <c r="K2783" s="736"/>
      <c r="L2783" s="742" t="s">
        <v>399</v>
      </c>
      <c r="M2783" s="733"/>
      <c r="N2783" s="734"/>
    </row>
    <row r="2784" spans="2:14" ht="14.25" hidden="1" customHeight="1" x14ac:dyDescent="0.25">
      <c r="B2784" s="777"/>
      <c r="C2784" s="736"/>
      <c r="D2784" s="139">
        <f>SUM(H2787:H2808)</f>
        <v>8.8399000000000001</v>
      </c>
      <c r="E2784" s="778" t="s">
        <v>132</v>
      </c>
      <c r="F2784" s="733"/>
      <c r="G2784" s="733"/>
      <c r="H2784" s="736"/>
      <c r="I2784" s="744"/>
      <c r="J2784" s="745"/>
      <c r="K2784" s="741"/>
      <c r="L2784" s="744"/>
      <c r="M2784" s="745"/>
      <c r="N2784" s="752"/>
    </row>
    <row r="2785" spans="2:14" ht="14.25" hidden="1" customHeight="1" x14ac:dyDescent="0.25">
      <c r="B2785" s="755" t="s">
        <v>416</v>
      </c>
      <c r="C2785" s="733"/>
      <c r="D2785" s="733"/>
      <c r="E2785" s="733"/>
      <c r="F2785" s="733"/>
      <c r="G2785" s="733"/>
      <c r="H2785" s="736"/>
      <c r="I2785" s="746"/>
      <c r="J2785" s="747"/>
      <c r="K2785" s="748"/>
      <c r="L2785" s="746"/>
      <c r="M2785" s="747"/>
      <c r="N2785" s="753"/>
    </row>
    <row r="2786" spans="2:14" ht="14.25" hidden="1" customHeight="1" x14ac:dyDescent="0.25">
      <c r="B2786" s="121" t="s">
        <v>400</v>
      </c>
      <c r="C2786" s="122" t="s">
        <v>401</v>
      </c>
      <c r="D2786" s="123" t="s">
        <v>402</v>
      </c>
      <c r="E2786" s="123" t="s">
        <v>403</v>
      </c>
      <c r="F2786" s="123" t="s">
        <v>404</v>
      </c>
      <c r="G2786" s="123" t="s">
        <v>405</v>
      </c>
      <c r="H2786" s="123" t="s">
        <v>406</v>
      </c>
      <c r="I2786" s="746"/>
      <c r="J2786" s="747"/>
      <c r="K2786" s="748"/>
      <c r="L2786" s="746"/>
      <c r="M2786" s="747"/>
      <c r="N2786" s="753"/>
    </row>
    <row r="2787" spans="2:14" ht="14.25" hidden="1" customHeight="1" x14ac:dyDescent="0.25">
      <c r="B2787" s="124" t="s">
        <v>514</v>
      </c>
      <c r="C2787" s="765" t="s">
        <v>515</v>
      </c>
      <c r="D2787" s="125"/>
      <c r="E2787" s="125">
        <v>1.94</v>
      </c>
      <c r="F2787" s="125">
        <v>3.1</v>
      </c>
      <c r="G2787" s="125">
        <v>0.1</v>
      </c>
      <c r="H2787" s="148">
        <f t="shared" ref="H2787:H2808" si="60">E2787*F2787*G2787</f>
        <v>0.60140000000000005</v>
      </c>
      <c r="I2787" s="746"/>
      <c r="J2787" s="747"/>
      <c r="K2787" s="748"/>
      <c r="L2787" s="746"/>
      <c r="M2787" s="747"/>
      <c r="N2787" s="753"/>
    </row>
    <row r="2788" spans="2:14" ht="14.25" hidden="1" customHeight="1" x14ac:dyDescent="0.25">
      <c r="B2788" s="124" t="s">
        <v>551</v>
      </c>
      <c r="C2788" s="780"/>
      <c r="D2788" s="125"/>
      <c r="E2788" s="125">
        <v>1.9</v>
      </c>
      <c r="F2788" s="125">
        <v>2.2999999999999998</v>
      </c>
      <c r="G2788" s="125">
        <v>0.1</v>
      </c>
      <c r="H2788" s="148">
        <f t="shared" si="60"/>
        <v>0.43699999999999994</v>
      </c>
      <c r="I2788" s="746"/>
      <c r="J2788" s="747"/>
      <c r="K2788" s="748"/>
      <c r="L2788" s="746"/>
      <c r="M2788" s="747"/>
      <c r="N2788" s="753"/>
    </row>
    <row r="2789" spans="2:14" ht="14.25" hidden="1" customHeight="1" x14ac:dyDescent="0.25">
      <c r="B2789" s="124" t="s">
        <v>516</v>
      </c>
      <c r="C2789" s="780"/>
      <c r="D2789" s="125"/>
      <c r="E2789" s="125">
        <v>1.9</v>
      </c>
      <c r="F2789" s="125">
        <v>2.35</v>
      </c>
      <c r="G2789" s="125">
        <v>0.1</v>
      </c>
      <c r="H2789" s="148">
        <f t="shared" si="60"/>
        <v>0.44650000000000001</v>
      </c>
      <c r="I2789" s="746"/>
      <c r="J2789" s="747"/>
      <c r="K2789" s="748"/>
      <c r="L2789" s="746"/>
      <c r="M2789" s="747"/>
      <c r="N2789" s="753"/>
    </row>
    <row r="2790" spans="2:14" ht="14.25" hidden="1" customHeight="1" x14ac:dyDescent="0.25">
      <c r="B2790" s="124" t="s">
        <v>517</v>
      </c>
      <c r="C2790" s="780"/>
      <c r="D2790" s="125"/>
      <c r="E2790" s="125">
        <v>3.1</v>
      </c>
      <c r="F2790" s="125">
        <v>1.9</v>
      </c>
      <c r="G2790" s="125">
        <v>0.1</v>
      </c>
      <c r="H2790" s="148">
        <f t="shared" si="60"/>
        <v>0.58899999999999997</v>
      </c>
      <c r="I2790" s="746"/>
      <c r="J2790" s="747"/>
      <c r="K2790" s="748"/>
      <c r="L2790" s="746"/>
      <c r="M2790" s="747"/>
      <c r="N2790" s="753"/>
    </row>
    <row r="2791" spans="2:14" ht="14.25" hidden="1" customHeight="1" x14ac:dyDescent="0.25">
      <c r="B2791" s="124" t="s">
        <v>552</v>
      </c>
      <c r="C2791" s="765" t="s">
        <v>477</v>
      </c>
      <c r="D2791" s="125"/>
      <c r="E2791" s="125">
        <v>1</v>
      </c>
      <c r="F2791" s="125">
        <v>1.3</v>
      </c>
      <c r="G2791" s="125">
        <v>0.1</v>
      </c>
      <c r="H2791" s="148">
        <f t="shared" si="60"/>
        <v>0.13</v>
      </c>
      <c r="I2791" s="746"/>
      <c r="J2791" s="747"/>
      <c r="K2791" s="748"/>
      <c r="L2791" s="746"/>
      <c r="M2791" s="747"/>
      <c r="N2791" s="753"/>
    </row>
    <row r="2792" spans="2:14" ht="14.25" hidden="1" customHeight="1" x14ac:dyDescent="0.25">
      <c r="B2792" s="124" t="s">
        <v>553</v>
      </c>
      <c r="C2792" s="781"/>
      <c r="D2792" s="125"/>
      <c r="E2792" s="125">
        <v>1</v>
      </c>
      <c r="F2792" s="125">
        <v>1.3</v>
      </c>
      <c r="G2792" s="125">
        <v>0.1</v>
      </c>
      <c r="H2792" s="148">
        <f t="shared" si="60"/>
        <v>0.13</v>
      </c>
      <c r="I2792" s="746"/>
      <c r="J2792" s="747"/>
      <c r="K2792" s="748"/>
      <c r="L2792" s="746"/>
      <c r="M2792" s="747"/>
      <c r="N2792" s="753"/>
    </row>
    <row r="2793" spans="2:14" ht="14.25" hidden="1" customHeight="1" x14ac:dyDescent="0.25">
      <c r="B2793" s="124" t="s">
        <v>552</v>
      </c>
      <c r="C2793" s="765" t="s">
        <v>481</v>
      </c>
      <c r="D2793" s="125"/>
      <c r="E2793" s="125">
        <v>3.5</v>
      </c>
      <c r="F2793" s="125">
        <v>2.9</v>
      </c>
      <c r="G2793" s="125">
        <v>0.1</v>
      </c>
      <c r="H2793" s="148">
        <f t="shared" si="60"/>
        <v>1.0150000000000001</v>
      </c>
      <c r="I2793" s="746"/>
      <c r="J2793" s="747"/>
      <c r="K2793" s="748"/>
      <c r="L2793" s="746"/>
      <c r="M2793" s="747"/>
      <c r="N2793" s="753"/>
    </row>
    <row r="2794" spans="2:14" ht="14.25" hidden="1" customHeight="1" x14ac:dyDescent="0.25">
      <c r="B2794" s="124"/>
      <c r="C2794" s="780"/>
      <c r="D2794" s="125"/>
      <c r="E2794" s="125"/>
      <c r="F2794" s="125"/>
      <c r="G2794" s="125">
        <v>0.1</v>
      </c>
      <c r="H2794" s="148">
        <f t="shared" si="60"/>
        <v>0</v>
      </c>
      <c r="I2794" s="746"/>
      <c r="J2794" s="747"/>
      <c r="K2794" s="748"/>
      <c r="L2794" s="746"/>
      <c r="M2794" s="747"/>
      <c r="N2794" s="753"/>
    </row>
    <row r="2795" spans="2:14" ht="14.25" hidden="1" customHeight="1" x14ac:dyDescent="0.25">
      <c r="B2795" s="124" t="s">
        <v>553</v>
      </c>
      <c r="C2795" s="780"/>
      <c r="D2795" s="125"/>
      <c r="E2795" s="125">
        <v>3.3</v>
      </c>
      <c r="F2795" s="125">
        <v>3</v>
      </c>
      <c r="G2795" s="125">
        <v>0.1</v>
      </c>
      <c r="H2795" s="148">
        <f t="shared" si="60"/>
        <v>0.98999999999999988</v>
      </c>
      <c r="I2795" s="746"/>
      <c r="J2795" s="747"/>
      <c r="K2795" s="748"/>
      <c r="L2795" s="746"/>
      <c r="M2795" s="747"/>
      <c r="N2795" s="753"/>
    </row>
    <row r="2796" spans="2:14" ht="14.25" hidden="1" customHeight="1" x14ac:dyDescent="0.25">
      <c r="B2796" s="124"/>
      <c r="C2796" s="781"/>
      <c r="D2796" s="125"/>
      <c r="E2796" s="125"/>
      <c r="F2796" s="125"/>
      <c r="G2796" s="125">
        <v>0.1</v>
      </c>
      <c r="H2796" s="148">
        <f t="shared" si="60"/>
        <v>0</v>
      </c>
      <c r="I2796" s="746"/>
      <c r="J2796" s="747"/>
      <c r="K2796" s="748"/>
      <c r="L2796" s="746"/>
      <c r="M2796" s="747"/>
      <c r="N2796" s="753"/>
    </row>
    <row r="2797" spans="2:14" ht="14.25" hidden="1" customHeight="1" x14ac:dyDescent="0.25">
      <c r="B2797" s="124" t="s">
        <v>552</v>
      </c>
      <c r="C2797" s="765" t="s">
        <v>488</v>
      </c>
      <c r="D2797" s="125"/>
      <c r="E2797" s="125">
        <v>2.1</v>
      </c>
      <c r="F2797" s="125">
        <v>3.95</v>
      </c>
      <c r="G2797" s="125">
        <v>0.1</v>
      </c>
      <c r="H2797" s="148">
        <f t="shared" si="60"/>
        <v>0.82950000000000002</v>
      </c>
      <c r="I2797" s="746"/>
      <c r="J2797" s="747"/>
      <c r="K2797" s="748"/>
      <c r="L2797" s="746"/>
      <c r="M2797" s="747"/>
      <c r="N2797" s="753"/>
    </row>
    <row r="2798" spans="2:14" ht="14.25" hidden="1" customHeight="1" x14ac:dyDescent="0.25">
      <c r="B2798" s="124"/>
      <c r="C2798" s="780"/>
      <c r="D2798" s="125"/>
      <c r="E2798" s="125"/>
      <c r="F2798" s="125"/>
      <c r="G2798" s="125">
        <v>0.1</v>
      </c>
      <c r="H2798" s="148">
        <f t="shared" si="60"/>
        <v>0</v>
      </c>
      <c r="I2798" s="746"/>
      <c r="J2798" s="747"/>
      <c r="K2798" s="748"/>
      <c r="L2798" s="746"/>
      <c r="M2798" s="747"/>
      <c r="N2798" s="753"/>
    </row>
    <row r="2799" spans="2:14" ht="14.25" hidden="1" customHeight="1" x14ac:dyDescent="0.25">
      <c r="B2799" s="124" t="s">
        <v>553</v>
      </c>
      <c r="C2799" s="780"/>
      <c r="D2799" s="125"/>
      <c r="E2799" s="125">
        <v>2.2999999999999998</v>
      </c>
      <c r="F2799" s="125">
        <v>3.8</v>
      </c>
      <c r="G2799" s="125">
        <v>0.1</v>
      </c>
      <c r="H2799" s="148">
        <f t="shared" si="60"/>
        <v>0.87399999999999989</v>
      </c>
      <c r="I2799" s="746"/>
      <c r="J2799" s="747"/>
      <c r="K2799" s="748"/>
      <c r="L2799" s="746"/>
      <c r="M2799" s="747"/>
      <c r="N2799" s="753"/>
    </row>
    <row r="2800" spans="2:14" ht="14.25" hidden="1" customHeight="1" x14ac:dyDescent="0.25">
      <c r="B2800" s="124"/>
      <c r="C2800" s="781"/>
      <c r="D2800" s="125"/>
      <c r="E2800" s="125"/>
      <c r="F2800" s="125"/>
      <c r="G2800" s="125">
        <v>0.1</v>
      </c>
      <c r="H2800" s="148">
        <f t="shared" si="60"/>
        <v>0</v>
      </c>
      <c r="I2800" s="746"/>
      <c r="J2800" s="747"/>
      <c r="K2800" s="748"/>
      <c r="L2800" s="746"/>
      <c r="M2800" s="747"/>
      <c r="N2800" s="753"/>
    </row>
    <row r="2801" spans="2:14" ht="14.25" hidden="1" customHeight="1" x14ac:dyDescent="0.25">
      <c r="B2801" s="124" t="s">
        <v>552</v>
      </c>
      <c r="C2801" s="765" t="s">
        <v>494</v>
      </c>
      <c r="D2801" s="125"/>
      <c r="E2801" s="125">
        <v>2</v>
      </c>
      <c r="F2801" s="125">
        <v>3.85</v>
      </c>
      <c r="G2801" s="125">
        <v>0.1</v>
      </c>
      <c r="H2801" s="148">
        <f t="shared" si="60"/>
        <v>0.77</v>
      </c>
      <c r="I2801" s="746"/>
      <c r="J2801" s="747"/>
      <c r="K2801" s="748"/>
      <c r="L2801" s="746"/>
      <c r="M2801" s="747"/>
      <c r="N2801" s="753"/>
    </row>
    <row r="2802" spans="2:14" ht="14.25" hidden="1" customHeight="1" x14ac:dyDescent="0.25">
      <c r="B2802" s="124"/>
      <c r="C2802" s="780"/>
      <c r="D2802" s="125"/>
      <c r="E2802" s="125"/>
      <c r="F2802" s="125"/>
      <c r="G2802" s="125">
        <v>0.1</v>
      </c>
      <c r="H2802" s="148">
        <f t="shared" si="60"/>
        <v>0</v>
      </c>
      <c r="I2802" s="746"/>
      <c r="J2802" s="747"/>
      <c r="K2802" s="748"/>
      <c r="L2802" s="746"/>
      <c r="M2802" s="747"/>
      <c r="N2802" s="753"/>
    </row>
    <row r="2803" spans="2:14" ht="14.25" hidden="1" customHeight="1" x14ac:dyDescent="0.25">
      <c r="B2803" s="124" t="s">
        <v>553</v>
      </c>
      <c r="C2803" s="780"/>
      <c r="D2803" s="125"/>
      <c r="E2803" s="125">
        <v>2</v>
      </c>
      <c r="F2803" s="125">
        <v>3.85</v>
      </c>
      <c r="G2803" s="125">
        <v>0.1</v>
      </c>
      <c r="H2803" s="148">
        <f t="shared" si="60"/>
        <v>0.77</v>
      </c>
      <c r="I2803" s="746"/>
      <c r="J2803" s="747"/>
      <c r="K2803" s="748"/>
      <c r="L2803" s="746"/>
      <c r="M2803" s="747"/>
      <c r="N2803" s="753"/>
    </row>
    <row r="2804" spans="2:14" ht="14.25" hidden="1" customHeight="1" x14ac:dyDescent="0.25">
      <c r="B2804" s="124"/>
      <c r="C2804" s="781"/>
      <c r="D2804" s="125"/>
      <c r="E2804" s="125"/>
      <c r="F2804" s="125"/>
      <c r="G2804" s="125">
        <v>0.1</v>
      </c>
      <c r="H2804" s="148">
        <f t="shared" si="60"/>
        <v>0</v>
      </c>
      <c r="I2804" s="746"/>
      <c r="J2804" s="747"/>
      <c r="K2804" s="748"/>
      <c r="L2804" s="746"/>
      <c r="M2804" s="747"/>
      <c r="N2804" s="753"/>
    </row>
    <row r="2805" spans="2:14" ht="14.25" hidden="1" customHeight="1" x14ac:dyDescent="0.25">
      <c r="B2805" s="127" t="s">
        <v>554</v>
      </c>
      <c r="C2805" s="204" t="s">
        <v>481</v>
      </c>
      <c r="D2805" s="125"/>
      <c r="E2805" s="125">
        <v>1.25</v>
      </c>
      <c r="F2805" s="125">
        <v>1.9</v>
      </c>
      <c r="G2805" s="125">
        <v>0.1</v>
      </c>
      <c r="H2805" s="148">
        <f t="shared" si="60"/>
        <v>0.23750000000000002</v>
      </c>
      <c r="I2805" s="746"/>
      <c r="J2805" s="747"/>
      <c r="K2805" s="748"/>
      <c r="L2805" s="746"/>
      <c r="M2805" s="747"/>
      <c r="N2805" s="753"/>
    </row>
    <row r="2806" spans="2:14" ht="14.25" hidden="1" customHeight="1" x14ac:dyDescent="0.25">
      <c r="B2806" s="127" t="s">
        <v>555</v>
      </c>
      <c r="C2806" s="204" t="s">
        <v>481</v>
      </c>
      <c r="D2806" s="125"/>
      <c r="E2806" s="125">
        <v>1.4</v>
      </c>
      <c r="F2806" s="125">
        <v>1.4</v>
      </c>
      <c r="G2806" s="125">
        <v>0.1</v>
      </c>
      <c r="H2806" s="148">
        <f t="shared" si="60"/>
        <v>0.19599999999999998</v>
      </c>
      <c r="I2806" s="746"/>
      <c r="J2806" s="747"/>
      <c r="K2806" s="748"/>
      <c r="L2806" s="746"/>
      <c r="M2806" s="747"/>
      <c r="N2806" s="753"/>
    </row>
    <row r="2807" spans="2:14" ht="14.25" hidden="1" customHeight="1" x14ac:dyDescent="0.25">
      <c r="B2807" s="127" t="s">
        <v>556</v>
      </c>
      <c r="C2807" s="204" t="s">
        <v>488</v>
      </c>
      <c r="D2807" s="125"/>
      <c r="E2807" s="125">
        <v>1</v>
      </c>
      <c r="F2807" s="125">
        <v>3.95</v>
      </c>
      <c r="G2807" s="125">
        <v>0.1</v>
      </c>
      <c r="H2807" s="148">
        <f t="shared" si="60"/>
        <v>0.39500000000000002</v>
      </c>
      <c r="I2807" s="746"/>
      <c r="J2807" s="747"/>
      <c r="K2807" s="748"/>
      <c r="L2807" s="746"/>
      <c r="M2807" s="747"/>
      <c r="N2807" s="753"/>
    </row>
    <row r="2808" spans="2:14" ht="14.25" hidden="1" customHeight="1" x14ac:dyDescent="0.25">
      <c r="B2808" s="127" t="s">
        <v>557</v>
      </c>
      <c r="C2808" s="125" t="s">
        <v>494</v>
      </c>
      <c r="D2808" s="125"/>
      <c r="E2808" s="125">
        <v>1.1000000000000001</v>
      </c>
      <c r="F2808" s="125">
        <v>3.9</v>
      </c>
      <c r="G2808" s="125">
        <v>0.1</v>
      </c>
      <c r="H2808" s="148">
        <f t="shared" si="60"/>
        <v>0.42900000000000005</v>
      </c>
      <c r="I2808" s="749"/>
      <c r="J2808" s="750"/>
      <c r="K2808" s="751"/>
      <c r="L2808" s="749"/>
      <c r="M2808" s="750"/>
      <c r="N2808" s="754"/>
    </row>
    <row r="2809" spans="2:14" ht="14.25" hidden="1" customHeight="1" x14ac:dyDescent="0.25">
      <c r="B2809" s="209"/>
      <c r="C2809" s="118"/>
      <c r="D2809" s="118"/>
      <c r="E2809" s="118"/>
      <c r="F2809" s="118"/>
      <c r="G2809" s="118"/>
      <c r="H2809" s="118"/>
      <c r="I2809" s="118"/>
      <c r="J2809" s="118"/>
      <c r="K2809" s="118"/>
      <c r="L2809" s="118"/>
      <c r="M2809" s="118"/>
      <c r="N2809" s="210"/>
    </row>
    <row r="2810" spans="2:14" ht="14.25" hidden="1" customHeight="1" x14ac:dyDescent="0.25">
      <c r="B2810" s="209"/>
      <c r="C2810" s="118"/>
      <c r="D2810" s="118"/>
      <c r="E2810" s="118"/>
      <c r="F2810" s="118"/>
      <c r="G2810" s="118"/>
      <c r="H2810" s="118"/>
      <c r="I2810" s="118"/>
      <c r="J2810" s="118"/>
      <c r="K2810" s="118"/>
      <c r="L2810" s="118"/>
      <c r="M2810" s="118"/>
      <c r="N2810" s="210"/>
    </row>
    <row r="2811" spans="2:14" ht="14.25" hidden="1" customHeight="1" x14ac:dyDescent="0.25">
      <c r="B2811" s="209"/>
      <c r="C2811" s="118"/>
      <c r="D2811" s="118"/>
      <c r="E2811" s="118"/>
      <c r="F2811" s="118"/>
      <c r="G2811" s="118"/>
      <c r="H2811" s="118"/>
      <c r="I2811" s="118"/>
      <c r="J2811" s="118"/>
      <c r="K2811" s="118"/>
      <c r="L2811" s="118"/>
      <c r="M2811" s="118"/>
      <c r="N2811" s="210"/>
    </row>
    <row r="2812" spans="2:14" ht="14.25" hidden="1" customHeight="1" x14ac:dyDescent="0.25">
      <c r="B2812" s="209"/>
      <c r="C2812" s="118"/>
      <c r="D2812" s="118"/>
      <c r="E2812" s="118"/>
      <c r="F2812" s="118"/>
      <c r="G2812" s="118"/>
      <c r="H2812" s="118"/>
      <c r="I2812" s="118"/>
      <c r="J2812" s="118"/>
      <c r="K2812" s="118"/>
      <c r="L2812" s="118"/>
      <c r="M2812" s="118"/>
      <c r="N2812" s="210"/>
    </row>
    <row r="2813" spans="2:14" ht="14.25" hidden="1" customHeight="1" x14ac:dyDescent="0.25">
      <c r="B2813" s="775" t="s">
        <v>414</v>
      </c>
      <c r="C2813" s="747"/>
      <c r="D2813" s="747"/>
      <c r="E2813" s="128"/>
      <c r="F2813" s="128"/>
      <c r="G2813" s="128"/>
      <c r="H2813" s="128"/>
      <c r="I2813" s="776"/>
      <c r="J2813" s="747"/>
      <c r="K2813" s="747"/>
      <c r="L2813" s="118"/>
      <c r="M2813" s="118"/>
      <c r="N2813" s="210"/>
    </row>
    <row r="2814" spans="2:14" ht="14.25" hidden="1" customHeight="1" x14ac:dyDescent="0.25">
      <c r="B2814" s="129"/>
      <c r="C2814" s="130"/>
      <c r="D2814" s="130"/>
      <c r="E2814" s="130"/>
      <c r="F2814" s="130"/>
      <c r="G2814" s="130"/>
      <c r="H2814" s="130"/>
      <c r="I2814" s="130"/>
      <c r="J2814" s="130"/>
      <c r="K2814" s="130"/>
      <c r="L2814" s="130"/>
      <c r="M2814" s="130"/>
      <c r="N2814" s="131"/>
    </row>
    <row r="2815" spans="2:14" ht="14.25" hidden="1" customHeight="1" x14ac:dyDescent="0.25">
      <c r="B2815" s="118"/>
      <c r="C2815" s="118"/>
      <c r="D2815" s="118"/>
      <c r="E2815" s="118"/>
      <c r="F2815" s="118"/>
      <c r="G2815" s="118"/>
      <c r="H2815" s="118"/>
      <c r="I2815" s="118"/>
      <c r="J2815" s="118"/>
      <c r="K2815" s="118"/>
      <c r="L2815" s="118"/>
      <c r="M2815" s="118"/>
      <c r="N2815" s="118"/>
    </row>
    <row r="2816" spans="2:14" ht="43.5" hidden="1" customHeight="1" x14ac:dyDescent="0.25">
      <c r="B2816" s="728"/>
      <c r="C2816" s="729"/>
      <c r="D2816" s="730" t="s">
        <v>393</v>
      </c>
      <c r="E2816" s="729"/>
      <c r="F2816" s="729"/>
      <c r="G2816" s="729"/>
      <c r="H2816" s="729"/>
      <c r="I2816" s="729"/>
      <c r="J2816" s="729"/>
      <c r="K2816" s="729"/>
      <c r="L2816" s="729"/>
      <c r="M2816" s="729"/>
      <c r="N2816" s="731"/>
    </row>
    <row r="2817" spans="2:14" ht="14.25" hidden="1" customHeight="1" x14ac:dyDescent="0.25">
      <c r="B2817" s="732" t="s">
        <v>394</v>
      </c>
      <c r="C2817" s="733"/>
      <c r="D2817" s="733"/>
      <c r="E2817" s="733"/>
      <c r="F2817" s="733"/>
      <c r="G2817" s="733"/>
      <c r="H2817" s="733"/>
      <c r="I2817" s="733"/>
      <c r="J2817" s="733"/>
      <c r="K2817" s="733"/>
      <c r="L2817" s="733"/>
      <c r="M2817" s="733"/>
      <c r="N2817" s="734"/>
    </row>
    <row r="2818" spans="2:14" ht="14.25" hidden="1" customHeight="1" x14ac:dyDescent="0.25">
      <c r="B2818" s="735" t="s">
        <v>395</v>
      </c>
      <c r="C2818" s="736"/>
      <c r="D2818" s="779" t="s">
        <v>558</v>
      </c>
      <c r="E2818" s="733"/>
      <c r="F2818" s="733"/>
      <c r="G2818" s="733"/>
      <c r="H2818" s="733"/>
      <c r="I2818" s="733"/>
      <c r="J2818" s="733"/>
      <c r="K2818" s="733"/>
      <c r="L2818" s="733"/>
      <c r="M2818" s="733"/>
      <c r="N2818" s="734"/>
    </row>
    <row r="2819" spans="2:14" ht="14.25" hidden="1" customHeight="1" x14ac:dyDescent="0.25">
      <c r="B2819" s="740" t="s">
        <v>26</v>
      </c>
      <c r="C2819" s="741"/>
      <c r="D2819" s="119" t="s">
        <v>396</v>
      </c>
      <c r="E2819" s="742" t="s">
        <v>397</v>
      </c>
      <c r="F2819" s="733"/>
      <c r="G2819" s="733"/>
      <c r="H2819" s="736"/>
      <c r="I2819" s="742" t="s">
        <v>398</v>
      </c>
      <c r="J2819" s="733"/>
      <c r="K2819" s="736"/>
      <c r="L2819" s="742" t="s">
        <v>399</v>
      </c>
      <c r="M2819" s="733"/>
      <c r="N2819" s="734"/>
    </row>
    <row r="2820" spans="2:14" ht="14.25" hidden="1" customHeight="1" x14ac:dyDescent="0.25">
      <c r="B2820" s="777"/>
      <c r="C2820" s="736"/>
      <c r="D2820" s="123"/>
      <c r="E2820" s="778" t="s">
        <v>132</v>
      </c>
      <c r="F2820" s="733"/>
      <c r="G2820" s="733"/>
      <c r="H2820" s="736"/>
      <c r="I2820" s="744"/>
      <c r="J2820" s="745"/>
      <c r="K2820" s="741"/>
      <c r="L2820" s="744"/>
      <c r="M2820" s="745"/>
      <c r="N2820" s="752"/>
    </row>
    <row r="2821" spans="2:14" ht="14.25" hidden="1" customHeight="1" x14ac:dyDescent="0.25">
      <c r="B2821" s="755" t="s">
        <v>416</v>
      </c>
      <c r="C2821" s="733"/>
      <c r="D2821" s="733"/>
      <c r="E2821" s="733"/>
      <c r="F2821" s="733"/>
      <c r="G2821" s="733"/>
      <c r="H2821" s="736"/>
      <c r="I2821" s="746"/>
      <c r="J2821" s="747"/>
      <c r="K2821" s="748"/>
      <c r="L2821" s="746"/>
      <c r="M2821" s="747"/>
      <c r="N2821" s="753"/>
    </row>
    <row r="2822" spans="2:14" ht="14.25" hidden="1" customHeight="1" x14ac:dyDescent="0.25">
      <c r="B2822" s="121" t="s">
        <v>400</v>
      </c>
      <c r="C2822" s="122" t="s">
        <v>401</v>
      </c>
      <c r="D2822" s="123" t="s">
        <v>402</v>
      </c>
      <c r="E2822" s="123" t="s">
        <v>403</v>
      </c>
      <c r="F2822" s="123" t="s">
        <v>404</v>
      </c>
      <c r="G2822" s="123" t="s">
        <v>405</v>
      </c>
      <c r="H2822" s="123" t="s">
        <v>406</v>
      </c>
      <c r="I2822" s="746"/>
      <c r="J2822" s="747"/>
      <c r="K2822" s="748"/>
      <c r="L2822" s="746"/>
      <c r="M2822" s="747"/>
      <c r="N2822" s="753"/>
    </row>
    <row r="2823" spans="2:14" ht="14.25" hidden="1" customHeight="1" x14ac:dyDescent="0.25">
      <c r="B2823" s="124"/>
      <c r="C2823" s="125" t="s">
        <v>559</v>
      </c>
      <c r="D2823" s="125"/>
      <c r="E2823" s="125">
        <v>0.5</v>
      </c>
      <c r="F2823" s="125">
        <f>13+2.2+10+1+1+10</f>
        <v>37.200000000000003</v>
      </c>
      <c r="G2823" s="125">
        <v>1</v>
      </c>
      <c r="H2823" s="126">
        <f>E2823*F2823*G2823</f>
        <v>18.600000000000001</v>
      </c>
      <c r="I2823" s="746"/>
      <c r="J2823" s="747"/>
      <c r="K2823" s="748"/>
      <c r="L2823" s="746"/>
      <c r="M2823" s="747"/>
      <c r="N2823" s="753"/>
    </row>
    <row r="2824" spans="2:14" ht="14.25" hidden="1" customHeight="1" x14ac:dyDescent="0.25">
      <c r="B2824" s="124"/>
      <c r="C2824" s="125"/>
      <c r="D2824" s="125"/>
      <c r="E2824" s="125"/>
      <c r="F2824" s="125"/>
      <c r="G2824" s="125"/>
      <c r="H2824" s="125"/>
      <c r="I2824" s="746"/>
      <c r="J2824" s="747"/>
      <c r="K2824" s="748"/>
      <c r="L2824" s="746"/>
      <c r="M2824" s="747"/>
      <c r="N2824" s="753"/>
    </row>
    <row r="2825" spans="2:14" ht="14.25" hidden="1" customHeight="1" x14ac:dyDescent="0.25">
      <c r="B2825" s="124"/>
      <c r="C2825" s="125"/>
      <c r="D2825" s="125"/>
      <c r="E2825" s="125"/>
      <c r="F2825" s="125"/>
      <c r="G2825" s="125"/>
      <c r="H2825" s="125"/>
      <c r="I2825" s="746"/>
      <c r="J2825" s="747"/>
      <c r="K2825" s="748"/>
      <c r="L2825" s="746"/>
      <c r="M2825" s="747"/>
      <c r="N2825" s="753"/>
    </row>
    <row r="2826" spans="2:14" ht="14.25" hidden="1" customHeight="1" x14ac:dyDescent="0.25">
      <c r="B2826" s="124"/>
      <c r="C2826" s="125"/>
      <c r="D2826" s="125"/>
      <c r="E2826" s="125"/>
      <c r="F2826" s="125"/>
      <c r="G2826" s="125"/>
      <c r="H2826" s="125"/>
      <c r="I2826" s="746"/>
      <c r="J2826" s="747"/>
      <c r="K2826" s="748"/>
      <c r="L2826" s="746"/>
      <c r="M2826" s="747"/>
      <c r="N2826" s="753"/>
    </row>
    <row r="2827" spans="2:14" ht="14.25" hidden="1" customHeight="1" x14ac:dyDescent="0.25">
      <c r="B2827" s="124"/>
      <c r="C2827" s="125"/>
      <c r="D2827" s="125"/>
      <c r="E2827" s="125"/>
      <c r="F2827" s="125"/>
      <c r="G2827" s="125"/>
      <c r="H2827" s="125"/>
      <c r="I2827" s="746"/>
      <c r="J2827" s="747"/>
      <c r="K2827" s="748"/>
      <c r="L2827" s="746"/>
      <c r="M2827" s="747"/>
      <c r="N2827" s="753"/>
    </row>
    <row r="2828" spans="2:14" ht="14.25" hidden="1" customHeight="1" x14ac:dyDescent="0.25">
      <c r="B2828" s="124"/>
      <c r="C2828" s="125"/>
      <c r="D2828" s="125"/>
      <c r="E2828" s="125"/>
      <c r="F2828" s="125"/>
      <c r="G2828" s="125"/>
      <c r="H2828" s="125"/>
      <c r="I2828" s="746"/>
      <c r="J2828" s="747"/>
      <c r="K2828" s="748"/>
      <c r="L2828" s="746"/>
      <c r="M2828" s="747"/>
      <c r="N2828" s="753"/>
    </row>
    <row r="2829" spans="2:14" ht="14.25" hidden="1" customHeight="1" x14ac:dyDescent="0.25">
      <c r="B2829" s="124"/>
      <c r="C2829" s="125"/>
      <c r="D2829" s="125"/>
      <c r="E2829" s="125"/>
      <c r="F2829" s="125"/>
      <c r="G2829" s="125"/>
      <c r="H2829" s="125"/>
      <c r="I2829" s="746"/>
      <c r="J2829" s="747"/>
      <c r="K2829" s="748"/>
      <c r="L2829" s="746"/>
      <c r="M2829" s="747"/>
      <c r="N2829" s="753"/>
    </row>
    <row r="2830" spans="2:14" ht="14.25" hidden="1" customHeight="1" x14ac:dyDescent="0.25">
      <c r="B2830" s="124"/>
      <c r="C2830" s="125"/>
      <c r="D2830" s="125"/>
      <c r="E2830" s="125"/>
      <c r="F2830" s="125"/>
      <c r="G2830" s="125"/>
      <c r="H2830" s="125"/>
      <c r="I2830" s="746"/>
      <c r="J2830" s="747"/>
      <c r="K2830" s="748"/>
      <c r="L2830" s="746"/>
      <c r="M2830" s="747"/>
      <c r="N2830" s="753"/>
    </row>
    <row r="2831" spans="2:14" ht="14.25" hidden="1" customHeight="1" x14ac:dyDescent="0.25">
      <c r="B2831" s="124"/>
      <c r="C2831" s="125"/>
      <c r="D2831" s="125"/>
      <c r="E2831" s="125"/>
      <c r="F2831" s="125"/>
      <c r="G2831" s="125"/>
      <c r="H2831" s="125"/>
      <c r="I2831" s="746"/>
      <c r="J2831" s="747"/>
      <c r="K2831" s="748"/>
      <c r="L2831" s="746"/>
      <c r="M2831" s="747"/>
      <c r="N2831" s="753"/>
    </row>
    <row r="2832" spans="2:14" ht="14.25" hidden="1" customHeight="1" x14ac:dyDescent="0.25">
      <c r="B2832" s="124"/>
      <c r="C2832" s="125"/>
      <c r="D2832" s="125"/>
      <c r="E2832" s="125"/>
      <c r="F2832" s="125"/>
      <c r="G2832" s="125"/>
      <c r="H2832" s="125"/>
      <c r="I2832" s="746"/>
      <c r="J2832" s="747"/>
      <c r="K2832" s="748"/>
      <c r="L2832" s="746"/>
      <c r="M2832" s="747"/>
      <c r="N2832" s="753"/>
    </row>
    <row r="2833" spans="2:14" ht="14.25" hidden="1" customHeight="1" x14ac:dyDescent="0.25">
      <c r="B2833" s="124"/>
      <c r="C2833" s="125"/>
      <c r="D2833" s="125"/>
      <c r="E2833" s="125"/>
      <c r="F2833" s="125"/>
      <c r="G2833" s="125"/>
      <c r="H2833" s="125"/>
      <c r="I2833" s="746"/>
      <c r="J2833" s="747"/>
      <c r="K2833" s="748"/>
      <c r="L2833" s="746"/>
      <c r="M2833" s="747"/>
      <c r="N2833" s="753"/>
    </row>
    <row r="2834" spans="2:14" ht="14.25" hidden="1" customHeight="1" x14ac:dyDescent="0.25">
      <c r="B2834" s="124"/>
      <c r="C2834" s="125"/>
      <c r="D2834" s="125"/>
      <c r="E2834" s="125"/>
      <c r="F2834" s="125"/>
      <c r="G2834" s="125"/>
      <c r="H2834" s="125"/>
      <c r="I2834" s="746"/>
      <c r="J2834" s="747"/>
      <c r="K2834" s="748"/>
      <c r="L2834" s="746"/>
      <c r="M2834" s="747"/>
      <c r="N2834" s="753"/>
    </row>
    <row r="2835" spans="2:14" ht="14.25" hidden="1" customHeight="1" x14ac:dyDescent="0.25">
      <c r="B2835" s="124"/>
      <c r="C2835" s="125"/>
      <c r="D2835" s="125"/>
      <c r="E2835" s="125"/>
      <c r="F2835" s="125"/>
      <c r="G2835" s="125"/>
      <c r="H2835" s="125"/>
      <c r="I2835" s="746"/>
      <c r="J2835" s="747"/>
      <c r="K2835" s="748"/>
      <c r="L2835" s="746"/>
      <c r="M2835" s="747"/>
      <c r="N2835" s="753"/>
    </row>
    <row r="2836" spans="2:14" ht="14.25" hidden="1" customHeight="1" x14ac:dyDescent="0.25">
      <c r="B2836" s="124"/>
      <c r="C2836" s="125"/>
      <c r="D2836" s="125"/>
      <c r="E2836" s="125"/>
      <c r="F2836" s="125"/>
      <c r="G2836" s="125"/>
      <c r="H2836" s="125"/>
      <c r="I2836" s="746"/>
      <c r="J2836" s="747"/>
      <c r="K2836" s="748"/>
      <c r="L2836" s="746"/>
      <c r="M2836" s="747"/>
      <c r="N2836" s="753"/>
    </row>
    <row r="2837" spans="2:14" ht="14.25" hidden="1" customHeight="1" x14ac:dyDescent="0.25">
      <c r="B2837" s="124"/>
      <c r="C2837" s="125"/>
      <c r="D2837" s="125"/>
      <c r="E2837" s="125"/>
      <c r="F2837" s="125"/>
      <c r="G2837" s="125"/>
      <c r="H2837" s="125"/>
      <c r="I2837" s="746"/>
      <c r="J2837" s="747"/>
      <c r="K2837" s="748"/>
      <c r="L2837" s="746"/>
      <c r="M2837" s="747"/>
      <c r="N2837" s="753"/>
    </row>
    <row r="2838" spans="2:14" ht="14.25" hidden="1" customHeight="1" x14ac:dyDescent="0.25">
      <c r="B2838" s="124"/>
      <c r="C2838" s="125"/>
      <c r="D2838" s="125"/>
      <c r="E2838" s="125"/>
      <c r="F2838" s="125"/>
      <c r="G2838" s="125"/>
      <c r="H2838" s="125"/>
      <c r="I2838" s="746"/>
      <c r="J2838" s="747"/>
      <c r="K2838" s="748"/>
      <c r="L2838" s="746"/>
      <c r="M2838" s="747"/>
      <c r="N2838" s="753"/>
    </row>
    <row r="2839" spans="2:14" ht="14.25" hidden="1" customHeight="1" x14ac:dyDescent="0.25">
      <c r="B2839" s="124"/>
      <c r="C2839" s="125"/>
      <c r="D2839" s="125"/>
      <c r="E2839" s="125"/>
      <c r="F2839" s="125"/>
      <c r="G2839" s="125"/>
      <c r="H2839" s="125"/>
      <c r="I2839" s="746"/>
      <c r="J2839" s="747"/>
      <c r="K2839" s="748"/>
      <c r="L2839" s="746"/>
      <c r="M2839" s="747"/>
      <c r="N2839" s="753"/>
    </row>
    <row r="2840" spans="2:14" ht="14.25" hidden="1" customHeight="1" x14ac:dyDescent="0.25">
      <c r="B2840" s="124"/>
      <c r="C2840" s="125"/>
      <c r="D2840" s="125"/>
      <c r="E2840" s="125"/>
      <c r="F2840" s="125"/>
      <c r="G2840" s="125"/>
      <c r="H2840" s="125"/>
      <c r="I2840" s="746"/>
      <c r="J2840" s="747"/>
      <c r="K2840" s="748"/>
      <c r="L2840" s="746"/>
      <c r="M2840" s="747"/>
      <c r="N2840" s="753"/>
    </row>
    <row r="2841" spans="2:14" ht="14.25" hidden="1" customHeight="1" x14ac:dyDescent="0.25">
      <c r="B2841" s="127"/>
      <c r="C2841" s="125"/>
      <c r="D2841" s="125"/>
      <c r="E2841" s="125"/>
      <c r="F2841" s="125"/>
      <c r="G2841" s="125"/>
      <c r="H2841" s="125"/>
      <c r="I2841" s="749"/>
      <c r="J2841" s="750"/>
      <c r="K2841" s="751"/>
      <c r="L2841" s="749"/>
      <c r="M2841" s="750"/>
      <c r="N2841" s="754"/>
    </row>
    <row r="2842" spans="2:14" ht="14.25" hidden="1" customHeight="1" x14ac:dyDescent="0.25">
      <c r="B2842" s="209"/>
      <c r="C2842" s="118"/>
      <c r="D2842" s="118"/>
      <c r="E2842" s="118"/>
      <c r="F2842" s="118"/>
      <c r="G2842" s="118"/>
      <c r="H2842" s="118"/>
      <c r="I2842" s="118"/>
      <c r="J2842" s="118"/>
      <c r="K2842" s="118"/>
      <c r="L2842" s="118"/>
      <c r="M2842" s="118"/>
      <c r="N2842" s="210"/>
    </row>
    <row r="2843" spans="2:14" ht="14.25" hidden="1" customHeight="1" x14ac:dyDescent="0.25">
      <c r="B2843" s="209"/>
      <c r="C2843" s="118"/>
      <c r="D2843" s="118"/>
      <c r="E2843" s="118"/>
      <c r="F2843" s="118"/>
      <c r="G2843" s="118"/>
      <c r="H2843" s="118"/>
      <c r="I2843" s="118"/>
      <c r="J2843" s="118"/>
      <c r="K2843" s="118"/>
      <c r="L2843" s="118"/>
      <c r="M2843" s="118"/>
      <c r="N2843" s="210"/>
    </row>
    <row r="2844" spans="2:14" ht="14.25" hidden="1" customHeight="1" x14ac:dyDescent="0.25">
      <c r="B2844" s="209"/>
      <c r="C2844" s="118"/>
      <c r="D2844" s="118"/>
      <c r="E2844" s="118"/>
      <c r="F2844" s="118"/>
      <c r="G2844" s="118"/>
      <c r="H2844" s="118"/>
      <c r="I2844" s="118"/>
      <c r="J2844" s="118"/>
      <c r="K2844" s="118"/>
      <c r="L2844" s="118"/>
      <c r="M2844" s="118"/>
      <c r="N2844" s="210"/>
    </row>
    <row r="2845" spans="2:14" ht="14.25" hidden="1" customHeight="1" x14ac:dyDescent="0.25">
      <c r="B2845" s="209"/>
      <c r="C2845" s="118"/>
      <c r="D2845" s="118"/>
      <c r="E2845" s="118"/>
      <c r="F2845" s="118"/>
      <c r="G2845" s="118"/>
      <c r="H2845" s="118"/>
      <c r="I2845" s="118"/>
      <c r="J2845" s="118"/>
      <c r="K2845" s="118"/>
      <c r="L2845" s="118"/>
      <c r="M2845" s="118"/>
      <c r="N2845" s="210"/>
    </row>
    <row r="2846" spans="2:14" ht="14.25" hidden="1" customHeight="1" x14ac:dyDescent="0.25">
      <c r="B2846" s="775" t="s">
        <v>414</v>
      </c>
      <c r="C2846" s="747"/>
      <c r="D2846" s="747"/>
      <c r="E2846" s="128"/>
      <c r="F2846" s="128"/>
      <c r="G2846" s="128"/>
      <c r="H2846" s="128"/>
      <c r="I2846" s="776"/>
      <c r="J2846" s="747"/>
      <c r="K2846" s="747"/>
      <c r="L2846" s="118"/>
      <c r="M2846" s="118"/>
      <c r="N2846" s="210"/>
    </row>
    <row r="2847" spans="2:14" ht="14.25" hidden="1" customHeight="1" x14ac:dyDescent="0.25">
      <c r="B2847" s="129"/>
      <c r="C2847" s="130"/>
      <c r="D2847" s="130"/>
      <c r="E2847" s="130"/>
      <c r="F2847" s="130"/>
      <c r="G2847" s="130"/>
      <c r="H2847" s="130"/>
      <c r="I2847" s="130"/>
      <c r="J2847" s="130"/>
      <c r="K2847" s="130"/>
      <c r="L2847" s="130"/>
      <c r="M2847" s="130"/>
      <c r="N2847" s="131"/>
    </row>
    <row r="2848" spans="2:14" ht="14.25" hidden="1" customHeight="1" x14ac:dyDescent="0.25">
      <c r="B2848" s="118"/>
      <c r="C2848" s="118"/>
      <c r="D2848" s="118"/>
      <c r="E2848" s="118"/>
      <c r="F2848" s="118"/>
      <c r="G2848" s="118"/>
      <c r="H2848" s="118"/>
      <c r="I2848" s="118"/>
      <c r="J2848" s="118"/>
      <c r="K2848" s="118"/>
      <c r="L2848" s="118"/>
      <c r="M2848" s="118"/>
      <c r="N2848" s="118"/>
    </row>
    <row r="2849" spans="2:15" ht="43.5" hidden="1" customHeight="1" x14ac:dyDescent="0.25">
      <c r="B2849" s="728"/>
      <c r="C2849" s="729"/>
      <c r="D2849" s="730" t="s">
        <v>393</v>
      </c>
      <c r="E2849" s="729"/>
      <c r="F2849" s="729"/>
      <c r="G2849" s="729"/>
      <c r="H2849" s="729"/>
      <c r="I2849" s="729"/>
      <c r="J2849" s="729"/>
      <c r="K2849" s="729"/>
      <c r="L2849" s="729"/>
      <c r="M2849" s="729"/>
      <c r="N2849" s="731"/>
    </row>
    <row r="2850" spans="2:15" ht="14.25" hidden="1" customHeight="1" x14ac:dyDescent="0.25">
      <c r="B2850" s="732" t="s">
        <v>394</v>
      </c>
      <c r="C2850" s="733"/>
      <c r="D2850" s="733"/>
      <c r="E2850" s="733"/>
      <c r="F2850" s="733"/>
      <c r="G2850" s="733"/>
      <c r="H2850" s="733"/>
      <c r="I2850" s="733"/>
      <c r="J2850" s="733"/>
      <c r="K2850" s="733"/>
      <c r="L2850" s="733"/>
      <c r="M2850" s="733"/>
      <c r="N2850" s="734"/>
    </row>
    <row r="2851" spans="2:15" ht="48" hidden="1" customHeight="1" x14ac:dyDescent="0.25">
      <c r="B2851" s="735" t="s">
        <v>395</v>
      </c>
      <c r="C2851" s="736"/>
      <c r="D2851" s="779" t="s">
        <v>560</v>
      </c>
      <c r="E2851" s="733"/>
      <c r="F2851" s="733"/>
      <c r="G2851" s="733"/>
      <c r="H2851" s="733"/>
      <c r="I2851" s="733"/>
      <c r="J2851" s="733"/>
      <c r="K2851" s="733"/>
      <c r="L2851" s="733"/>
      <c r="M2851" s="733"/>
      <c r="N2851" s="734"/>
    </row>
    <row r="2852" spans="2:15" ht="14.25" hidden="1" customHeight="1" x14ac:dyDescent="0.25">
      <c r="B2852" s="740" t="s">
        <v>26</v>
      </c>
      <c r="C2852" s="741"/>
      <c r="D2852" s="119" t="s">
        <v>396</v>
      </c>
      <c r="E2852" s="742" t="s">
        <v>397</v>
      </c>
      <c r="F2852" s="733"/>
      <c r="G2852" s="733"/>
      <c r="H2852" s="736"/>
      <c r="I2852" s="742" t="s">
        <v>398</v>
      </c>
      <c r="J2852" s="733"/>
      <c r="K2852" s="736"/>
      <c r="L2852" s="742" t="s">
        <v>399</v>
      </c>
      <c r="M2852" s="733"/>
      <c r="N2852" s="734"/>
    </row>
    <row r="2853" spans="2:15" ht="14.25" hidden="1" customHeight="1" x14ac:dyDescent="0.25">
      <c r="B2853" s="777">
        <v>79</v>
      </c>
      <c r="C2853" s="736"/>
      <c r="D2853" s="120">
        <f>ROUND(SUM(H2856:H2874),0)</f>
        <v>11</v>
      </c>
      <c r="E2853" s="778" t="s">
        <v>51</v>
      </c>
      <c r="F2853" s="733"/>
      <c r="G2853" s="733"/>
      <c r="H2853" s="736"/>
      <c r="I2853" s="744"/>
      <c r="J2853" s="745"/>
      <c r="K2853" s="741"/>
      <c r="L2853" s="744"/>
      <c r="M2853" s="745"/>
      <c r="N2853" s="752"/>
    </row>
    <row r="2854" spans="2:15" ht="14.25" hidden="1" customHeight="1" x14ac:dyDescent="0.25">
      <c r="B2854" s="755" t="s">
        <v>416</v>
      </c>
      <c r="C2854" s="733"/>
      <c r="D2854" s="733"/>
      <c r="E2854" s="733"/>
      <c r="F2854" s="733"/>
      <c r="G2854" s="733"/>
      <c r="H2854" s="736"/>
      <c r="I2854" s="746"/>
      <c r="J2854" s="747"/>
      <c r="K2854" s="748"/>
      <c r="L2854" s="746"/>
      <c r="M2854" s="747"/>
      <c r="N2854" s="753"/>
    </row>
    <row r="2855" spans="2:15" ht="14.25" hidden="1" customHeight="1" x14ac:dyDescent="0.25">
      <c r="B2855" s="121" t="s">
        <v>400</v>
      </c>
      <c r="C2855" s="122" t="s">
        <v>401</v>
      </c>
      <c r="D2855" s="123" t="s">
        <v>402</v>
      </c>
      <c r="E2855" s="123" t="s">
        <v>403</v>
      </c>
      <c r="F2855" s="123" t="s">
        <v>404</v>
      </c>
      <c r="G2855" s="123" t="s">
        <v>405</v>
      </c>
      <c r="H2855" s="123" t="s">
        <v>406</v>
      </c>
      <c r="I2855" s="746"/>
      <c r="J2855" s="747"/>
      <c r="K2855" s="748"/>
      <c r="L2855" s="746"/>
      <c r="M2855" s="747"/>
      <c r="N2855" s="753"/>
      <c r="O2855" s="137"/>
    </row>
    <row r="2856" spans="2:15" ht="14.25" hidden="1" customHeight="1" x14ac:dyDescent="0.25">
      <c r="B2856" s="124"/>
      <c r="C2856" s="125" t="s">
        <v>431</v>
      </c>
      <c r="D2856" s="125"/>
      <c r="E2856" s="125">
        <v>0.53</v>
      </c>
      <c r="F2856" s="125">
        <v>18.600000000000001</v>
      </c>
      <c r="G2856" s="125"/>
      <c r="H2856" s="126">
        <f t="shared" ref="H2856:H2857" si="61">E2856*F2856</f>
        <v>9.8580000000000005</v>
      </c>
      <c r="I2856" s="746"/>
      <c r="J2856" s="747"/>
      <c r="K2856" s="748"/>
      <c r="L2856" s="746"/>
      <c r="M2856" s="747"/>
      <c r="N2856" s="753"/>
    </row>
    <row r="2857" spans="2:15" ht="14.25" hidden="1" customHeight="1" x14ac:dyDescent="0.25">
      <c r="B2857" s="124"/>
      <c r="C2857" s="125" t="s">
        <v>561</v>
      </c>
      <c r="D2857" s="125"/>
      <c r="E2857" s="125">
        <v>1</v>
      </c>
      <c r="F2857" s="125">
        <v>1</v>
      </c>
      <c r="G2857" s="125"/>
      <c r="H2857" s="125">
        <f t="shared" si="61"/>
        <v>1</v>
      </c>
      <c r="I2857" s="746"/>
      <c r="J2857" s="747"/>
      <c r="K2857" s="748"/>
      <c r="L2857" s="746"/>
      <c r="M2857" s="747"/>
      <c r="N2857" s="753"/>
    </row>
    <row r="2858" spans="2:15" ht="14.25" hidden="1" customHeight="1" x14ac:dyDescent="0.25">
      <c r="B2858" s="124"/>
      <c r="C2858" s="125"/>
      <c r="D2858" s="125"/>
      <c r="E2858" s="125"/>
      <c r="F2858" s="125"/>
      <c r="G2858" s="125"/>
      <c r="H2858" s="125"/>
      <c r="I2858" s="746"/>
      <c r="J2858" s="747"/>
      <c r="K2858" s="748"/>
      <c r="L2858" s="746"/>
      <c r="M2858" s="747"/>
      <c r="N2858" s="753"/>
    </row>
    <row r="2859" spans="2:15" ht="14.25" hidden="1" customHeight="1" x14ac:dyDescent="0.25">
      <c r="B2859" s="124"/>
      <c r="C2859" s="125"/>
      <c r="D2859" s="125"/>
      <c r="E2859" s="125"/>
      <c r="F2859" s="125"/>
      <c r="G2859" s="125"/>
      <c r="H2859" s="125"/>
      <c r="I2859" s="746"/>
      <c r="J2859" s="747"/>
      <c r="K2859" s="748"/>
      <c r="L2859" s="746"/>
      <c r="M2859" s="747"/>
      <c r="N2859" s="753"/>
    </row>
    <row r="2860" spans="2:15" ht="14.25" hidden="1" customHeight="1" x14ac:dyDescent="0.25">
      <c r="B2860" s="124"/>
      <c r="C2860" s="125"/>
      <c r="D2860" s="125"/>
      <c r="E2860" s="125"/>
      <c r="F2860" s="125"/>
      <c r="G2860" s="125"/>
      <c r="H2860" s="125"/>
      <c r="I2860" s="746"/>
      <c r="J2860" s="747"/>
      <c r="K2860" s="748"/>
      <c r="L2860" s="746"/>
      <c r="M2860" s="747"/>
      <c r="N2860" s="753"/>
    </row>
    <row r="2861" spans="2:15" ht="14.25" hidden="1" customHeight="1" x14ac:dyDescent="0.25">
      <c r="B2861" s="124"/>
      <c r="C2861" s="125"/>
      <c r="D2861" s="125"/>
      <c r="E2861" s="125"/>
      <c r="F2861" s="125"/>
      <c r="G2861" s="125"/>
      <c r="H2861" s="125"/>
      <c r="I2861" s="746"/>
      <c r="J2861" s="747"/>
      <c r="K2861" s="748"/>
      <c r="L2861" s="746"/>
      <c r="M2861" s="747"/>
      <c r="N2861" s="753"/>
    </row>
    <row r="2862" spans="2:15" ht="14.25" hidden="1" customHeight="1" x14ac:dyDescent="0.25">
      <c r="B2862" s="124"/>
      <c r="C2862" s="125"/>
      <c r="D2862" s="125"/>
      <c r="E2862" s="125"/>
      <c r="F2862" s="125"/>
      <c r="G2862" s="125"/>
      <c r="H2862" s="125"/>
      <c r="I2862" s="746"/>
      <c r="J2862" s="747"/>
      <c r="K2862" s="748"/>
      <c r="L2862" s="746"/>
      <c r="M2862" s="747"/>
      <c r="N2862" s="753"/>
    </row>
    <row r="2863" spans="2:15" ht="14.25" hidden="1" customHeight="1" x14ac:dyDescent="0.25">
      <c r="B2863" s="124"/>
      <c r="C2863" s="125"/>
      <c r="D2863" s="125"/>
      <c r="E2863" s="125"/>
      <c r="F2863" s="125"/>
      <c r="G2863" s="125"/>
      <c r="H2863" s="125"/>
      <c r="I2863" s="746"/>
      <c r="J2863" s="747"/>
      <c r="K2863" s="748"/>
      <c r="L2863" s="746"/>
      <c r="M2863" s="747"/>
      <c r="N2863" s="753"/>
    </row>
    <row r="2864" spans="2:15" ht="14.25" hidden="1" customHeight="1" x14ac:dyDescent="0.25">
      <c r="B2864" s="124"/>
      <c r="C2864" s="125"/>
      <c r="D2864" s="125"/>
      <c r="E2864" s="125"/>
      <c r="F2864" s="125"/>
      <c r="G2864" s="125"/>
      <c r="H2864" s="125"/>
      <c r="I2864" s="746"/>
      <c r="J2864" s="747"/>
      <c r="K2864" s="748"/>
      <c r="L2864" s="746"/>
      <c r="M2864" s="747"/>
      <c r="N2864" s="753"/>
    </row>
    <row r="2865" spans="2:14" ht="14.25" hidden="1" customHeight="1" x14ac:dyDescent="0.25">
      <c r="B2865" s="124"/>
      <c r="C2865" s="125"/>
      <c r="D2865" s="125"/>
      <c r="E2865" s="125"/>
      <c r="F2865" s="125"/>
      <c r="G2865" s="125"/>
      <c r="H2865" s="125"/>
      <c r="I2865" s="746"/>
      <c r="J2865" s="747"/>
      <c r="K2865" s="748"/>
      <c r="L2865" s="746"/>
      <c r="M2865" s="747"/>
      <c r="N2865" s="753"/>
    </row>
    <row r="2866" spans="2:14" ht="14.25" hidden="1" customHeight="1" x14ac:dyDescent="0.25">
      <c r="B2866" s="124"/>
      <c r="C2866" s="125"/>
      <c r="D2866" s="125"/>
      <c r="E2866" s="125"/>
      <c r="F2866" s="125"/>
      <c r="G2866" s="125"/>
      <c r="H2866" s="125"/>
      <c r="I2866" s="746"/>
      <c r="J2866" s="747"/>
      <c r="K2866" s="748"/>
      <c r="L2866" s="746"/>
      <c r="M2866" s="747"/>
      <c r="N2866" s="753"/>
    </row>
    <row r="2867" spans="2:14" ht="14.25" hidden="1" customHeight="1" x14ac:dyDescent="0.25">
      <c r="B2867" s="124"/>
      <c r="C2867" s="125"/>
      <c r="D2867" s="125"/>
      <c r="E2867" s="125"/>
      <c r="F2867" s="125"/>
      <c r="G2867" s="125"/>
      <c r="H2867" s="125"/>
      <c r="I2867" s="746"/>
      <c r="J2867" s="747"/>
      <c r="K2867" s="748"/>
      <c r="L2867" s="746"/>
      <c r="M2867" s="747"/>
      <c r="N2867" s="753"/>
    </row>
    <row r="2868" spans="2:14" ht="14.25" hidden="1" customHeight="1" x14ac:dyDescent="0.25">
      <c r="B2868" s="124"/>
      <c r="C2868" s="125"/>
      <c r="D2868" s="125"/>
      <c r="E2868" s="125"/>
      <c r="F2868" s="125"/>
      <c r="G2868" s="125"/>
      <c r="H2868" s="125"/>
      <c r="I2868" s="746"/>
      <c r="J2868" s="747"/>
      <c r="K2868" s="748"/>
      <c r="L2868" s="746"/>
      <c r="M2868" s="747"/>
      <c r="N2868" s="753"/>
    </row>
    <row r="2869" spans="2:14" ht="14.25" hidden="1" customHeight="1" x14ac:dyDescent="0.25">
      <c r="B2869" s="124"/>
      <c r="C2869" s="125"/>
      <c r="D2869" s="125"/>
      <c r="E2869" s="125"/>
      <c r="F2869" s="125"/>
      <c r="G2869" s="125"/>
      <c r="H2869" s="125"/>
      <c r="I2869" s="746"/>
      <c r="J2869" s="747"/>
      <c r="K2869" s="748"/>
      <c r="L2869" s="746"/>
      <c r="M2869" s="747"/>
      <c r="N2869" s="753"/>
    </row>
    <row r="2870" spans="2:14" ht="14.25" hidden="1" customHeight="1" x14ac:dyDescent="0.25">
      <c r="B2870" s="124"/>
      <c r="C2870" s="125"/>
      <c r="D2870" s="125"/>
      <c r="E2870" s="125"/>
      <c r="F2870" s="125"/>
      <c r="G2870" s="125"/>
      <c r="H2870" s="125"/>
      <c r="I2870" s="746"/>
      <c r="J2870" s="747"/>
      <c r="K2870" s="748"/>
      <c r="L2870" s="746"/>
      <c r="M2870" s="747"/>
      <c r="N2870" s="753"/>
    </row>
    <row r="2871" spans="2:14" ht="14.25" hidden="1" customHeight="1" x14ac:dyDescent="0.25">
      <c r="B2871" s="124"/>
      <c r="C2871" s="125"/>
      <c r="D2871" s="125"/>
      <c r="E2871" s="125"/>
      <c r="F2871" s="125"/>
      <c r="G2871" s="125"/>
      <c r="H2871" s="125"/>
      <c r="I2871" s="746"/>
      <c r="J2871" s="747"/>
      <c r="K2871" s="748"/>
      <c r="L2871" s="746"/>
      <c r="M2871" s="747"/>
      <c r="N2871" s="753"/>
    </row>
    <row r="2872" spans="2:14" ht="14.25" hidden="1" customHeight="1" x14ac:dyDescent="0.25">
      <c r="B2872" s="124"/>
      <c r="C2872" s="125"/>
      <c r="D2872" s="125"/>
      <c r="E2872" s="125"/>
      <c r="F2872" s="125"/>
      <c r="G2872" s="125"/>
      <c r="H2872" s="125"/>
      <c r="I2872" s="746"/>
      <c r="J2872" s="747"/>
      <c r="K2872" s="748"/>
      <c r="L2872" s="746"/>
      <c r="M2872" s="747"/>
      <c r="N2872" s="753"/>
    </row>
    <row r="2873" spans="2:14" ht="14.25" hidden="1" customHeight="1" x14ac:dyDescent="0.25">
      <c r="B2873" s="124"/>
      <c r="C2873" s="125"/>
      <c r="D2873" s="125"/>
      <c r="E2873" s="125"/>
      <c r="F2873" s="125"/>
      <c r="G2873" s="125"/>
      <c r="H2873" s="125"/>
      <c r="I2873" s="746"/>
      <c r="J2873" s="747"/>
      <c r="K2873" s="748"/>
      <c r="L2873" s="746"/>
      <c r="M2873" s="747"/>
      <c r="N2873" s="753"/>
    </row>
    <row r="2874" spans="2:14" ht="14.25" hidden="1" customHeight="1" x14ac:dyDescent="0.25">
      <c r="B2874" s="127"/>
      <c r="C2874" s="125"/>
      <c r="D2874" s="125"/>
      <c r="E2874" s="125"/>
      <c r="F2874" s="125"/>
      <c r="G2874" s="125"/>
      <c r="H2874" s="125"/>
      <c r="I2874" s="749"/>
      <c r="J2874" s="750"/>
      <c r="K2874" s="751"/>
      <c r="L2874" s="749"/>
      <c r="M2874" s="750"/>
      <c r="N2874" s="754"/>
    </row>
    <row r="2875" spans="2:14" ht="14.25" hidden="1" customHeight="1" x14ac:dyDescent="0.25">
      <c r="B2875" s="209"/>
      <c r="C2875" s="118"/>
      <c r="D2875" s="118"/>
      <c r="E2875" s="118"/>
      <c r="F2875" s="118"/>
      <c r="G2875" s="118"/>
      <c r="H2875" s="118"/>
      <c r="I2875" s="118"/>
      <c r="J2875" s="118"/>
      <c r="K2875" s="118"/>
      <c r="L2875" s="118"/>
      <c r="M2875" s="118"/>
      <c r="N2875" s="210"/>
    </row>
    <row r="2876" spans="2:14" ht="14.25" hidden="1" customHeight="1" x14ac:dyDescent="0.25">
      <c r="B2876" s="209"/>
      <c r="C2876" s="118"/>
      <c r="D2876" s="118"/>
      <c r="E2876" s="118"/>
      <c r="F2876" s="118"/>
      <c r="G2876" s="118"/>
      <c r="H2876" s="118"/>
      <c r="I2876" s="118"/>
      <c r="J2876" s="118"/>
      <c r="K2876" s="118"/>
      <c r="L2876" s="118"/>
      <c r="M2876" s="118"/>
      <c r="N2876" s="210"/>
    </row>
    <row r="2877" spans="2:14" ht="14.25" hidden="1" customHeight="1" x14ac:dyDescent="0.25">
      <c r="B2877" s="209"/>
      <c r="C2877" s="118"/>
      <c r="D2877" s="118"/>
      <c r="E2877" s="118"/>
      <c r="F2877" s="118"/>
      <c r="G2877" s="118"/>
      <c r="H2877" s="118"/>
      <c r="I2877" s="118"/>
      <c r="J2877" s="118"/>
      <c r="K2877" s="118"/>
      <c r="L2877" s="118"/>
      <c r="M2877" s="118"/>
      <c r="N2877" s="210"/>
    </row>
    <row r="2878" spans="2:14" ht="14.25" hidden="1" customHeight="1" x14ac:dyDescent="0.25">
      <c r="B2878" s="209"/>
      <c r="C2878" s="118"/>
      <c r="D2878" s="118"/>
      <c r="E2878" s="118"/>
      <c r="F2878" s="118"/>
      <c r="G2878" s="118"/>
      <c r="H2878" s="118"/>
      <c r="I2878" s="118"/>
      <c r="J2878" s="118"/>
      <c r="K2878" s="118"/>
      <c r="L2878" s="118"/>
      <c r="M2878" s="118"/>
      <c r="N2878" s="210"/>
    </row>
    <row r="2879" spans="2:14" ht="14.25" hidden="1" customHeight="1" x14ac:dyDescent="0.25">
      <c r="B2879" s="775" t="s">
        <v>414</v>
      </c>
      <c r="C2879" s="747"/>
      <c r="D2879" s="747"/>
      <c r="E2879" s="128"/>
      <c r="F2879" s="128"/>
      <c r="G2879" s="128"/>
      <c r="H2879" s="128"/>
      <c r="I2879" s="776"/>
      <c r="J2879" s="747"/>
      <c r="K2879" s="747"/>
      <c r="L2879" s="118"/>
      <c r="M2879" s="118"/>
      <c r="N2879" s="210"/>
    </row>
    <row r="2880" spans="2:14" ht="14.25" hidden="1" customHeight="1" x14ac:dyDescent="0.25">
      <c r="B2880" s="129"/>
      <c r="C2880" s="130"/>
      <c r="D2880" s="130"/>
      <c r="E2880" s="130"/>
      <c r="F2880" s="130"/>
      <c r="G2880" s="130"/>
      <c r="H2880" s="130"/>
      <c r="I2880" s="130"/>
      <c r="J2880" s="130"/>
      <c r="K2880" s="130"/>
      <c r="L2880" s="130"/>
      <c r="M2880" s="130"/>
      <c r="N2880" s="131"/>
    </row>
    <row r="2881" spans="2:14" ht="14.25" customHeight="1" x14ac:dyDescent="0.25">
      <c r="B2881" s="132"/>
      <c r="C2881" s="132"/>
      <c r="D2881" s="132"/>
      <c r="E2881" s="132"/>
      <c r="F2881" s="132"/>
      <c r="G2881" s="132"/>
      <c r="H2881" s="132"/>
      <c r="I2881" s="132"/>
      <c r="J2881" s="132"/>
      <c r="K2881" s="132"/>
      <c r="L2881" s="132"/>
      <c r="M2881" s="132"/>
      <c r="N2881" s="132"/>
    </row>
    <row r="2882" spans="2:14" ht="15" customHeight="1" thickBot="1" x14ac:dyDescent="0.3"/>
    <row r="2883" spans="2:14" ht="41.45" customHeight="1" x14ac:dyDescent="0.25">
      <c r="B2883" s="728"/>
      <c r="C2883" s="729"/>
      <c r="D2883" s="730" t="s">
        <v>393</v>
      </c>
      <c r="E2883" s="729"/>
      <c r="F2883" s="729"/>
      <c r="G2883" s="729"/>
      <c r="H2883" s="729"/>
      <c r="I2883" s="729"/>
      <c r="J2883" s="729"/>
      <c r="K2883" s="729"/>
      <c r="L2883" s="729"/>
      <c r="M2883" s="729"/>
      <c r="N2883" s="731"/>
    </row>
    <row r="2884" spans="2:14" ht="15" customHeight="1" x14ac:dyDescent="0.25">
      <c r="B2884" s="732" t="s">
        <v>394</v>
      </c>
      <c r="C2884" s="733"/>
      <c r="D2884" s="733"/>
      <c r="E2884" s="733"/>
      <c r="F2884" s="733"/>
      <c r="G2884" s="733"/>
      <c r="H2884" s="733"/>
      <c r="I2884" s="733"/>
      <c r="J2884" s="733"/>
      <c r="K2884" s="733"/>
      <c r="L2884" s="733"/>
      <c r="M2884" s="733"/>
      <c r="N2884" s="734"/>
    </row>
    <row r="2885" spans="2:14" ht="16.149999999999999" customHeight="1" x14ac:dyDescent="0.25">
      <c r="B2885" s="735" t="s">
        <v>395</v>
      </c>
      <c r="C2885" s="736"/>
      <c r="D2885" s="737" t="str">
        <f>VLOOKUP(B2887,Buenaventura!A9:G4207,3,FALSE)</f>
        <v>Adecuación de terreno hasta 20 cm incluye relleno y todo lo necesario para la respectiva nivelación del terreno</v>
      </c>
      <c r="E2885" s="738"/>
      <c r="F2885" s="738"/>
      <c r="G2885" s="738"/>
      <c r="H2885" s="738"/>
      <c r="I2885" s="738"/>
      <c r="J2885" s="738"/>
      <c r="K2885" s="738"/>
      <c r="L2885" s="738"/>
      <c r="M2885" s="738"/>
      <c r="N2885" s="739"/>
    </row>
    <row r="2886" spans="2:14" ht="30" customHeight="1" x14ac:dyDescent="0.25">
      <c r="B2886" s="740" t="s">
        <v>26</v>
      </c>
      <c r="C2886" s="741"/>
      <c r="D2886" s="119" t="s">
        <v>396</v>
      </c>
      <c r="E2886" s="742" t="s">
        <v>397</v>
      </c>
      <c r="F2886" s="733"/>
      <c r="G2886" s="733"/>
      <c r="H2886" s="736"/>
      <c r="I2886" s="742" t="s">
        <v>398</v>
      </c>
      <c r="J2886" s="733"/>
      <c r="K2886" s="736"/>
      <c r="L2886" s="742" t="s">
        <v>399</v>
      </c>
      <c r="M2886" s="733"/>
      <c r="N2886" s="734"/>
    </row>
    <row r="2887" spans="2:14" ht="15" customHeight="1" x14ac:dyDescent="0.25">
      <c r="B2887" s="283">
        <v>46</v>
      </c>
      <c r="C2887" s="284" t="str">
        <f>VLOOKUP(B2887,Buenaventura!A9:G4220,2,FALSE)</f>
        <v>PR-57</v>
      </c>
      <c r="D2887" s="285">
        <f>SUM(H2890:H2898)</f>
        <v>1308.9048</v>
      </c>
      <c r="E2887" s="743" t="str">
        <f>VLOOKUP(B2887,Buenaventura!A9:G4219,4,FALSE)</f>
        <v>M2</v>
      </c>
      <c r="F2887" s="743"/>
      <c r="G2887" s="743"/>
      <c r="H2887" s="743"/>
      <c r="I2887" s="744"/>
      <c r="J2887" s="745"/>
      <c r="K2887" s="741"/>
      <c r="L2887" s="744"/>
      <c r="M2887" s="745"/>
      <c r="N2887" s="752"/>
    </row>
    <row r="2888" spans="2:14" ht="15" customHeight="1" x14ac:dyDescent="0.25">
      <c r="B2888" s="755" t="s">
        <v>416</v>
      </c>
      <c r="C2888" s="733"/>
      <c r="D2888" s="733"/>
      <c r="E2888" s="733"/>
      <c r="F2888" s="733"/>
      <c r="G2888" s="733"/>
      <c r="H2888" s="736"/>
      <c r="I2888" s="746"/>
      <c r="J2888" s="747"/>
      <c r="K2888" s="748"/>
      <c r="L2888" s="746"/>
      <c r="M2888" s="747"/>
      <c r="N2888" s="753"/>
    </row>
    <row r="2889" spans="2:14" ht="15" customHeight="1" x14ac:dyDescent="0.25">
      <c r="B2889" s="121" t="s">
        <v>400</v>
      </c>
      <c r="C2889" s="122" t="s">
        <v>401</v>
      </c>
      <c r="D2889" s="123" t="s">
        <v>402</v>
      </c>
      <c r="E2889" s="123" t="s">
        <v>403</v>
      </c>
      <c r="F2889" s="123" t="s">
        <v>404</v>
      </c>
      <c r="G2889" s="123" t="s">
        <v>405</v>
      </c>
      <c r="H2889" s="123" t="s">
        <v>406</v>
      </c>
      <c r="I2889" s="746"/>
      <c r="J2889" s="747"/>
      <c r="K2889" s="748"/>
      <c r="L2889" s="746"/>
      <c r="M2889" s="747"/>
      <c r="N2889" s="753"/>
    </row>
    <row r="2890" spans="2:14" ht="15" customHeight="1" x14ac:dyDescent="0.25">
      <c r="B2890" s="124"/>
      <c r="C2890" s="764" t="s">
        <v>530</v>
      </c>
      <c r="D2890" s="125">
        <v>14</v>
      </c>
      <c r="E2890" s="125">
        <v>6.66</v>
      </c>
      <c r="F2890" s="125">
        <v>3.54</v>
      </c>
      <c r="G2890" s="125"/>
      <c r="H2890" s="125">
        <f>D2890*F2890*E2890</f>
        <v>330.06960000000004</v>
      </c>
      <c r="I2890" s="746"/>
      <c r="J2890" s="747"/>
      <c r="K2890" s="748"/>
      <c r="L2890" s="746"/>
      <c r="M2890" s="747"/>
      <c r="N2890" s="753"/>
    </row>
    <row r="2891" spans="2:14" ht="15" customHeight="1" x14ac:dyDescent="0.25">
      <c r="B2891" s="124"/>
      <c r="C2891" s="758"/>
      <c r="D2891" s="125">
        <v>14</v>
      </c>
      <c r="E2891" s="125">
        <v>3.6</v>
      </c>
      <c r="F2891" s="125">
        <v>3.28</v>
      </c>
      <c r="G2891" s="125"/>
      <c r="H2891" s="125">
        <f t="shared" ref="H2891:H2896" si="62">D2891*F2891*E2891</f>
        <v>165.31199999999998</v>
      </c>
      <c r="I2891" s="746"/>
      <c r="J2891" s="747"/>
      <c r="K2891" s="748"/>
      <c r="L2891" s="746"/>
      <c r="M2891" s="747"/>
      <c r="N2891" s="753"/>
    </row>
    <row r="2892" spans="2:14" ht="15" customHeight="1" x14ac:dyDescent="0.25">
      <c r="B2892" s="165"/>
      <c r="C2892" s="145" t="s">
        <v>562</v>
      </c>
      <c r="D2892" s="125">
        <v>1</v>
      </c>
      <c r="E2892" s="125">
        <v>4</v>
      </c>
      <c r="F2892" s="125">
        <v>4</v>
      </c>
      <c r="G2892" s="125"/>
      <c r="H2892" s="125">
        <f t="shared" si="62"/>
        <v>16</v>
      </c>
      <c r="I2892" s="746"/>
      <c r="J2892" s="747"/>
      <c r="K2892" s="748"/>
      <c r="L2892" s="746"/>
      <c r="M2892" s="747"/>
      <c r="N2892" s="753"/>
    </row>
    <row r="2893" spans="2:14" ht="15" customHeight="1" x14ac:dyDescent="0.25">
      <c r="B2893" s="165"/>
      <c r="C2893" s="145" t="s">
        <v>563</v>
      </c>
      <c r="D2893" s="125">
        <v>4</v>
      </c>
      <c r="E2893" s="125">
        <v>3.47</v>
      </c>
      <c r="F2893" s="125">
        <v>3.64</v>
      </c>
      <c r="G2893" s="125"/>
      <c r="H2893" s="125">
        <f t="shared" si="62"/>
        <v>50.523200000000003</v>
      </c>
      <c r="I2893" s="746"/>
      <c r="J2893" s="747"/>
      <c r="K2893" s="748"/>
      <c r="L2893" s="746"/>
      <c r="M2893" s="747"/>
      <c r="N2893" s="753"/>
    </row>
    <row r="2894" spans="2:14" ht="15" customHeight="1" x14ac:dyDescent="0.25">
      <c r="B2894" s="165"/>
      <c r="C2894" s="145" t="s">
        <v>447</v>
      </c>
      <c r="D2894" s="125">
        <v>1</v>
      </c>
      <c r="E2894" s="125">
        <v>3</v>
      </c>
      <c r="F2894" s="125">
        <v>6</v>
      </c>
      <c r="G2894" s="125"/>
      <c r="H2894" s="125">
        <f t="shared" si="62"/>
        <v>18</v>
      </c>
      <c r="I2894" s="746"/>
      <c r="J2894" s="747"/>
      <c r="K2894" s="748"/>
      <c r="L2894" s="746"/>
      <c r="M2894" s="747"/>
      <c r="N2894" s="753"/>
    </row>
    <row r="2895" spans="2:14" ht="15" customHeight="1" x14ac:dyDescent="0.25">
      <c r="B2895" s="165"/>
      <c r="C2895" s="145" t="s">
        <v>564</v>
      </c>
      <c r="D2895" s="125">
        <v>1</v>
      </c>
      <c r="E2895" s="125">
        <v>15</v>
      </c>
      <c r="F2895" s="125">
        <v>3</v>
      </c>
      <c r="G2895" s="125"/>
      <c r="H2895" s="125">
        <f t="shared" si="62"/>
        <v>45</v>
      </c>
      <c r="I2895" s="746"/>
      <c r="J2895" s="747"/>
      <c r="K2895" s="748"/>
      <c r="L2895" s="746"/>
      <c r="M2895" s="747"/>
      <c r="N2895" s="753"/>
    </row>
    <row r="2896" spans="2:14" ht="15" customHeight="1" x14ac:dyDescent="0.25">
      <c r="B2896" s="165"/>
      <c r="C2896" s="145" t="s">
        <v>565</v>
      </c>
      <c r="D2896" s="125">
        <v>1</v>
      </c>
      <c r="E2896" s="125">
        <v>3</v>
      </c>
      <c r="F2896" s="125">
        <v>228</v>
      </c>
      <c r="G2896" s="125"/>
      <c r="H2896" s="125">
        <f t="shared" si="62"/>
        <v>684</v>
      </c>
      <c r="I2896" s="746"/>
      <c r="J2896" s="747"/>
      <c r="K2896" s="748"/>
      <c r="L2896" s="746"/>
      <c r="M2896" s="747"/>
      <c r="N2896" s="753"/>
    </row>
    <row r="2897" spans="2:14" ht="15" customHeight="1" x14ac:dyDescent="0.25">
      <c r="B2897" s="124"/>
      <c r="C2897" s="145"/>
      <c r="D2897" s="125"/>
      <c r="E2897" s="125"/>
      <c r="F2897" s="125"/>
      <c r="G2897" s="125"/>
      <c r="H2897" s="125"/>
      <c r="I2897" s="746"/>
      <c r="J2897" s="747"/>
      <c r="K2897" s="748"/>
      <c r="L2897" s="746"/>
      <c r="M2897" s="747"/>
      <c r="N2897" s="753"/>
    </row>
    <row r="2898" spans="2:14" ht="15" customHeight="1" x14ac:dyDescent="0.25">
      <c r="B2898" s="124"/>
      <c r="C2898" s="125"/>
      <c r="D2898" s="125"/>
      <c r="E2898" s="125"/>
      <c r="F2898" s="125"/>
      <c r="G2898" s="125"/>
      <c r="H2898" s="125"/>
      <c r="I2898" s="746"/>
      <c r="J2898" s="747"/>
      <c r="K2898" s="748"/>
      <c r="L2898" s="746"/>
      <c r="M2898" s="747"/>
      <c r="N2898" s="753"/>
    </row>
    <row r="2899" spans="2:14" ht="15" customHeight="1" x14ac:dyDescent="0.25">
      <c r="B2899" s="127"/>
      <c r="C2899" s="125"/>
      <c r="D2899" s="125"/>
      <c r="E2899" s="125"/>
      <c r="F2899" s="125"/>
      <c r="G2899" s="125"/>
      <c r="H2899" s="125"/>
      <c r="I2899" s="749"/>
      <c r="J2899" s="750"/>
      <c r="K2899" s="751"/>
      <c r="L2899" s="749"/>
      <c r="M2899" s="750"/>
      <c r="N2899" s="754"/>
    </row>
    <row r="2900" spans="2:14" ht="15" customHeight="1" x14ac:dyDescent="0.25">
      <c r="B2900" s="225"/>
      <c r="C2900" s="128"/>
      <c r="D2900" s="128"/>
      <c r="E2900" s="128"/>
      <c r="F2900" s="128"/>
      <c r="G2900" s="128"/>
      <c r="H2900" s="128"/>
      <c r="I2900" s="128"/>
      <c r="J2900" s="128"/>
      <c r="K2900" s="128"/>
      <c r="L2900" s="118"/>
      <c r="M2900" s="118"/>
      <c r="N2900" s="210"/>
    </row>
    <row r="2901" spans="2:14" ht="15" customHeight="1" x14ac:dyDescent="0.25">
      <c r="B2901" s="209"/>
      <c r="C2901" s="118"/>
      <c r="D2901" s="118"/>
      <c r="E2901" s="118"/>
      <c r="F2901" s="118"/>
      <c r="G2901" s="118"/>
      <c r="H2901" s="118"/>
      <c r="I2901" s="118"/>
      <c r="J2901" s="118"/>
      <c r="K2901" s="118"/>
      <c r="L2901" s="118"/>
      <c r="M2901" s="118"/>
      <c r="N2901" s="210"/>
    </row>
    <row r="2902" spans="2:14" ht="15" customHeight="1" x14ac:dyDescent="0.25">
      <c r="B2902" s="209"/>
      <c r="C2902" s="118"/>
      <c r="D2902" s="118"/>
      <c r="E2902" s="118"/>
      <c r="F2902" s="118"/>
      <c r="G2902" s="118"/>
      <c r="H2902" s="118"/>
      <c r="I2902" s="118"/>
      <c r="J2902" s="118"/>
      <c r="K2902" s="118"/>
      <c r="L2902" s="118"/>
      <c r="M2902" s="118"/>
      <c r="N2902" s="210"/>
    </row>
    <row r="2903" spans="2:14" ht="15" customHeight="1" thickBot="1" x14ac:dyDescent="0.3">
      <c r="B2903" s="725" t="s">
        <v>414</v>
      </c>
      <c r="C2903" s="726"/>
      <c r="D2903" s="726"/>
      <c r="E2903" s="147"/>
      <c r="F2903" s="147"/>
      <c r="G2903" s="147"/>
      <c r="H2903" s="147"/>
      <c r="I2903" s="727"/>
      <c r="J2903" s="726"/>
      <c r="K2903" s="726"/>
      <c r="L2903" s="130"/>
      <c r="M2903" s="130"/>
      <c r="N2903" s="131"/>
    </row>
    <row r="2905" spans="2:14" ht="15" customHeight="1" thickBot="1" x14ac:dyDescent="0.3"/>
    <row r="2906" spans="2:14" ht="45.6" customHeight="1" x14ac:dyDescent="0.25">
      <c r="B2906" s="728"/>
      <c r="C2906" s="729"/>
      <c r="D2906" s="730" t="s">
        <v>393</v>
      </c>
      <c r="E2906" s="729"/>
      <c r="F2906" s="729"/>
      <c r="G2906" s="729"/>
      <c r="H2906" s="729"/>
      <c r="I2906" s="729"/>
      <c r="J2906" s="729"/>
      <c r="K2906" s="729"/>
      <c r="L2906" s="729"/>
      <c r="M2906" s="729"/>
      <c r="N2906" s="731"/>
    </row>
    <row r="2907" spans="2:14" ht="15" customHeight="1" x14ac:dyDescent="0.25">
      <c r="B2907" s="732" t="s">
        <v>394</v>
      </c>
      <c r="C2907" s="733"/>
      <c r="D2907" s="733"/>
      <c r="E2907" s="733"/>
      <c r="F2907" s="733"/>
      <c r="G2907" s="733"/>
      <c r="H2907" s="733"/>
      <c r="I2907" s="733"/>
      <c r="J2907" s="733"/>
      <c r="K2907" s="733"/>
      <c r="L2907" s="733"/>
      <c r="M2907" s="733"/>
      <c r="N2907" s="734"/>
    </row>
    <row r="2908" spans="2:14" ht="34.15" customHeight="1" x14ac:dyDescent="0.25">
      <c r="B2908" s="735" t="s">
        <v>395</v>
      </c>
      <c r="C2908" s="736"/>
      <c r="D2908" s="737" t="str">
        <f>VLOOKUP(B2910,Buenaventura!A32:G4230,3,FALSE)</f>
        <v>Fundicion de Losa en concreto de 3000 PSI espesor de 0,15 , incluye formaleta, acero de refuerzo en lamina electrosoldada</v>
      </c>
      <c r="E2908" s="738"/>
      <c r="F2908" s="738"/>
      <c r="G2908" s="738"/>
      <c r="H2908" s="738"/>
      <c r="I2908" s="738"/>
      <c r="J2908" s="738"/>
      <c r="K2908" s="738"/>
      <c r="L2908" s="738"/>
      <c r="M2908" s="738"/>
      <c r="N2908" s="739"/>
    </row>
    <row r="2909" spans="2:14" ht="25.9" customHeight="1" x14ac:dyDescent="0.25">
      <c r="B2909" s="740" t="s">
        <v>26</v>
      </c>
      <c r="C2909" s="741"/>
      <c r="D2909" s="119" t="s">
        <v>396</v>
      </c>
      <c r="E2909" s="742" t="s">
        <v>397</v>
      </c>
      <c r="F2909" s="733"/>
      <c r="G2909" s="733"/>
      <c r="H2909" s="736"/>
      <c r="I2909" s="742" t="s">
        <v>398</v>
      </c>
      <c r="J2909" s="733"/>
      <c r="K2909" s="736"/>
      <c r="L2909" s="742" t="s">
        <v>399</v>
      </c>
      <c r="M2909" s="733"/>
      <c r="N2909" s="734"/>
    </row>
    <row r="2910" spans="2:14" ht="15" customHeight="1" x14ac:dyDescent="0.25">
      <c r="B2910" s="283">
        <v>47</v>
      </c>
      <c r="C2910" s="284" t="str">
        <f>VLOOKUP(B2910,Buenaventura!A9:G4243,2,FALSE)</f>
        <v>DI-01</v>
      </c>
      <c r="D2910" s="285">
        <f>SUM(H2913:H2929)</f>
        <v>1790.2500000000002</v>
      </c>
      <c r="E2910" s="743" t="str">
        <f>VLOOKUP(B2910,Buenaventura!A9:G4242,4,FALSE)</f>
        <v>M2</v>
      </c>
      <c r="F2910" s="743"/>
      <c r="G2910" s="743"/>
      <c r="H2910" s="743"/>
      <c r="I2910" s="744"/>
      <c r="J2910" s="745"/>
      <c r="K2910" s="741"/>
      <c r="L2910" s="744"/>
      <c r="M2910" s="745"/>
      <c r="N2910" s="752"/>
    </row>
    <row r="2911" spans="2:14" ht="15" customHeight="1" x14ac:dyDescent="0.25">
      <c r="B2911" s="755" t="s">
        <v>416</v>
      </c>
      <c r="C2911" s="733"/>
      <c r="D2911" s="733"/>
      <c r="E2911" s="733"/>
      <c r="F2911" s="733"/>
      <c r="G2911" s="733"/>
      <c r="H2911" s="736"/>
      <c r="I2911" s="746"/>
      <c r="J2911" s="747"/>
      <c r="K2911" s="748"/>
      <c r="L2911" s="746"/>
      <c r="M2911" s="747"/>
      <c r="N2911" s="753"/>
    </row>
    <row r="2912" spans="2:14" ht="15" customHeight="1" x14ac:dyDescent="0.25">
      <c r="B2912" s="121" t="s">
        <v>400</v>
      </c>
      <c r="C2912" s="122" t="s">
        <v>401</v>
      </c>
      <c r="D2912" s="123" t="s">
        <v>402</v>
      </c>
      <c r="E2912" s="123" t="s">
        <v>403</v>
      </c>
      <c r="F2912" s="123" t="s">
        <v>404</v>
      </c>
      <c r="G2912" s="123" t="s">
        <v>405</v>
      </c>
      <c r="H2912" s="123" t="s">
        <v>406</v>
      </c>
      <c r="I2912" s="746"/>
      <c r="J2912" s="747"/>
      <c r="K2912" s="748"/>
      <c r="L2912" s="746"/>
      <c r="M2912" s="747"/>
      <c r="N2912" s="753"/>
    </row>
    <row r="2913" spans="2:14" ht="15" customHeight="1" x14ac:dyDescent="0.25">
      <c r="B2913" s="124"/>
      <c r="C2913" s="767" t="s">
        <v>566</v>
      </c>
      <c r="D2913" s="765">
        <v>21</v>
      </c>
      <c r="E2913" s="125"/>
      <c r="F2913" s="125">
        <v>1.8</v>
      </c>
      <c r="G2913" s="125"/>
      <c r="H2913" s="125">
        <f>(F2913*3)*D2913</f>
        <v>113.4</v>
      </c>
      <c r="I2913" s="746"/>
      <c r="J2913" s="747"/>
      <c r="K2913" s="748"/>
      <c r="L2913" s="746"/>
      <c r="M2913" s="747"/>
      <c r="N2913" s="753"/>
    </row>
    <row r="2914" spans="2:14" ht="15" customHeight="1" x14ac:dyDescent="0.25">
      <c r="B2914" s="124"/>
      <c r="C2914" s="768"/>
      <c r="D2914" s="766"/>
      <c r="E2914" s="125"/>
      <c r="F2914" s="125">
        <v>0.77</v>
      </c>
      <c r="G2914" s="125"/>
      <c r="H2914" s="125">
        <f>(F2914*6)*D2913</f>
        <v>97.02</v>
      </c>
      <c r="I2914" s="746"/>
      <c r="J2914" s="747"/>
      <c r="K2914" s="748"/>
      <c r="L2914" s="746"/>
      <c r="M2914" s="747"/>
      <c r="N2914" s="753"/>
    </row>
    <row r="2915" spans="2:14" ht="15" customHeight="1" x14ac:dyDescent="0.25">
      <c r="B2915" s="124"/>
      <c r="C2915" s="767" t="s">
        <v>567</v>
      </c>
      <c r="D2915" s="765">
        <v>6</v>
      </c>
      <c r="E2915" s="125"/>
      <c r="F2915" s="125">
        <v>1.83</v>
      </c>
      <c r="G2915" s="125"/>
      <c r="H2915" s="125">
        <f>(F2915*3)*D2915</f>
        <v>32.94</v>
      </c>
      <c r="I2915" s="746"/>
      <c r="J2915" s="747"/>
      <c r="K2915" s="748"/>
      <c r="L2915" s="746"/>
      <c r="M2915" s="747"/>
      <c r="N2915" s="753"/>
    </row>
    <row r="2916" spans="2:14" ht="15" customHeight="1" x14ac:dyDescent="0.25">
      <c r="B2916" s="165"/>
      <c r="C2916" s="768"/>
      <c r="D2916" s="766"/>
      <c r="E2916" s="125"/>
      <c r="F2916" s="125">
        <v>0.93</v>
      </c>
      <c r="G2916" s="125"/>
      <c r="H2916" s="125">
        <f>(F2916*6)*D2915</f>
        <v>33.480000000000004</v>
      </c>
      <c r="I2916" s="746"/>
      <c r="J2916" s="747"/>
      <c r="K2916" s="748"/>
      <c r="L2916" s="746"/>
      <c r="M2916" s="747"/>
      <c r="N2916" s="753"/>
    </row>
    <row r="2917" spans="2:14" ht="15" customHeight="1" x14ac:dyDescent="0.25">
      <c r="B2917" s="165"/>
      <c r="C2917" s="771" t="s">
        <v>568</v>
      </c>
      <c r="D2917" s="765">
        <v>48</v>
      </c>
      <c r="E2917" s="125"/>
      <c r="F2917" s="125">
        <v>1.8</v>
      </c>
      <c r="G2917" s="125"/>
      <c r="H2917" s="125">
        <f>(F2917*3)*D2917</f>
        <v>259.20000000000005</v>
      </c>
      <c r="I2917" s="746"/>
      <c r="J2917" s="747"/>
      <c r="K2917" s="748"/>
      <c r="L2917" s="746"/>
      <c r="M2917" s="747"/>
      <c r="N2917" s="753"/>
    </row>
    <row r="2918" spans="2:14" ht="15" customHeight="1" x14ac:dyDescent="0.25">
      <c r="B2918" s="165"/>
      <c r="C2918" s="772"/>
      <c r="D2918" s="766"/>
      <c r="E2918" s="125"/>
      <c r="F2918" s="125">
        <v>0.77</v>
      </c>
      <c r="G2918" s="125"/>
      <c r="H2918" s="125">
        <f>(F2918*6)*D2917</f>
        <v>221.76</v>
      </c>
      <c r="I2918" s="746"/>
      <c r="J2918" s="747"/>
      <c r="K2918" s="748"/>
      <c r="L2918" s="746"/>
      <c r="M2918" s="747"/>
      <c r="N2918" s="753"/>
    </row>
    <row r="2919" spans="2:14" ht="15" customHeight="1" x14ac:dyDescent="0.25">
      <c r="B2919" s="165"/>
      <c r="C2919" s="771" t="s">
        <v>569</v>
      </c>
      <c r="D2919" s="765">
        <v>10</v>
      </c>
      <c r="E2919" s="125"/>
      <c r="F2919" s="125">
        <v>1.83</v>
      </c>
      <c r="G2919" s="125"/>
      <c r="H2919" s="125">
        <f>(F2919*3)*D2919</f>
        <v>54.900000000000006</v>
      </c>
      <c r="I2919" s="746"/>
      <c r="J2919" s="747"/>
      <c r="K2919" s="748"/>
      <c r="L2919" s="746"/>
      <c r="M2919" s="747"/>
      <c r="N2919" s="753"/>
    </row>
    <row r="2920" spans="2:14" ht="15" customHeight="1" x14ac:dyDescent="0.25">
      <c r="B2920" s="165"/>
      <c r="C2920" s="772"/>
      <c r="D2920" s="766"/>
      <c r="E2920" s="125"/>
      <c r="F2920" s="125">
        <v>0.93</v>
      </c>
      <c r="G2920" s="125"/>
      <c r="H2920" s="125">
        <f>(F2920*6)*D2919</f>
        <v>55.8</v>
      </c>
      <c r="I2920" s="746"/>
      <c r="J2920" s="747"/>
      <c r="K2920" s="748"/>
      <c r="L2920" s="746"/>
      <c r="M2920" s="747"/>
      <c r="N2920" s="753"/>
    </row>
    <row r="2921" spans="2:14" ht="15" customHeight="1" x14ac:dyDescent="0.25">
      <c r="B2921" s="165"/>
      <c r="C2921" s="769" t="s">
        <v>570</v>
      </c>
      <c r="D2921" s="765">
        <v>48</v>
      </c>
      <c r="E2921" s="125"/>
      <c r="F2921" s="125">
        <v>1.8</v>
      </c>
      <c r="G2921" s="125"/>
      <c r="H2921" s="125">
        <f>(F2921*3)*D2921</f>
        <v>259.20000000000005</v>
      </c>
      <c r="I2921" s="746"/>
      <c r="J2921" s="747"/>
      <c r="K2921" s="748"/>
      <c r="L2921" s="746"/>
      <c r="M2921" s="747"/>
      <c r="N2921" s="753"/>
    </row>
    <row r="2922" spans="2:14" ht="15" customHeight="1" x14ac:dyDescent="0.25">
      <c r="B2922" s="165"/>
      <c r="C2922" s="770"/>
      <c r="D2922" s="766"/>
      <c r="E2922" s="125"/>
      <c r="F2922" s="125">
        <v>0.77</v>
      </c>
      <c r="G2922" s="125"/>
      <c r="H2922" s="125">
        <f>(F2922*6)*D2921</f>
        <v>221.76</v>
      </c>
      <c r="I2922" s="746"/>
      <c r="J2922" s="747"/>
      <c r="K2922" s="748"/>
      <c r="L2922" s="746"/>
      <c r="M2922" s="747"/>
      <c r="N2922" s="753"/>
    </row>
    <row r="2923" spans="2:14" ht="15" customHeight="1" x14ac:dyDescent="0.25">
      <c r="B2923" s="165"/>
      <c r="C2923" s="769" t="s">
        <v>571</v>
      </c>
      <c r="D2923" s="765">
        <v>10</v>
      </c>
      <c r="E2923" s="125"/>
      <c r="F2923" s="125">
        <v>0.93</v>
      </c>
      <c r="G2923" s="125"/>
      <c r="H2923" s="125">
        <f>(F2923*6)*D2923</f>
        <v>55.8</v>
      </c>
      <c r="I2923" s="746"/>
      <c r="J2923" s="747"/>
      <c r="K2923" s="748"/>
      <c r="L2923" s="746"/>
      <c r="M2923" s="747"/>
      <c r="N2923" s="753"/>
    </row>
    <row r="2924" spans="2:14" ht="15" customHeight="1" x14ac:dyDescent="0.25">
      <c r="B2924" s="165"/>
      <c r="C2924" s="770"/>
      <c r="D2924" s="766"/>
      <c r="E2924" s="125"/>
      <c r="F2924" s="125">
        <v>1.83</v>
      </c>
      <c r="G2924" s="125"/>
      <c r="H2924" s="125">
        <f>(F2924*3)*D2923</f>
        <v>54.900000000000006</v>
      </c>
      <c r="I2924" s="746"/>
      <c r="J2924" s="747"/>
      <c r="K2924" s="748"/>
      <c r="L2924" s="746"/>
      <c r="M2924" s="747"/>
      <c r="N2924" s="753"/>
    </row>
    <row r="2925" spans="2:14" ht="15" customHeight="1" x14ac:dyDescent="0.25">
      <c r="B2925" s="165"/>
      <c r="C2925" s="762" t="s">
        <v>572</v>
      </c>
      <c r="D2925" s="773">
        <v>23</v>
      </c>
      <c r="E2925" s="125"/>
      <c r="F2925" s="125">
        <v>1.8</v>
      </c>
      <c r="G2925" s="125"/>
      <c r="H2925" s="125">
        <f>(F2925*3)*D2925</f>
        <v>124.2</v>
      </c>
      <c r="I2925" s="746"/>
      <c r="J2925" s="747"/>
      <c r="K2925" s="748"/>
      <c r="L2925" s="746"/>
      <c r="M2925" s="747"/>
      <c r="N2925" s="753"/>
    </row>
    <row r="2926" spans="2:14" ht="15" customHeight="1" x14ac:dyDescent="0.25">
      <c r="B2926" s="165"/>
      <c r="C2926" s="763"/>
      <c r="D2926" s="774"/>
      <c r="E2926" s="125"/>
      <c r="F2926" s="125">
        <v>0.77</v>
      </c>
      <c r="G2926" s="125"/>
      <c r="H2926" s="125">
        <f>(F2926*6)*D2925</f>
        <v>106.26</v>
      </c>
      <c r="I2926" s="746"/>
      <c r="J2926" s="747"/>
      <c r="K2926" s="748"/>
      <c r="L2926" s="746"/>
      <c r="M2926" s="747"/>
      <c r="N2926" s="753"/>
    </row>
    <row r="2927" spans="2:14" ht="15" customHeight="1" x14ac:dyDescent="0.25">
      <c r="B2927" s="165"/>
      <c r="C2927" s="762" t="s">
        <v>573</v>
      </c>
      <c r="D2927" s="765">
        <v>9</v>
      </c>
      <c r="E2927" s="125"/>
      <c r="F2927" s="125">
        <v>0.93</v>
      </c>
      <c r="G2927" s="125"/>
      <c r="H2927" s="125">
        <f>(F2927*6)*D2927</f>
        <v>50.22</v>
      </c>
      <c r="I2927" s="746"/>
      <c r="J2927" s="747"/>
      <c r="K2927" s="748"/>
      <c r="L2927" s="746"/>
      <c r="M2927" s="747"/>
      <c r="N2927" s="753"/>
    </row>
    <row r="2928" spans="2:14" ht="15" customHeight="1" x14ac:dyDescent="0.25">
      <c r="B2928" s="165"/>
      <c r="C2928" s="763"/>
      <c r="D2928" s="766"/>
      <c r="E2928" s="125"/>
      <c r="F2928" s="125">
        <v>1.83</v>
      </c>
      <c r="G2928" s="125"/>
      <c r="H2928" s="125">
        <f>(F2928*3)*D2927</f>
        <v>49.410000000000004</v>
      </c>
      <c r="I2928" s="746"/>
      <c r="J2928" s="747"/>
      <c r="K2928" s="748"/>
      <c r="L2928" s="746"/>
      <c r="M2928" s="747"/>
      <c r="N2928" s="753"/>
    </row>
    <row r="2929" spans="2:14" ht="15" customHeight="1" x14ac:dyDescent="0.25">
      <c r="B2929" s="165"/>
      <c r="C2929" s="145"/>
      <c r="D2929" s="125"/>
      <c r="E2929" s="125"/>
      <c r="F2929" s="125"/>
      <c r="G2929" s="125"/>
      <c r="H2929" s="125"/>
      <c r="I2929" s="746"/>
      <c r="J2929" s="747"/>
      <c r="K2929" s="748"/>
      <c r="L2929" s="746"/>
      <c r="M2929" s="747"/>
      <c r="N2929" s="753"/>
    </row>
    <row r="2930" spans="2:14" ht="15" customHeight="1" x14ac:dyDescent="0.25">
      <c r="B2930" s="165"/>
      <c r="C2930" s="145"/>
      <c r="D2930" s="125"/>
      <c r="E2930" s="125"/>
      <c r="F2930" s="125"/>
      <c r="G2930" s="125"/>
      <c r="H2930" s="125"/>
      <c r="I2930" s="746"/>
      <c r="J2930" s="747"/>
      <c r="K2930" s="748"/>
      <c r="L2930" s="746"/>
      <c r="M2930" s="747"/>
      <c r="N2930" s="753"/>
    </row>
    <row r="2931" spans="2:14" ht="15" customHeight="1" x14ac:dyDescent="0.25">
      <c r="B2931" s="165"/>
      <c r="C2931" s="764"/>
      <c r="D2931" s="125"/>
      <c r="E2931" s="125"/>
      <c r="F2931" s="125"/>
      <c r="G2931" s="125"/>
      <c r="H2931" s="125"/>
      <c r="I2931" s="746"/>
      <c r="J2931" s="747"/>
      <c r="K2931" s="748"/>
      <c r="L2931" s="746"/>
      <c r="M2931" s="747"/>
      <c r="N2931" s="753"/>
    </row>
    <row r="2932" spans="2:14" ht="15" customHeight="1" x14ac:dyDescent="0.25">
      <c r="B2932" s="124"/>
      <c r="C2932" s="758"/>
      <c r="D2932" s="125"/>
      <c r="E2932" s="125"/>
      <c r="F2932" s="125"/>
      <c r="G2932" s="125"/>
      <c r="H2932" s="125"/>
      <c r="I2932" s="746"/>
      <c r="J2932" s="747"/>
      <c r="K2932" s="748"/>
      <c r="L2932" s="746"/>
      <c r="M2932" s="747"/>
      <c r="N2932" s="753"/>
    </row>
    <row r="2933" spans="2:14" ht="15" customHeight="1" x14ac:dyDescent="0.25">
      <c r="B2933" s="124"/>
      <c r="C2933" s="125"/>
      <c r="D2933" s="125"/>
      <c r="E2933" s="125"/>
      <c r="F2933" s="125"/>
      <c r="G2933" s="125"/>
      <c r="H2933" s="125"/>
      <c r="I2933" s="746"/>
      <c r="J2933" s="747"/>
      <c r="K2933" s="748"/>
      <c r="L2933" s="746"/>
      <c r="M2933" s="747"/>
      <c r="N2933" s="753"/>
    </row>
    <row r="2934" spans="2:14" ht="15" customHeight="1" x14ac:dyDescent="0.25">
      <c r="B2934" s="127"/>
      <c r="C2934" s="125"/>
      <c r="D2934" s="125"/>
      <c r="E2934" s="125"/>
      <c r="F2934" s="125"/>
      <c r="G2934" s="125"/>
      <c r="H2934" s="125"/>
      <c r="I2934" s="749"/>
      <c r="J2934" s="750"/>
      <c r="K2934" s="751"/>
      <c r="L2934" s="749"/>
      <c r="M2934" s="750"/>
      <c r="N2934" s="754"/>
    </row>
    <row r="2935" spans="2:14" ht="15" customHeight="1" x14ac:dyDescent="0.25">
      <c r="B2935" s="225"/>
      <c r="C2935" s="128"/>
      <c r="D2935" s="128"/>
      <c r="E2935" s="128"/>
      <c r="F2935" s="128"/>
      <c r="G2935" s="128"/>
      <c r="H2935" s="128"/>
      <c r="I2935" s="128"/>
      <c r="J2935" s="128"/>
      <c r="K2935" s="128"/>
      <c r="L2935" s="118"/>
      <c r="M2935" s="118"/>
      <c r="N2935" s="210"/>
    </row>
    <row r="2936" spans="2:14" ht="15" customHeight="1" x14ac:dyDescent="0.25">
      <c r="B2936" s="209"/>
      <c r="C2936" s="118"/>
      <c r="D2936" s="118"/>
      <c r="E2936" s="118"/>
      <c r="F2936" s="118"/>
      <c r="G2936" s="118"/>
      <c r="H2936" s="118"/>
      <c r="I2936" s="118"/>
      <c r="J2936" s="118"/>
      <c r="K2936" s="118"/>
      <c r="L2936" s="118"/>
      <c r="M2936" s="118"/>
      <c r="N2936" s="210"/>
    </row>
    <row r="2937" spans="2:14" ht="15" customHeight="1" x14ac:dyDescent="0.25">
      <c r="B2937" s="209"/>
      <c r="C2937" s="118"/>
      <c r="D2937" s="118"/>
      <c r="E2937" s="118"/>
      <c r="F2937" s="118"/>
      <c r="G2937" s="118"/>
      <c r="H2937" s="118"/>
      <c r="I2937" s="118"/>
      <c r="J2937" s="118"/>
      <c r="K2937" s="118"/>
      <c r="L2937" s="118"/>
      <c r="M2937" s="118"/>
      <c r="N2937" s="210"/>
    </row>
    <row r="2938" spans="2:14" ht="15" customHeight="1" thickBot="1" x14ac:dyDescent="0.3">
      <c r="B2938" s="725" t="s">
        <v>414</v>
      </c>
      <c r="C2938" s="726"/>
      <c r="D2938" s="726"/>
      <c r="E2938" s="147"/>
      <c r="F2938" s="147"/>
      <c r="G2938" s="147"/>
      <c r="H2938" s="147"/>
      <c r="I2938" s="727"/>
      <c r="J2938" s="726"/>
      <c r="K2938" s="726"/>
      <c r="L2938" s="130"/>
      <c r="M2938" s="130"/>
      <c r="N2938" s="131"/>
    </row>
    <row r="2940" spans="2:14" ht="15" customHeight="1" thickBot="1" x14ac:dyDescent="0.3"/>
    <row r="2941" spans="2:14" ht="36" customHeight="1" x14ac:dyDescent="0.25">
      <c r="B2941" s="728"/>
      <c r="C2941" s="729"/>
      <c r="D2941" s="730" t="s">
        <v>393</v>
      </c>
      <c r="E2941" s="729"/>
      <c r="F2941" s="729"/>
      <c r="G2941" s="729"/>
      <c r="H2941" s="729"/>
      <c r="I2941" s="729"/>
      <c r="J2941" s="729"/>
      <c r="K2941" s="729"/>
      <c r="L2941" s="729"/>
      <c r="M2941" s="729"/>
      <c r="N2941" s="731"/>
    </row>
    <row r="2942" spans="2:14" ht="15" customHeight="1" x14ac:dyDescent="0.25">
      <c r="B2942" s="732" t="s">
        <v>394</v>
      </c>
      <c r="C2942" s="733"/>
      <c r="D2942" s="733"/>
      <c r="E2942" s="733"/>
      <c r="F2942" s="733"/>
      <c r="G2942" s="733"/>
      <c r="H2942" s="733"/>
      <c r="I2942" s="733"/>
      <c r="J2942" s="733"/>
      <c r="K2942" s="733"/>
      <c r="L2942" s="733"/>
      <c r="M2942" s="733"/>
      <c r="N2942" s="734"/>
    </row>
    <row r="2943" spans="2:14" ht="37.15" customHeight="1" x14ac:dyDescent="0.25">
      <c r="B2943" s="735" t="s">
        <v>395</v>
      </c>
      <c r="C2943" s="736"/>
      <c r="D2943" s="737" t="str">
        <f>VLOOKUP(B2945,Buenaventura!A9:G4253,3,FALSE)</f>
        <v>Aseo general</v>
      </c>
      <c r="E2943" s="738"/>
      <c r="F2943" s="738"/>
      <c r="G2943" s="738"/>
      <c r="H2943" s="738"/>
      <c r="I2943" s="738"/>
      <c r="J2943" s="738"/>
      <c r="K2943" s="738"/>
      <c r="L2943" s="738"/>
      <c r="M2943" s="738"/>
      <c r="N2943" s="739"/>
    </row>
    <row r="2944" spans="2:14" ht="23.45" customHeight="1" x14ac:dyDescent="0.25">
      <c r="B2944" s="740" t="s">
        <v>26</v>
      </c>
      <c r="C2944" s="741"/>
      <c r="D2944" s="119" t="s">
        <v>396</v>
      </c>
      <c r="E2944" s="742" t="s">
        <v>397</v>
      </c>
      <c r="F2944" s="733"/>
      <c r="G2944" s="733"/>
      <c r="H2944" s="736"/>
      <c r="I2944" s="742" t="s">
        <v>398</v>
      </c>
      <c r="J2944" s="733"/>
      <c r="K2944" s="736"/>
      <c r="L2944" s="742" t="s">
        <v>399</v>
      </c>
      <c r="M2944" s="733"/>
      <c r="N2944" s="734"/>
    </row>
    <row r="2945" spans="2:14" ht="15" customHeight="1" x14ac:dyDescent="0.25">
      <c r="B2945" s="283">
        <v>48</v>
      </c>
      <c r="C2945" s="284" t="str">
        <f>VLOOKUP(B2945,Buenaventura!A9:G4266,2,FALSE)</f>
        <v>VA-05</v>
      </c>
      <c r="D2945" s="285">
        <f>SUM(H2948:H2951)</f>
        <v>30</v>
      </c>
      <c r="E2945" s="743" t="str">
        <f>VLOOKUP(B2945,Buenaventura!A9:G4265,4,FALSE)</f>
        <v>M2</v>
      </c>
      <c r="F2945" s="743"/>
      <c r="G2945" s="743"/>
      <c r="H2945" s="743"/>
      <c r="I2945" s="744"/>
      <c r="J2945" s="745"/>
      <c r="K2945" s="741"/>
      <c r="L2945" s="744"/>
      <c r="M2945" s="745"/>
      <c r="N2945" s="752"/>
    </row>
    <row r="2946" spans="2:14" ht="15" customHeight="1" x14ac:dyDescent="0.25">
      <c r="B2946" s="755" t="s">
        <v>416</v>
      </c>
      <c r="C2946" s="733"/>
      <c r="D2946" s="733"/>
      <c r="E2946" s="733"/>
      <c r="F2946" s="733"/>
      <c r="G2946" s="733"/>
      <c r="H2946" s="736"/>
      <c r="I2946" s="746"/>
      <c r="J2946" s="747"/>
      <c r="K2946" s="748"/>
      <c r="L2946" s="746"/>
      <c r="M2946" s="747"/>
      <c r="N2946" s="753"/>
    </row>
    <row r="2947" spans="2:14" ht="15" customHeight="1" x14ac:dyDescent="0.25">
      <c r="B2947" s="121" t="s">
        <v>400</v>
      </c>
      <c r="C2947" s="122" t="s">
        <v>401</v>
      </c>
      <c r="D2947" s="123" t="s">
        <v>402</v>
      </c>
      <c r="E2947" s="123" t="s">
        <v>403</v>
      </c>
      <c r="F2947" s="123" t="s">
        <v>404</v>
      </c>
      <c r="G2947" s="123" t="s">
        <v>405</v>
      </c>
      <c r="H2947" s="123" t="s">
        <v>406</v>
      </c>
      <c r="I2947" s="746"/>
      <c r="J2947" s="747"/>
      <c r="K2947" s="748"/>
      <c r="L2947" s="746"/>
      <c r="M2947" s="747"/>
      <c r="N2947" s="753"/>
    </row>
    <row r="2948" spans="2:14" ht="15" customHeight="1" x14ac:dyDescent="0.25">
      <c r="B2948" s="124"/>
      <c r="C2948" s="145" t="s">
        <v>574</v>
      </c>
      <c r="D2948" s="125"/>
      <c r="E2948" s="125"/>
      <c r="F2948" s="125">
        <v>30</v>
      </c>
      <c r="G2948" s="125"/>
      <c r="H2948" s="125">
        <f>F2948</f>
        <v>30</v>
      </c>
      <c r="I2948" s="746"/>
      <c r="J2948" s="747"/>
      <c r="K2948" s="748"/>
      <c r="L2948" s="746"/>
      <c r="M2948" s="747"/>
      <c r="N2948" s="753"/>
    </row>
    <row r="2949" spans="2:14" ht="15" customHeight="1" x14ac:dyDescent="0.25">
      <c r="B2949" s="124"/>
      <c r="C2949" s="145"/>
      <c r="D2949" s="125"/>
      <c r="E2949" s="125"/>
      <c r="F2949" s="125"/>
      <c r="G2949" s="125"/>
      <c r="H2949" s="125"/>
      <c r="I2949" s="746"/>
      <c r="J2949" s="747"/>
      <c r="K2949" s="748"/>
      <c r="L2949" s="746"/>
      <c r="M2949" s="747"/>
      <c r="N2949" s="753"/>
    </row>
    <row r="2950" spans="2:14" ht="15" customHeight="1" x14ac:dyDescent="0.25">
      <c r="B2950" s="165"/>
      <c r="C2950" s="145"/>
      <c r="D2950" s="125"/>
      <c r="E2950" s="125"/>
      <c r="F2950" s="125"/>
      <c r="G2950" s="125"/>
      <c r="H2950" s="125"/>
      <c r="I2950" s="746"/>
      <c r="J2950" s="747"/>
      <c r="K2950" s="748"/>
      <c r="L2950" s="746"/>
      <c r="M2950" s="747"/>
      <c r="N2950" s="753"/>
    </row>
    <row r="2951" spans="2:14" ht="15" customHeight="1" x14ac:dyDescent="0.25">
      <c r="B2951" s="165"/>
      <c r="C2951" s="145"/>
      <c r="D2951" s="125"/>
      <c r="E2951" s="125"/>
      <c r="F2951" s="125"/>
      <c r="G2951" s="125"/>
      <c r="H2951" s="125"/>
      <c r="I2951" s="746"/>
      <c r="J2951" s="747"/>
      <c r="K2951" s="748"/>
      <c r="L2951" s="746"/>
      <c r="M2951" s="747"/>
      <c r="N2951" s="753"/>
    </row>
    <row r="2952" spans="2:14" ht="15" customHeight="1" x14ac:dyDescent="0.25">
      <c r="B2952" s="165"/>
      <c r="C2952" s="145"/>
      <c r="D2952" s="125"/>
      <c r="E2952" s="125"/>
      <c r="F2952" s="125"/>
      <c r="G2952" s="125"/>
      <c r="H2952" s="125"/>
      <c r="I2952" s="746"/>
      <c r="J2952" s="747"/>
      <c r="K2952" s="748"/>
      <c r="L2952" s="746"/>
      <c r="M2952" s="747"/>
      <c r="N2952" s="753"/>
    </row>
    <row r="2953" spans="2:14" ht="15" customHeight="1" x14ac:dyDescent="0.25">
      <c r="B2953" s="124"/>
      <c r="C2953" s="125"/>
      <c r="D2953" s="125"/>
      <c r="E2953" s="125"/>
      <c r="F2953" s="125"/>
      <c r="G2953" s="125"/>
      <c r="H2953" s="125"/>
      <c r="I2953" s="746"/>
      <c r="J2953" s="747"/>
      <c r="K2953" s="748"/>
      <c r="L2953" s="746"/>
      <c r="M2953" s="747"/>
      <c r="N2953" s="753"/>
    </row>
    <row r="2954" spans="2:14" ht="15" customHeight="1" x14ac:dyDescent="0.25">
      <c r="B2954" s="127"/>
      <c r="C2954" s="125"/>
      <c r="D2954" s="125"/>
      <c r="E2954" s="125"/>
      <c r="F2954" s="125"/>
      <c r="G2954" s="125"/>
      <c r="H2954" s="125"/>
      <c r="I2954" s="749"/>
      <c r="J2954" s="750"/>
      <c r="K2954" s="751"/>
      <c r="L2954" s="749"/>
      <c r="M2954" s="750"/>
      <c r="N2954" s="754"/>
    </row>
    <row r="2955" spans="2:14" ht="15" customHeight="1" x14ac:dyDescent="0.25">
      <c r="B2955" s="225"/>
      <c r="C2955" s="128"/>
      <c r="D2955" s="128"/>
      <c r="E2955" s="128"/>
      <c r="F2955" s="128"/>
      <c r="G2955" s="128"/>
      <c r="H2955" s="128"/>
      <c r="I2955" s="128"/>
      <c r="J2955" s="128"/>
      <c r="K2955" s="128"/>
      <c r="L2955" s="118"/>
      <c r="M2955" s="118"/>
      <c r="N2955" s="210"/>
    </row>
    <row r="2956" spans="2:14" ht="15" customHeight="1" x14ac:dyDescent="0.25">
      <c r="B2956" s="209"/>
      <c r="C2956" s="118"/>
      <c r="D2956" s="118"/>
      <c r="E2956" s="118"/>
      <c r="F2956" s="118"/>
      <c r="G2956" s="118"/>
      <c r="H2956" s="118"/>
      <c r="I2956" s="118"/>
      <c r="J2956" s="118"/>
      <c r="K2956" s="118"/>
      <c r="L2956" s="118"/>
      <c r="M2956" s="118"/>
      <c r="N2956" s="210"/>
    </row>
    <row r="2957" spans="2:14" ht="15" customHeight="1" x14ac:dyDescent="0.25">
      <c r="B2957" s="209"/>
      <c r="C2957" s="118"/>
      <c r="D2957" s="118"/>
      <c r="E2957" s="118"/>
      <c r="F2957" s="118"/>
      <c r="G2957" s="118"/>
      <c r="H2957" s="118"/>
      <c r="I2957" s="118"/>
      <c r="J2957" s="118"/>
      <c r="K2957" s="118"/>
      <c r="L2957" s="118"/>
      <c r="M2957" s="118"/>
      <c r="N2957" s="210"/>
    </row>
    <row r="2958" spans="2:14" ht="15" customHeight="1" thickBot="1" x14ac:dyDescent="0.3">
      <c r="B2958" s="725" t="s">
        <v>414</v>
      </c>
      <c r="C2958" s="726"/>
      <c r="D2958" s="726"/>
      <c r="E2958" s="147"/>
      <c r="F2958" s="147"/>
      <c r="G2958" s="147"/>
      <c r="H2958" s="147"/>
      <c r="I2958" s="727"/>
      <c r="J2958" s="726"/>
      <c r="K2958" s="726"/>
      <c r="L2958" s="130"/>
      <c r="M2958" s="130"/>
      <c r="N2958" s="131"/>
    </row>
    <row r="2959" spans="2:14" ht="15" customHeight="1" thickBot="1" x14ac:dyDescent="0.3"/>
    <row r="2960" spans="2:14" ht="41.45" customHeight="1" x14ac:dyDescent="0.25">
      <c r="B2960" s="728"/>
      <c r="C2960" s="729"/>
      <c r="D2960" s="730" t="s">
        <v>393</v>
      </c>
      <c r="E2960" s="729"/>
      <c r="F2960" s="729"/>
      <c r="G2960" s="729"/>
      <c r="H2960" s="729"/>
      <c r="I2960" s="729"/>
      <c r="J2960" s="729"/>
      <c r="K2960" s="729"/>
      <c r="L2960" s="729"/>
      <c r="M2960" s="729"/>
      <c r="N2960" s="731"/>
    </row>
    <row r="2961" spans="2:14" ht="15" customHeight="1" x14ac:dyDescent="0.25">
      <c r="B2961" s="732" t="s">
        <v>394</v>
      </c>
      <c r="C2961" s="733"/>
      <c r="D2961" s="733"/>
      <c r="E2961" s="733"/>
      <c r="F2961" s="733"/>
      <c r="G2961" s="733"/>
      <c r="H2961" s="733"/>
      <c r="I2961" s="733"/>
      <c r="J2961" s="733"/>
      <c r="K2961" s="733"/>
      <c r="L2961" s="733"/>
      <c r="M2961" s="733"/>
      <c r="N2961" s="734"/>
    </row>
    <row r="2962" spans="2:14" ht="44.45" customHeight="1" x14ac:dyDescent="0.25">
      <c r="B2962" s="735" t="s">
        <v>395</v>
      </c>
      <c r="C2962" s="736"/>
      <c r="D2962" s="737" t="str">
        <f>VLOOKUP(B2964,Buenaventura!A9:G4275,3,FALSE)</f>
        <v>suministro e instalación de empaques nuevos (tipo caucho o silicona), garantizando un adecuado sellado, hermeticidad y correcto funcionamiento de las ventanas.</v>
      </c>
      <c r="E2962" s="738"/>
      <c r="F2962" s="738"/>
      <c r="G2962" s="738"/>
      <c r="H2962" s="738"/>
      <c r="I2962" s="738"/>
      <c r="J2962" s="738"/>
      <c r="K2962" s="738"/>
      <c r="L2962" s="738"/>
      <c r="M2962" s="738"/>
      <c r="N2962" s="739"/>
    </row>
    <row r="2963" spans="2:14" ht="27.6" customHeight="1" x14ac:dyDescent="0.25">
      <c r="B2963" s="740" t="s">
        <v>26</v>
      </c>
      <c r="C2963" s="741"/>
      <c r="D2963" s="119" t="s">
        <v>396</v>
      </c>
      <c r="E2963" s="742" t="s">
        <v>397</v>
      </c>
      <c r="F2963" s="733"/>
      <c r="G2963" s="733"/>
      <c r="H2963" s="736"/>
      <c r="I2963" s="742" t="s">
        <v>398</v>
      </c>
      <c r="J2963" s="733"/>
      <c r="K2963" s="736"/>
      <c r="L2963" s="742" t="s">
        <v>399</v>
      </c>
      <c r="M2963" s="733"/>
      <c r="N2963" s="734"/>
    </row>
    <row r="2964" spans="2:14" ht="15" customHeight="1" x14ac:dyDescent="0.25">
      <c r="B2964" s="283">
        <v>49</v>
      </c>
      <c r="C2964" s="284" t="str">
        <f>VLOOKUP(B2964,Buenaventura!A9:G4288,2,FALSE)</f>
        <v>VA-22</v>
      </c>
      <c r="D2964" s="285">
        <f>SUM(H2967:H2974)</f>
        <v>12</v>
      </c>
      <c r="E2964" s="743" t="str">
        <f>VLOOKUP(B2964,Buenaventura!A9:G4287,4,FALSE)</f>
        <v>ML</v>
      </c>
      <c r="F2964" s="743"/>
      <c r="G2964" s="743"/>
      <c r="H2964" s="743"/>
      <c r="I2964" s="744"/>
      <c r="J2964" s="745"/>
      <c r="K2964" s="741"/>
      <c r="L2964" s="744"/>
      <c r="M2964" s="745"/>
      <c r="N2964" s="752"/>
    </row>
    <row r="2965" spans="2:14" ht="15" customHeight="1" x14ac:dyDescent="0.25">
      <c r="B2965" s="755" t="s">
        <v>416</v>
      </c>
      <c r="C2965" s="733"/>
      <c r="D2965" s="733"/>
      <c r="E2965" s="733"/>
      <c r="F2965" s="733"/>
      <c r="G2965" s="733"/>
      <c r="H2965" s="736"/>
      <c r="I2965" s="746"/>
      <c r="J2965" s="747"/>
      <c r="K2965" s="748"/>
      <c r="L2965" s="746"/>
      <c r="M2965" s="747"/>
      <c r="N2965" s="753"/>
    </row>
    <row r="2966" spans="2:14" ht="15" customHeight="1" x14ac:dyDescent="0.25">
      <c r="B2966" s="121" t="s">
        <v>400</v>
      </c>
      <c r="C2966" s="122" t="s">
        <v>401</v>
      </c>
      <c r="D2966" s="123" t="s">
        <v>402</v>
      </c>
      <c r="E2966" s="123" t="s">
        <v>403</v>
      </c>
      <c r="F2966" s="123" t="s">
        <v>404</v>
      </c>
      <c r="G2966" s="123" t="s">
        <v>405</v>
      </c>
      <c r="H2966" s="123" t="s">
        <v>406</v>
      </c>
      <c r="I2966" s="746"/>
      <c r="J2966" s="747"/>
      <c r="K2966" s="748"/>
      <c r="L2966" s="746"/>
      <c r="M2966" s="747"/>
      <c r="N2966" s="753"/>
    </row>
    <row r="2967" spans="2:14" ht="15" customHeight="1" x14ac:dyDescent="0.25">
      <c r="B2967" s="124"/>
      <c r="C2967" s="145" t="s">
        <v>575</v>
      </c>
      <c r="D2967" s="125">
        <v>4</v>
      </c>
      <c r="E2967" s="125"/>
      <c r="F2967" s="125"/>
      <c r="G2967" s="125"/>
      <c r="H2967" s="125">
        <f>D2967</f>
        <v>4</v>
      </c>
      <c r="I2967" s="746"/>
      <c r="J2967" s="747"/>
      <c r="K2967" s="748"/>
      <c r="L2967" s="746"/>
      <c r="M2967" s="747"/>
      <c r="N2967" s="753"/>
    </row>
    <row r="2968" spans="2:14" ht="15" customHeight="1" x14ac:dyDescent="0.25">
      <c r="B2968" s="124"/>
      <c r="C2968" s="145" t="s">
        <v>411</v>
      </c>
      <c r="D2968" s="125">
        <v>2</v>
      </c>
      <c r="E2968" s="125"/>
      <c r="F2968" s="125"/>
      <c r="G2968" s="125"/>
      <c r="H2968" s="125">
        <f t="shared" ref="H2968:H2971" si="63">D2968</f>
        <v>2</v>
      </c>
      <c r="I2968" s="746"/>
      <c r="J2968" s="747"/>
      <c r="K2968" s="748"/>
      <c r="L2968" s="746"/>
      <c r="M2968" s="747"/>
      <c r="N2968" s="753"/>
    </row>
    <row r="2969" spans="2:14" ht="15" customHeight="1" x14ac:dyDescent="0.25">
      <c r="B2969" s="165"/>
      <c r="C2969" s="145" t="s">
        <v>576</v>
      </c>
      <c r="D2969" s="125">
        <v>2</v>
      </c>
      <c r="E2969" s="125"/>
      <c r="F2969" s="125"/>
      <c r="G2969" s="125"/>
      <c r="H2969" s="125">
        <f t="shared" si="63"/>
        <v>2</v>
      </c>
      <c r="I2969" s="746"/>
      <c r="J2969" s="747"/>
      <c r="K2969" s="748"/>
      <c r="L2969" s="746"/>
      <c r="M2969" s="747"/>
      <c r="N2969" s="753"/>
    </row>
    <row r="2970" spans="2:14" ht="15" customHeight="1" x14ac:dyDescent="0.25">
      <c r="B2970" s="165"/>
      <c r="C2970" s="145" t="s">
        <v>577</v>
      </c>
      <c r="D2970" s="125">
        <v>2</v>
      </c>
      <c r="E2970" s="125"/>
      <c r="F2970" s="125"/>
      <c r="G2970" s="125"/>
      <c r="H2970" s="125">
        <f t="shared" si="63"/>
        <v>2</v>
      </c>
      <c r="I2970" s="746"/>
      <c r="J2970" s="747"/>
      <c r="K2970" s="748"/>
      <c r="L2970" s="746"/>
      <c r="M2970" s="747"/>
      <c r="N2970" s="753"/>
    </row>
    <row r="2971" spans="2:14" ht="15" customHeight="1" x14ac:dyDescent="0.25">
      <c r="B2971" s="165"/>
      <c r="C2971" s="145" t="s">
        <v>578</v>
      </c>
      <c r="D2971" s="125">
        <v>2</v>
      </c>
      <c r="E2971" s="125"/>
      <c r="F2971" s="125"/>
      <c r="G2971" s="125"/>
      <c r="H2971" s="125">
        <f t="shared" si="63"/>
        <v>2</v>
      </c>
      <c r="I2971" s="746"/>
      <c r="J2971" s="747"/>
      <c r="K2971" s="748"/>
      <c r="L2971" s="746"/>
      <c r="M2971" s="747"/>
      <c r="N2971" s="753"/>
    </row>
    <row r="2972" spans="2:14" ht="15" customHeight="1" x14ac:dyDescent="0.25">
      <c r="B2972" s="165"/>
      <c r="C2972" s="145"/>
      <c r="D2972" s="125"/>
      <c r="E2972" s="125"/>
      <c r="F2972" s="125"/>
      <c r="G2972" s="125"/>
      <c r="H2972" s="125"/>
      <c r="I2972" s="746"/>
      <c r="J2972" s="747"/>
      <c r="K2972" s="748"/>
      <c r="L2972" s="746"/>
      <c r="M2972" s="747"/>
      <c r="N2972" s="753"/>
    </row>
    <row r="2973" spans="2:14" ht="15" customHeight="1" x14ac:dyDescent="0.25">
      <c r="B2973" s="165"/>
      <c r="C2973" s="145"/>
      <c r="D2973" s="125"/>
      <c r="E2973" s="125"/>
      <c r="F2973" s="125"/>
      <c r="G2973" s="125"/>
      <c r="H2973" s="125"/>
      <c r="I2973" s="746"/>
      <c r="J2973" s="747"/>
      <c r="K2973" s="748"/>
      <c r="L2973" s="746"/>
      <c r="M2973" s="747"/>
      <c r="N2973" s="753"/>
    </row>
    <row r="2974" spans="2:14" ht="15" customHeight="1" x14ac:dyDescent="0.25">
      <c r="B2974" s="124"/>
      <c r="C2974" s="145"/>
      <c r="D2974" s="125"/>
      <c r="E2974" s="125"/>
      <c r="F2974" s="125"/>
      <c r="G2974" s="125"/>
      <c r="H2974" s="125"/>
      <c r="I2974" s="746"/>
      <c r="J2974" s="747"/>
      <c r="K2974" s="748"/>
      <c r="L2974" s="746"/>
      <c r="M2974" s="747"/>
      <c r="N2974" s="753"/>
    </row>
    <row r="2975" spans="2:14" ht="15" customHeight="1" x14ac:dyDescent="0.25">
      <c r="B2975" s="124"/>
      <c r="C2975" s="125"/>
      <c r="D2975" s="125"/>
      <c r="E2975" s="125"/>
      <c r="F2975" s="125"/>
      <c r="G2975" s="125"/>
      <c r="H2975" s="125"/>
      <c r="I2975" s="746"/>
      <c r="J2975" s="747"/>
      <c r="K2975" s="748"/>
      <c r="L2975" s="746"/>
      <c r="M2975" s="747"/>
      <c r="N2975" s="753"/>
    </row>
    <row r="2976" spans="2:14" ht="15" customHeight="1" x14ac:dyDescent="0.25">
      <c r="B2976" s="127"/>
      <c r="C2976" s="125"/>
      <c r="D2976" s="125"/>
      <c r="E2976" s="125"/>
      <c r="F2976" s="125"/>
      <c r="G2976" s="125"/>
      <c r="H2976" s="125"/>
      <c r="I2976" s="749"/>
      <c r="J2976" s="750"/>
      <c r="K2976" s="751"/>
      <c r="L2976" s="749"/>
      <c r="M2976" s="750"/>
      <c r="N2976" s="754"/>
    </row>
    <row r="2977" spans="2:14" ht="15" customHeight="1" x14ac:dyDescent="0.25">
      <c r="B2977" s="225"/>
      <c r="C2977" s="128"/>
      <c r="D2977" s="128"/>
      <c r="E2977" s="128"/>
      <c r="F2977" s="128"/>
      <c r="G2977" s="128"/>
      <c r="H2977" s="128"/>
      <c r="I2977" s="128"/>
      <c r="J2977" s="128"/>
      <c r="K2977" s="128"/>
      <c r="L2977" s="118"/>
      <c r="M2977" s="118"/>
      <c r="N2977" s="210"/>
    </row>
    <row r="2978" spans="2:14" ht="15" customHeight="1" x14ac:dyDescent="0.25">
      <c r="B2978" s="209"/>
      <c r="C2978" s="118"/>
      <c r="D2978" s="118"/>
      <c r="E2978" s="118"/>
      <c r="F2978" s="118"/>
      <c r="G2978" s="118"/>
      <c r="H2978" s="118"/>
      <c r="I2978" s="118"/>
      <c r="J2978" s="118"/>
      <c r="K2978" s="118"/>
      <c r="L2978" s="118"/>
      <c r="M2978" s="118"/>
      <c r="N2978" s="210"/>
    </row>
    <row r="2979" spans="2:14" ht="15" customHeight="1" x14ac:dyDescent="0.25">
      <c r="B2979" s="209"/>
      <c r="C2979" s="118"/>
      <c r="D2979" s="118"/>
      <c r="E2979" s="118"/>
      <c r="F2979" s="118"/>
      <c r="G2979" s="118"/>
      <c r="H2979" s="118"/>
      <c r="I2979" s="118"/>
      <c r="J2979" s="118"/>
      <c r="K2979" s="118"/>
      <c r="L2979" s="118"/>
      <c r="M2979" s="118"/>
      <c r="N2979" s="210"/>
    </row>
    <row r="2980" spans="2:14" ht="15" customHeight="1" thickBot="1" x14ac:dyDescent="0.3">
      <c r="B2980" s="725" t="s">
        <v>414</v>
      </c>
      <c r="C2980" s="726"/>
      <c r="D2980" s="726"/>
      <c r="E2980" s="147"/>
      <c r="F2980" s="147"/>
      <c r="G2980" s="147"/>
      <c r="H2980" s="147"/>
      <c r="I2980" s="727"/>
      <c r="J2980" s="726"/>
      <c r="K2980" s="726"/>
      <c r="L2980" s="130"/>
      <c r="M2980" s="130"/>
      <c r="N2980" s="131"/>
    </row>
    <row r="2981" spans="2:14" ht="15" customHeight="1" thickBot="1" x14ac:dyDescent="0.3"/>
    <row r="2982" spans="2:14" ht="35.450000000000003" customHeight="1" x14ac:dyDescent="0.25">
      <c r="B2982" s="728"/>
      <c r="C2982" s="729"/>
      <c r="D2982" s="730" t="s">
        <v>393</v>
      </c>
      <c r="E2982" s="729"/>
      <c r="F2982" s="729"/>
      <c r="G2982" s="729"/>
      <c r="H2982" s="729"/>
      <c r="I2982" s="729"/>
      <c r="J2982" s="729"/>
      <c r="K2982" s="729"/>
      <c r="L2982" s="729"/>
      <c r="M2982" s="729"/>
      <c r="N2982" s="731"/>
    </row>
    <row r="2983" spans="2:14" ht="15" customHeight="1" x14ac:dyDescent="0.25">
      <c r="B2983" s="732" t="s">
        <v>394</v>
      </c>
      <c r="C2983" s="733"/>
      <c r="D2983" s="733"/>
      <c r="E2983" s="733"/>
      <c r="F2983" s="733"/>
      <c r="G2983" s="733"/>
      <c r="H2983" s="733"/>
      <c r="I2983" s="733"/>
      <c r="J2983" s="733"/>
      <c r="K2983" s="733"/>
      <c r="L2983" s="733"/>
      <c r="M2983" s="733"/>
      <c r="N2983" s="734"/>
    </row>
    <row r="2984" spans="2:14" ht="48.6" customHeight="1" x14ac:dyDescent="0.25">
      <c r="B2984" s="735" t="s">
        <v>395</v>
      </c>
      <c r="C2984" s="736"/>
      <c r="D2984" s="737" t="str">
        <f>VLOOKUP(B2986,Buenaventura!A9:G4297,3,FALSE)</f>
        <v>Suministro e instalacion de ducto en la lamina galvanizada calibre 20, seccion 33" x 27", incluye adhesivo, tornilleria y demas elementos para su instalacion o union a ducto existente para sistema de desfogue ( Generador Electrico )</v>
      </c>
      <c r="E2984" s="738"/>
      <c r="F2984" s="738"/>
      <c r="G2984" s="738"/>
      <c r="H2984" s="738"/>
      <c r="I2984" s="738"/>
      <c r="J2984" s="738"/>
      <c r="K2984" s="738"/>
      <c r="L2984" s="738"/>
      <c r="M2984" s="738"/>
      <c r="N2984" s="739"/>
    </row>
    <row r="2985" spans="2:14" ht="33" customHeight="1" x14ac:dyDescent="0.25">
      <c r="B2985" s="740" t="s">
        <v>26</v>
      </c>
      <c r="C2985" s="741"/>
      <c r="D2985" s="119" t="s">
        <v>396</v>
      </c>
      <c r="E2985" s="742" t="s">
        <v>397</v>
      </c>
      <c r="F2985" s="733"/>
      <c r="G2985" s="733"/>
      <c r="H2985" s="736"/>
      <c r="I2985" s="742" t="s">
        <v>398</v>
      </c>
      <c r="J2985" s="733"/>
      <c r="K2985" s="736"/>
      <c r="L2985" s="742" t="s">
        <v>399</v>
      </c>
      <c r="M2985" s="733"/>
      <c r="N2985" s="734"/>
    </row>
    <row r="2986" spans="2:14" ht="15" customHeight="1" x14ac:dyDescent="0.25">
      <c r="B2986" s="283">
        <v>50</v>
      </c>
      <c r="C2986" s="284" t="str">
        <f>VLOOKUP(B2986,Buenaventura!A9:G4310,2,FALSE)</f>
        <v>VA-23</v>
      </c>
      <c r="D2986" s="285">
        <f>SUM(H2989:H2997)</f>
        <v>15</v>
      </c>
      <c r="E2986" s="743" t="str">
        <f>VLOOKUP(B2986,Buenaventura!A9:G4309,4,FALSE)</f>
        <v>ML</v>
      </c>
      <c r="F2986" s="743"/>
      <c r="G2986" s="743"/>
      <c r="H2986" s="743"/>
      <c r="I2986" s="744"/>
      <c r="J2986" s="745"/>
      <c r="K2986" s="741"/>
      <c r="L2986" s="744"/>
      <c r="M2986" s="745"/>
      <c r="N2986" s="752"/>
    </row>
    <row r="2987" spans="2:14" ht="15" customHeight="1" x14ac:dyDescent="0.25">
      <c r="B2987" s="755" t="s">
        <v>416</v>
      </c>
      <c r="C2987" s="733"/>
      <c r="D2987" s="733"/>
      <c r="E2987" s="733"/>
      <c r="F2987" s="733"/>
      <c r="G2987" s="733"/>
      <c r="H2987" s="736"/>
      <c r="I2987" s="746"/>
      <c r="J2987" s="747"/>
      <c r="K2987" s="748"/>
      <c r="L2987" s="746"/>
      <c r="M2987" s="747"/>
      <c r="N2987" s="753"/>
    </row>
    <row r="2988" spans="2:14" ht="15" customHeight="1" x14ac:dyDescent="0.25">
      <c r="B2988" s="121" t="s">
        <v>400</v>
      </c>
      <c r="C2988" s="122" t="s">
        <v>401</v>
      </c>
      <c r="D2988" s="123" t="s">
        <v>402</v>
      </c>
      <c r="E2988" s="123" t="s">
        <v>403</v>
      </c>
      <c r="F2988" s="123" t="s">
        <v>404</v>
      </c>
      <c r="G2988" s="123" t="s">
        <v>405</v>
      </c>
      <c r="H2988" s="123" t="s">
        <v>406</v>
      </c>
      <c r="I2988" s="746"/>
      <c r="J2988" s="747"/>
      <c r="K2988" s="748"/>
      <c r="L2988" s="746"/>
      <c r="M2988" s="747"/>
      <c r="N2988" s="753"/>
    </row>
    <row r="2989" spans="2:14" ht="15" customHeight="1" x14ac:dyDescent="0.25">
      <c r="B2989" s="124"/>
      <c r="C2989" s="145" t="s">
        <v>575</v>
      </c>
      <c r="D2989" s="125">
        <v>4</v>
      </c>
      <c r="E2989" s="125"/>
      <c r="F2989" s="125"/>
      <c r="G2989" s="125"/>
      <c r="H2989" s="125">
        <f>D2989</f>
        <v>4</v>
      </c>
      <c r="I2989" s="746"/>
      <c r="J2989" s="747"/>
      <c r="K2989" s="748"/>
      <c r="L2989" s="746"/>
      <c r="M2989" s="747"/>
      <c r="N2989" s="753"/>
    </row>
    <row r="2990" spans="2:14" ht="15" customHeight="1" x14ac:dyDescent="0.25">
      <c r="B2990" s="124"/>
      <c r="C2990" s="145" t="s">
        <v>411</v>
      </c>
      <c r="D2990" s="125">
        <v>2</v>
      </c>
      <c r="E2990" s="125"/>
      <c r="F2990" s="125"/>
      <c r="G2990" s="125"/>
      <c r="H2990" s="125">
        <f t="shared" ref="H2990:H2994" si="64">D2990</f>
        <v>2</v>
      </c>
      <c r="I2990" s="746"/>
      <c r="J2990" s="747"/>
      <c r="K2990" s="748"/>
      <c r="L2990" s="746"/>
      <c r="M2990" s="747"/>
      <c r="N2990" s="753"/>
    </row>
    <row r="2991" spans="2:14" ht="15" customHeight="1" x14ac:dyDescent="0.25">
      <c r="B2991" s="165"/>
      <c r="C2991" s="145" t="s">
        <v>576</v>
      </c>
      <c r="D2991" s="125">
        <v>2</v>
      </c>
      <c r="E2991" s="125"/>
      <c r="F2991" s="125"/>
      <c r="G2991" s="125"/>
      <c r="H2991" s="125">
        <f t="shared" si="64"/>
        <v>2</v>
      </c>
      <c r="I2991" s="746"/>
      <c r="J2991" s="747"/>
      <c r="K2991" s="748"/>
      <c r="L2991" s="746"/>
      <c r="M2991" s="747"/>
      <c r="N2991" s="753"/>
    </row>
    <row r="2992" spans="2:14" ht="15" customHeight="1" x14ac:dyDescent="0.25">
      <c r="B2992" s="165"/>
      <c r="C2992" s="145" t="s">
        <v>577</v>
      </c>
      <c r="D2992" s="125">
        <v>2</v>
      </c>
      <c r="E2992" s="125"/>
      <c r="F2992" s="125"/>
      <c r="G2992" s="125"/>
      <c r="H2992" s="125">
        <f t="shared" si="64"/>
        <v>2</v>
      </c>
      <c r="I2992" s="746"/>
      <c r="J2992" s="747"/>
      <c r="K2992" s="748"/>
      <c r="L2992" s="746"/>
      <c r="M2992" s="747"/>
      <c r="N2992" s="753"/>
    </row>
    <row r="2993" spans="2:14" ht="15" customHeight="1" x14ac:dyDescent="0.25">
      <c r="B2993" s="165"/>
      <c r="C2993" s="145" t="s">
        <v>578</v>
      </c>
      <c r="D2993" s="125">
        <v>2</v>
      </c>
      <c r="E2993" s="125"/>
      <c r="F2993" s="125"/>
      <c r="G2993" s="125"/>
      <c r="H2993" s="125">
        <f t="shared" si="64"/>
        <v>2</v>
      </c>
      <c r="I2993" s="746"/>
      <c r="J2993" s="747"/>
      <c r="K2993" s="748"/>
      <c r="L2993" s="746"/>
      <c r="M2993" s="747"/>
      <c r="N2993" s="753"/>
    </row>
    <row r="2994" spans="2:14" ht="15" customHeight="1" x14ac:dyDescent="0.25">
      <c r="B2994" s="165"/>
      <c r="C2994" s="145" t="s">
        <v>579</v>
      </c>
      <c r="D2994" s="125">
        <v>3</v>
      </c>
      <c r="E2994" s="125"/>
      <c r="F2994" s="125"/>
      <c r="G2994" s="125"/>
      <c r="H2994" s="125">
        <f t="shared" si="64"/>
        <v>3</v>
      </c>
      <c r="I2994" s="746"/>
      <c r="J2994" s="747"/>
      <c r="K2994" s="748"/>
      <c r="L2994" s="746"/>
      <c r="M2994" s="747"/>
      <c r="N2994" s="753"/>
    </row>
    <row r="2995" spans="2:14" ht="15" customHeight="1" x14ac:dyDescent="0.25">
      <c r="B2995" s="165"/>
      <c r="C2995" s="145"/>
      <c r="D2995" s="125"/>
      <c r="E2995" s="125"/>
      <c r="F2995" s="125"/>
      <c r="G2995" s="125"/>
      <c r="H2995" s="125"/>
      <c r="I2995" s="746"/>
      <c r="J2995" s="747"/>
      <c r="K2995" s="748"/>
      <c r="L2995" s="746"/>
      <c r="M2995" s="747"/>
      <c r="N2995" s="753"/>
    </row>
    <row r="2996" spans="2:14" ht="15" customHeight="1" x14ac:dyDescent="0.25">
      <c r="B2996" s="124"/>
      <c r="C2996" s="145"/>
      <c r="D2996" s="125"/>
      <c r="E2996" s="125"/>
      <c r="F2996" s="125"/>
      <c r="G2996" s="125"/>
      <c r="H2996" s="125"/>
      <c r="I2996" s="746"/>
      <c r="J2996" s="747"/>
      <c r="K2996" s="748"/>
      <c r="L2996" s="746"/>
      <c r="M2996" s="747"/>
      <c r="N2996" s="753"/>
    </row>
    <row r="2997" spans="2:14" ht="15" customHeight="1" x14ac:dyDescent="0.25">
      <c r="B2997" s="124"/>
      <c r="C2997" s="125"/>
      <c r="D2997" s="125"/>
      <c r="E2997" s="125"/>
      <c r="F2997" s="125"/>
      <c r="G2997" s="125"/>
      <c r="H2997" s="125"/>
      <c r="I2997" s="746"/>
      <c r="J2997" s="747"/>
      <c r="K2997" s="748"/>
      <c r="L2997" s="746"/>
      <c r="M2997" s="747"/>
      <c r="N2997" s="753"/>
    </row>
    <row r="2998" spans="2:14" ht="15" customHeight="1" x14ac:dyDescent="0.25">
      <c r="B2998" s="127"/>
      <c r="C2998" s="125"/>
      <c r="D2998" s="125"/>
      <c r="E2998" s="125"/>
      <c r="F2998" s="125"/>
      <c r="G2998" s="125"/>
      <c r="H2998" s="125"/>
      <c r="I2998" s="749"/>
      <c r="J2998" s="750"/>
      <c r="K2998" s="751"/>
      <c r="L2998" s="749"/>
      <c r="M2998" s="750"/>
      <c r="N2998" s="754"/>
    </row>
    <row r="2999" spans="2:14" ht="15" customHeight="1" x14ac:dyDescent="0.25">
      <c r="B2999" s="225"/>
      <c r="C2999" s="128"/>
      <c r="D2999" s="128"/>
      <c r="E2999" s="128"/>
      <c r="F2999" s="128"/>
      <c r="G2999" s="128"/>
      <c r="H2999" s="128"/>
      <c r="I2999" s="128"/>
      <c r="J2999" s="128"/>
      <c r="K2999" s="128"/>
      <c r="L2999" s="118"/>
      <c r="M2999" s="118"/>
      <c r="N2999" s="210"/>
    </row>
    <row r="3000" spans="2:14" ht="15" customHeight="1" x14ac:dyDescent="0.25">
      <c r="B3000" s="209"/>
      <c r="C3000" s="118"/>
      <c r="D3000" s="118"/>
      <c r="E3000" s="118"/>
      <c r="F3000" s="118"/>
      <c r="G3000" s="118"/>
      <c r="H3000" s="118"/>
      <c r="I3000" s="118"/>
      <c r="J3000" s="118"/>
      <c r="K3000" s="118"/>
      <c r="L3000" s="118"/>
      <c r="M3000" s="118"/>
      <c r="N3000" s="210"/>
    </row>
    <row r="3001" spans="2:14" ht="15" customHeight="1" x14ac:dyDescent="0.25">
      <c r="B3001" s="209"/>
      <c r="C3001" s="118"/>
      <c r="D3001" s="118"/>
      <c r="E3001" s="118"/>
      <c r="F3001" s="118"/>
      <c r="G3001" s="118"/>
      <c r="H3001" s="118"/>
      <c r="I3001" s="118"/>
      <c r="J3001" s="118"/>
      <c r="K3001" s="118"/>
      <c r="L3001" s="118"/>
      <c r="M3001" s="118"/>
      <c r="N3001" s="210"/>
    </row>
    <row r="3002" spans="2:14" ht="15" customHeight="1" thickBot="1" x14ac:dyDescent="0.3">
      <c r="B3002" s="725" t="s">
        <v>414</v>
      </c>
      <c r="C3002" s="726"/>
      <c r="D3002" s="726"/>
      <c r="E3002" s="147"/>
      <c r="F3002" s="147"/>
      <c r="G3002" s="147"/>
      <c r="H3002" s="147"/>
      <c r="I3002" s="727"/>
      <c r="J3002" s="726"/>
      <c r="K3002" s="726"/>
      <c r="L3002" s="130"/>
      <c r="M3002" s="130"/>
      <c r="N3002" s="131"/>
    </row>
    <row r="3003" spans="2:14" ht="15" customHeight="1" thickBot="1" x14ac:dyDescent="0.3"/>
    <row r="3004" spans="2:14" ht="36" customHeight="1" x14ac:dyDescent="0.25">
      <c r="B3004" s="728"/>
      <c r="C3004" s="729"/>
      <c r="D3004" s="730" t="s">
        <v>393</v>
      </c>
      <c r="E3004" s="729"/>
      <c r="F3004" s="729"/>
      <c r="G3004" s="729"/>
      <c r="H3004" s="729"/>
      <c r="I3004" s="729"/>
      <c r="J3004" s="729"/>
      <c r="K3004" s="729"/>
      <c r="L3004" s="729"/>
      <c r="M3004" s="729"/>
      <c r="N3004" s="731"/>
    </row>
    <row r="3005" spans="2:14" ht="15" customHeight="1" x14ac:dyDescent="0.25">
      <c r="B3005" s="732" t="s">
        <v>394</v>
      </c>
      <c r="C3005" s="733"/>
      <c r="D3005" s="733"/>
      <c r="E3005" s="733"/>
      <c r="F3005" s="733"/>
      <c r="G3005" s="733"/>
      <c r="H3005" s="733"/>
      <c r="I3005" s="733"/>
      <c r="J3005" s="733"/>
      <c r="K3005" s="733"/>
      <c r="L3005" s="733"/>
      <c r="M3005" s="733"/>
      <c r="N3005" s="734"/>
    </row>
    <row r="3006" spans="2:14" ht="38.450000000000003" customHeight="1" x14ac:dyDescent="0.25">
      <c r="B3006" s="735" t="s">
        <v>395</v>
      </c>
      <c r="C3006" s="736"/>
      <c r="D3006" s="737" t="str">
        <f>VLOOKUP(B3008,Buenaventura!A9:G4319,3,FALSE)</f>
        <v>Suministro e instalación de dispensador para papel higienico elaborado en acero inoxidable para rollo de 200 mts hasta 400 mts. Con visor para ve el estado del rollo, con cerradura y llave. Incluye los elementos necesarios para su correcta instaalción</v>
      </c>
      <c r="E3006" s="738"/>
      <c r="F3006" s="738"/>
      <c r="G3006" s="738"/>
      <c r="H3006" s="738"/>
      <c r="I3006" s="738"/>
      <c r="J3006" s="738"/>
      <c r="K3006" s="738"/>
      <c r="L3006" s="738"/>
      <c r="M3006" s="738"/>
      <c r="N3006" s="739"/>
    </row>
    <row r="3007" spans="2:14" ht="29.45" customHeight="1" x14ac:dyDescent="0.25">
      <c r="B3007" s="740" t="s">
        <v>26</v>
      </c>
      <c r="C3007" s="741"/>
      <c r="D3007" s="119" t="s">
        <v>396</v>
      </c>
      <c r="E3007" s="742" t="s">
        <v>397</v>
      </c>
      <c r="F3007" s="733"/>
      <c r="G3007" s="733"/>
      <c r="H3007" s="736"/>
      <c r="I3007" s="742" t="s">
        <v>398</v>
      </c>
      <c r="J3007" s="733"/>
      <c r="K3007" s="736"/>
      <c r="L3007" s="742" t="s">
        <v>399</v>
      </c>
      <c r="M3007" s="733"/>
      <c r="N3007" s="734"/>
    </row>
    <row r="3008" spans="2:14" ht="15" customHeight="1" x14ac:dyDescent="0.25">
      <c r="B3008" s="283">
        <v>51</v>
      </c>
      <c r="C3008" s="284" t="str">
        <f>VLOOKUP(B3008,Buenaventura!A9:G4332,2,FALSE)</f>
        <v>VA-19</v>
      </c>
      <c r="D3008" s="285">
        <f>SUM(H3011:H3014)</f>
        <v>1</v>
      </c>
      <c r="E3008" s="743" t="str">
        <f>VLOOKUP(B3008,Buenaventura!A9:G4331,4,FALSE)</f>
        <v>UND</v>
      </c>
      <c r="F3008" s="743"/>
      <c r="G3008" s="743"/>
      <c r="H3008" s="743"/>
      <c r="I3008" s="744"/>
      <c r="J3008" s="745"/>
      <c r="K3008" s="741"/>
      <c r="L3008" s="744"/>
      <c r="M3008" s="745"/>
      <c r="N3008" s="752"/>
    </row>
    <row r="3009" spans="2:14" ht="15" customHeight="1" x14ac:dyDescent="0.25">
      <c r="B3009" s="755" t="s">
        <v>416</v>
      </c>
      <c r="C3009" s="733"/>
      <c r="D3009" s="733"/>
      <c r="E3009" s="733"/>
      <c r="F3009" s="733"/>
      <c r="G3009" s="733"/>
      <c r="H3009" s="736"/>
      <c r="I3009" s="746"/>
      <c r="J3009" s="747"/>
      <c r="K3009" s="748"/>
      <c r="L3009" s="746"/>
      <c r="M3009" s="747"/>
      <c r="N3009" s="753"/>
    </row>
    <row r="3010" spans="2:14" ht="15" customHeight="1" x14ac:dyDescent="0.25">
      <c r="B3010" s="121" t="s">
        <v>400</v>
      </c>
      <c r="C3010" s="122" t="s">
        <v>401</v>
      </c>
      <c r="D3010" s="123" t="s">
        <v>402</v>
      </c>
      <c r="E3010" s="123" t="s">
        <v>403</v>
      </c>
      <c r="F3010" s="123" t="s">
        <v>404</v>
      </c>
      <c r="G3010" s="123" t="s">
        <v>405</v>
      </c>
      <c r="H3010" s="123" t="s">
        <v>406</v>
      </c>
      <c r="I3010" s="746"/>
      <c r="J3010" s="747"/>
      <c r="K3010" s="748"/>
      <c r="L3010" s="746"/>
      <c r="M3010" s="747"/>
      <c r="N3010" s="753"/>
    </row>
    <row r="3011" spans="2:14" ht="15" customHeight="1" x14ac:dyDescent="0.25">
      <c r="B3011" s="124"/>
      <c r="C3011" s="145" t="s">
        <v>580</v>
      </c>
      <c r="D3011" s="125">
        <v>1</v>
      </c>
      <c r="E3011" s="125"/>
      <c r="F3011" s="125"/>
      <c r="G3011" s="125"/>
      <c r="H3011" s="125">
        <f>D3011</f>
        <v>1</v>
      </c>
      <c r="I3011" s="746"/>
      <c r="J3011" s="747"/>
      <c r="K3011" s="748"/>
      <c r="L3011" s="746"/>
      <c r="M3011" s="747"/>
      <c r="N3011" s="753"/>
    </row>
    <row r="3012" spans="2:14" ht="15" customHeight="1" x14ac:dyDescent="0.25">
      <c r="B3012" s="124"/>
      <c r="C3012" s="145"/>
      <c r="D3012" s="125"/>
      <c r="E3012" s="125"/>
      <c r="F3012" s="125"/>
      <c r="G3012" s="125"/>
      <c r="H3012" s="125"/>
      <c r="I3012" s="746"/>
      <c r="J3012" s="747"/>
      <c r="K3012" s="748"/>
      <c r="L3012" s="746"/>
      <c r="M3012" s="747"/>
      <c r="N3012" s="753"/>
    </row>
    <row r="3013" spans="2:14" ht="15" customHeight="1" x14ac:dyDescent="0.25">
      <c r="B3013" s="165"/>
      <c r="C3013" s="145"/>
      <c r="D3013" s="125"/>
      <c r="E3013" s="125"/>
      <c r="F3013" s="125"/>
      <c r="G3013" s="125"/>
      <c r="H3013" s="125"/>
      <c r="I3013" s="746"/>
      <c r="J3013" s="747"/>
      <c r="K3013" s="748"/>
      <c r="L3013" s="746"/>
      <c r="M3013" s="747"/>
      <c r="N3013" s="753"/>
    </row>
    <row r="3014" spans="2:14" ht="15" customHeight="1" x14ac:dyDescent="0.25">
      <c r="B3014" s="165"/>
      <c r="C3014" s="145"/>
      <c r="D3014" s="125"/>
      <c r="E3014" s="125"/>
      <c r="F3014" s="125"/>
      <c r="G3014" s="125"/>
      <c r="H3014" s="125"/>
      <c r="I3014" s="746"/>
      <c r="J3014" s="747"/>
      <c r="K3014" s="748"/>
      <c r="L3014" s="746"/>
      <c r="M3014" s="747"/>
      <c r="N3014" s="753"/>
    </row>
    <row r="3015" spans="2:14" ht="15" customHeight="1" x14ac:dyDescent="0.25">
      <c r="B3015" s="165"/>
      <c r="C3015" s="145"/>
      <c r="D3015" s="125"/>
      <c r="E3015" s="125"/>
      <c r="F3015" s="125"/>
      <c r="G3015" s="125"/>
      <c r="H3015" s="125"/>
      <c r="I3015" s="746"/>
      <c r="J3015" s="747"/>
      <c r="K3015" s="748"/>
      <c r="L3015" s="746"/>
      <c r="M3015" s="747"/>
      <c r="N3015" s="753"/>
    </row>
    <row r="3016" spans="2:14" ht="15" customHeight="1" x14ac:dyDescent="0.25">
      <c r="B3016" s="124"/>
      <c r="C3016" s="145"/>
      <c r="D3016" s="125"/>
      <c r="E3016" s="125"/>
      <c r="F3016" s="125"/>
      <c r="G3016" s="125"/>
      <c r="H3016" s="125"/>
      <c r="I3016" s="746"/>
      <c r="J3016" s="747"/>
      <c r="K3016" s="748"/>
      <c r="L3016" s="746"/>
      <c r="M3016" s="747"/>
      <c r="N3016" s="753"/>
    </row>
    <row r="3017" spans="2:14" ht="15" customHeight="1" x14ac:dyDescent="0.25">
      <c r="B3017" s="124"/>
      <c r="C3017" s="125"/>
      <c r="D3017" s="125"/>
      <c r="E3017" s="125"/>
      <c r="F3017" s="125"/>
      <c r="G3017" s="125"/>
      <c r="H3017" s="125"/>
      <c r="I3017" s="746"/>
      <c r="J3017" s="747"/>
      <c r="K3017" s="748"/>
      <c r="L3017" s="746"/>
      <c r="M3017" s="747"/>
      <c r="N3017" s="753"/>
    </row>
    <row r="3018" spans="2:14" ht="15" customHeight="1" x14ac:dyDescent="0.25">
      <c r="B3018" s="127"/>
      <c r="C3018" s="125"/>
      <c r="D3018" s="125"/>
      <c r="E3018" s="125"/>
      <c r="F3018" s="125"/>
      <c r="G3018" s="125"/>
      <c r="H3018" s="125"/>
      <c r="I3018" s="749"/>
      <c r="J3018" s="750"/>
      <c r="K3018" s="751"/>
      <c r="L3018" s="749"/>
      <c r="M3018" s="750"/>
      <c r="N3018" s="754"/>
    </row>
    <row r="3019" spans="2:14" ht="15" customHeight="1" x14ac:dyDescent="0.25">
      <c r="B3019" s="225"/>
      <c r="C3019" s="128"/>
      <c r="D3019" s="128"/>
      <c r="E3019" s="128"/>
      <c r="F3019" s="128"/>
      <c r="G3019" s="128"/>
      <c r="H3019" s="128"/>
      <c r="I3019" s="128"/>
      <c r="J3019" s="128"/>
      <c r="K3019" s="128"/>
      <c r="L3019" s="118"/>
      <c r="M3019" s="118"/>
      <c r="N3019" s="210"/>
    </row>
    <row r="3020" spans="2:14" ht="15" customHeight="1" x14ac:dyDescent="0.25">
      <c r="B3020" s="209"/>
      <c r="C3020" s="118"/>
      <c r="D3020" s="118"/>
      <c r="E3020" s="118"/>
      <c r="F3020" s="118"/>
      <c r="G3020" s="118"/>
      <c r="H3020" s="118"/>
      <c r="I3020" s="118"/>
      <c r="J3020" s="118"/>
      <c r="K3020" s="118"/>
      <c r="L3020" s="118"/>
      <c r="M3020" s="118"/>
      <c r="N3020" s="210"/>
    </row>
    <row r="3021" spans="2:14" ht="15" customHeight="1" x14ac:dyDescent="0.25">
      <c r="B3021" s="209"/>
      <c r="C3021" s="118"/>
      <c r="D3021" s="118"/>
      <c r="E3021" s="118"/>
      <c r="F3021" s="118"/>
      <c r="G3021" s="118"/>
      <c r="H3021" s="118"/>
      <c r="I3021" s="118"/>
      <c r="J3021" s="118"/>
      <c r="K3021" s="118"/>
      <c r="L3021" s="118"/>
      <c r="M3021" s="118"/>
      <c r="N3021" s="210"/>
    </row>
    <row r="3022" spans="2:14" ht="15" customHeight="1" thickBot="1" x14ac:dyDescent="0.3">
      <c r="B3022" s="725" t="s">
        <v>414</v>
      </c>
      <c r="C3022" s="726"/>
      <c r="D3022" s="726"/>
      <c r="E3022" s="147"/>
      <c r="F3022" s="147"/>
      <c r="G3022" s="147"/>
      <c r="H3022" s="147"/>
      <c r="I3022" s="727"/>
      <c r="J3022" s="726"/>
      <c r="K3022" s="726"/>
      <c r="L3022" s="130"/>
      <c r="M3022" s="130"/>
      <c r="N3022" s="131"/>
    </row>
    <row r="3023" spans="2:14" ht="15" customHeight="1" thickBot="1" x14ac:dyDescent="0.3"/>
    <row r="3024" spans="2:14" ht="41.45" customHeight="1" x14ac:dyDescent="0.25">
      <c r="B3024" s="728"/>
      <c r="C3024" s="729"/>
      <c r="D3024" s="730" t="s">
        <v>393</v>
      </c>
      <c r="E3024" s="729"/>
      <c r="F3024" s="729"/>
      <c r="G3024" s="729"/>
      <c r="H3024" s="729"/>
      <c r="I3024" s="729"/>
      <c r="J3024" s="729"/>
      <c r="K3024" s="729"/>
      <c r="L3024" s="729"/>
      <c r="M3024" s="729"/>
      <c r="N3024" s="731"/>
    </row>
    <row r="3025" spans="2:14" ht="15" customHeight="1" x14ac:dyDescent="0.25">
      <c r="B3025" s="732" t="s">
        <v>394</v>
      </c>
      <c r="C3025" s="733"/>
      <c r="D3025" s="733"/>
      <c r="E3025" s="733"/>
      <c r="F3025" s="733"/>
      <c r="G3025" s="733"/>
      <c r="H3025" s="733"/>
      <c r="I3025" s="733"/>
      <c r="J3025" s="733"/>
      <c r="K3025" s="733"/>
      <c r="L3025" s="733"/>
      <c r="M3025" s="733"/>
      <c r="N3025" s="734"/>
    </row>
    <row r="3026" spans="2:14" ht="25.15" customHeight="1" x14ac:dyDescent="0.25">
      <c r="B3026" s="735" t="s">
        <v>395</v>
      </c>
      <c r="C3026" s="736"/>
      <c r="D3026" s="737" t="str">
        <f>VLOOKUP(B3028,Buenaventura!A9:G4341,3,FALSE)</f>
        <v>Suministro e instalación de dispensador para toallas de manos elaborado en acero inoxidable, para toallas interdobladas con capacidad minima de 300 toallas, con mecanismo para halar con la mano, con cerradura y llave. Incluye los elementos necesarios para su correcta instaalción</v>
      </c>
      <c r="E3026" s="738"/>
      <c r="F3026" s="738"/>
      <c r="G3026" s="738"/>
      <c r="H3026" s="738"/>
      <c r="I3026" s="738"/>
      <c r="J3026" s="738"/>
      <c r="K3026" s="738"/>
      <c r="L3026" s="738"/>
      <c r="M3026" s="738"/>
      <c r="N3026" s="739"/>
    </row>
    <row r="3027" spans="2:14" ht="28.15" customHeight="1" x14ac:dyDescent="0.25">
      <c r="B3027" s="740" t="s">
        <v>26</v>
      </c>
      <c r="C3027" s="741"/>
      <c r="D3027" s="119" t="s">
        <v>396</v>
      </c>
      <c r="E3027" s="742" t="s">
        <v>397</v>
      </c>
      <c r="F3027" s="733"/>
      <c r="G3027" s="733"/>
      <c r="H3027" s="736"/>
      <c r="I3027" s="742" t="s">
        <v>398</v>
      </c>
      <c r="J3027" s="733"/>
      <c r="K3027" s="736"/>
      <c r="L3027" s="742" t="s">
        <v>399</v>
      </c>
      <c r="M3027" s="733"/>
      <c r="N3027" s="734"/>
    </row>
    <row r="3028" spans="2:14" ht="15" customHeight="1" x14ac:dyDescent="0.25">
      <c r="B3028" s="283">
        <v>52</v>
      </c>
      <c r="C3028" s="284" t="str">
        <f>VLOOKUP(B3028,Buenaventura!A9:G4354,2,FALSE)</f>
        <v>VA-20</v>
      </c>
      <c r="D3028" s="285">
        <f>SUM(H3031:H3034)</f>
        <v>800</v>
      </c>
      <c r="E3028" s="743" t="str">
        <f>VLOOKUP(B3028,Buenaventura!A9:G4353,4,FALSE)</f>
        <v>UND</v>
      </c>
      <c r="F3028" s="743"/>
      <c r="G3028" s="743"/>
      <c r="H3028" s="743"/>
      <c r="I3028" s="788"/>
      <c r="J3028" s="788"/>
      <c r="K3028" s="800"/>
      <c r="L3028" s="744"/>
      <c r="M3028" s="745"/>
      <c r="N3028" s="752"/>
    </row>
    <row r="3029" spans="2:14" ht="15" customHeight="1" x14ac:dyDescent="0.25">
      <c r="B3029" s="755" t="s">
        <v>416</v>
      </c>
      <c r="C3029" s="733"/>
      <c r="D3029" s="733"/>
      <c r="E3029" s="733"/>
      <c r="F3029" s="733"/>
      <c r="G3029" s="733"/>
      <c r="H3029" s="736"/>
      <c r="I3029" s="807"/>
      <c r="J3029" s="807"/>
      <c r="K3029" s="808"/>
      <c r="L3029" s="746"/>
      <c r="M3029" s="747"/>
      <c r="N3029" s="753"/>
    </row>
    <row r="3030" spans="2:14" ht="15" customHeight="1" x14ac:dyDescent="0.25">
      <c r="B3030" s="121" t="s">
        <v>400</v>
      </c>
      <c r="C3030" s="122" t="s">
        <v>401</v>
      </c>
      <c r="D3030" s="123" t="s">
        <v>402</v>
      </c>
      <c r="E3030" s="123" t="s">
        <v>403</v>
      </c>
      <c r="F3030" s="123" t="s">
        <v>404</v>
      </c>
      <c r="G3030" s="123" t="s">
        <v>405</v>
      </c>
      <c r="H3030" s="123" t="s">
        <v>406</v>
      </c>
      <c r="I3030" s="807"/>
      <c r="J3030" s="807"/>
      <c r="K3030" s="808"/>
      <c r="L3030" s="746"/>
      <c r="M3030" s="747"/>
      <c r="N3030" s="753"/>
    </row>
    <row r="3031" spans="2:14" ht="15" customHeight="1" x14ac:dyDescent="0.25">
      <c r="B3031" s="124"/>
      <c r="C3031" s="145" t="s">
        <v>581</v>
      </c>
      <c r="D3031" s="125">
        <v>800</v>
      </c>
      <c r="E3031" s="125"/>
      <c r="F3031" s="125"/>
      <c r="G3031" s="125"/>
      <c r="H3031" s="125">
        <f>D3031</f>
        <v>800</v>
      </c>
      <c r="I3031" s="807"/>
      <c r="J3031" s="807"/>
      <c r="K3031" s="808"/>
      <c r="L3031" s="746"/>
      <c r="M3031" s="747"/>
      <c r="N3031" s="753"/>
    </row>
    <row r="3032" spans="2:14" ht="15" customHeight="1" x14ac:dyDescent="0.25">
      <c r="B3032" s="124"/>
      <c r="C3032" s="145"/>
      <c r="D3032" s="125"/>
      <c r="E3032" s="125"/>
      <c r="F3032" s="125"/>
      <c r="G3032" s="125"/>
      <c r="H3032" s="125"/>
      <c r="I3032" s="807"/>
      <c r="J3032" s="807"/>
      <c r="K3032" s="808"/>
      <c r="L3032" s="746"/>
      <c r="M3032" s="747"/>
      <c r="N3032" s="753"/>
    </row>
    <row r="3033" spans="2:14" ht="15" customHeight="1" x14ac:dyDescent="0.25">
      <c r="B3033" s="165"/>
      <c r="C3033" s="145"/>
      <c r="D3033" s="125"/>
      <c r="E3033" s="125"/>
      <c r="F3033" s="125"/>
      <c r="G3033" s="125"/>
      <c r="H3033" s="125"/>
      <c r="I3033" s="807"/>
      <c r="J3033" s="807"/>
      <c r="K3033" s="808"/>
      <c r="L3033" s="746"/>
      <c r="M3033" s="747"/>
      <c r="N3033" s="753"/>
    </row>
    <row r="3034" spans="2:14" ht="15" customHeight="1" x14ac:dyDescent="0.25">
      <c r="B3034" s="165"/>
      <c r="C3034" s="145"/>
      <c r="D3034" s="125"/>
      <c r="E3034" s="125"/>
      <c r="F3034" s="125"/>
      <c r="G3034" s="125"/>
      <c r="H3034" s="125"/>
      <c r="I3034" s="807"/>
      <c r="J3034" s="807"/>
      <c r="K3034" s="808"/>
      <c r="L3034" s="746"/>
      <c r="M3034" s="747"/>
      <c r="N3034" s="753"/>
    </row>
    <row r="3035" spans="2:14" ht="15" customHeight="1" x14ac:dyDescent="0.25">
      <c r="B3035" s="165"/>
      <c r="C3035" s="145"/>
      <c r="D3035" s="125"/>
      <c r="E3035" s="125"/>
      <c r="F3035" s="125"/>
      <c r="G3035" s="125"/>
      <c r="H3035" s="125"/>
      <c r="I3035" s="807"/>
      <c r="J3035" s="807"/>
      <c r="K3035" s="808"/>
      <c r="L3035" s="746"/>
      <c r="M3035" s="747"/>
      <c r="N3035" s="753"/>
    </row>
    <row r="3036" spans="2:14" ht="15" customHeight="1" x14ac:dyDescent="0.25">
      <c r="B3036" s="165"/>
      <c r="C3036" s="145"/>
      <c r="D3036" s="125"/>
      <c r="E3036" s="125"/>
      <c r="F3036" s="125"/>
      <c r="G3036" s="125"/>
      <c r="H3036" s="125"/>
      <c r="I3036" s="807"/>
      <c r="J3036" s="807"/>
      <c r="K3036" s="808"/>
      <c r="L3036" s="746"/>
      <c r="M3036" s="747"/>
      <c r="N3036" s="753"/>
    </row>
    <row r="3037" spans="2:14" ht="15" customHeight="1" x14ac:dyDescent="0.25">
      <c r="B3037" s="165"/>
      <c r="C3037" s="145"/>
      <c r="D3037" s="125"/>
      <c r="E3037" s="125"/>
      <c r="F3037" s="125"/>
      <c r="G3037" s="125"/>
      <c r="H3037" s="125"/>
      <c r="I3037" s="807"/>
      <c r="J3037" s="807"/>
      <c r="K3037" s="808"/>
      <c r="L3037" s="746"/>
      <c r="M3037" s="747"/>
      <c r="N3037" s="753"/>
    </row>
    <row r="3038" spans="2:14" ht="15" customHeight="1" x14ac:dyDescent="0.25">
      <c r="B3038" s="124"/>
      <c r="C3038" s="145"/>
      <c r="D3038" s="125"/>
      <c r="E3038" s="125"/>
      <c r="F3038" s="125"/>
      <c r="G3038" s="125"/>
      <c r="H3038" s="125"/>
      <c r="I3038" s="807"/>
      <c r="J3038" s="807"/>
      <c r="K3038" s="808"/>
      <c r="L3038" s="746"/>
      <c r="M3038" s="747"/>
      <c r="N3038" s="753"/>
    </row>
    <row r="3039" spans="2:14" ht="15" customHeight="1" x14ac:dyDescent="0.25">
      <c r="B3039" s="124"/>
      <c r="C3039" s="125"/>
      <c r="D3039" s="125"/>
      <c r="E3039" s="125"/>
      <c r="F3039" s="125"/>
      <c r="G3039" s="125"/>
      <c r="H3039" s="125"/>
      <c r="I3039" s="807"/>
      <c r="J3039" s="807"/>
      <c r="K3039" s="808"/>
      <c r="L3039" s="746"/>
      <c r="M3039" s="747"/>
      <c r="N3039" s="753"/>
    </row>
    <row r="3040" spans="2:14" ht="15" customHeight="1" x14ac:dyDescent="0.25">
      <c r="B3040" s="127"/>
      <c r="C3040" s="125"/>
      <c r="D3040" s="125"/>
      <c r="E3040" s="125"/>
      <c r="F3040" s="125"/>
      <c r="G3040" s="125"/>
      <c r="H3040" s="125"/>
      <c r="I3040" s="809"/>
      <c r="J3040" s="809"/>
      <c r="K3040" s="810"/>
      <c r="L3040" s="749"/>
      <c r="M3040" s="750"/>
      <c r="N3040" s="754"/>
    </row>
    <row r="3041" spans="2:14" ht="15" customHeight="1" x14ac:dyDescent="0.25">
      <c r="B3041" s="225"/>
      <c r="C3041" s="128"/>
      <c r="D3041" s="128"/>
      <c r="E3041" s="128"/>
      <c r="F3041" s="128"/>
      <c r="G3041" s="128"/>
      <c r="H3041" s="128"/>
      <c r="I3041" s="128"/>
      <c r="J3041" s="128"/>
      <c r="K3041" s="128"/>
      <c r="L3041" s="118"/>
      <c r="M3041" s="118"/>
      <c r="N3041" s="210"/>
    </row>
    <row r="3042" spans="2:14" ht="15" customHeight="1" x14ac:dyDescent="0.25">
      <c r="B3042" s="209"/>
      <c r="C3042" s="118"/>
      <c r="D3042" s="118"/>
      <c r="E3042" s="118"/>
      <c r="F3042" s="118"/>
      <c r="G3042" s="118"/>
      <c r="H3042" s="118"/>
      <c r="I3042" s="118"/>
      <c r="J3042" s="118"/>
      <c r="K3042" s="118"/>
      <c r="L3042" s="118"/>
      <c r="M3042" s="118"/>
      <c r="N3042" s="210"/>
    </row>
    <row r="3043" spans="2:14" ht="15" customHeight="1" x14ac:dyDescent="0.25">
      <c r="B3043" s="209"/>
      <c r="C3043" s="118"/>
      <c r="D3043" s="118"/>
      <c r="E3043" s="118"/>
      <c r="F3043" s="118"/>
      <c r="G3043" s="118"/>
      <c r="H3043" s="118"/>
      <c r="I3043" s="118"/>
      <c r="J3043" s="118"/>
      <c r="K3043" s="118"/>
      <c r="L3043" s="118"/>
      <c r="M3043" s="118"/>
      <c r="N3043" s="210"/>
    </row>
    <row r="3044" spans="2:14" ht="15" customHeight="1" thickBot="1" x14ac:dyDescent="0.3">
      <c r="B3044" s="725" t="s">
        <v>414</v>
      </c>
      <c r="C3044" s="726"/>
      <c r="D3044" s="726"/>
      <c r="E3044" s="147"/>
      <c r="F3044" s="147"/>
      <c r="G3044" s="147"/>
      <c r="H3044" s="147"/>
      <c r="I3044" s="727"/>
      <c r="J3044" s="726"/>
      <c r="K3044" s="726"/>
      <c r="L3044" s="130"/>
      <c r="M3044" s="130"/>
      <c r="N3044" s="131"/>
    </row>
    <row r="3045" spans="2:14" ht="15" customHeight="1" thickBot="1" x14ac:dyDescent="0.3"/>
    <row r="3046" spans="2:14" ht="39.6" customHeight="1" x14ac:dyDescent="0.25">
      <c r="B3046" s="728"/>
      <c r="C3046" s="729"/>
      <c r="D3046" s="730" t="s">
        <v>393</v>
      </c>
      <c r="E3046" s="729"/>
      <c r="F3046" s="729"/>
      <c r="G3046" s="729"/>
      <c r="H3046" s="729"/>
      <c r="I3046" s="729"/>
      <c r="J3046" s="729"/>
      <c r="K3046" s="729"/>
      <c r="L3046" s="729"/>
      <c r="M3046" s="729"/>
      <c r="N3046" s="731"/>
    </row>
    <row r="3047" spans="2:14" ht="15" customHeight="1" x14ac:dyDescent="0.25">
      <c r="B3047" s="732" t="s">
        <v>394</v>
      </c>
      <c r="C3047" s="733"/>
      <c r="D3047" s="733"/>
      <c r="E3047" s="733"/>
      <c r="F3047" s="733"/>
      <c r="G3047" s="733"/>
      <c r="H3047" s="733"/>
      <c r="I3047" s="733"/>
      <c r="J3047" s="733"/>
      <c r="K3047" s="733"/>
      <c r="L3047" s="733"/>
      <c r="M3047" s="733"/>
      <c r="N3047" s="734"/>
    </row>
    <row r="3048" spans="2:14" ht="24" customHeight="1" x14ac:dyDescent="0.25">
      <c r="B3048" s="735" t="s">
        <v>395</v>
      </c>
      <c r="C3048" s="736"/>
      <c r="D3048" s="737" t="str">
        <f>VLOOKUP(B3050,Buenaventura!A9:G4363,3,FALSE)</f>
        <v>suministro e instalación de señalización horizontal  en inicio de rampa (Símbolo de discapacidad (PMR) conforme a normativa vigente)</v>
      </c>
      <c r="E3048" s="738"/>
      <c r="F3048" s="738"/>
      <c r="G3048" s="738"/>
      <c r="H3048" s="738"/>
      <c r="I3048" s="738"/>
      <c r="J3048" s="738"/>
      <c r="K3048" s="738"/>
      <c r="L3048" s="738"/>
      <c r="M3048" s="738"/>
      <c r="N3048" s="739"/>
    </row>
    <row r="3049" spans="2:14" ht="25.15" customHeight="1" x14ac:dyDescent="0.25">
      <c r="B3049" s="740" t="s">
        <v>26</v>
      </c>
      <c r="C3049" s="741"/>
      <c r="D3049" s="119" t="s">
        <v>396</v>
      </c>
      <c r="E3049" s="742" t="s">
        <v>397</v>
      </c>
      <c r="F3049" s="733"/>
      <c r="G3049" s="733"/>
      <c r="H3049" s="736"/>
      <c r="I3049" s="742" t="s">
        <v>398</v>
      </c>
      <c r="J3049" s="733"/>
      <c r="K3049" s="736"/>
      <c r="L3049" s="742" t="s">
        <v>399</v>
      </c>
      <c r="M3049" s="733"/>
      <c r="N3049" s="734"/>
    </row>
    <row r="3050" spans="2:14" ht="15" customHeight="1" x14ac:dyDescent="0.25">
      <c r="B3050" s="283">
        <v>53</v>
      </c>
      <c r="C3050" s="284" t="str">
        <f>VLOOKUP(B3050,Buenaventura!A9:G4376,2,FALSE)</f>
        <v>VA-24</v>
      </c>
      <c r="D3050" s="285">
        <f>SUM(H3053:H3056)</f>
        <v>400</v>
      </c>
      <c r="E3050" s="743" t="str">
        <f>VLOOKUP(B3050,Buenaventura!A9:G4375,4,FALSE)</f>
        <v>UND</v>
      </c>
      <c r="F3050" s="743"/>
      <c r="G3050" s="743"/>
      <c r="H3050" s="743"/>
      <c r="I3050" s="744"/>
      <c r="J3050" s="745"/>
      <c r="K3050" s="741"/>
      <c r="L3050" s="744"/>
      <c r="M3050" s="745"/>
      <c r="N3050" s="752"/>
    </row>
    <row r="3051" spans="2:14" ht="15" customHeight="1" x14ac:dyDescent="0.25">
      <c r="B3051" s="755" t="s">
        <v>416</v>
      </c>
      <c r="C3051" s="733"/>
      <c r="D3051" s="733"/>
      <c r="E3051" s="733"/>
      <c r="F3051" s="733"/>
      <c r="G3051" s="733"/>
      <c r="H3051" s="736"/>
      <c r="I3051" s="746"/>
      <c r="J3051" s="747"/>
      <c r="K3051" s="748"/>
      <c r="L3051" s="746"/>
      <c r="M3051" s="747"/>
      <c r="N3051" s="753"/>
    </row>
    <row r="3052" spans="2:14" ht="15" customHeight="1" x14ac:dyDescent="0.25">
      <c r="B3052" s="121" t="s">
        <v>400</v>
      </c>
      <c r="C3052" s="122" t="s">
        <v>401</v>
      </c>
      <c r="D3052" s="123" t="s">
        <v>402</v>
      </c>
      <c r="E3052" s="123" t="s">
        <v>403</v>
      </c>
      <c r="F3052" s="123" t="s">
        <v>404</v>
      </c>
      <c r="G3052" s="123" t="s">
        <v>405</v>
      </c>
      <c r="H3052" s="123" t="s">
        <v>406</v>
      </c>
      <c r="I3052" s="746"/>
      <c r="J3052" s="747"/>
      <c r="K3052" s="748"/>
      <c r="L3052" s="746"/>
      <c r="M3052" s="747"/>
      <c r="N3052" s="753"/>
    </row>
    <row r="3053" spans="2:14" ht="15" customHeight="1" x14ac:dyDescent="0.25">
      <c r="B3053" s="124"/>
      <c r="C3053" s="145"/>
      <c r="D3053" s="125">
        <v>400</v>
      </c>
      <c r="E3053" s="125"/>
      <c r="F3053" s="125"/>
      <c r="G3053" s="125"/>
      <c r="H3053" s="125">
        <f>D3053</f>
        <v>400</v>
      </c>
      <c r="I3053" s="746"/>
      <c r="J3053" s="747"/>
      <c r="K3053" s="748"/>
      <c r="L3053" s="746"/>
      <c r="M3053" s="747"/>
      <c r="N3053" s="753"/>
    </row>
    <row r="3054" spans="2:14" ht="15" customHeight="1" x14ac:dyDescent="0.25">
      <c r="B3054" s="124"/>
      <c r="C3054" s="145"/>
      <c r="D3054" s="125"/>
      <c r="E3054" s="125"/>
      <c r="F3054" s="125"/>
      <c r="G3054" s="125"/>
      <c r="H3054" s="125"/>
      <c r="I3054" s="746"/>
      <c r="J3054" s="747"/>
      <c r="K3054" s="748"/>
      <c r="L3054" s="746"/>
      <c r="M3054" s="747"/>
      <c r="N3054" s="753"/>
    </row>
    <row r="3055" spans="2:14" ht="15" customHeight="1" x14ac:dyDescent="0.25">
      <c r="B3055" s="165"/>
      <c r="C3055" s="145"/>
      <c r="D3055" s="125"/>
      <c r="E3055" s="125"/>
      <c r="F3055" s="125"/>
      <c r="G3055" s="125"/>
      <c r="H3055" s="125"/>
      <c r="I3055" s="746"/>
      <c r="J3055" s="747"/>
      <c r="K3055" s="748"/>
      <c r="L3055" s="746"/>
      <c r="M3055" s="747"/>
      <c r="N3055" s="753"/>
    </row>
    <row r="3056" spans="2:14" ht="15" customHeight="1" x14ac:dyDescent="0.25">
      <c r="B3056" s="165"/>
      <c r="C3056" s="145"/>
      <c r="D3056" s="125"/>
      <c r="E3056" s="125"/>
      <c r="F3056" s="125"/>
      <c r="G3056" s="125"/>
      <c r="H3056" s="125"/>
      <c r="I3056" s="746"/>
      <c r="J3056" s="747"/>
      <c r="K3056" s="748"/>
      <c r="L3056" s="746"/>
      <c r="M3056" s="747"/>
      <c r="N3056" s="753"/>
    </row>
    <row r="3057" spans="2:14" ht="15" customHeight="1" x14ac:dyDescent="0.25">
      <c r="B3057" s="165"/>
      <c r="C3057" s="145"/>
      <c r="D3057" s="125"/>
      <c r="E3057" s="125"/>
      <c r="F3057" s="125"/>
      <c r="G3057" s="125"/>
      <c r="H3057" s="125"/>
      <c r="I3057" s="746"/>
      <c r="J3057" s="747"/>
      <c r="K3057" s="748"/>
      <c r="L3057" s="746"/>
      <c r="M3057" s="747"/>
      <c r="N3057" s="753"/>
    </row>
    <row r="3058" spans="2:14" ht="15" customHeight="1" x14ac:dyDescent="0.25">
      <c r="B3058" s="165"/>
      <c r="C3058" s="145"/>
      <c r="D3058" s="125"/>
      <c r="E3058" s="125"/>
      <c r="F3058" s="125"/>
      <c r="G3058" s="125"/>
      <c r="H3058" s="125"/>
      <c r="I3058" s="746"/>
      <c r="J3058" s="747"/>
      <c r="K3058" s="748"/>
      <c r="L3058" s="746"/>
      <c r="M3058" s="747"/>
      <c r="N3058" s="753"/>
    </row>
    <row r="3059" spans="2:14" ht="15" customHeight="1" x14ac:dyDescent="0.25">
      <c r="B3059" s="165"/>
      <c r="C3059" s="145"/>
      <c r="D3059" s="125"/>
      <c r="E3059" s="125"/>
      <c r="F3059" s="125"/>
      <c r="G3059" s="125"/>
      <c r="H3059" s="125"/>
      <c r="I3059" s="746"/>
      <c r="J3059" s="747"/>
      <c r="K3059" s="748"/>
      <c r="L3059" s="746"/>
      <c r="M3059" s="747"/>
      <c r="N3059" s="753"/>
    </row>
    <row r="3060" spans="2:14" ht="15" customHeight="1" x14ac:dyDescent="0.25">
      <c r="B3060" s="124"/>
      <c r="C3060" s="145"/>
      <c r="D3060" s="125"/>
      <c r="E3060" s="125"/>
      <c r="F3060" s="125"/>
      <c r="G3060" s="125"/>
      <c r="H3060" s="125"/>
      <c r="I3060" s="746"/>
      <c r="J3060" s="747"/>
      <c r="K3060" s="748"/>
      <c r="L3060" s="746"/>
      <c r="M3060" s="747"/>
      <c r="N3060" s="753"/>
    </row>
    <row r="3061" spans="2:14" ht="15" customHeight="1" x14ac:dyDescent="0.25">
      <c r="B3061" s="124"/>
      <c r="C3061" s="125"/>
      <c r="D3061" s="125"/>
      <c r="E3061" s="125"/>
      <c r="F3061" s="125"/>
      <c r="G3061" s="125"/>
      <c r="H3061" s="125"/>
      <c r="I3061" s="746"/>
      <c r="J3061" s="747"/>
      <c r="K3061" s="748"/>
      <c r="L3061" s="746"/>
      <c r="M3061" s="747"/>
      <c r="N3061" s="753"/>
    </row>
    <row r="3062" spans="2:14" ht="15" customHeight="1" x14ac:dyDescent="0.25">
      <c r="B3062" s="127"/>
      <c r="C3062" s="125"/>
      <c r="D3062" s="125"/>
      <c r="E3062" s="125"/>
      <c r="F3062" s="125"/>
      <c r="G3062" s="125"/>
      <c r="H3062" s="125"/>
      <c r="I3062" s="749"/>
      <c r="J3062" s="750"/>
      <c r="K3062" s="751"/>
      <c r="L3062" s="749"/>
      <c r="M3062" s="750"/>
      <c r="N3062" s="754"/>
    </row>
    <row r="3063" spans="2:14" ht="15" customHeight="1" x14ac:dyDescent="0.25">
      <c r="B3063" s="225"/>
      <c r="C3063" s="128"/>
      <c r="D3063" s="128"/>
      <c r="E3063" s="128"/>
      <c r="F3063" s="128"/>
      <c r="G3063" s="128"/>
      <c r="H3063" s="128"/>
      <c r="I3063" s="128"/>
      <c r="J3063" s="128"/>
      <c r="K3063" s="128"/>
      <c r="L3063" s="118"/>
      <c r="M3063" s="118"/>
      <c r="N3063" s="210"/>
    </row>
    <row r="3064" spans="2:14" ht="15" customHeight="1" x14ac:dyDescent="0.25">
      <c r="B3064" s="209"/>
      <c r="C3064" s="118"/>
      <c r="D3064" s="118"/>
      <c r="E3064" s="118"/>
      <c r="F3064" s="118"/>
      <c r="G3064" s="118"/>
      <c r="H3064" s="118"/>
      <c r="I3064" s="118"/>
      <c r="J3064" s="118"/>
      <c r="K3064" s="118"/>
      <c r="L3064" s="118"/>
      <c r="M3064" s="118"/>
      <c r="N3064" s="210"/>
    </row>
    <row r="3065" spans="2:14" ht="15" customHeight="1" x14ac:dyDescent="0.25">
      <c r="B3065" s="209"/>
      <c r="C3065" s="118"/>
      <c r="D3065" s="118"/>
      <c r="E3065" s="118"/>
      <c r="F3065" s="118"/>
      <c r="G3065" s="118"/>
      <c r="H3065" s="118"/>
      <c r="I3065" s="118"/>
      <c r="J3065" s="118"/>
      <c r="K3065" s="118"/>
      <c r="L3065" s="118"/>
      <c r="M3065" s="118"/>
      <c r="N3065" s="210"/>
    </row>
    <row r="3066" spans="2:14" ht="15" customHeight="1" thickBot="1" x14ac:dyDescent="0.3">
      <c r="B3066" s="725" t="s">
        <v>414</v>
      </c>
      <c r="C3066" s="726"/>
      <c r="D3066" s="726"/>
      <c r="E3066" s="147"/>
      <c r="F3066" s="147"/>
      <c r="G3066" s="147"/>
      <c r="H3066" s="147"/>
      <c r="I3066" s="727"/>
      <c r="J3066" s="726"/>
      <c r="K3066" s="726"/>
      <c r="L3066" s="130"/>
      <c r="M3066" s="130"/>
      <c r="N3066" s="131"/>
    </row>
    <row r="3067" spans="2:14" ht="15" customHeight="1" thickBot="1" x14ac:dyDescent="0.3"/>
    <row r="3068" spans="2:14" ht="39.6" customHeight="1" x14ac:dyDescent="0.25">
      <c r="B3068" s="728"/>
      <c r="C3068" s="729"/>
      <c r="D3068" s="730" t="s">
        <v>393</v>
      </c>
      <c r="E3068" s="729"/>
      <c r="F3068" s="729"/>
      <c r="G3068" s="729"/>
      <c r="H3068" s="729"/>
      <c r="I3068" s="729"/>
      <c r="J3068" s="729"/>
      <c r="K3068" s="729"/>
      <c r="L3068" s="729"/>
      <c r="M3068" s="729"/>
      <c r="N3068" s="731"/>
    </row>
    <row r="3069" spans="2:14" ht="18.600000000000001" customHeight="1" x14ac:dyDescent="0.25">
      <c r="B3069" s="732" t="s">
        <v>394</v>
      </c>
      <c r="C3069" s="733"/>
      <c r="D3069" s="733"/>
      <c r="E3069" s="733"/>
      <c r="F3069" s="733"/>
      <c r="G3069" s="733"/>
      <c r="H3069" s="733"/>
      <c r="I3069" s="733"/>
      <c r="J3069" s="733"/>
      <c r="K3069" s="733"/>
      <c r="L3069" s="733"/>
      <c r="M3069" s="733"/>
      <c r="N3069" s="734"/>
    </row>
    <row r="3070" spans="2:14" ht="24" customHeight="1" x14ac:dyDescent="0.25">
      <c r="B3070" s="735" t="s">
        <v>395</v>
      </c>
      <c r="C3070" s="736"/>
      <c r="D3070" s="737" t="str">
        <f>VLOOKUP(B3072,Buenaventura!A9:G4385,3,FALSE)</f>
        <v>Mantenimiento de zona verde, incluye limpieza, corte de césped, control de plagas, riego, fertilización</v>
      </c>
      <c r="E3070" s="738"/>
      <c r="F3070" s="738"/>
      <c r="G3070" s="738"/>
      <c r="H3070" s="738"/>
      <c r="I3070" s="738"/>
      <c r="J3070" s="738"/>
      <c r="K3070" s="738"/>
      <c r="L3070" s="738"/>
      <c r="M3070" s="738"/>
      <c r="N3070" s="739"/>
    </row>
    <row r="3071" spans="2:14" ht="30.6" customHeight="1" x14ac:dyDescent="0.25">
      <c r="B3071" s="740" t="s">
        <v>26</v>
      </c>
      <c r="C3071" s="741"/>
      <c r="D3071" s="119" t="s">
        <v>396</v>
      </c>
      <c r="E3071" s="742" t="s">
        <v>397</v>
      </c>
      <c r="F3071" s="733"/>
      <c r="G3071" s="733"/>
      <c r="H3071" s="736"/>
      <c r="I3071" s="742" t="s">
        <v>398</v>
      </c>
      <c r="J3071" s="733"/>
      <c r="K3071" s="736"/>
      <c r="L3071" s="742" t="s">
        <v>399</v>
      </c>
      <c r="M3071" s="733"/>
      <c r="N3071" s="734"/>
    </row>
    <row r="3072" spans="2:14" ht="15" customHeight="1" x14ac:dyDescent="0.25">
      <c r="B3072" s="283">
        <v>54</v>
      </c>
      <c r="C3072" s="284" t="str">
        <f>VLOOKUP(B3072,Buenaventura!A9:G4398,2,FALSE)</f>
        <v>VA-25</v>
      </c>
      <c r="D3072" s="285">
        <f>SUM(H3075:H3078)</f>
        <v>250</v>
      </c>
      <c r="E3072" s="743" t="str">
        <f>VLOOKUP(B3072,Buenaventura!A9:G4397,4,FALSE)</f>
        <v>M2</v>
      </c>
      <c r="F3072" s="743"/>
      <c r="G3072" s="743"/>
      <c r="H3072" s="743"/>
      <c r="I3072" s="744"/>
      <c r="J3072" s="745"/>
      <c r="K3072" s="741"/>
      <c r="L3072" s="744"/>
      <c r="M3072" s="745"/>
      <c r="N3072" s="752"/>
    </row>
    <row r="3073" spans="2:14" ht="15" customHeight="1" x14ac:dyDescent="0.25">
      <c r="B3073" s="755" t="s">
        <v>416</v>
      </c>
      <c r="C3073" s="733"/>
      <c r="D3073" s="733"/>
      <c r="E3073" s="733"/>
      <c r="F3073" s="733"/>
      <c r="G3073" s="733"/>
      <c r="H3073" s="736"/>
      <c r="I3073" s="746"/>
      <c r="J3073" s="747"/>
      <c r="K3073" s="748"/>
      <c r="L3073" s="746"/>
      <c r="M3073" s="747"/>
      <c r="N3073" s="753"/>
    </row>
    <row r="3074" spans="2:14" ht="15" customHeight="1" x14ac:dyDescent="0.25">
      <c r="B3074" s="121" t="s">
        <v>400</v>
      </c>
      <c r="C3074" s="122" t="s">
        <v>401</v>
      </c>
      <c r="D3074" s="123" t="s">
        <v>402</v>
      </c>
      <c r="E3074" s="123" t="s">
        <v>403</v>
      </c>
      <c r="F3074" s="123" t="s">
        <v>404</v>
      </c>
      <c r="G3074" s="123" t="s">
        <v>405</v>
      </c>
      <c r="H3074" s="123" t="s">
        <v>406</v>
      </c>
      <c r="I3074" s="746"/>
      <c r="J3074" s="747"/>
      <c r="K3074" s="748"/>
      <c r="L3074" s="746"/>
      <c r="M3074" s="747"/>
      <c r="N3074" s="753"/>
    </row>
    <row r="3075" spans="2:14" ht="15" customHeight="1" x14ac:dyDescent="0.25">
      <c r="B3075" s="124"/>
      <c r="C3075" s="145"/>
      <c r="D3075" s="125">
        <v>250</v>
      </c>
      <c r="E3075" s="125"/>
      <c r="F3075" s="125"/>
      <c r="G3075" s="125"/>
      <c r="H3075" s="125">
        <f>D3075</f>
        <v>250</v>
      </c>
      <c r="I3075" s="746"/>
      <c r="J3075" s="747"/>
      <c r="K3075" s="748"/>
      <c r="L3075" s="746"/>
      <c r="M3075" s="747"/>
      <c r="N3075" s="753"/>
    </row>
    <row r="3076" spans="2:14" ht="15" customHeight="1" x14ac:dyDescent="0.25">
      <c r="B3076" s="124"/>
      <c r="C3076" s="145"/>
      <c r="D3076" s="125"/>
      <c r="E3076" s="125"/>
      <c r="F3076" s="125"/>
      <c r="G3076" s="125"/>
      <c r="H3076" s="125"/>
      <c r="I3076" s="746"/>
      <c r="J3076" s="747"/>
      <c r="K3076" s="748"/>
      <c r="L3076" s="746"/>
      <c r="M3076" s="747"/>
      <c r="N3076" s="753"/>
    </row>
    <row r="3077" spans="2:14" ht="15" customHeight="1" x14ac:dyDescent="0.25">
      <c r="B3077" s="165"/>
      <c r="C3077" s="145"/>
      <c r="D3077" s="125"/>
      <c r="E3077" s="125"/>
      <c r="F3077" s="125"/>
      <c r="G3077" s="125"/>
      <c r="H3077" s="125"/>
      <c r="I3077" s="746"/>
      <c r="J3077" s="747"/>
      <c r="K3077" s="748"/>
      <c r="L3077" s="746"/>
      <c r="M3077" s="747"/>
      <c r="N3077" s="753"/>
    </row>
    <row r="3078" spans="2:14" ht="15" customHeight="1" x14ac:dyDescent="0.25">
      <c r="B3078" s="165"/>
      <c r="C3078" s="145"/>
      <c r="D3078" s="125"/>
      <c r="E3078" s="125"/>
      <c r="F3078" s="125"/>
      <c r="G3078" s="125"/>
      <c r="H3078" s="125"/>
      <c r="I3078" s="746"/>
      <c r="J3078" s="747"/>
      <c r="K3078" s="748"/>
      <c r="L3078" s="746"/>
      <c r="M3078" s="747"/>
      <c r="N3078" s="753"/>
    </row>
    <row r="3079" spans="2:14" ht="15" customHeight="1" x14ac:dyDescent="0.25">
      <c r="B3079" s="165"/>
      <c r="C3079" s="145"/>
      <c r="D3079" s="125"/>
      <c r="E3079" s="125"/>
      <c r="F3079" s="125"/>
      <c r="G3079" s="125"/>
      <c r="H3079" s="125"/>
      <c r="I3079" s="746"/>
      <c r="J3079" s="747"/>
      <c r="K3079" s="748"/>
      <c r="L3079" s="746"/>
      <c r="M3079" s="747"/>
      <c r="N3079" s="753"/>
    </row>
    <row r="3080" spans="2:14" ht="15" customHeight="1" x14ac:dyDescent="0.25">
      <c r="B3080" s="165"/>
      <c r="C3080" s="145"/>
      <c r="D3080" s="125"/>
      <c r="E3080" s="125"/>
      <c r="F3080" s="125"/>
      <c r="G3080" s="125"/>
      <c r="H3080" s="125"/>
      <c r="I3080" s="746"/>
      <c r="J3080" s="747"/>
      <c r="K3080" s="748"/>
      <c r="L3080" s="746"/>
      <c r="M3080" s="747"/>
      <c r="N3080" s="753"/>
    </row>
    <row r="3081" spans="2:14" ht="15" customHeight="1" x14ac:dyDescent="0.25">
      <c r="B3081" s="165"/>
      <c r="C3081" s="145"/>
      <c r="D3081" s="125"/>
      <c r="E3081" s="125"/>
      <c r="F3081" s="125"/>
      <c r="G3081" s="125"/>
      <c r="H3081" s="125"/>
      <c r="I3081" s="746"/>
      <c r="J3081" s="747"/>
      <c r="K3081" s="748"/>
      <c r="L3081" s="746"/>
      <c r="M3081" s="747"/>
      <c r="N3081" s="753"/>
    </row>
    <row r="3082" spans="2:14" ht="15" customHeight="1" x14ac:dyDescent="0.25">
      <c r="B3082" s="124"/>
      <c r="C3082" s="145"/>
      <c r="D3082" s="125"/>
      <c r="E3082" s="125"/>
      <c r="F3082" s="125"/>
      <c r="G3082" s="125"/>
      <c r="H3082" s="125"/>
      <c r="I3082" s="746"/>
      <c r="J3082" s="747"/>
      <c r="K3082" s="748"/>
      <c r="L3082" s="746"/>
      <c r="M3082" s="747"/>
      <c r="N3082" s="753"/>
    </row>
    <row r="3083" spans="2:14" ht="15" customHeight="1" x14ac:dyDescent="0.25">
      <c r="B3083" s="124"/>
      <c r="C3083" s="125"/>
      <c r="D3083" s="125"/>
      <c r="E3083" s="125"/>
      <c r="F3083" s="125"/>
      <c r="G3083" s="125"/>
      <c r="H3083" s="125"/>
      <c r="I3083" s="746"/>
      <c r="J3083" s="747"/>
      <c r="K3083" s="748"/>
      <c r="L3083" s="746"/>
      <c r="M3083" s="747"/>
      <c r="N3083" s="753"/>
    </row>
    <row r="3084" spans="2:14" ht="15" customHeight="1" x14ac:dyDescent="0.25">
      <c r="B3084" s="127"/>
      <c r="C3084" s="125"/>
      <c r="D3084" s="125"/>
      <c r="E3084" s="125"/>
      <c r="F3084" s="125"/>
      <c r="G3084" s="125"/>
      <c r="H3084" s="125"/>
      <c r="I3084" s="749"/>
      <c r="J3084" s="750"/>
      <c r="K3084" s="751"/>
      <c r="L3084" s="749"/>
      <c r="M3084" s="750"/>
      <c r="N3084" s="754"/>
    </row>
    <row r="3085" spans="2:14" ht="15" customHeight="1" x14ac:dyDescent="0.25">
      <c r="B3085" s="225"/>
      <c r="C3085" s="128"/>
      <c r="D3085" s="128"/>
      <c r="E3085" s="128"/>
      <c r="F3085" s="128"/>
      <c r="G3085" s="128"/>
      <c r="H3085" s="128"/>
      <c r="I3085" s="128"/>
      <c r="J3085" s="128"/>
      <c r="K3085" s="128"/>
      <c r="L3085" s="118"/>
      <c r="M3085" s="118"/>
      <c r="N3085" s="210"/>
    </row>
    <row r="3086" spans="2:14" ht="15" customHeight="1" x14ac:dyDescent="0.25">
      <c r="B3086" s="209"/>
      <c r="C3086" s="118"/>
      <c r="D3086" s="118"/>
      <c r="E3086" s="118"/>
      <c r="F3086" s="118"/>
      <c r="G3086" s="118"/>
      <c r="H3086" s="118"/>
      <c r="I3086" s="118"/>
      <c r="J3086" s="118"/>
      <c r="K3086" s="118"/>
      <c r="L3086" s="118"/>
      <c r="M3086" s="118"/>
      <c r="N3086" s="210"/>
    </row>
    <row r="3087" spans="2:14" ht="15" customHeight="1" x14ac:dyDescent="0.25">
      <c r="B3087" s="209"/>
      <c r="C3087" s="118"/>
      <c r="D3087" s="118"/>
      <c r="E3087" s="118"/>
      <c r="F3087" s="118"/>
      <c r="G3087" s="118"/>
      <c r="H3087" s="118"/>
      <c r="I3087" s="118"/>
      <c r="J3087" s="118"/>
      <c r="K3087" s="118"/>
      <c r="L3087" s="118"/>
      <c r="M3087" s="118"/>
      <c r="N3087" s="210"/>
    </row>
    <row r="3088" spans="2:14" ht="15" customHeight="1" thickBot="1" x14ac:dyDescent="0.3">
      <c r="B3088" s="725" t="s">
        <v>414</v>
      </c>
      <c r="C3088" s="726"/>
      <c r="D3088" s="726"/>
      <c r="E3088" s="147"/>
      <c r="F3088" s="147"/>
      <c r="G3088" s="147"/>
      <c r="H3088" s="147"/>
      <c r="I3088" s="727"/>
      <c r="J3088" s="726"/>
      <c r="K3088" s="726"/>
      <c r="L3088" s="130"/>
      <c r="M3088" s="130"/>
      <c r="N3088" s="131"/>
    </row>
    <row r="3089" spans="2:14" ht="15" customHeight="1" thickBot="1" x14ac:dyDescent="0.3"/>
    <row r="3090" spans="2:14" ht="37.9" customHeight="1" x14ac:dyDescent="0.25">
      <c r="B3090" s="728"/>
      <c r="C3090" s="729"/>
      <c r="D3090" s="730" t="s">
        <v>393</v>
      </c>
      <c r="E3090" s="729"/>
      <c r="F3090" s="729"/>
      <c r="G3090" s="729"/>
      <c r="H3090" s="729"/>
      <c r="I3090" s="729"/>
      <c r="J3090" s="729"/>
      <c r="K3090" s="729"/>
      <c r="L3090" s="729"/>
      <c r="M3090" s="729"/>
      <c r="N3090" s="731"/>
    </row>
    <row r="3091" spans="2:14" ht="15" customHeight="1" x14ac:dyDescent="0.25">
      <c r="B3091" s="732" t="s">
        <v>394</v>
      </c>
      <c r="C3091" s="733"/>
      <c r="D3091" s="733"/>
      <c r="E3091" s="733"/>
      <c r="F3091" s="733"/>
      <c r="G3091" s="733"/>
      <c r="H3091" s="733"/>
      <c r="I3091" s="733"/>
      <c r="J3091" s="733"/>
      <c r="K3091" s="733"/>
      <c r="L3091" s="733"/>
      <c r="M3091" s="733"/>
      <c r="N3091" s="734"/>
    </row>
    <row r="3092" spans="2:14" ht="15" customHeight="1" x14ac:dyDescent="0.25">
      <c r="B3092" s="735" t="s">
        <v>395</v>
      </c>
      <c r="C3092" s="736"/>
      <c r="D3092" s="737" t="str">
        <f>VLOOKUP(B3094,Buenaventura!A9:G4407,3,FALSE)</f>
        <v>Corfomacion de suelo por capas:   tierra negra con abono orgánico, arena gruesa y grava 3/4</v>
      </c>
      <c r="E3092" s="738"/>
      <c r="F3092" s="738"/>
      <c r="G3092" s="738"/>
      <c r="H3092" s="738"/>
      <c r="I3092" s="738"/>
      <c r="J3092" s="738"/>
      <c r="K3092" s="738"/>
      <c r="L3092" s="738"/>
      <c r="M3092" s="738"/>
      <c r="N3092" s="739"/>
    </row>
    <row r="3093" spans="2:14" ht="26.45" customHeight="1" x14ac:dyDescent="0.25">
      <c r="B3093" s="740" t="s">
        <v>26</v>
      </c>
      <c r="C3093" s="741"/>
      <c r="D3093" s="119" t="s">
        <v>396</v>
      </c>
      <c r="E3093" s="742" t="s">
        <v>397</v>
      </c>
      <c r="F3093" s="733"/>
      <c r="G3093" s="733"/>
      <c r="H3093" s="736"/>
      <c r="I3093" s="742" t="s">
        <v>398</v>
      </c>
      <c r="J3093" s="733"/>
      <c r="K3093" s="736"/>
      <c r="L3093" s="742" t="s">
        <v>399</v>
      </c>
      <c r="M3093" s="733"/>
      <c r="N3093" s="734"/>
    </row>
    <row r="3094" spans="2:14" ht="15" customHeight="1" x14ac:dyDescent="0.25">
      <c r="B3094" s="283">
        <v>55</v>
      </c>
      <c r="C3094" s="284" t="str">
        <f>VLOOKUP(B3094,Buenaventura!A9:G4420,2,FALSE)</f>
        <v>VA-26</v>
      </c>
      <c r="D3094" s="285">
        <f>SUM(H3097:H3100)</f>
        <v>400</v>
      </c>
      <c r="E3094" s="743" t="str">
        <f>VLOOKUP(B3094,Buenaventura!A9:G4419,4,FALSE)</f>
        <v>M2</v>
      </c>
      <c r="F3094" s="743"/>
      <c r="G3094" s="743"/>
      <c r="H3094" s="743"/>
      <c r="I3094" s="744"/>
      <c r="J3094" s="745"/>
      <c r="K3094" s="741"/>
      <c r="L3094" s="744"/>
      <c r="M3094" s="745"/>
      <c r="N3094" s="752"/>
    </row>
    <row r="3095" spans="2:14" ht="15" customHeight="1" x14ac:dyDescent="0.25">
      <c r="B3095" s="755" t="s">
        <v>416</v>
      </c>
      <c r="C3095" s="733"/>
      <c r="D3095" s="733"/>
      <c r="E3095" s="733"/>
      <c r="F3095" s="733"/>
      <c r="G3095" s="733"/>
      <c r="H3095" s="736"/>
      <c r="I3095" s="746"/>
      <c r="J3095" s="747"/>
      <c r="K3095" s="748"/>
      <c r="L3095" s="746"/>
      <c r="M3095" s="747"/>
      <c r="N3095" s="753"/>
    </row>
    <row r="3096" spans="2:14" ht="15" customHeight="1" x14ac:dyDescent="0.25">
      <c r="B3096" s="121" t="s">
        <v>400</v>
      </c>
      <c r="C3096" s="122" t="s">
        <v>401</v>
      </c>
      <c r="D3096" s="123" t="s">
        <v>402</v>
      </c>
      <c r="E3096" s="123" t="s">
        <v>403</v>
      </c>
      <c r="F3096" s="123" t="s">
        <v>404</v>
      </c>
      <c r="G3096" s="123" t="s">
        <v>405</v>
      </c>
      <c r="H3096" s="123" t="s">
        <v>406</v>
      </c>
      <c r="I3096" s="746"/>
      <c r="J3096" s="747"/>
      <c r="K3096" s="748"/>
      <c r="L3096" s="746"/>
      <c r="M3096" s="747"/>
      <c r="N3096" s="753"/>
    </row>
    <row r="3097" spans="2:14" ht="15" customHeight="1" x14ac:dyDescent="0.25">
      <c r="B3097" s="124"/>
      <c r="C3097" s="145"/>
      <c r="D3097" s="125">
        <v>400</v>
      </c>
      <c r="E3097" s="125"/>
      <c r="F3097" s="125"/>
      <c r="G3097" s="125"/>
      <c r="H3097" s="125">
        <f>D3097</f>
        <v>400</v>
      </c>
      <c r="I3097" s="746"/>
      <c r="J3097" s="747"/>
      <c r="K3097" s="748"/>
      <c r="L3097" s="746"/>
      <c r="M3097" s="747"/>
      <c r="N3097" s="753"/>
    </row>
    <row r="3098" spans="2:14" ht="15" customHeight="1" x14ac:dyDescent="0.25">
      <c r="B3098" s="124"/>
      <c r="C3098" s="145"/>
      <c r="D3098" s="125"/>
      <c r="E3098" s="125"/>
      <c r="F3098" s="125"/>
      <c r="G3098" s="125"/>
      <c r="H3098" s="125"/>
      <c r="I3098" s="746"/>
      <c r="J3098" s="747"/>
      <c r="K3098" s="748"/>
      <c r="L3098" s="746"/>
      <c r="M3098" s="747"/>
      <c r="N3098" s="753"/>
    </row>
    <row r="3099" spans="2:14" ht="15" customHeight="1" x14ac:dyDescent="0.25">
      <c r="B3099" s="165"/>
      <c r="C3099" s="145"/>
      <c r="D3099" s="125"/>
      <c r="E3099" s="125"/>
      <c r="F3099" s="125"/>
      <c r="G3099" s="125"/>
      <c r="H3099" s="125"/>
      <c r="I3099" s="746"/>
      <c r="J3099" s="747"/>
      <c r="K3099" s="748"/>
      <c r="L3099" s="746"/>
      <c r="M3099" s="747"/>
      <c r="N3099" s="753"/>
    </row>
    <row r="3100" spans="2:14" ht="15" customHeight="1" x14ac:dyDescent="0.25">
      <c r="B3100" s="165"/>
      <c r="C3100" s="145"/>
      <c r="D3100" s="125"/>
      <c r="E3100" s="125"/>
      <c r="F3100" s="125"/>
      <c r="G3100" s="125"/>
      <c r="H3100" s="125"/>
      <c r="I3100" s="746"/>
      <c r="J3100" s="747"/>
      <c r="K3100" s="748"/>
      <c r="L3100" s="746"/>
      <c r="M3100" s="747"/>
      <c r="N3100" s="753"/>
    </row>
    <row r="3101" spans="2:14" ht="15" customHeight="1" x14ac:dyDescent="0.25">
      <c r="B3101" s="165"/>
      <c r="C3101" s="145"/>
      <c r="D3101" s="125"/>
      <c r="E3101" s="125"/>
      <c r="F3101" s="125"/>
      <c r="G3101" s="125"/>
      <c r="H3101" s="125"/>
      <c r="I3101" s="746"/>
      <c r="J3101" s="747"/>
      <c r="K3101" s="748"/>
      <c r="L3101" s="746"/>
      <c r="M3101" s="747"/>
      <c r="N3101" s="753"/>
    </row>
    <row r="3102" spans="2:14" ht="15" customHeight="1" x14ac:dyDescent="0.25">
      <c r="B3102" s="165"/>
      <c r="C3102" s="145"/>
      <c r="D3102" s="125"/>
      <c r="E3102" s="125"/>
      <c r="F3102" s="125"/>
      <c r="G3102" s="125"/>
      <c r="H3102" s="125"/>
      <c r="I3102" s="746"/>
      <c r="J3102" s="747"/>
      <c r="K3102" s="748"/>
      <c r="L3102" s="746"/>
      <c r="M3102" s="747"/>
      <c r="N3102" s="753"/>
    </row>
    <row r="3103" spans="2:14" ht="15" customHeight="1" x14ac:dyDescent="0.25">
      <c r="B3103" s="165"/>
      <c r="C3103" s="145"/>
      <c r="D3103" s="125"/>
      <c r="E3103" s="125"/>
      <c r="F3103" s="125"/>
      <c r="G3103" s="125"/>
      <c r="H3103" s="125"/>
      <c r="I3103" s="746"/>
      <c r="J3103" s="747"/>
      <c r="K3103" s="748"/>
      <c r="L3103" s="746"/>
      <c r="M3103" s="747"/>
      <c r="N3103" s="753"/>
    </row>
    <row r="3104" spans="2:14" ht="15" customHeight="1" x14ac:dyDescent="0.25">
      <c r="B3104" s="124"/>
      <c r="C3104" s="145"/>
      <c r="D3104" s="125"/>
      <c r="E3104" s="125"/>
      <c r="F3104" s="125"/>
      <c r="G3104" s="125"/>
      <c r="H3104" s="125"/>
      <c r="I3104" s="746"/>
      <c r="J3104" s="747"/>
      <c r="K3104" s="748"/>
      <c r="L3104" s="746"/>
      <c r="M3104" s="747"/>
      <c r="N3104" s="753"/>
    </row>
    <row r="3105" spans="2:14" ht="15" customHeight="1" x14ac:dyDescent="0.25">
      <c r="B3105" s="124"/>
      <c r="C3105" s="125"/>
      <c r="D3105" s="125"/>
      <c r="E3105" s="125"/>
      <c r="F3105" s="125"/>
      <c r="G3105" s="125"/>
      <c r="H3105" s="125"/>
      <c r="I3105" s="746"/>
      <c r="J3105" s="747"/>
      <c r="K3105" s="748"/>
      <c r="L3105" s="746"/>
      <c r="M3105" s="747"/>
      <c r="N3105" s="753"/>
    </row>
    <row r="3106" spans="2:14" ht="15" customHeight="1" x14ac:dyDescent="0.25">
      <c r="B3106" s="127"/>
      <c r="C3106" s="125"/>
      <c r="D3106" s="125"/>
      <c r="E3106" s="125"/>
      <c r="F3106" s="125"/>
      <c r="G3106" s="125"/>
      <c r="H3106" s="125"/>
      <c r="I3106" s="749"/>
      <c r="J3106" s="750"/>
      <c r="K3106" s="751"/>
      <c r="L3106" s="749"/>
      <c r="M3106" s="750"/>
      <c r="N3106" s="754"/>
    </row>
    <row r="3107" spans="2:14" ht="15" customHeight="1" x14ac:dyDescent="0.25">
      <c r="B3107" s="225"/>
      <c r="C3107" s="128"/>
      <c r="D3107" s="128"/>
      <c r="E3107" s="128"/>
      <c r="F3107" s="128"/>
      <c r="G3107" s="128"/>
      <c r="H3107" s="128"/>
      <c r="I3107" s="128"/>
      <c r="J3107" s="128"/>
      <c r="K3107" s="128"/>
      <c r="L3107" s="118"/>
      <c r="M3107" s="118"/>
      <c r="N3107" s="210"/>
    </row>
    <row r="3108" spans="2:14" ht="15" customHeight="1" x14ac:dyDescent="0.25">
      <c r="B3108" s="209"/>
      <c r="C3108" s="118"/>
      <c r="D3108" s="118"/>
      <c r="E3108" s="118"/>
      <c r="F3108" s="118"/>
      <c r="G3108" s="118"/>
      <c r="H3108" s="118"/>
      <c r="I3108" s="118"/>
      <c r="J3108" s="118"/>
      <c r="K3108" s="118"/>
      <c r="L3108" s="118"/>
      <c r="M3108" s="118"/>
      <c r="N3108" s="210"/>
    </row>
    <row r="3109" spans="2:14" ht="15" customHeight="1" x14ac:dyDescent="0.25">
      <c r="B3109" s="209"/>
      <c r="C3109" s="118"/>
      <c r="D3109" s="118"/>
      <c r="E3109" s="118"/>
      <c r="F3109" s="118"/>
      <c r="G3109" s="118"/>
      <c r="H3109" s="118"/>
      <c r="I3109" s="118"/>
      <c r="J3109" s="118"/>
      <c r="K3109" s="118"/>
      <c r="L3109" s="118"/>
      <c r="M3109" s="118"/>
      <c r="N3109" s="210"/>
    </row>
    <row r="3110" spans="2:14" ht="15" customHeight="1" thickBot="1" x14ac:dyDescent="0.3">
      <c r="B3110" s="725" t="s">
        <v>414</v>
      </c>
      <c r="C3110" s="726"/>
      <c r="D3110" s="726"/>
      <c r="E3110" s="147"/>
      <c r="F3110" s="147"/>
      <c r="G3110" s="147"/>
      <c r="H3110" s="147"/>
      <c r="I3110" s="727"/>
      <c r="J3110" s="726"/>
      <c r="K3110" s="726"/>
      <c r="L3110" s="130"/>
      <c r="M3110" s="130"/>
      <c r="N3110" s="131"/>
    </row>
    <row r="3111" spans="2:14" ht="15" customHeight="1" thickBot="1" x14ac:dyDescent="0.3"/>
    <row r="3112" spans="2:14" ht="39.6" customHeight="1" x14ac:dyDescent="0.25">
      <c r="B3112" s="728"/>
      <c r="C3112" s="729"/>
      <c r="D3112" s="730" t="s">
        <v>393</v>
      </c>
      <c r="E3112" s="729"/>
      <c r="F3112" s="729"/>
      <c r="G3112" s="729"/>
      <c r="H3112" s="729"/>
      <c r="I3112" s="729"/>
      <c r="J3112" s="729"/>
      <c r="K3112" s="729"/>
      <c r="L3112" s="729"/>
      <c r="M3112" s="729"/>
      <c r="N3112" s="731"/>
    </row>
    <row r="3113" spans="2:14" ht="15" customHeight="1" x14ac:dyDescent="0.25">
      <c r="B3113" s="732" t="s">
        <v>394</v>
      </c>
      <c r="C3113" s="733"/>
      <c r="D3113" s="733"/>
      <c r="E3113" s="733"/>
      <c r="F3113" s="733"/>
      <c r="G3113" s="733"/>
      <c r="H3113" s="733"/>
      <c r="I3113" s="733"/>
      <c r="J3113" s="733"/>
      <c r="K3113" s="733"/>
      <c r="L3113" s="733"/>
      <c r="M3113" s="733"/>
      <c r="N3113" s="734"/>
    </row>
    <row r="3114" spans="2:14" ht="32.450000000000003" customHeight="1" x14ac:dyDescent="0.25">
      <c r="B3114" s="735" t="s">
        <v>395</v>
      </c>
      <c r="C3114" s="736"/>
      <c r="D3114" s="737" t="str">
        <f>VLOOKUP(B3116,Buenaventura!A9:G4429,3,FALSE)</f>
        <v>Fabricación de sendero en piedra, adoquín o gravilla), incluye excavación, adecuación terreno, nivelación, manto, cama de arena, bordillo o delimitador, drenajes)</v>
      </c>
      <c r="E3114" s="738"/>
      <c r="F3114" s="738"/>
      <c r="G3114" s="738"/>
      <c r="H3114" s="738"/>
      <c r="I3114" s="738"/>
      <c r="J3114" s="738"/>
      <c r="K3114" s="738"/>
      <c r="L3114" s="738"/>
      <c r="M3114" s="738"/>
      <c r="N3114" s="739"/>
    </row>
    <row r="3115" spans="2:14" ht="22.15" customHeight="1" x14ac:dyDescent="0.25">
      <c r="B3115" s="740" t="s">
        <v>26</v>
      </c>
      <c r="C3115" s="741"/>
      <c r="D3115" s="119" t="s">
        <v>396</v>
      </c>
      <c r="E3115" s="742" t="s">
        <v>397</v>
      </c>
      <c r="F3115" s="733"/>
      <c r="G3115" s="733"/>
      <c r="H3115" s="736"/>
      <c r="I3115" s="742" t="s">
        <v>398</v>
      </c>
      <c r="J3115" s="733"/>
      <c r="K3115" s="736"/>
      <c r="L3115" s="742" t="s">
        <v>399</v>
      </c>
      <c r="M3115" s="733"/>
      <c r="N3115" s="734"/>
    </row>
    <row r="3116" spans="2:14" ht="15" customHeight="1" x14ac:dyDescent="0.25">
      <c r="B3116" s="283">
        <v>56</v>
      </c>
      <c r="C3116" s="284" t="str">
        <f>VLOOKUP(B3116,Buenaventura!A9:G4442,2,FALSE)</f>
        <v>VA-27</v>
      </c>
      <c r="D3116" s="285">
        <f>SUM(H3119:H3126)</f>
        <v>59</v>
      </c>
      <c r="E3116" s="743" t="str">
        <f>VLOOKUP(B3116,Buenaventura!A9:G4441,4,FALSE)</f>
        <v>M2</v>
      </c>
      <c r="F3116" s="743"/>
      <c r="G3116" s="743"/>
      <c r="H3116" s="743"/>
      <c r="I3116" s="744"/>
      <c r="J3116" s="745"/>
      <c r="K3116" s="741"/>
      <c r="L3116" s="744"/>
      <c r="M3116" s="745"/>
      <c r="N3116" s="752"/>
    </row>
    <row r="3117" spans="2:14" ht="15" customHeight="1" x14ac:dyDescent="0.25">
      <c r="B3117" s="755" t="s">
        <v>416</v>
      </c>
      <c r="C3117" s="733"/>
      <c r="D3117" s="733"/>
      <c r="E3117" s="733"/>
      <c r="F3117" s="733"/>
      <c r="G3117" s="733"/>
      <c r="H3117" s="736"/>
      <c r="I3117" s="746"/>
      <c r="J3117" s="747"/>
      <c r="K3117" s="748"/>
      <c r="L3117" s="746"/>
      <c r="M3117" s="747"/>
      <c r="N3117" s="753"/>
    </row>
    <row r="3118" spans="2:14" ht="15" customHeight="1" x14ac:dyDescent="0.25">
      <c r="B3118" s="121" t="s">
        <v>400</v>
      </c>
      <c r="C3118" s="122" t="s">
        <v>401</v>
      </c>
      <c r="D3118" s="123" t="s">
        <v>402</v>
      </c>
      <c r="E3118" s="123" t="s">
        <v>403</v>
      </c>
      <c r="F3118" s="123" t="s">
        <v>404</v>
      </c>
      <c r="G3118" s="123" t="s">
        <v>405</v>
      </c>
      <c r="H3118" s="123" t="s">
        <v>406</v>
      </c>
      <c r="I3118" s="746"/>
      <c r="J3118" s="747"/>
      <c r="K3118" s="748"/>
      <c r="L3118" s="746"/>
      <c r="M3118" s="747"/>
      <c r="N3118" s="753"/>
    </row>
    <row r="3119" spans="2:14" ht="15" customHeight="1" x14ac:dyDescent="0.25">
      <c r="B3119" s="124" t="s">
        <v>582</v>
      </c>
      <c r="C3119" s="145" t="s">
        <v>583</v>
      </c>
      <c r="D3119" s="125">
        <v>2</v>
      </c>
      <c r="E3119" s="125"/>
      <c r="F3119" s="125"/>
      <c r="G3119" s="125"/>
      <c r="H3119" s="125">
        <f>D3119</f>
        <v>2</v>
      </c>
      <c r="I3119" s="746"/>
      <c r="J3119" s="747"/>
      <c r="K3119" s="748"/>
      <c r="L3119" s="746"/>
      <c r="M3119" s="747"/>
      <c r="N3119" s="753"/>
    </row>
    <row r="3120" spans="2:14" ht="15" customHeight="1" x14ac:dyDescent="0.25">
      <c r="B3120" s="124" t="s">
        <v>584</v>
      </c>
      <c r="C3120" s="145"/>
      <c r="D3120" s="125">
        <v>2</v>
      </c>
      <c r="E3120" s="125"/>
      <c r="F3120" s="125"/>
      <c r="G3120" s="125"/>
      <c r="H3120" s="125">
        <f t="shared" ref="H3120:H3126" si="65">D3120</f>
        <v>2</v>
      </c>
      <c r="I3120" s="746"/>
      <c r="J3120" s="747"/>
      <c r="K3120" s="748"/>
      <c r="L3120" s="746"/>
      <c r="M3120" s="747"/>
      <c r="N3120" s="753"/>
    </row>
    <row r="3121" spans="2:14" ht="15" customHeight="1" x14ac:dyDescent="0.25">
      <c r="B3121" s="165" t="s">
        <v>585</v>
      </c>
      <c r="C3121" s="145"/>
      <c r="D3121" s="125">
        <v>15</v>
      </c>
      <c r="E3121" s="125"/>
      <c r="F3121" s="125"/>
      <c r="G3121" s="125"/>
      <c r="H3121" s="125">
        <f t="shared" si="65"/>
        <v>15</v>
      </c>
      <c r="I3121" s="746"/>
      <c r="J3121" s="747"/>
      <c r="K3121" s="748"/>
      <c r="L3121" s="746"/>
      <c r="M3121" s="747"/>
      <c r="N3121" s="753"/>
    </row>
    <row r="3122" spans="2:14" ht="15" customHeight="1" x14ac:dyDescent="0.25">
      <c r="B3122" s="165" t="s">
        <v>586</v>
      </c>
      <c r="C3122" s="145"/>
      <c r="D3122" s="125">
        <v>15</v>
      </c>
      <c r="E3122" s="125"/>
      <c r="F3122" s="125"/>
      <c r="G3122" s="125"/>
      <c r="H3122" s="125">
        <f t="shared" si="65"/>
        <v>15</v>
      </c>
      <c r="I3122" s="746"/>
      <c r="J3122" s="747"/>
      <c r="K3122" s="748"/>
      <c r="L3122" s="746"/>
      <c r="M3122" s="747"/>
      <c r="N3122" s="753"/>
    </row>
    <row r="3123" spans="2:14" ht="15" customHeight="1" x14ac:dyDescent="0.25">
      <c r="B3123" s="165" t="s">
        <v>587</v>
      </c>
      <c r="C3123" s="145"/>
      <c r="D3123" s="125">
        <v>15</v>
      </c>
      <c r="E3123" s="125"/>
      <c r="F3123" s="125"/>
      <c r="G3123" s="125"/>
      <c r="H3123" s="125">
        <f t="shared" si="65"/>
        <v>15</v>
      </c>
      <c r="I3123" s="746"/>
      <c r="J3123" s="747"/>
      <c r="K3123" s="748"/>
      <c r="L3123" s="746"/>
      <c r="M3123" s="747"/>
      <c r="N3123" s="753"/>
    </row>
    <row r="3124" spans="2:14" ht="15" customHeight="1" x14ac:dyDescent="0.25">
      <c r="B3124" s="165" t="s">
        <v>588</v>
      </c>
      <c r="C3124" s="145"/>
      <c r="D3124" s="125">
        <v>10</v>
      </c>
      <c r="E3124" s="125"/>
      <c r="F3124" s="125"/>
      <c r="G3124" s="125"/>
      <c r="H3124" s="125">
        <f t="shared" si="65"/>
        <v>10</v>
      </c>
      <c r="I3124" s="746"/>
      <c r="J3124" s="747"/>
      <c r="K3124" s="748"/>
      <c r="L3124" s="746"/>
      <c r="M3124" s="747"/>
      <c r="N3124" s="753"/>
    </row>
    <row r="3125" spans="2:14" ht="15" customHeight="1" x14ac:dyDescent="0.25">
      <c r="B3125" s="165"/>
      <c r="C3125" s="145"/>
      <c r="D3125" s="125"/>
      <c r="E3125" s="125"/>
      <c r="F3125" s="125"/>
      <c r="G3125" s="125"/>
      <c r="H3125" s="125">
        <f t="shared" si="65"/>
        <v>0</v>
      </c>
      <c r="I3125" s="746"/>
      <c r="J3125" s="747"/>
      <c r="K3125" s="748"/>
      <c r="L3125" s="746"/>
      <c r="M3125" s="747"/>
      <c r="N3125" s="753"/>
    </row>
    <row r="3126" spans="2:14" ht="15" customHeight="1" x14ac:dyDescent="0.25">
      <c r="B3126" s="124"/>
      <c r="C3126" s="145"/>
      <c r="D3126" s="125"/>
      <c r="E3126" s="125"/>
      <c r="F3126" s="125"/>
      <c r="G3126" s="125"/>
      <c r="H3126" s="125">
        <f t="shared" si="65"/>
        <v>0</v>
      </c>
      <c r="I3126" s="746"/>
      <c r="J3126" s="747"/>
      <c r="K3126" s="748"/>
      <c r="L3126" s="746"/>
      <c r="M3126" s="747"/>
      <c r="N3126" s="753"/>
    </row>
    <row r="3127" spans="2:14" ht="15" customHeight="1" x14ac:dyDescent="0.25">
      <c r="B3127" s="124"/>
      <c r="C3127" s="125"/>
      <c r="D3127" s="125"/>
      <c r="E3127" s="125"/>
      <c r="F3127" s="125"/>
      <c r="G3127" s="125"/>
      <c r="H3127" s="125"/>
      <c r="I3127" s="746"/>
      <c r="J3127" s="747"/>
      <c r="K3127" s="748"/>
      <c r="L3127" s="746"/>
      <c r="M3127" s="747"/>
      <c r="N3127" s="753"/>
    </row>
    <row r="3128" spans="2:14" ht="15" customHeight="1" x14ac:dyDescent="0.25">
      <c r="B3128" s="127"/>
      <c r="C3128" s="125"/>
      <c r="D3128" s="125"/>
      <c r="E3128" s="125"/>
      <c r="F3128" s="125"/>
      <c r="G3128" s="125"/>
      <c r="H3128" s="125"/>
      <c r="I3128" s="749"/>
      <c r="J3128" s="750"/>
      <c r="K3128" s="751"/>
      <c r="L3128" s="749"/>
      <c r="M3128" s="750"/>
      <c r="N3128" s="754"/>
    </row>
    <row r="3129" spans="2:14" ht="15" customHeight="1" x14ac:dyDescent="0.25">
      <c r="B3129" s="225"/>
      <c r="C3129" s="128"/>
      <c r="D3129" s="128"/>
      <c r="E3129" s="128"/>
      <c r="F3129" s="128"/>
      <c r="G3129" s="128"/>
      <c r="H3129" s="128"/>
      <c r="I3129" s="128"/>
      <c r="J3129" s="128"/>
      <c r="K3129" s="128"/>
      <c r="L3129" s="118"/>
      <c r="M3129" s="118"/>
      <c r="N3129" s="210"/>
    </row>
    <row r="3130" spans="2:14" ht="15" customHeight="1" x14ac:dyDescent="0.25">
      <c r="B3130" s="209"/>
      <c r="C3130" s="118"/>
      <c r="D3130" s="118"/>
      <c r="E3130" s="118"/>
      <c r="F3130" s="118"/>
      <c r="G3130" s="118"/>
      <c r="H3130" s="118"/>
      <c r="I3130" s="118"/>
      <c r="J3130" s="118"/>
      <c r="K3130" s="118"/>
      <c r="L3130" s="118"/>
      <c r="M3130" s="118"/>
      <c r="N3130" s="210"/>
    </row>
    <row r="3131" spans="2:14" ht="15" customHeight="1" x14ac:dyDescent="0.25">
      <c r="B3131" s="209"/>
      <c r="C3131" s="118"/>
      <c r="D3131" s="118"/>
      <c r="E3131" s="118"/>
      <c r="F3131" s="118"/>
      <c r="G3131" s="118"/>
      <c r="H3131" s="118"/>
      <c r="I3131" s="118"/>
      <c r="J3131" s="118"/>
      <c r="K3131" s="118"/>
      <c r="L3131" s="118"/>
      <c r="M3131" s="118"/>
      <c r="N3131" s="210"/>
    </row>
    <row r="3132" spans="2:14" ht="15" customHeight="1" thickBot="1" x14ac:dyDescent="0.3">
      <c r="B3132" s="725" t="s">
        <v>414</v>
      </c>
      <c r="C3132" s="726"/>
      <c r="D3132" s="726"/>
      <c r="E3132" s="147"/>
      <c r="F3132" s="147"/>
      <c r="G3132" s="147"/>
      <c r="H3132" s="147"/>
      <c r="I3132" s="727"/>
      <c r="J3132" s="726"/>
      <c r="K3132" s="726"/>
      <c r="L3132" s="130"/>
      <c r="M3132" s="130"/>
      <c r="N3132" s="131"/>
    </row>
    <row r="3133" spans="2:14" ht="15" customHeight="1" thickBot="1" x14ac:dyDescent="0.3">
      <c r="B3133" s="364"/>
      <c r="C3133" s="365"/>
      <c r="D3133" s="365"/>
      <c r="E3133" s="364"/>
      <c r="F3133" s="364"/>
      <c r="G3133" s="364"/>
      <c r="H3133" s="364"/>
      <c r="I3133" s="364"/>
      <c r="J3133" s="365"/>
      <c r="K3133" s="365"/>
      <c r="L3133" s="232"/>
      <c r="M3133" s="232"/>
      <c r="N3133" s="232"/>
    </row>
    <row r="3134" spans="2:14" ht="43.9" customHeight="1" x14ac:dyDescent="0.25">
      <c r="B3134" s="728"/>
      <c r="C3134" s="729"/>
      <c r="D3134" s="730" t="s">
        <v>393</v>
      </c>
      <c r="E3134" s="729"/>
      <c r="F3134" s="729"/>
      <c r="G3134" s="729"/>
      <c r="H3134" s="729"/>
      <c r="I3134" s="729"/>
      <c r="J3134" s="729"/>
      <c r="K3134" s="729"/>
      <c r="L3134" s="729"/>
      <c r="M3134" s="729"/>
      <c r="N3134" s="731"/>
    </row>
    <row r="3135" spans="2:14" ht="15" customHeight="1" x14ac:dyDescent="0.25">
      <c r="B3135" s="732" t="s">
        <v>394</v>
      </c>
      <c r="C3135" s="733"/>
      <c r="D3135" s="733"/>
      <c r="E3135" s="733"/>
      <c r="F3135" s="733"/>
      <c r="G3135" s="733"/>
      <c r="H3135" s="733"/>
      <c r="I3135" s="733"/>
      <c r="J3135" s="733"/>
      <c r="K3135" s="733"/>
      <c r="L3135" s="733"/>
      <c r="M3135" s="733"/>
      <c r="N3135" s="734"/>
    </row>
    <row r="3136" spans="2:14" ht="23.45" customHeight="1" x14ac:dyDescent="0.25">
      <c r="B3136" s="735" t="s">
        <v>395</v>
      </c>
      <c r="C3136" s="736"/>
      <c r="D3136" s="737" t="str">
        <f>VLOOKUP(B3138,Buenaventura!A9:G4429,3,FALSE)</f>
        <v>Siembra de césped</v>
      </c>
      <c r="E3136" s="738"/>
      <c r="F3136" s="738"/>
      <c r="G3136" s="738"/>
      <c r="H3136" s="738"/>
      <c r="I3136" s="738"/>
      <c r="J3136" s="738"/>
      <c r="K3136" s="738"/>
      <c r="L3136" s="738"/>
      <c r="M3136" s="738"/>
      <c r="N3136" s="739"/>
    </row>
    <row r="3137" spans="2:14" ht="27" customHeight="1" x14ac:dyDescent="0.25">
      <c r="B3137" s="740" t="s">
        <v>26</v>
      </c>
      <c r="C3137" s="741"/>
      <c r="D3137" s="119" t="s">
        <v>396</v>
      </c>
      <c r="E3137" s="742" t="s">
        <v>397</v>
      </c>
      <c r="F3137" s="733"/>
      <c r="G3137" s="733"/>
      <c r="H3137" s="736"/>
      <c r="I3137" s="742" t="s">
        <v>398</v>
      </c>
      <c r="J3137" s="733"/>
      <c r="K3137" s="736"/>
      <c r="L3137" s="742" t="s">
        <v>399</v>
      </c>
      <c r="M3137" s="733"/>
      <c r="N3137" s="734"/>
    </row>
    <row r="3138" spans="2:14" ht="15" customHeight="1" x14ac:dyDescent="0.25">
      <c r="B3138" s="283">
        <v>57</v>
      </c>
      <c r="C3138" s="284" t="str">
        <f>VLOOKUP(B3138,Buenaventura!A9:G4429,2,FALSE)</f>
        <v>VA-28</v>
      </c>
      <c r="D3138" s="285">
        <f>SUM(H3141:H3144)</f>
        <v>3</v>
      </c>
      <c r="E3138" s="743" t="str">
        <f>VLOOKUP(B3138,Buenaventura!A9:G4429,4,FALSE)</f>
        <v>M2</v>
      </c>
      <c r="F3138" s="743"/>
      <c r="G3138" s="743"/>
      <c r="H3138" s="743"/>
      <c r="I3138" s="744"/>
      <c r="J3138" s="745"/>
      <c r="K3138" s="741"/>
      <c r="L3138" s="744"/>
      <c r="M3138" s="745"/>
      <c r="N3138" s="752"/>
    </row>
    <row r="3139" spans="2:14" ht="15" customHeight="1" x14ac:dyDescent="0.25">
      <c r="B3139" s="755" t="s">
        <v>416</v>
      </c>
      <c r="C3139" s="733"/>
      <c r="D3139" s="733"/>
      <c r="E3139" s="733"/>
      <c r="F3139" s="733"/>
      <c r="G3139" s="733"/>
      <c r="H3139" s="736"/>
      <c r="I3139" s="746"/>
      <c r="J3139" s="747"/>
      <c r="K3139" s="748"/>
      <c r="L3139" s="746"/>
      <c r="M3139" s="747"/>
      <c r="N3139" s="753"/>
    </row>
    <row r="3140" spans="2:14" ht="15" customHeight="1" x14ac:dyDescent="0.25">
      <c r="B3140" s="121" t="s">
        <v>400</v>
      </c>
      <c r="C3140" s="122" t="s">
        <v>401</v>
      </c>
      <c r="D3140" s="123" t="s">
        <v>402</v>
      </c>
      <c r="E3140" s="123" t="s">
        <v>403</v>
      </c>
      <c r="F3140" s="123" t="s">
        <v>404</v>
      </c>
      <c r="G3140" s="123" t="s">
        <v>405</v>
      </c>
      <c r="H3140" s="123" t="s">
        <v>406</v>
      </c>
      <c r="I3140" s="746"/>
      <c r="J3140" s="747"/>
      <c r="K3140" s="748"/>
      <c r="L3140" s="746"/>
      <c r="M3140" s="747"/>
      <c r="N3140" s="753"/>
    </row>
    <row r="3141" spans="2:14" ht="15" customHeight="1" x14ac:dyDescent="0.25">
      <c r="B3141" s="124"/>
      <c r="C3141" s="145" t="s">
        <v>589</v>
      </c>
      <c r="D3141" s="125">
        <v>3</v>
      </c>
      <c r="E3141" s="125"/>
      <c r="F3141" s="125"/>
      <c r="G3141" s="125"/>
      <c r="H3141" s="125">
        <f>D3141</f>
        <v>3</v>
      </c>
      <c r="I3141" s="746"/>
      <c r="J3141" s="747"/>
      <c r="K3141" s="748"/>
      <c r="L3141" s="746"/>
      <c r="M3141" s="747"/>
      <c r="N3141" s="753"/>
    </row>
    <row r="3142" spans="2:14" ht="15" customHeight="1" x14ac:dyDescent="0.25">
      <c r="B3142" s="124"/>
      <c r="C3142" s="145"/>
      <c r="D3142" s="125"/>
      <c r="E3142" s="125"/>
      <c r="F3142" s="125"/>
      <c r="G3142" s="125"/>
      <c r="H3142" s="125"/>
      <c r="I3142" s="746"/>
      <c r="J3142" s="747"/>
      <c r="K3142" s="748"/>
      <c r="L3142" s="746"/>
      <c r="M3142" s="747"/>
      <c r="N3142" s="753"/>
    </row>
    <row r="3143" spans="2:14" ht="15" customHeight="1" x14ac:dyDescent="0.25">
      <c r="B3143" s="165"/>
      <c r="C3143" s="145"/>
      <c r="D3143" s="125"/>
      <c r="E3143" s="125"/>
      <c r="F3143" s="125"/>
      <c r="G3143" s="125"/>
      <c r="H3143" s="125"/>
      <c r="I3143" s="746"/>
      <c r="J3143" s="747"/>
      <c r="K3143" s="748"/>
      <c r="L3143" s="746"/>
      <c r="M3143" s="747"/>
      <c r="N3143" s="753"/>
    </row>
    <row r="3144" spans="2:14" ht="15" customHeight="1" x14ac:dyDescent="0.25">
      <c r="B3144" s="165"/>
      <c r="C3144" s="145"/>
      <c r="D3144" s="125"/>
      <c r="E3144" s="125"/>
      <c r="F3144" s="125"/>
      <c r="G3144" s="125"/>
      <c r="H3144" s="125"/>
      <c r="I3144" s="746"/>
      <c r="J3144" s="747"/>
      <c r="K3144" s="748"/>
      <c r="L3144" s="746"/>
      <c r="M3144" s="747"/>
      <c r="N3144" s="753"/>
    </row>
    <row r="3145" spans="2:14" ht="15" customHeight="1" x14ac:dyDescent="0.25">
      <c r="B3145" s="165"/>
      <c r="C3145" s="145"/>
      <c r="D3145" s="125"/>
      <c r="E3145" s="125"/>
      <c r="F3145" s="125"/>
      <c r="G3145" s="125"/>
      <c r="H3145" s="125"/>
      <c r="I3145" s="746"/>
      <c r="J3145" s="747"/>
      <c r="K3145" s="748"/>
      <c r="L3145" s="746"/>
      <c r="M3145" s="747"/>
      <c r="N3145" s="753"/>
    </row>
    <row r="3146" spans="2:14" ht="15" customHeight="1" x14ac:dyDescent="0.25">
      <c r="B3146" s="165"/>
      <c r="C3146" s="145"/>
      <c r="D3146" s="125"/>
      <c r="E3146" s="125"/>
      <c r="F3146" s="125"/>
      <c r="G3146" s="125"/>
      <c r="H3146" s="125"/>
      <c r="I3146" s="746"/>
      <c r="J3146" s="747"/>
      <c r="K3146" s="748"/>
      <c r="L3146" s="746"/>
      <c r="M3146" s="747"/>
      <c r="N3146" s="753"/>
    </row>
    <row r="3147" spans="2:14" ht="15" customHeight="1" x14ac:dyDescent="0.25">
      <c r="B3147" s="165"/>
      <c r="C3147" s="145"/>
      <c r="D3147" s="125"/>
      <c r="E3147" s="125"/>
      <c r="F3147" s="125"/>
      <c r="G3147" s="125"/>
      <c r="H3147" s="125"/>
      <c r="I3147" s="746"/>
      <c r="J3147" s="747"/>
      <c r="K3147" s="748"/>
      <c r="L3147" s="746"/>
      <c r="M3147" s="747"/>
      <c r="N3147" s="753"/>
    </row>
    <row r="3148" spans="2:14" ht="15" customHeight="1" x14ac:dyDescent="0.25">
      <c r="B3148" s="124"/>
      <c r="C3148" s="145"/>
      <c r="D3148" s="125"/>
      <c r="E3148" s="125"/>
      <c r="F3148" s="125"/>
      <c r="G3148" s="125"/>
      <c r="H3148" s="125"/>
      <c r="I3148" s="746"/>
      <c r="J3148" s="747"/>
      <c r="K3148" s="748"/>
      <c r="L3148" s="746"/>
      <c r="M3148" s="747"/>
      <c r="N3148" s="753"/>
    </row>
    <row r="3149" spans="2:14" ht="15" customHeight="1" x14ac:dyDescent="0.25">
      <c r="B3149" s="124"/>
      <c r="C3149" s="125"/>
      <c r="D3149" s="125"/>
      <c r="E3149" s="125"/>
      <c r="F3149" s="125"/>
      <c r="G3149" s="125"/>
      <c r="H3149" s="125"/>
      <c r="I3149" s="746"/>
      <c r="J3149" s="747"/>
      <c r="K3149" s="748"/>
      <c r="L3149" s="746"/>
      <c r="M3149" s="747"/>
      <c r="N3149" s="753"/>
    </row>
    <row r="3150" spans="2:14" ht="15" customHeight="1" x14ac:dyDescent="0.25">
      <c r="B3150" s="127"/>
      <c r="C3150" s="125"/>
      <c r="D3150" s="125"/>
      <c r="E3150" s="125"/>
      <c r="F3150" s="125"/>
      <c r="G3150" s="125"/>
      <c r="H3150" s="125"/>
      <c r="I3150" s="749"/>
      <c r="J3150" s="750"/>
      <c r="K3150" s="751"/>
      <c r="L3150" s="749"/>
      <c r="M3150" s="750"/>
      <c r="N3150" s="754"/>
    </row>
    <row r="3151" spans="2:14" ht="15" customHeight="1" x14ac:dyDescent="0.25">
      <c r="B3151" s="225"/>
      <c r="C3151" s="128"/>
      <c r="D3151" s="128"/>
      <c r="E3151" s="128"/>
      <c r="F3151" s="128"/>
      <c r="G3151" s="128"/>
      <c r="H3151" s="128"/>
      <c r="I3151" s="128"/>
      <c r="J3151" s="128"/>
      <c r="K3151" s="128"/>
      <c r="L3151" s="118"/>
      <c r="M3151" s="118"/>
      <c r="N3151" s="210"/>
    </row>
    <row r="3152" spans="2:14" ht="15" customHeight="1" x14ac:dyDescent="0.25">
      <c r="B3152" s="209"/>
      <c r="C3152" s="118"/>
      <c r="D3152" s="118"/>
      <c r="E3152" s="118"/>
      <c r="F3152" s="118"/>
      <c r="G3152" s="118"/>
      <c r="H3152" s="118"/>
      <c r="I3152" s="118"/>
      <c r="J3152" s="118"/>
      <c r="K3152" s="118"/>
      <c r="L3152" s="118"/>
      <c r="M3152" s="118"/>
      <c r="N3152" s="210"/>
    </row>
    <row r="3153" spans="2:14" ht="15" customHeight="1" x14ac:dyDescent="0.25">
      <c r="B3153" s="209"/>
      <c r="C3153" s="118"/>
      <c r="D3153" s="118"/>
      <c r="E3153" s="118"/>
      <c r="F3153" s="118"/>
      <c r="G3153" s="118"/>
      <c r="H3153" s="118"/>
      <c r="I3153" s="118"/>
      <c r="J3153" s="118"/>
      <c r="K3153" s="118"/>
      <c r="L3153" s="118"/>
      <c r="M3153" s="118"/>
      <c r="N3153" s="210"/>
    </row>
    <row r="3154" spans="2:14" ht="15" customHeight="1" thickBot="1" x14ac:dyDescent="0.3">
      <c r="B3154" s="725" t="s">
        <v>414</v>
      </c>
      <c r="C3154" s="726"/>
      <c r="D3154" s="726"/>
      <c r="E3154" s="147"/>
      <c r="F3154" s="147"/>
      <c r="G3154" s="147"/>
      <c r="H3154" s="147"/>
      <c r="I3154" s="727"/>
      <c r="J3154" s="726"/>
      <c r="K3154" s="726"/>
      <c r="L3154" s="130"/>
      <c r="M3154" s="130"/>
      <c r="N3154" s="131"/>
    </row>
    <row r="3155" spans="2:14" ht="15" customHeight="1" thickBot="1" x14ac:dyDescent="0.3">
      <c r="B3155" s="364"/>
      <c r="C3155" s="365"/>
      <c r="D3155" s="365"/>
      <c r="E3155" s="364"/>
      <c r="F3155" s="364"/>
      <c r="G3155" s="364"/>
      <c r="H3155" s="364"/>
      <c r="I3155" s="364"/>
      <c r="J3155" s="365"/>
      <c r="K3155" s="365"/>
      <c r="L3155" s="232"/>
      <c r="M3155" s="232"/>
      <c r="N3155" s="232"/>
    </row>
    <row r="3156" spans="2:14" ht="42" customHeight="1" x14ac:dyDescent="0.25">
      <c r="B3156" s="728"/>
      <c r="C3156" s="729"/>
      <c r="D3156" s="730" t="s">
        <v>393</v>
      </c>
      <c r="E3156" s="729"/>
      <c r="F3156" s="729"/>
      <c r="G3156" s="729"/>
      <c r="H3156" s="729"/>
      <c r="I3156" s="729"/>
      <c r="J3156" s="729"/>
      <c r="K3156" s="729"/>
      <c r="L3156" s="729"/>
      <c r="M3156" s="729"/>
      <c r="N3156" s="731"/>
    </row>
    <row r="3157" spans="2:14" ht="15" customHeight="1" x14ac:dyDescent="0.25">
      <c r="B3157" s="732" t="s">
        <v>394</v>
      </c>
      <c r="C3157" s="733"/>
      <c r="D3157" s="733"/>
      <c r="E3157" s="733"/>
      <c r="F3157" s="733"/>
      <c r="G3157" s="733"/>
      <c r="H3157" s="733"/>
      <c r="I3157" s="733"/>
      <c r="J3157" s="733"/>
      <c r="K3157" s="733"/>
      <c r="L3157" s="733"/>
      <c r="M3157" s="733"/>
      <c r="N3157" s="734"/>
    </row>
    <row r="3158" spans="2:14" ht="43.9" customHeight="1" x14ac:dyDescent="0.25">
      <c r="B3158" s="735" t="s">
        <v>395</v>
      </c>
      <c r="C3158" s="736"/>
      <c r="D3158" s="737" t="str">
        <f>VLOOKUP(B3160,Buenaventura!A9:G4429,3,FALSE)</f>
        <v>Suministro y plantación de arbustos y plantas ornamentales (arbol carbonero, arbol Guayacan amarillo, planta hibisco, heliconia, ave del paraiso , palma areca)</v>
      </c>
      <c r="E3158" s="738"/>
      <c r="F3158" s="738"/>
      <c r="G3158" s="738"/>
      <c r="H3158" s="738"/>
      <c r="I3158" s="738"/>
      <c r="J3158" s="738"/>
      <c r="K3158" s="738"/>
      <c r="L3158" s="738"/>
      <c r="M3158" s="738"/>
      <c r="N3158" s="739"/>
    </row>
    <row r="3159" spans="2:14" ht="15" customHeight="1" x14ac:dyDescent="0.25">
      <c r="B3159" s="740" t="s">
        <v>26</v>
      </c>
      <c r="C3159" s="741"/>
      <c r="D3159" s="119" t="s">
        <v>396</v>
      </c>
      <c r="E3159" s="742" t="s">
        <v>397</v>
      </c>
      <c r="F3159" s="733"/>
      <c r="G3159" s="733"/>
      <c r="H3159" s="736"/>
      <c r="I3159" s="742" t="s">
        <v>398</v>
      </c>
      <c r="J3159" s="733"/>
      <c r="K3159" s="736"/>
      <c r="L3159" s="742" t="s">
        <v>399</v>
      </c>
      <c r="M3159" s="733"/>
      <c r="N3159" s="734"/>
    </row>
    <row r="3160" spans="2:14" ht="15" customHeight="1" x14ac:dyDescent="0.25">
      <c r="B3160" s="283">
        <v>58</v>
      </c>
      <c r="C3160" s="284" t="str">
        <f>VLOOKUP(B3160,Buenaventura!A9:G4429,2,FALSE)</f>
        <v>VA-29</v>
      </c>
      <c r="D3160" s="285">
        <f>SUM(H3163:H3166)</f>
        <v>10</v>
      </c>
      <c r="E3160" s="743" t="str">
        <f>VLOOKUP(B3160,Buenaventura!A9:G4429,4,FALSE)</f>
        <v>UND</v>
      </c>
      <c r="F3160" s="743"/>
      <c r="G3160" s="743"/>
      <c r="H3160" s="743"/>
      <c r="I3160" s="744"/>
      <c r="J3160" s="745"/>
      <c r="K3160" s="741"/>
      <c r="L3160" s="744"/>
      <c r="M3160" s="745"/>
      <c r="N3160" s="752"/>
    </row>
    <row r="3161" spans="2:14" ht="15" customHeight="1" x14ac:dyDescent="0.25">
      <c r="B3161" s="755" t="s">
        <v>416</v>
      </c>
      <c r="C3161" s="733"/>
      <c r="D3161" s="733"/>
      <c r="E3161" s="733"/>
      <c r="F3161" s="733"/>
      <c r="G3161" s="733"/>
      <c r="H3161" s="736"/>
      <c r="I3161" s="746"/>
      <c r="J3161" s="747"/>
      <c r="K3161" s="748"/>
      <c r="L3161" s="746"/>
      <c r="M3161" s="747"/>
      <c r="N3161" s="753"/>
    </row>
    <row r="3162" spans="2:14" ht="15" customHeight="1" x14ac:dyDescent="0.25">
      <c r="B3162" s="121" t="s">
        <v>400</v>
      </c>
      <c r="C3162" s="122" t="s">
        <v>401</v>
      </c>
      <c r="D3162" s="123" t="s">
        <v>402</v>
      </c>
      <c r="E3162" s="123" t="s">
        <v>403</v>
      </c>
      <c r="F3162" s="123" t="s">
        <v>404</v>
      </c>
      <c r="G3162" s="123" t="s">
        <v>405</v>
      </c>
      <c r="H3162" s="123" t="s">
        <v>406</v>
      </c>
      <c r="I3162" s="746"/>
      <c r="J3162" s="747"/>
      <c r="K3162" s="748"/>
      <c r="L3162" s="746"/>
      <c r="M3162" s="747"/>
      <c r="N3162" s="753"/>
    </row>
    <row r="3163" spans="2:14" ht="15" customHeight="1" x14ac:dyDescent="0.25">
      <c r="B3163" s="124"/>
      <c r="C3163" s="145" t="s">
        <v>589</v>
      </c>
      <c r="D3163" s="125">
        <v>10</v>
      </c>
      <c r="E3163" s="125"/>
      <c r="F3163" s="125"/>
      <c r="G3163" s="125"/>
      <c r="H3163" s="125">
        <f>D3163</f>
        <v>10</v>
      </c>
      <c r="I3163" s="746"/>
      <c r="J3163" s="747"/>
      <c r="K3163" s="748"/>
      <c r="L3163" s="746"/>
      <c r="M3163" s="747"/>
      <c r="N3163" s="753"/>
    </row>
    <row r="3164" spans="2:14" ht="15" customHeight="1" x14ac:dyDescent="0.25">
      <c r="B3164" s="124"/>
      <c r="C3164" s="145"/>
      <c r="D3164" s="125"/>
      <c r="E3164" s="125"/>
      <c r="F3164" s="125"/>
      <c r="G3164" s="125"/>
      <c r="H3164" s="125"/>
      <c r="I3164" s="746"/>
      <c r="J3164" s="747"/>
      <c r="K3164" s="748"/>
      <c r="L3164" s="746"/>
      <c r="M3164" s="747"/>
      <c r="N3164" s="753"/>
    </row>
    <row r="3165" spans="2:14" ht="15" customHeight="1" x14ac:dyDescent="0.25">
      <c r="B3165" s="165"/>
      <c r="C3165" s="145"/>
      <c r="D3165" s="125"/>
      <c r="E3165" s="125"/>
      <c r="F3165" s="125"/>
      <c r="G3165" s="125"/>
      <c r="H3165" s="125"/>
      <c r="I3165" s="746"/>
      <c r="J3165" s="747"/>
      <c r="K3165" s="748"/>
      <c r="L3165" s="746"/>
      <c r="M3165" s="747"/>
      <c r="N3165" s="753"/>
    </row>
    <row r="3166" spans="2:14" ht="15" customHeight="1" x14ac:dyDescent="0.25">
      <c r="B3166" s="165"/>
      <c r="C3166" s="145"/>
      <c r="D3166" s="125"/>
      <c r="E3166" s="125"/>
      <c r="F3166" s="125"/>
      <c r="G3166" s="125"/>
      <c r="H3166" s="125"/>
      <c r="I3166" s="746"/>
      <c r="J3166" s="747"/>
      <c r="K3166" s="748"/>
      <c r="L3166" s="746"/>
      <c r="M3166" s="747"/>
      <c r="N3166" s="753"/>
    </row>
    <row r="3167" spans="2:14" ht="15" customHeight="1" x14ac:dyDescent="0.25">
      <c r="B3167" s="165"/>
      <c r="C3167" s="145"/>
      <c r="D3167" s="125"/>
      <c r="E3167" s="125"/>
      <c r="F3167" s="125"/>
      <c r="G3167" s="125"/>
      <c r="H3167" s="125"/>
      <c r="I3167" s="746"/>
      <c r="J3167" s="747"/>
      <c r="K3167" s="748"/>
      <c r="L3167" s="746"/>
      <c r="M3167" s="747"/>
      <c r="N3167" s="753"/>
    </row>
    <row r="3168" spans="2:14" ht="15" customHeight="1" x14ac:dyDescent="0.25">
      <c r="B3168" s="165"/>
      <c r="C3168" s="145"/>
      <c r="D3168" s="125"/>
      <c r="E3168" s="125"/>
      <c r="F3168" s="125"/>
      <c r="G3168" s="125"/>
      <c r="H3168" s="125"/>
      <c r="I3168" s="746"/>
      <c r="J3168" s="747"/>
      <c r="K3168" s="748"/>
      <c r="L3168" s="746"/>
      <c r="M3168" s="747"/>
      <c r="N3168" s="753"/>
    </row>
    <row r="3169" spans="2:14" ht="15" customHeight="1" x14ac:dyDescent="0.25">
      <c r="B3169" s="165"/>
      <c r="C3169" s="145"/>
      <c r="D3169" s="125"/>
      <c r="E3169" s="125"/>
      <c r="F3169" s="125"/>
      <c r="G3169" s="125"/>
      <c r="H3169" s="125"/>
      <c r="I3169" s="746"/>
      <c r="J3169" s="747"/>
      <c r="K3169" s="748"/>
      <c r="L3169" s="746"/>
      <c r="M3169" s="747"/>
      <c r="N3169" s="753"/>
    </row>
    <row r="3170" spans="2:14" ht="15" customHeight="1" x14ac:dyDescent="0.25">
      <c r="B3170" s="124"/>
      <c r="C3170" s="145"/>
      <c r="D3170" s="125"/>
      <c r="E3170" s="125"/>
      <c r="F3170" s="125"/>
      <c r="G3170" s="125"/>
      <c r="H3170" s="125"/>
      <c r="I3170" s="746"/>
      <c r="J3170" s="747"/>
      <c r="K3170" s="748"/>
      <c r="L3170" s="746"/>
      <c r="M3170" s="747"/>
      <c r="N3170" s="753"/>
    </row>
    <row r="3171" spans="2:14" ht="15" customHeight="1" x14ac:dyDescent="0.25">
      <c r="B3171" s="124"/>
      <c r="C3171" s="125"/>
      <c r="D3171" s="125"/>
      <c r="E3171" s="125"/>
      <c r="F3171" s="125"/>
      <c r="G3171" s="125"/>
      <c r="H3171" s="125"/>
      <c r="I3171" s="746"/>
      <c r="J3171" s="747"/>
      <c r="K3171" s="748"/>
      <c r="L3171" s="746"/>
      <c r="M3171" s="747"/>
      <c r="N3171" s="753"/>
    </row>
    <row r="3172" spans="2:14" ht="15" customHeight="1" x14ac:dyDescent="0.25">
      <c r="B3172" s="127"/>
      <c r="C3172" s="125"/>
      <c r="D3172" s="125"/>
      <c r="E3172" s="125"/>
      <c r="F3172" s="125"/>
      <c r="G3172" s="125"/>
      <c r="H3172" s="125"/>
      <c r="I3172" s="749"/>
      <c r="J3172" s="750"/>
      <c r="K3172" s="751"/>
      <c r="L3172" s="749"/>
      <c r="M3172" s="750"/>
      <c r="N3172" s="754"/>
    </row>
    <row r="3173" spans="2:14" ht="15" customHeight="1" x14ac:dyDescent="0.25">
      <c r="B3173" s="225"/>
      <c r="C3173" s="128"/>
      <c r="D3173" s="128"/>
      <c r="E3173" s="128"/>
      <c r="F3173" s="128"/>
      <c r="G3173" s="128"/>
      <c r="H3173" s="128"/>
      <c r="I3173" s="128"/>
      <c r="J3173" s="128"/>
      <c r="K3173" s="128"/>
      <c r="L3173" s="118"/>
      <c r="M3173" s="118"/>
      <c r="N3173" s="210"/>
    </row>
    <row r="3174" spans="2:14" ht="15" customHeight="1" x14ac:dyDescent="0.25">
      <c r="B3174" s="209"/>
      <c r="C3174" s="118"/>
      <c r="D3174" s="118"/>
      <c r="E3174" s="118"/>
      <c r="F3174" s="118"/>
      <c r="G3174" s="118"/>
      <c r="H3174" s="118"/>
      <c r="I3174" s="118"/>
      <c r="J3174" s="118"/>
      <c r="K3174" s="118"/>
      <c r="L3174" s="118"/>
      <c r="M3174" s="118"/>
      <c r="N3174" s="210"/>
    </row>
    <row r="3175" spans="2:14" ht="15" customHeight="1" x14ac:dyDescent="0.25">
      <c r="B3175" s="209"/>
      <c r="C3175" s="118"/>
      <c r="D3175" s="118"/>
      <c r="E3175" s="118"/>
      <c r="F3175" s="118"/>
      <c r="G3175" s="118"/>
      <c r="H3175" s="118"/>
      <c r="I3175" s="118"/>
      <c r="J3175" s="118"/>
      <c r="K3175" s="118"/>
      <c r="L3175" s="118"/>
      <c r="M3175" s="118"/>
      <c r="N3175" s="210"/>
    </row>
    <row r="3176" spans="2:14" ht="15" customHeight="1" thickBot="1" x14ac:dyDescent="0.3">
      <c r="B3176" s="725" t="s">
        <v>414</v>
      </c>
      <c r="C3176" s="726"/>
      <c r="D3176" s="726"/>
      <c r="E3176" s="147"/>
      <c r="F3176" s="147"/>
      <c r="G3176" s="147"/>
      <c r="H3176" s="147"/>
      <c r="I3176" s="727"/>
      <c r="J3176" s="726"/>
      <c r="K3176" s="726"/>
      <c r="L3176" s="130"/>
      <c r="M3176" s="130"/>
      <c r="N3176" s="131"/>
    </row>
    <row r="3177" spans="2:14" ht="15" customHeight="1" thickBot="1" x14ac:dyDescent="0.3">
      <c r="B3177" s="364"/>
      <c r="C3177" s="365"/>
      <c r="D3177" s="365"/>
      <c r="E3177" s="364"/>
      <c r="F3177" s="364"/>
      <c r="G3177" s="364"/>
      <c r="H3177" s="364"/>
      <c r="I3177" s="364"/>
      <c r="J3177" s="365"/>
      <c r="K3177" s="365"/>
      <c r="L3177" s="232"/>
      <c r="M3177" s="232"/>
      <c r="N3177" s="232"/>
    </row>
    <row r="3178" spans="2:14" ht="40.5" customHeight="1" x14ac:dyDescent="0.25">
      <c r="B3178" s="728"/>
      <c r="C3178" s="729"/>
      <c r="D3178" s="730" t="s">
        <v>393</v>
      </c>
      <c r="E3178" s="729"/>
      <c r="F3178" s="729"/>
      <c r="G3178" s="729"/>
      <c r="H3178" s="729"/>
      <c r="I3178" s="729"/>
      <c r="J3178" s="729"/>
      <c r="K3178" s="729"/>
      <c r="L3178" s="729"/>
      <c r="M3178" s="729"/>
      <c r="N3178" s="731"/>
    </row>
    <row r="3179" spans="2:14" ht="15" customHeight="1" x14ac:dyDescent="0.25">
      <c r="B3179" s="732" t="s">
        <v>394</v>
      </c>
      <c r="C3179" s="733"/>
      <c r="D3179" s="733"/>
      <c r="E3179" s="733"/>
      <c r="F3179" s="733"/>
      <c r="G3179" s="733"/>
      <c r="H3179" s="733"/>
      <c r="I3179" s="733"/>
      <c r="J3179" s="733"/>
      <c r="K3179" s="733"/>
      <c r="L3179" s="733"/>
      <c r="M3179" s="733"/>
      <c r="N3179" s="734"/>
    </row>
    <row r="3180" spans="2:14" ht="15" customHeight="1" x14ac:dyDescent="0.25">
      <c r="B3180" s="735" t="s">
        <v>395</v>
      </c>
      <c r="C3180" s="736"/>
      <c r="D3180" s="737" t="str">
        <f>VLOOKUP(B3182,Buenaventura!A31:G4451,3,FALSE)</f>
        <v>Perforación de muro para paso de tuberia 6"</v>
      </c>
      <c r="E3180" s="738"/>
      <c r="F3180" s="738"/>
      <c r="G3180" s="738"/>
      <c r="H3180" s="738"/>
      <c r="I3180" s="738"/>
      <c r="J3180" s="738"/>
      <c r="K3180" s="738"/>
      <c r="L3180" s="738"/>
      <c r="M3180" s="738"/>
      <c r="N3180" s="739"/>
    </row>
    <row r="3181" spans="2:14" ht="15" customHeight="1" x14ac:dyDescent="0.25">
      <c r="B3181" s="740" t="s">
        <v>26</v>
      </c>
      <c r="C3181" s="741"/>
      <c r="D3181" s="119" t="s">
        <v>396</v>
      </c>
      <c r="E3181" s="742" t="s">
        <v>397</v>
      </c>
      <c r="F3181" s="733"/>
      <c r="G3181" s="733"/>
      <c r="H3181" s="736"/>
      <c r="I3181" s="742" t="s">
        <v>398</v>
      </c>
      <c r="J3181" s="733"/>
      <c r="K3181" s="736"/>
      <c r="L3181" s="742" t="s">
        <v>399</v>
      </c>
      <c r="M3181" s="733"/>
      <c r="N3181" s="734"/>
    </row>
    <row r="3182" spans="2:14" ht="15" customHeight="1" x14ac:dyDescent="0.25">
      <c r="B3182" s="283">
        <v>59</v>
      </c>
      <c r="C3182" s="284" t="str">
        <f>VLOOKUP(B3182,Buenaventura!A31:G4451,2,FALSE)</f>
        <v>VA-31</v>
      </c>
      <c r="D3182" s="285">
        <f>SUM(H3185:H3188)</f>
        <v>18</v>
      </c>
      <c r="E3182" s="743" t="str">
        <f>VLOOKUP(B3182,Buenaventura!A31:G4451,4,FALSE)</f>
        <v xml:space="preserve">UND </v>
      </c>
      <c r="F3182" s="743"/>
      <c r="G3182" s="743"/>
      <c r="H3182" s="743"/>
      <c r="I3182" s="744"/>
      <c r="J3182" s="745"/>
      <c r="K3182" s="741"/>
      <c r="L3182" s="744"/>
      <c r="M3182" s="745"/>
      <c r="N3182" s="752"/>
    </row>
    <row r="3183" spans="2:14" ht="15" customHeight="1" x14ac:dyDescent="0.25">
      <c r="B3183" s="755" t="s">
        <v>416</v>
      </c>
      <c r="C3183" s="733"/>
      <c r="D3183" s="733"/>
      <c r="E3183" s="733"/>
      <c r="F3183" s="733"/>
      <c r="G3183" s="733"/>
      <c r="H3183" s="736"/>
      <c r="I3183" s="746"/>
      <c r="J3183" s="747"/>
      <c r="K3183" s="748"/>
      <c r="L3183" s="746"/>
      <c r="M3183" s="747"/>
      <c r="N3183" s="753"/>
    </row>
    <row r="3184" spans="2:14" ht="15" customHeight="1" x14ac:dyDescent="0.25">
      <c r="B3184" s="121" t="s">
        <v>400</v>
      </c>
      <c r="C3184" s="122" t="s">
        <v>401</v>
      </c>
      <c r="D3184" s="123" t="s">
        <v>402</v>
      </c>
      <c r="E3184" s="123" t="s">
        <v>403</v>
      </c>
      <c r="F3184" s="123" t="s">
        <v>404</v>
      </c>
      <c r="G3184" s="123" t="s">
        <v>405</v>
      </c>
      <c r="H3184" s="123" t="s">
        <v>406</v>
      </c>
      <c r="I3184" s="746"/>
      <c r="J3184" s="747"/>
      <c r="K3184" s="748"/>
      <c r="L3184" s="746"/>
      <c r="M3184" s="747"/>
      <c r="N3184" s="753"/>
    </row>
    <row r="3185" spans="2:14" ht="15" customHeight="1" x14ac:dyDescent="0.25">
      <c r="B3185" s="124"/>
      <c r="C3185" s="145" t="s">
        <v>589</v>
      </c>
      <c r="D3185" s="125">
        <v>18</v>
      </c>
      <c r="E3185" s="125"/>
      <c r="F3185" s="125"/>
      <c r="G3185" s="125"/>
      <c r="H3185" s="125">
        <f>D3185</f>
        <v>18</v>
      </c>
      <c r="I3185" s="746"/>
      <c r="J3185" s="747"/>
      <c r="K3185" s="748"/>
      <c r="L3185" s="746"/>
      <c r="M3185" s="747"/>
      <c r="N3185" s="753"/>
    </row>
    <row r="3186" spans="2:14" ht="15" customHeight="1" x14ac:dyDescent="0.25">
      <c r="B3186" s="124"/>
      <c r="C3186" s="145"/>
      <c r="D3186" s="125"/>
      <c r="E3186" s="125"/>
      <c r="F3186" s="125"/>
      <c r="G3186" s="125"/>
      <c r="H3186" s="125"/>
      <c r="I3186" s="746"/>
      <c r="J3186" s="747"/>
      <c r="K3186" s="748"/>
      <c r="L3186" s="746"/>
      <c r="M3186" s="747"/>
      <c r="N3186" s="753"/>
    </row>
    <row r="3187" spans="2:14" ht="15" customHeight="1" x14ac:dyDescent="0.25">
      <c r="B3187" s="165"/>
      <c r="C3187" s="145"/>
      <c r="D3187" s="125"/>
      <c r="E3187" s="125"/>
      <c r="F3187" s="125"/>
      <c r="G3187" s="125"/>
      <c r="H3187" s="125"/>
      <c r="I3187" s="746"/>
      <c r="J3187" s="747"/>
      <c r="K3187" s="748"/>
      <c r="L3187" s="746"/>
      <c r="M3187" s="747"/>
      <c r="N3187" s="753"/>
    </row>
    <row r="3188" spans="2:14" ht="15" customHeight="1" x14ac:dyDescent="0.25">
      <c r="B3188" s="165"/>
      <c r="C3188" s="145"/>
      <c r="D3188" s="125"/>
      <c r="E3188" s="125"/>
      <c r="F3188" s="125"/>
      <c r="G3188" s="125"/>
      <c r="H3188" s="125"/>
      <c r="I3188" s="746"/>
      <c r="J3188" s="747"/>
      <c r="K3188" s="748"/>
      <c r="L3188" s="746"/>
      <c r="M3188" s="747"/>
      <c r="N3188" s="753"/>
    </row>
    <row r="3189" spans="2:14" ht="15" customHeight="1" x14ac:dyDescent="0.25">
      <c r="B3189" s="165"/>
      <c r="C3189" s="145"/>
      <c r="D3189" s="125"/>
      <c r="E3189" s="125"/>
      <c r="F3189" s="125"/>
      <c r="G3189" s="125"/>
      <c r="H3189" s="125"/>
      <c r="I3189" s="746"/>
      <c r="J3189" s="747"/>
      <c r="K3189" s="748"/>
      <c r="L3189" s="746"/>
      <c r="M3189" s="747"/>
      <c r="N3189" s="753"/>
    </row>
    <row r="3190" spans="2:14" ht="15" customHeight="1" x14ac:dyDescent="0.25">
      <c r="B3190" s="165"/>
      <c r="C3190" s="145"/>
      <c r="D3190" s="125"/>
      <c r="E3190" s="125"/>
      <c r="F3190" s="125"/>
      <c r="G3190" s="125"/>
      <c r="H3190" s="125"/>
      <c r="I3190" s="746"/>
      <c r="J3190" s="747"/>
      <c r="K3190" s="748"/>
      <c r="L3190" s="746"/>
      <c r="M3190" s="747"/>
      <c r="N3190" s="753"/>
    </row>
    <row r="3191" spans="2:14" ht="15" customHeight="1" x14ac:dyDescent="0.25">
      <c r="B3191" s="165"/>
      <c r="C3191" s="145"/>
      <c r="D3191" s="125"/>
      <c r="E3191" s="125"/>
      <c r="F3191" s="125"/>
      <c r="G3191" s="125"/>
      <c r="H3191" s="125"/>
      <c r="I3191" s="746"/>
      <c r="J3191" s="747"/>
      <c r="K3191" s="748"/>
      <c r="L3191" s="746"/>
      <c r="M3191" s="747"/>
      <c r="N3191" s="753"/>
    </row>
    <row r="3192" spans="2:14" ht="15" customHeight="1" x14ac:dyDescent="0.25">
      <c r="B3192" s="124"/>
      <c r="C3192" s="145"/>
      <c r="D3192" s="125"/>
      <c r="E3192" s="125"/>
      <c r="F3192" s="125"/>
      <c r="G3192" s="125"/>
      <c r="H3192" s="125"/>
      <c r="I3192" s="746"/>
      <c r="J3192" s="747"/>
      <c r="K3192" s="748"/>
      <c r="L3192" s="746"/>
      <c r="M3192" s="747"/>
      <c r="N3192" s="753"/>
    </row>
    <row r="3193" spans="2:14" ht="15" customHeight="1" x14ac:dyDescent="0.25">
      <c r="B3193" s="124"/>
      <c r="C3193" s="125"/>
      <c r="D3193" s="125"/>
      <c r="E3193" s="125"/>
      <c r="F3193" s="125"/>
      <c r="G3193" s="125"/>
      <c r="H3193" s="125"/>
      <c r="I3193" s="746"/>
      <c r="J3193" s="747"/>
      <c r="K3193" s="748"/>
      <c r="L3193" s="746"/>
      <c r="M3193" s="747"/>
      <c r="N3193" s="753"/>
    </row>
    <row r="3194" spans="2:14" ht="15" customHeight="1" x14ac:dyDescent="0.25">
      <c r="B3194" s="127"/>
      <c r="C3194" s="125"/>
      <c r="D3194" s="125"/>
      <c r="E3194" s="125"/>
      <c r="F3194" s="125"/>
      <c r="G3194" s="125"/>
      <c r="H3194" s="125"/>
      <c r="I3194" s="749"/>
      <c r="J3194" s="750"/>
      <c r="K3194" s="751"/>
      <c r="L3194" s="749"/>
      <c r="M3194" s="750"/>
      <c r="N3194" s="754"/>
    </row>
    <row r="3195" spans="2:14" ht="15" customHeight="1" x14ac:dyDescent="0.25">
      <c r="B3195" s="225"/>
      <c r="C3195" s="128"/>
      <c r="D3195" s="128"/>
      <c r="E3195" s="128"/>
      <c r="F3195" s="128"/>
      <c r="G3195" s="128"/>
      <c r="H3195" s="128"/>
      <c r="I3195" s="128"/>
      <c r="J3195" s="128"/>
      <c r="K3195" s="128"/>
      <c r="L3195" s="118"/>
      <c r="M3195" s="118"/>
      <c r="N3195" s="210"/>
    </row>
    <row r="3196" spans="2:14" ht="15" customHeight="1" x14ac:dyDescent="0.25">
      <c r="B3196" s="209"/>
      <c r="C3196" s="118"/>
      <c r="D3196" s="118"/>
      <c r="E3196" s="118"/>
      <c r="F3196" s="118"/>
      <c r="G3196" s="118"/>
      <c r="H3196" s="118"/>
      <c r="I3196" s="118"/>
      <c r="J3196" s="118"/>
      <c r="K3196" s="118"/>
      <c r="L3196" s="118"/>
      <c r="M3196" s="118"/>
      <c r="N3196" s="210"/>
    </row>
    <row r="3197" spans="2:14" ht="15" customHeight="1" x14ac:dyDescent="0.25">
      <c r="B3197" s="209"/>
      <c r="C3197" s="118"/>
      <c r="D3197" s="118"/>
      <c r="E3197" s="118"/>
      <c r="F3197" s="118"/>
      <c r="G3197" s="118"/>
      <c r="H3197" s="118"/>
      <c r="I3197" s="118"/>
      <c r="J3197" s="118"/>
      <c r="K3197" s="118"/>
      <c r="L3197" s="118"/>
      <c r="M3197" s="118"/>
      <c r="N3197" s="210"/>
    </row>
    <row r="3198" spans="2:14" ht="15" customHeight="1" thickBot="1" x14ac:dyDescent="0.3">
      <c r="B3198" s="725" t="s">
        <v>414</v>
      </c>
      <c r="C3198" s="726"/>
      <c r="D3198" s="726"/>
      <c r="E3198" s="147"/>
      <c r="F3198" s="147"/>
      <c r="G3198" s="147"/>
      <c r="H3198" s="147"/>
      <c r="I3198" s="727"/>
      <c r="J3198" s="726"/>
      <c r="K3198" s="726"/>
      <c r="L3198" s="130"/>
      <c r="M3198" s="130"/>
      <c r="N3198" s="131"/>
    </row>
    <row r="3199" spans="2:14" ht="15" customHeight="1" x14ac:dyDescent="0.25">
      <c r="B3199" s="364"/>
      <c r="C3199" s="365"/>
      <c r="D3199" s="365"/>
      <c r="E3199" s="364"/>
      <c r="F3199" s="364"/>
      <c r="G3199" s="364"/>
      <c r="H3199" s="364"/>
      <c r="I3199" s="364"/>
      <c r="J3199" s="365"/>
      <c r="K3199" s="365"/>
      <c r="L3199" s="232"/>
      <c r="M3199" s="232"/>
      <c r="N3199" s="232"/>
    </row>
    <row r="3200" spans="2:14" ht="15" customHeight="1" thickBot="1" x14ac:dyDescent="0.3"/>
    <row r="3201" spans="2:14" ht="36.6" customHeight="1" x14ac:dyDescent="0.25">
      <c r="B3201" s="728"/>
      <c r="C3201" s="729"/>
      <c r="D3201" s="730" t="s">
        <v>393</v>
      </c>
      <c r="E3201" s="729"/>
      <c r="F3201" s="729"/>
      <c r="G3201" s="729"/>
      <c r="H3201" s="729"/>
      <c r="I3201" s="729"/>
      <c r="J3201" s="729"/>
      <c r="K3201" s="729"/>
      <c r="L3201" s="729"/>
      <c r="M3201" s="729"/>
      <c r="N3201" s="731"/>
    </row>
    <row r="3202" spans="2:14" ht="15" customHeight="1" x14ac:dyDescent="0.25">
      <c r="B3202" s="732" t="s">
        <v>394</v>
      </c>
      <c r="C3202" s="733"/>
      <c r="D3202" s="733"/>
      <c r="E3202" s="733"/>
      <c r="F3202" s="733"/>
      <c r="G3202" s="733"/>
      <c r="H3202" s="733"/>
      <c r="I3202" s="733"/>
      <c r="J3202" s="733"/>
      <c r="K3202" s="733"/>
      <c r="L3202" s="733"/>
      <c r="M3202" s="733"/>
      <c r="N3202" s="734"/>
    </row>
    <row r="3203" spans="2:14" ht="37.9" customHeight="1" x14ac:dyDescent="0.25">
      <c r="B3203" s="735" t="s">
        <v>395</v>
      </c>
      <c r="C3203" s="736"/>
      <c r="D3203" s="737" t="str">
        <f>VLOOKUP(B3205,Buenaventura!A9:G4451,3,FALSE)</f>
        <v xml:space="preserve">Suministro e instalación tubería  de ventilación de 6",  incluye accesorios para su correcta instalación y elementos de fijación </v>
      </c>
      <c r="E3203" s="738"/>
      <c r="F3203" s="738"/>
      <c r="G3203" s="738"/>
      <c r="H3203" s="738"/>
      <c r="I3203" s="738"/>
      <c r="J3203" s="738"/>
      <c r="K3203" s="738"/>
      <c r="L3203" s="738"/>
      <c r="M3203" s="738"/>
      <c r="N3203" s="739"/>
    </row>
    <row r="3204" spans="2:14" ht="30" customHeight="1" x14ac:dyDescent="0.25">
      <c r="B3204" s="740" t="s">
        <v>26</v>
      </c>
      <c r="C3204" s="741"/>
      <c r="D3204" s="119" t="s">
        <v>396</v>
      </c>
      <c r="E3204" s="742" t="s">
        <v>397</v>
      </c>
      <c r="F3204" s="733"/>
      <c r="G3204" s="733"/>
      <c r="H3204" s="736"/>
      <c r="I3204" s="742" t="s">
        <v>398</v>
      </c>
      <c r="J3204" s="733"/>
      <c r="K3204" s="736"/>
      <c r="L3204" s="742" t="s">
        <v>399</v>
      </c>
      <c r="M3204" s="733"/>
      <c r="N3204" s="734"/>
    </row>
    <row r="3205" spans="2:14" ht="15" customHeight="1" x14ac:dyDescent="0.25">
      <c r="B3205" s="283">
        <v>60</v>
      </c>
      <c r="C3205" s="284" t="str">
        <f>VLOOKUP(B3205,Buenaventura!A9:G4464,2,FALSE)</f>
        <v>VA-32</v>
      </c>
      <c r="D3205" s="285">
        <f>SUM(H3208:H3211)</f>
        <v>672</v>
      </c>
      <c r="E3205" s="743" t="str">
        <f>VLOOKUP(B3205,Buenaventura!A9:G4463,4,FALSE)</f>
        <v>ML</v>
      </c>
      <c r="F3205" s="743"/>
      <c r="G3205" s="743"/>
      <c r="H3205" s="743"/>
      <c r="I3205" s="744"/>
      <c r="J3205" s="745"/>
      <c r="K3205" s="741"/>
      <c r="L3205" s="744"/>
      <c r="M3205" s="745"/>
      <c r="N3205" s="752"/>
    </row>
    <row r="3206" spans="2:14" ht="15" customHeight="1" x14ac:dyDescent="0.25">
      <c r="B3206" s="755" t="s">
        <v>416</v>
      </c>
      <c r="C3206" s="733"/>
      <c r="D3206" s="733"/>
      <c r="E3206" s="733"/>
      <c r="F3206" s="733"/>
      <c r="G3206" s="733"/>
      <c r="H3206" s="736"/>
      <c r="I3206" s="746"/>
      <c r="J3206" s="747"/>
      <c r="K3206" s="748"/>
      <c r="L3206" s="746"/>
      <c r="M3206" s="747"/>
      <c r="N3206" s="753"/>
    </row>
    <row r="3207" spans="2:14" ht="15" customHeight="1" x14ac:dyDescent="0.25">
      <c r="B3207" s="121" t="s">
        <v>400</v>
      </c>
      <c r="C3207" s="122" t="s">
        <v>401</v>
      </c>
      <c r="D3207" s="123" t="s">
        <v>402</v>
      </c>
      <c r="E3207" s="123" t="s">
        <v>403</v>
      </c>
      <c r="F3207" s="123" t="s">
        <v>404</v>
      </c>
      <c r="G3207" s="123" t="s">
        <v>405</v>
      </c>
      <c r="H3207" s="123" t="s">
        <v>406</v>
      </c>
      <c r="I3207" s="746"/>
      <c r="J3207" s="747"/>
      <c r="K3207" s="748"/>
      <c r="L3207" s="746"/>
      <c r="M3207" s="747"/>
      <c r="N3207" s="753"/>
    </row>
    <row r="3208" spans="2:14" ht="15" customHeight="1" x14ac:dyDescent="0.25">
      <c r="B3208" s="124"/>
      <c r="C3208" s="145" t="s">
        <v>590</v>
      </c>
      <c r="D3208" s="125"/>
      <c r="E3208" s="125">
        <v>24</v>
      </c>
      <c r="F3208" s="125">
        <v>28</v>
      </c>
      <c r="G3208" s="125"/>
      <c r="H3208" s="125">
        <f>E3208*F3208</f>
        <v>672</v>
      </c>
      <c r="I3208" s="746"/>
      <c r="J3208" s="747"/>
      <c r="K3208" s="748"/>
      <c r="L3208" s="746"/>
      <c r="M3208" s="747"/>
      <c r="N3208" s="753"/>
    </row>
    <row r="3209" spans="2:14" ht="15" customHeight="1" x14ac:dyDescent="0.25">
      <c r="B3209" s="124"/>
      <c r="C3209" s="145"/>
      <c r="D3209" s="125"/>
      <c r="E3209" s="125"/>
      <c r="F3209" s="125"/>
      <c r="G3209" s="125"/>
      <c r="H3209" s="125"/>
      <c r="I3209" s="746"/>
      <c r="J3209" s="747"/>
      <c r="K3209" s="748"/>
      <c r="L3209" s="746"/>
      <c r="M3209" s="747"/>
      <c r="N3209" s="753"/>
    </row>
    <row r="3210" spans="2:14" ht="15" customHeight="1" x14ac:dyDescent="0.25">
      <c r="B3210" s="165"/>
      <c r="C3210" s="145"/>
      <c r="D3210" s="125"/>
      <c r="E3210" s="125"/>
      <c r="F3210" s="125"/>
      <c r="G3210" s="125"/>
      <c r="H3210" s="125"/>
      <c r="I3210" s="746"/>
      <c r="J3210" s="747"/>
      <c r="K3210" s="748"/>
      <c r="L3210" s="746"/>
      <c r="M3210" s="747"/>
      <c r="N3210" s="753"/>
    </row>
    <row r="3211" spans="2:14" ht="15" customHeight="1" x14ac:dyDescent="0.25">
      <c r="B3211" s="165"/>
      <c r="C3211" s="145"/>
      <c r="D3211" s="125"/>
      <c r="E3211" s="125"/>
      <c r="F3211" s="125"/>
      <c r="G3211" s="125"/>
      <c r="H3211" s="125"/>
      <c r="I3211" s="746"/>
      <c r="J3211" s="747"/>
      <c r="K3211" s="748"/>
      <c r="L3211" s="746"/>
      <c r="M3211" s="747"/>
      <c r="N3211" s="753"/>
    </row>
    <row r="3212" spans="2:14" ht="15" customHeight="1" x14ac:dyDescent="0.25">
      <c r="B3212" s="165"/>
      <c r="C3212" s="145"/>
      <c r="D3212" s="125"/>
      <c r="E3212" s="125"/>
      <c r="F3212" s="125"/>
      <c r="G3212" s="125"/>
      <c r="H3212" s="125"/>
      <c r="I3212" s="746"/>
      <c r="J3212" s="747"/>
      <c r="K3212" s="748"/>
      <c r="L3212" s="746"/>
      <c r="M3212" s="747"/>
      <c r="N3212" s="753"/>
    </row>
    <row r="3213" spans="2:14" ht="15" customHeight="1" x14ac:dyDescent="0.25">
      <c r="B3213" s="165"/>
      <c r="C3213" s="145"/>
      <c r="D3213" s="125"/>
      <c r="E3213" s="125"/>
      <c r="F3213" s="125"/>
      <c r="G3213" s="125"/>
      <c r="H3213" s="125"/>
      <c r="I3213" s="746"/>
      <c r="J3213" s="747"/>
      <c r="K3213" s="748"/>
      <c r="L3213" s="746"/>
      <c r="M3213" s="747"/>
      <c r="N3213" s="753"/>
    </row>
    <row r="3214" spans="2:14" ht="15" customHeight="1" x14ac:dyDescent="0.25">
      <c r="B3214" s="165"/>
      <c r="C3214" s="145"/>
      <c r="D3214" s="125"/>
      <c r="E3214" s="125"/>
      <c r="F3214" s="125"/>
      <c r="G3214" s="125"/>
      <c r="H3214" s="125"/>
      <c r="I3214" s="746"/>
      <c r="J3214" s="747"/>
      <c r="K3214" s="748"/>
      <c r="L3214" s="746"/>
      <c r="M3214" s="747"/>
      <c r="N3214" s="753"/>
    </row>
    <row r="3215" spans="2:14" ht="15" customHeight="1" x14ac:dyDescent="0.25">
      <c r="B3215" s="124"/>
      <c r="C3215" s="145"/>
      <c r="D3215" s="125"/>
      <c r="E3215" s="125"/>
      <c r="F3215" s="125"/>
      <c r="G3215" s="125"/>
      <c r="H3215" s="125"/>
      <c r="I3215" s="746"/>
      <c r="J3215" s="747"/>
      <c r="K3215" s="748"/>
      <c r="L3215" s="746"/>
      <c r="M3215" s="747"/>
      <c r="N3215" s="753"/>
    </row>
    <row r="3216" spans="2:14" ht="15" customHeight="1" x14ac:dyDescent="0.25">
      <c r="B3216" s="124"/>
      <c r="C3216" s="125"/>
      <c r="D3216" s="125"/>
      <c r="E3216" s="125"/>
      <c r="F3216" s="125"/>
      <c r="G3216" s="125"/>
      <c r="H3216" s="125"/>
      <c r="I3216" s="746"/>
      <c r="J3216" s="747"/>
      <c r="K3216" s="748"/>
      <c r="L3216" s="746"/>
      <c r="M3216" s="747"/>
      <c r="N3216" s="753"/>
    </row>
    <row r="3217" spans="2:14" ht="15" customHeight="1" x14ac:dyDescent="0.25">
      <c r="B3217" s="127"/>
      <c r="C3217" s="125"/>
      <c r="D3217" s="125"/>
      <c r="E3217" s="125"/>
      <c r="F3217" s="125"/>
      <c r="G3217" s="125"/>
      <c r="H3217" s="125"/>
      <c r="I3217" s="749"/>
      <c r="J3217" s="750"/>
      <c r="K3217" s="751"/>
      <c r="L3217" s="749"/>
      <c r="M3217" s="750"/>
      <c r="N3217" s="754"/>
    </row>
    <row r="3218" spans="2:14" ht="15" customHeight="1" x14ac:dyDescent="0.25">
      <c r="B3218" s="225"/>
      <c r="C3218" s="128"/>
      <c r="D3218" s="128"/>
      <c r="E3218" s="128"/>
      <c r="F3218" s="128"/>
      <c r="G3218" s="128"/>
      <c r="H3218" s="128"/>
      <c r="I3218" s="128"/>
      <c r="J3218" s="128"/>
      <c r="K3218" s="128"/>
      <c r="L3218" s="118"/>
      <c r="M3218" s="118"/>
      <c r="N3218" s="210"/>
    </row>
    <row r="3219" spans="2:14" ht="15" customHeight="1" x14ac:dyDescent="0.25">
      <c r="B3219" s="209"/>
      <c r="C3219" s="118"/>
      <c r="D3219" s="118"/>
      <c r="E3219" s="118"/>
      <c r="F3219" s="118"/>
      <c r="G3219" s="118"/>
      <c r="H3219" s="118"/>
      <c r="I3219" s="118"/>
      <c r="J3219" s="118"/>
      <c r="K3219" s="118"/>
      <c r="L3219" s="118"/>
      <c r="M3219" s="118"/>
      <c r="N3219" s="210"/>
    </row>
    <row r="3220" spans="2:14" ht="15" customHeight="1" x14ac:dyDescent="0.25">
      <c r="B3220" s="209"/>
      <c r="C3220" s="118"/>
      <c r="D3220" s="118"/>
      <c r="E3220" s="118"/>
      <c r="F3220" s="118"/>
      <c r="G3220" s="118"/>
      <c r="H3220" s="118"/>
      <c r="I3220" s="118"/>
      <c r="J3220" s="118"/>
      <c r="K3220" s="118"/>
      <c r="L3220" s="118"/>
      <c r="M3220" s="118"/>
      <c r="N3220" s="210"/>
    </row>
    <row r="3221" spans="2:14" ht="15" customHeight="1" thickBot="1" x14ac:dyDescent="0.3">
      <c r="B3221" s="725" t="s">
        <v>414</v>
      </c>
      <c r="C3221" s="726"/>
      <c r="D3221" s="726"/>
      <c r="E3221" s="147"/>
      <c r="F3221" s="147"/>
      <c r="G3221" s="147"/>
      <c r="H3221" s="147"/>
      <c r="I3221" s="727"/>
      <c r="J3221" s="726"/>
      <c r="K3221" s="726"/>
      <c r="L3221" s="130"/>
      <c r="M3221" s="130"/>
      <c r="N3221" s="131"/>
    </row>
    <row r="3222" spans="2:14" ht="15" customHeight="1" thickBot="1" x14ac:dyDescent="0.3"/>
    <row r="3223" spans="2:14" ht="36.6" customHeight="1" x14ac:dyDescent="0.25">
      <c r="B3223" s="728"/>
      <c r="C3223" s="729"/>
      <c r="D3223" s="730" t="s">
        <v>393</v>
      </c>
      <c r="E3223" s="729"/>
      <c r="F3223" s="729"/>
      <c r="G3223" s="729"/>
      <c r="H3223" s="729"/>
      <c r="I3223" s="729"/>
      <c r="J3223" s="729"/>
      <c r="K3223" s="729"/>
      <c r="L3223" s="729"/>
      <c r="M3223" s="729"/>
      <c r="N3223" s="731"/>
    </row>
    <row r="3224" spans="2:14" ht="15" customHeight="1" x14ac:dyDescent="0.25">
      <c r="B3224" s="732" t="s">
        <v>394</v>
      </c>
      <c r="C3224" s="733"/>
      <c r="D3224" s="733"/>
      <c r="E3224" s="733"/>
      <c r="F3224" s="733"/>
      <c r="G3224" s="733"/>
      <c r="H3224" s="733"/>
      <c r="I3224" s="733"/>
      <c r="J3224" s="733"/>
      <c r="K3224" s="733"/>
      <c r="L3224" s="733"/>
      <c r="M3224" s="733"/>
      <c r="N3224" s="734"/>
    </row>
    <row r="3225" spans="2:14" ht="33" customHeight="1" x14ac:dyDescent="0.25">
      <c r="B3225" s="735" t="s">
        <v>395</v>
      </c>
      <c r="C3225" s="736"/>
      <c r="D3225" s="737" t="str">
        <f>VLOOKUP(B3227,Buenaventura!A9:G4473,3,FALSE)</f>
        <v>Suministro e instalación de celosía en aluminio cuyas medidas oscilan entre 0,20m de altura x 0,60m y 1.00m de largo, , incluyendo estructura de soporte (marco), elementos de fijación, anclajes y refuerzos necesarios para su correcta instalación, asi mismo, Incluye aplicación de imprimante tipo wash primer o promotor de adherencia para aluminio, y acabado con pintura de alto desempeño tipo poliéster, poliuretano o sistema electrostático (pintura en polvo), mínimo dos capas, apta para exposición exterior y ambiente marino, garantizando durabilidad, resistencia a la corrosión y adecuado acabado.</v>
      </c>
      <c r="E3225" s="738"/>
      <c r="F3225" s="738"/>
      <c r="G3225" s="738"/>
      <c r="H3225" s="738"/>
      <c r="I3225" s="738"/>
      <c r="J3225" s="738"/>
      <c r="K3225" s="738"/>
      <c r="L3225" s="738"/>
      <c r="M3225" s="738"/>
      <c r="N3225" s="739"/>
    </row>
    <row r="3226" spans="2:14" ht="42.6" customHeight="1" x14ac:dyDescent="0.25">
      <c r="B3226" s="740" t="s">
        <v>26</v>
      </c>
      <c r="C3226" s="741"/>
      <c r="D3226" s="119" t="s">
        <v>396</v>
      </c>
      <c r="E3226" s="742" t="s">
        <v>397</v>
      </c>
      <c r="F3226" s="733"/>
      <c r="G3226" s="733"/>
      <c r="H3226" s="736"/>
      <c r="I3226" s="742" t="s">
        <v>398</v>
      </c>
      <c r="J3226" s="733"/>
      <c r="K3226" s="736"/>
      <c r="L3226" s="742" t="s">
        <v>399</v>
      </c>
      <c r="M3226" s="733"/>
      <c r="N3226" s="734"/>
    </row>
    <row r="3227" spans="2:14" ht="15" customHeight="1" x14ac:dyDescent="0.25">
      <c r="B3227" s="283">
        <v>61</v>
      </c>
      <c r="C3227" s="284" t="str">
        <f>VLOOKUP(B3227,Buenaventura!A9:G4486,2,FALSE)</f>
        <v>CA-48</v>
      </c>
      <c r="D3227" s="285">
        <f>SUM(H3230:H3233)</f>
        <v>644.5</v>
      </c>
      <c r="E3227" s="743" t="str">
        <f>VLOOKUP(B3227,Buenaventura!A9:G4485,4,FALSE)</f>
        <v>ML</v>
      </c>
      <c r="F3227" s="743"/>
      <c r="G3227" s="743"/>
      <c r="H3227" s="743"/>
      <c r="I3227" s="744"/>
      <c r="J3227" s="745"/>
      <c r="K3227" s="741"/>
      <c r="L3227" s="744"/>
      <c r="M3227" s="745"/>
      <c r="N3227" s="752"/>
    </row>
    <row r="3228" spans="2:14" ht="15" customHeight="1" x14ac:dyDescent="0.25">
      <c r="B3228" s="755" t="s">
        <v>416</v>
      </c>
      <c r="C3228" s="733"/>
      <c r="D3228" s="733"/>
      <c r="E3228" s="733"/>
      <c r="F3228" s="733"/>
      <c r="G3228" s="733"/>
      <c r="H3228" s="736"/>
      <c r="I3228" s="746"/>
      <c r="J3228" s="747"/>
      <c r="K3228" s="748"/>
      <c r="L3228" s="746"/>
      <c r="M3228" s="747"/>
      <c r="N3228" s="753"/>
    </row>
    <row r="3229" spans="2:14" ht="15" customHeight="1" x14ac:dyDescent="0.25">
      <c r="B3229" s="121" t="s">
        <v>400</v>
      </c>
      <c r="C3229" s="122" t="s">
        <v>401</v>
      </c>
      <c r="D3229" s="123" t="s">
        <v>402</v>
      </c>
      <c r="E3229" s="123" t="s">
        <v>403</v>
      </c>
      <c r="F3229" s="123" t="s">
        <v>404</v>
      </c>
      <c r="G3229" s="123" t="s">
        <v>405</v>
      </c>
      <c r="H3229" s="123" t="s">
        <v>406</v>
      </c>
      <c r="I3229" s="746"/>
      <c r="J3229" s="747"/>
      <c r="K3229" s="748"/>
      <c r="L3229" s="746"/>
      <c r="M3229" s="747"/>
      <c r="N3229" s="753"/>
    </row>
    <row r="3230" spans="2:14" ht="15" customHeight="1" x14ac:dyDescent="0.25">
      <c r="B3230" s="124"/>
      <c r="C3230" s="764" t="s">
        <v>590</v>
      </c>
      <c r="D3230" s="125"/>
      <c r="E3230" s="125">
        <v>25.5</v>
      </c>
      <c r="F3230" s="125">
        <v>24</v>
      </c>
      <c r="G3230" s="125"/>
      <c r="H3230" s="125">
        <f>E3230*F3230</f>
        <v>612</v>
      </c>
      <c r="I3230" s="746"/>
      <c r="J3230" s="747"/>
      <c r="K3230" s="748"/>
      <c r="L3230" s="746"/>
      <c r="M3230" s="747"/>
      <c r="N3230" s="753"/>
    </row>
    <row r="3231" spans="2:14" ht="15" customHeight="1" x14ac:dyDescent="0.25">
      <c r="B3231" s="124"/>
      <c r="C3231" s="758"/>
      <c r="D3231" s="125"/>
      <c r="E3231" s="125">
        <v>2.5</v>
      </c>
      <c r="F3231" s="125">
        <v>13</v>
      </c>
      <c r="G3231" s="125"/>
      <c r="H3231" s="125">
        <f>E3231*F3231</f>
        <v>32.5</v>
      </c>
      <c r="I3231" s="746"/>
      <c r="J3231" s="747"/>
      <c r="K3231" s="748"/>
      <c r="L3231" s="746"/>
      <c r="M3231" s="747"/>
      <c r="N3231" s="753"/>
    </row>
    <row r="3232" spans="2:14" ht="15" customHeight="1" x14ac:dyDescent="0.25">
      <c r="B3232" s="165"/>
      <c r="C3232" s="145"/>
      <c r="D3232" s="125"/>
      <c r="E3232" s="125"/>
      <c r="F3232" s="125"/>
      <c r="G3232" s="125"/>
      <c r="H3232" s="125"/>
      <c r="I3232" s="746"/>
      <c r="J3232" s="747"/>
      <c r="K3232" s="748"/>
      <c r="L3232" s="746"/>
      <c r="M3232" s="747"/>
      <c r="N3232" s="753"/>
    </row>
    <row r="3233" spans="2:14" ht="15" customHeight="1" x14ac:dyDescent="0.25">
      <c r="B3233" s="165"/>
      <c r="C3233" s="145"/>
      <c r="D3233" s="125"/>
      <c r="E3233" s="125"/>
      <c r="F3233" s="125"/>
      <c r="G3233" s="125"/>
      <c r="H3233" s="125"/>
      <c r="I3233" s="746"/>
      <c r="J3233" s="747"/>
      <c r="K3233" s="748"/>
      <c r="L3233" s="746"/>
      <c r="M3233" s="747"/>
      <c r="N3233" s="753"/>
    </row>
    <row r="3234" spans="2:14" ht="15" customHeight="1" x14ac:dyDescent="0.25">
      <c r="B3234" s="165"/>
      <c r="C3234" s="145"/>
      <c r="D3234" s="125"/>
      <c r="E3234" s="125"/>
      <c r="F3234" s="125"/>
      <c r="G3234" s="125"/>
      <c r="H3234" s="125"/>
      <c r="I3234" s="746"/>
      <c r="J3234" s="747"/>
      <c r="K3234" s="748"/>
      <c r="L3234" s="746"/>
      <c r="M3234" s="747"/>
      <c r="N3234" s="753"/>
    </row>
    <row r="3235" spans="2:14" ht="15" customHeight="1" x14ac:dyDescent="0.25">
      <c r="B3235" s="165"/>
      <c r="C3235" s="145"/>
      <c r="D3235" s="125"/>
      <c r="E3235" s="125"/>
      <c r="F3235" s="125"/>
      <c r="G3235" s="125"/>
      <c r="H3235" s="125"/>
      <c r="I3235" s="746"/>
      <c r="J3235" s="747"/>
      <c r="K3235" s="748"/>
      <c r="L3235" s="746"/>
      <c r="M3235" s="747"/>
      <c r="N3235" s="753"/>
    </row>
    <row r="3236" spans="2:14" ht="15" customHeight="1" x14ac:dyDescent="0.25">
      <c r="B3236" s="165"/>
      <c r="C3236" s="145"/>
      <c r="D3236" s="125"/>
      <c r="E3236" s="125"/>
      <c r="F3236" s="125"/>
      <c r="G3236" s="125"/>
      <c r="H3236" s="125"/>
      <c r="I3236" s="746"/>
      <c r="J3236" s="747"/>
      <c r="K3236" s="748"/>
      <c r="L3236" s="746"/>
      <c r="M3236" s="747"/>
      <c r="N3236" s="753"/>
    </row>
    <row r="3237" spans="2:14" ht="15" customHeight="1" x14ac:dyDescent="0.25">
      <c r="B3237" s="124"/>
      <c r="C3237" s="145"/>
      <c r="D3237" s="125"/>
      <c r="E3237" s="125"/>
      <c r="F3237" s="125"/>
      <c r="G3237" s="125"/>
      <c r="H3237" s="125"/>
      <c r="I3237" s="746"/>
      <c r="J3237" s="747"/>
      <c r="K3237" s="748"/>
      <c r="L3237" s="746"/>
      <c r="M3237" s="747"/>
      <c r="N3237" s="753"/>
    </row>
    <row r="3238" spans="2:14" ht="15" customHeight="1" x14ac:dyDescent="0.25">
      <c r="B3238" s="124"/>
      <c r="C3238" s="125"/>
      <c r="D3238" s="125"/>
      <c r="E3238" s="125"/>
      <c r="F3238" s="125"/>
      <c r="G3238" s="125"/>
      <c r="H3238" s="125"/>
      <c r="I3238" s="746"/>
      <c r="J3238" s="747"/>
      <c r="K3238" s="748"/>
      <c r="L3238" s="746"/>
      <c r="M3238" s="747"/>
      <c r="N3238" s="753"/>
    </row>
    <row r="3239" spans="2:14" ht="15" customHeight="1" x14ac:dyDescent="0.25">
      <c r="B3239" s="127"/>
      <c r="C3239" s="125"/>
      <c r="D3239" s="125"/>
      <c r="E3239" s="125"/>
      <c r="F3239" s="125"/>
      <c r="G3239" s="125"/>
      <c r="H3239" s="125"/>
      <c r="I3239" s="749"/>
      <c r="J3239" s="750"/>
      <c r="K3239" s="751"/>
      <c r="L3239" s="749"/>
      <c r="M3239" s="750"/>
      <c r="N3239" s="754"/>
    </row>
    <row r="3240" spans="2:14" ht="15" customHeight="1" x14ac:dyDescent="0.25">
      <c r="B3240" s="225"/>
      <c r="C3240" s="128"/>
      <c r="D3240" s="128"/>
      <c r="E3240" s="128"/>
      <c r="F3240" s="128"/>
      <c r="G3240" s="128"/>
      <c r="H3240" s="128"/>
      <c r="I3240" s="128"/>
      <c r="J3240" s="128"/>
      <c r="K3240" s="128"/>
      <c r="L3240" s="118"/>
      <c r="M3240" s="118"/>
      <c r="N3240" s="210"/>
    </row>
    <row r="3241" spans="2:14" ht="15" customHeight="1" x14ac:dyDescent="0.25">
      <c r="B3241" s="209"/>
      <c r="C3241" s="118"/>
      <c r="D3241" s="118"/>
      <c r="E3241" s="118"/>
      <c r="F3241" s="118"/>
      <c r="G3241" s="118"/>
      <c r="H3241" s="118"/>
      <c r="I3241" s="118"/>
      <c r="J3241" s="118"/>
      <c r="K3241" s="118"/>
      <c r="L3241" s="118"/>
      <c r="M3241" s="118"/>
      <c r="N3241" s="210"/>
    </row>
    <row r="3242" spans="2:14" ht="15" customHeight="1" x14ac:dyDescent="0.25">
      <c r="B3242" s="209"/>
      <c r="C3242" s="118"/>
      <c r="D3242" s="118"/>
      <c r="E3242" s="118"/>
      <c r="F3242" s="118"/>
      <c r="G3242" s="118"/>
      <c r="H3242" s="118"/>
      <c r="I3242" s="118"/>
      <c r="J3242" s="118"/>
      <c r="K3242" s="118"/>
      <c r="L3242" s="118"/>
      <c r="M3242" s="118"/>
      <c r="N3242" s="210"/>
    </row>
    <row r="3243" spans="2:14" ht="15" customHeight="1" thickBot="1" x14ac:dyDescent="0.3">
      <c r="B3243" s="725" t="s">
        <v>414</v>
      </c>
      <c r="C3243" s="726"/>
      <c r="D3243" s="726"/>
      <c r="E3243" s="147"/>
      <c r="F3243" s="147"/>
      <c r="G3243" s="147"/>
      <c r="H3243" s="147"/>
      <c r="I3243" s="727"/>
      <c r="J3243" s="726"/>
      <c r="K3243" s="726"/>
      <c r="L3243" s="130"/>
      <c r="M3243" s="130"/>
      <c r="N3243" s="131"/>
    </row>
    <row r="3244" spans="2:14" ht="15" customHeight="1" x14ac:dyDescent="0.25">
      <c r="B3244" s="364"/>
      <c r="C3244" s="365"/>
      <c r="D3244" s="365"/>
      <c r="E3244" s="364"/>
      <c r="F3244" s="364"/>
      <c r="G3244" s="364"/>
      <c r="H3244" s="364"/>
      <c r="I3244" s="364"/>
      <c r="J3244" s="365"/>
      <c r="K3244" s="365"/>
      <c r="L3244" s="232"/>
      <c r="M3244" s="232"/>
      <c r="N3244" s="232"/>
    </row>
    <row r="3245" spans="2:14" ht="15" customHeight="1" thickBot="1" x14ac:dyDescent="0.3"/>
    <row r="3246" spans="2:14" ht="34.15" customHeight="1" x14ac:dyDescent="0.25">
      <c r="B3246" s="728"/>
      <c r="C3246" s="729"/>
      <c r="D3246" s="730" t="s">
        <v>393</v>
      </c>
      <c r="E3246" s="729"/>
      <c r="F3246" s="729"/>
      <c r="G3246" s="729"/>
      <c r="H3246" s="729"/>
      <c r="I3246" s="729"/>
      <c r="J3246" s="729"/>
      <c r="K3246" s="729"/>
      <c r="L3246" s="729"/>
      <c r="M3246" s="729"/>
      <c r="N3246" s="731"/>
    </row>
    <row r="3247" spans="2:14" ht="15" customHeight="1" x14ac:dyDescent="0.25">
      <c r="B3247" s="732" t="s">
        <v>394</v>
      </c>
      <c r="C3247" s="733"/>
      <c r="D3247" s="733"/>
      <c r="E3247" s="733"/>
      <c r="F3247" s="733"/>
      <c r="G3247" s="733"/>
      <c r="H3247" s="733"/>
      <c r="I3247" s="733"/>
      <c r="J3247" s="733"/>
      <c r="K3247" s="733"/>
      <c r="L3247" s="733"/>
      <c r="M3247" s="733"/>
      <c r="N3247" s="734"/>
    </row>
    <row r="3248" spans="2:14" ht="30.6" customHeight="1" x14ac:dyDescent="0.25">
      <c r="B3248" s="735" t="s">
        <v>395</v>
      </c>
      <c r="C3248" s="736"/>
      <c r="D3248" s="737" t="str">
        <f>VLOOKUP(B3250,Buenaventura!A9:G4495,3,FALSE)</f>
        <v>Sumnistro e instalación de cubierta provisional en plastico o lona, incluye cuerda perimetral,alambre, bastidor y todo lo necesario para su correcta instalación y su posterior retiro.</v>
      </c>
      <c r="E3248" s="738"/>
      <c r="F3248" s="738"/>
      <c r="G3248" s="738"/>
      <c r="H3248" s="738"/>
      <c r="I3248" s="738"/>
      <c r="J3248" s="738"/>
      <c r="K3248" s="738"/>
      <c r="L3248" s="738"/>
      <c r="M3248" s="738"/>
      <c r="N3248" s="739"/>
    </row>
    <row r="3249" spans="2:14" ht="27.6" customHeight="1" x14ac:dyDescent="0.25">
      <c r="B3249" s="740" t="s">
        <v>26</v>
      </c>
      <c r="C3249" s="741"/>
      <c r="D3249" s="119" t="s">
        <v>396</v>
      </c>
      <c r="E3249" s="742" t="s">
        <v>397</v>
      </c>
      <c r="F3249" s="733"/>
      <c r="G3249" s="733"/>
      <c r="H3249" s="736"/>
      <c r="I3249" s="742" t="s">
        <v>398</v>
      </c>
      <c r="J3249" s="733"/>
      <c r="K3249" s="736"/>
      <c r="L3249" s="742" t="s">
        <v>399</v>
      </c>
      <c r="M3249" s="733"/>
      <c r="N3249" s="734"/>
    </row>
    <row r="3250" spans="2:14" ht="15" customHeight="1" x14ac:dyDescent="0.25">
      <c r="B3250" s="283">
        <v>62</v>
      </c>
      <c r="C3250" s="284" t="str">
        <f>VLOOKUP(B3250,Buenaventura!A9:G4508,2,FALSE)</f>
        <v>PR-66</v>
      </c>
      <c r="D3250" s="285">
        <f>SUM(H3253:H3256)</f>
        <v>48</v>
      </c>
      <c r="E3250" s="743" t="str">
        <f>VLOOKUP(B3250,Buenaventura!A9:G4507,4,FALSE)</f>
        <v>M2</v>
      </c>
      <c r="F3250" s="743"/>
      <c r="G3250" s="743"/>
      <c r="H3250" s="743"/>
      <c r="I3250" s="744"/>
      <c r="J3250" s="745"/>
      <c r="K3250" s="741"/>
      <c r="L3250" s="744"/>
      <c r="M3250" s="745"/>
      <c r="N3250" s="752"/>
    </row>
    <row r="3251" spans="2:14" ht="15" customHeight="1" x14ac:dyDescent="0.25">
      <c r="B3251" s="755" t="s">
        <v>416</v>
      </c>
      <c r="C3251" s="733"/>
      <c r="D3251" s="733"/>
      <c r="E3251" s="733"/>
      <c r="F3251" s="733"/>
      <c r="G3251" s="733"/>
      <c r="H3251" s="736"/>
      <c r="I3251" s="746"/>
      <c r="J3251" s="747"/>
      <c r="K3251" s="748"/>
      <c r="L3251" s="746"/>
      <c r="M3251" s="747"/>
      <c r="N3251" s="753"/>
    </row>
    <row r="3252" spans="2:14" ht="15" customHeight="1" x14ac:dyDescent="0.25">
      <c r="B3252" s="121" t="s">
        <v>400</v>
      </c>
      <c r="C3252" s="122" t="s">
        <v>401</v>
      </c>
      <c r="D3252" s="123" t="s">
        <v>402</v>
      </c>
      <c r="E3252" s="123" t="s">
        <v>403</v>
      </c>
      <c r="F3252" s="123" t="s">
        <v>404</v>
      </c>
      <c r="G3252" s="123" t="s">
        <v>405</v>
      </c>
      <c r="H3252" s="123" t="s">
        <v>406</v>
      </c>
      <c r="I3252" s="746"/>
      <c r="J3252" s="747"/>
      <c r="K3252" s="748"/>
      <c r="L3252" s="746"/>
      <c r="M3252" s="747"/>
      <c r="N3252" s="753"/>
    </row>
    <row r="3253" spans="2:14" ht="15" customHeight="1" x14ac:dyDescent="0.25">
      <c r="B3253" s="124"/>
      <c r="C3253" s="145"/>
      <c r="D3253" s="125">
        <v>48</v>
      </c>
      <c r="E3253" s="125"/>
      <c r="F3253" s="125"/>
      <c r="G3253" s="125"/>
      <c r="H3253" s="125">
        <f>D3253</f>
        <v>48</v>
      </c>
      <c r="I3253" s="746"/>
      <c r="J3253" s="747"/>
      <c r="K3253" s="748"/>
      <c r="L3253" s="746"/>
      <c r="M3253" s="747"/>
      <c r="N3253" s="753"/>
    </row>
    <row r="3254" spans="2:14" ht="15" customHeight="1" x14ac:dyDescent="0.25">
      <c r="B3254" s="124"/>
      <c r="C3254" s="145"/>
      <c r="D3254" s="125"/>
      <c r="E3254" s="125"/>
      <c r="F3254" s="125"/>
      <c r="G3254" s="125"/>
      <c r="H3254" s="125"/>
      <c r="I3254" s="746"/>
      <c r="J3254" s="747"/>
      <c r="K3254" s="748"/>
      <c r="L3254" s="746"/>
      <c r="M3254" s="747"/>
      <c r="N3254" s="753"/>
    </row>
    <row r="3255" spans="2:14" ht="15" customHeight="1" x14ac:dyDescent="0.25">
      <c r="B3255" s="165"/>
      <c r="C3255" s="145"/>
      <c r="D3255" s="125"/>
      <c r="E3255" s="125"/>
      <c r="F3255" s="125"/>
      <c r="G3255" s="125"/>
      <c r="H3255" s="125"/>
      <c r="I3255" s="746"/>
      <c r="J3255" s="747"/>
      <c r="K3255" s="748"/>
      <c r="L3255" s="746"/>
      <c r="M3255" s="747"/>
      <c r="N3255" s="753"/>
    </row>
    <row r="3256" spans="2:14" ht="15" customHeight="1" x14ac:dyDescent="0.25">
      <c r="B3256" s="165"/>
      <c r="C3256" s="145"/>
      <c r="D3256" s="125"/>
      <c r="E3256" s="125"/>
      <c r="F3256" s="125"/>
      <c r="G3256" s="125"/>
      <c r="H3256" s="125"/>
      <c r="I3256" s="746"/>
      <c r="J3256" s="747"/>
      <c r="K3256" s="748"/>
      <c r="L3256" s="746"/>
      <c r="M3256" s="747"/>
      <c r="N3256" s="753"/>
    </row>
    <row r="3257" spans="2:14" ht="15" customHeight="1" x14ac:dyDescent="0.25">
      <c r="B3257" s="165"/>
      <c r="C3257" s="145"/>
      <c r="D3257" s="125"/>
      <c r="E3257" s="125"/>
      <c r="F3257" s="125"/>
      <c r="G3257" s="125"/>
      <c r="H3257" s="125"/>
      <c r="I3257" s="746"/>
      <c r="J3257" s="747"/>
      <c r="K3257" s="748"/>
      <c r="L3257" s="746"/>
      <c r="M3257" s="747"/>
      <c r="N3257" s="753"/>
    </row>
    <row r="3258" spans="2:14" ht="15" customHeight="1" x14ac:dyDescent="0.25">
      <c r="B3258" s="165"/>
      <c r="C3258" s="145"/>
      <c r="D3258" s="125"/>
      <c r="E3258" s="125"/>
      <c r="F3258" s="125"/>
      <c r="G3258" s="125"/>
      <c r="H3258" s="125"/>
      <c r="I3258" s="746"/>
      <c r="J3258" s="747"/>
      <c r="K3258" s="748"/>
      <c r="L3258" s="746"/>
      <c r="M3258" s="747"/>
      <c r="N3258" s="753"/>
    </row>
    <row r="3259" spans="2:14" ht="15" customHeight="1" x14ac:dyDescent="0.25">
      <c r="B3259" s="165"/>
      <c r="C3259" s="145"/>
      <c r="D3259" s="125"/>
      <c r="E3259" s="125"/>
      <c r="F3259" s="125"/>
      <c r="G3259" s="125"/>
      <c r="H3259" s="125"/>
      <c r="I3259" s="746"/>
      <c r="J3259" s="747"/>
      <c r="K3259" s="748"/>
      <c r="L3259" s="746"/>
      <c r="M3259" s="747"/>
      <c r="N3259" s="753"/>
    </row>
    <row r="3260" spans="2:14" ht="15" customHeight="1" x14ac:dyDescent="0.25">
      <c r="B3260" s="124"/>
      <c r="C3260" s="145"/>
      <c r="D3260" s="125"/>
      <c r="E3260" s="125"/>
      <c r="F3260" s="125"/>
      <c r="G3260" s="125"/>
      <c r="H3260" s="125"/>
      <c r="I3260" s="746"/>
      <c r="J3260" s="747"/>
      <c r="K3260" s="748"/>
      <c r="L3260" s="746"/>
      <c r="M3260" s="747"/>
      <c r="N3260" s="753"/>
    </row>
    <row r="3261" spans="2:14" ht="15" customHeight="1" x14ac:dyDescent="0.25">
      <c r="B3261" s="124"/>
      <c r="C3261" s="125"/>
      <c r="D3261" s="125"/>
      <c r="E3261" s="125"/>
      <c r="F3261" s="125"/>
      <c r="G3261" s="125"/>
      <c r="H3261" s="125"/>
      <c r="I3261" s="746"/>
      <c r="J3261" s="747"/>
      <c r="K3261" s="748"/>
      <c r="L3261" s="746"/>
      <c r="M3261" s="747"/>
      <c r="N3261" s="753"/>
    </row>
    <row r="3262" spans="2:14" ht="15" customHeight="1" x14ac:dyDescent="0.25">
      <c r="B3262" s="127"/>
      <c r="C3262" s="125"/>
      <c r="D3262" s="125"/>
      <c r="E3262" s="125"/>
      <c r="F3262" s="125"/>
      <c r="G3262" s="125"/>
      <c r="H3262" s="125"/>
      <c r="I3262" s="749"/>
      <c r="J3262" s="750"/>
      <c r="K3262" s="751"/>
      <c r="L3262" s="749"/>
      <c r="M3262" s="750"/>
      <c r="N3262" s="754"/>
    </row>
    <row r="3263" spans="2:14" ht="15" customHeight="1" x14ac:dyDescent="0.25">
      <c r="B3263" s="225"/>
      <c r="C3263" s="128"/>
      <c r="D3263" s="128"/>
      <c r="E3263" s="128"/>
      <c r="F3263" s="128"/>
      <c r="G3263" s="128"/>
      <c r="H3263" s="128"/>
      <c r="I3263" s="128"/>
      <c r="J3263" s="128"/>
      <c r="K3263" s="128"/>
      <c r="L3263" s="118"/>
      <c r="M3263" s="118"/>
      <c r="N3263" s="210"/>
    </row>
    <row r="3264" spans="2:14" ht="15" customHeight="1" x14ac:dyDescent="0.25">
      <c r="B3264" s="209"/>
      <c r="C3264" s="118"/>
      <c r="D3264" s="118"/>
      <c r="E3264" s="118"/>
      <c r="F3264" s="118"/>
      <c r="G3264" s="118"/>
      <c r="H3264" s="118"/>
      <c r="I3264" s="118"/>
      <c r="J3264" s="118"/>
      <c r="K3264" s="118"/>
      <c r="L3264" s="118"/>
      <c r="M3264" s="118"/>
      <c r="N3264" s="210"/>
    </row>
    <row r="3265" spans="2:14" ht="15" customHeight="1" x14ac:dyDescent="0.25">
      <c r="B3265" s="209"/>
      <c r="C3265" s="118"/>
      <c r="D3265" s="118"/>
      <c r="E3265" s="118"/>
      <c r="F3265" s="118"/>
      <c r="G3265" s="118"/>
      <c r="H3265" s="118"/>
      <c r="I3265" s="118"/>
      <c r="J3265" s="118"/>
      <c r="K3265" s="118"/>
      <c r="L3265" s="118"/>
      <c r="M3265" s="118"/>
      <c r="N3265" s="210"/>
    </row>
    <row r="3266" spans="2:14" ht="15" customHeight="1" thickBot="1" x14ac:dyDescent="0.3">
      <c r="B3266" s="725" t="s">
        <v>414</v>
      </c>
      <c r="C3266" s="726"/>
      <c r="D3266" s="726"/>
      <c r="E3266" s="147"/>
      <c r="F3266" s="147"/>
      <c r="G3266" s="147"/>
      <c r="H3266" s="147"/>
      <c r="I3266" s="727"/>
      <c r="J3266" s="726"/>
      <c r="K3266" s="726"/>
      <c r="L3266" s="130"/>
      <c r="M3266" s="130"/>
      <c r="N3266" s="131"/>
    </row>
    <row r="3267" spans="2:14" ht="15" customHeight="1" thickBot="1" x14ac:dyDescent="0.3"/>
    <row r="3268" spans="2:14" ht="40.15" customHeight="1" x14ac:dyDescent="0.25">
      <c r="B3268" s="728"/>
      <c r="C3268" s="729"/>
      <c r="D3268" s="730" t="s">
        <v>393</v>
      </c>
      <c r="E3268" s="729"/>
      <c r="F3268" s="729"/>
      <c r="G3268" s="729"/>
      <c r="H3268" s="729"/>
      <c r="I3268" s="729"/>
      <c r="J3268" s="729"/>
      <c r="K3268" s="729"/>
      <c r="L3268" s="729"/>
      <c r="M3268" s="729"/>
      <c r="N3268" s="731"/>
    </row>
    <row r="3269" spans="2:14" ht="15" customHeight="1" x14ac:dyDescent="0.25">
      <c r="B3269" s="732" t="s">
        <v>394</v>
      </c>
      <c r="C3269" s="733"/>
      <c r="D3269" s="733"/>
      <c r="E3269" s="733"/>
      <c r="F3269" s="733"/>
      <c r="G3269" s="733"/>
      <c r="H3269" s="733"/>
      <c r="I3269" s="733"/>
      <c r="J3269" s="733"/>
      <c r="K3269" s="733"/>
      <c r="L3269" s="733"/>
      <c r="M3269" s="733"/>
      <c r="N3269" s="734"/>
    </row>
    <row r="3270" spans="2:14" ht="41.45" customHeight="1" x14ac:dyDescent="0.25">
      <c r="B3270" s="735" t="s">
        <v>395</v>
      </c>
      <c r="C3270" s="736"/>
      <c r="D3270" s="737" t="str">
        <f>VLOOKUP(B3272,Buenaventura!A9:G4517,3,FALSE)</f>
        <v>Desmonte de teja existente , incluye estructura en mal estado y respectivo retiro y disposición final en centro de acopio certificado</v>
      </c>
      <c r="E3270" s="738"/>
      <c r="F3270" s="738"/>
      <c r="G3270" s="738"/>
      <c r="H3270" s="738"/>
      <c r="I3270" s="738"/>
      <c r="J3270" s="738"/>
      <c r="K3270" s="738"/>
      <c r="L3270" s="738"/>
      <c r="M3270" s="738"/>
      <c r="N3270" s="739"/>
    </row>
    <row r="3271" spans="2:14" ht="33.6" customHeight="1" x14ac:dyDescent="0.25">
      <c r="B3271" s="740" t="s">
        <v>26</v>
      </c>
      <c r="C3271" s="741"/>
      <c r="D3271" s="119" t="s">
        <v>396</v>
      </c>
      <c r="E3271" s="742" t="s">
        <v>397</v>
      </c>
      <c r="F3271" s="733"/>
      <c r="G3271" s="733"/>
      <c r="H3271" s="736"/>
      <c r="I3271" s="742" t="s">
        <v>398</v>
      </c>
      <c r="J3271" s="733"/>
      <c r="K3271" s="736"/>
      <c r="L3271" s="742" t="s">
        <v>399</v>
      </c>
      <c r="M3271" s="733"/>
      <c r="N3271" s="734"/>
    </row>
    <row r="3272" spans="2:14" ht="15" customHeight="1" x14ac:dyDescent="0.25">
      <c r="B3272" s="283">
        <v>63</v>
      </c>
      <c r="C3272" s="284" t="str">
        <f>VLOOKUP(B3272,Buenaventura!A9:G4530,2,FALSE)</f>
        <v>PR-72</v>
      </c>
      <c r="D3272" s="285">
        <f>SUM(H3275:H3278)</f>
        <v>10</v>
      </c>
      <c r="E3272" s="743" t="str">
        <f>VLOOKUP(B3272,Buenaventura!A9:G4529,4,FALSE)</f>
        <v>M2</v>
      </c>
      <c r="F3272" s="743"/>
      <c r="G3272" s="743"/>
      <c r="H3272" s="743"/>
      <c r="I3272" s="744"/>
      <c r="J3272" s="745"/>
      <c r="K3272" s="741"/>
      <c r="L3272" s="744"/>
      <c r="M3272" s="745"/>
      <c r="N3272" s="752"/>
    </row>
    <row r="3273" spans="2:14" ht="15" customHeight="1" x14ac:dyDescent="0.25">
      <c r="B3273" s="755" t="s">
        <v>416</v>
      </c>
      <c r="C3273" s="733"/>
      <c r="D3273" s="733"/>
      <c r="E3273" s="733"/>
      <c r="F3273" s="733"/>
      <c r="G3273" s="733"/>
      <c r="H3273" s="736"/>
      <c r="I3273" s="746"/>
      <c r="J3273" s="747"/>
      <c r="K3273" s="748"/>
      <c r="L3273" s="746"/>
      <c r="M3273" s="747"/>
      <c r="N3273" s="753"/>
    </row>
    <row r="3274" spans="2:14" ht="15" customHeight="1" x14ac:dyDescent="0.25">
      <c r="B3274" s="121" t="s">
        <v>400</v>
      </c>
      <c r="C3274" s="122" t="s">
        <v>401</v>
      </c>
      <c r="D3274" s="123" t="s">
        <v>402</v>
      </c>
      <c r="E3274" s="123" t="s">
        <v>403</v>
      </c>
      <c r="F3274" s="123" t="s">
        <v>404</v>
      </c>
      <c r="G3274" s="123" t="s">
        <v>405</v>
      </c>
      <c r="H3274" s="123" t="s">
        <v>406</v>
      </c>
      <c r="I3274" s="746"/>
      <c r="J3274" s="747"/>
      <c r="K3274" s="748"/>
      <c r="L3274" s="746"/>
      <c r="M3274" s="747"/>
      <c r="N3274" s="753"/>
    </row>
    <row r="3275" spans="2:14" ht="15" customHeight="1" x14ac:dyDescent="0.25">
      <c r="B3275" s="124"/>
      <c r="C3275" s="145"/>
      <c r="D3275" s="125">
        <v>10</v>
      </c>
      <c r="E3275" s="125"/>
      <c r="F3275" s="125"/>
      <c r="G3275" s="125"/>
      <c r="H3275" s="125">
        <f>D3275</f>
        <v>10</v>
      </c>
      <c r="I3275" s="746"/>
      <c r="J3275" s="747"/>
      <c r="K3275" s="748"/>
      <c r="L3275" s="746"/>
      <c r="M3275" s="747"/>
      <c r="N3275" s="753"/>
    </row>
    <row r="3276" spans="2:14" ht="15" customHeight="1" x14ac:dyDescent="0.25">
      <c r="B3276" s="124"/>
      <c r="C3276" s="145"/>
      <c r="D3276" s="125"/>
      <c r="E3276" s="125"/>
      <c r="F3276" s="125"/>
      <c r="G3276" s="125"/>
      <c r="H3276" s="125"/>
      <c r="I3276" s="746"/>
      <c r="J3276" s="747"/>
      <c r="K3276" s="748"/>
      <c r="L3276" s="746"/>
      <c r="M3276" s="747"/>
      <c r="N3276" s="753"/>
    </row>
    <row r="3277" spans="2:14" ht="15" customHeight="1" x14ac:dyDescent="0.25">
      <c r="B3277" s="165"/>
      <c r="C3277" s="145"/>
      <c r="D3277" s="125"/>
      <c r="E3277" s="125"/>
      <c r="F3277" s="125"/>
      <c r="G3277" s="125"/>
      <c r="H3277" s="125"/>
      <c r="I3277" s="746"/>
      <c r="J3277" s="747"/>
      <c r="K3277" s="748"/>
      <c r="L3277" s="746"/>
      <c r="M3277" s="747"/>
      <c r="N3277" s="753"/>
    </row>
    <row r="3278" spans="2:14" ht="15" customHeight="1" x14ac:dyDescent="0.25">
      <c r="B3278" s="165"/>
      <c r="C3278" s="145"/>
      <c r="D3278" s="125"/>
      <c r="E3278" s="125"/>
      <c r="F3278" s="125"/>
      <c r="G3278" s="125"/>
      <c r="H3278" s="125"/>
      <c r="I3278" s="746"/>
      <c r="J3278" s="747"/>
      <c r="K3278" s="748"/>
      <c r="L3278" s="746"/>
      <c r="M3278" s="747"/>
      <c r="N3278" s="753"/>
    </row>
    <row r="3279" spans="2:14" ht="15" customHeight="1" x14ac:dyDescent="0.25">
      <c r="B3279" s="165"/>
      <c r="C3279" s="145"/>
      <c r="D3279" s="125"/>
      <c r="E3279" s="125"/>
      <c r="F3279" s="125"/>
      <c r="G3279" s="125"/>
      <c r="H3279" s="125"/>
      <c r="I3279" s="746"/>
      <c r="J3279" s="747"/>
      <c r="K3279" s="748"/>
      <c r="L3279" s="746"/>
      <c r="M3279" s="747"/>
      <c r="N3279" s="753"/>
    </row>
    <row r="3280" spans="2:14" ht="15" customHeight="1" x14ac:dyDescent="0.25">
      <c r="B3280" s="165"/>
      <c r="C3280" s="145"/>
      <c r="D3280" s="125"/>
      <c r="E3280" s="125"/>
      <c r="F3280" s="125"/>
      <c r="G3280" s="125"/>
      <c r="H3280" s="125"/>
      <c r="I3280" s="746"/>
      <c r="J3280" s="747"/>
      <c r="K3280" s="748"/>
      <c r="L3280" s="746"/>
      <c r="M3280" s="747"/>
      <c r="N3280" s="753"/>
    </row>
    <row r="3281" spans="2:14" ht="15" customHeight="1" x14ac:dyDescent="0.25">
      <c r="B3281" s="165"/>
      <c r="C3281" s="145"/>
      <c r="D3281" s="125"/>
      <c r="E3281" s="125"/>
      <c r="F3281" s="125"/>
      <c r="G3281" s="125"/>
      <c r="H3281" s="125"/>
      <c r="I3281" s="746"/>
      <c r="J3281" s="747"/>
      <c r="K3281" s="748"/>
      <c r="L3281" s="746"/>
      <c r="M3281" s="747"/>
      <c r="N3281" s="753"/>
    </row>
    <row r="3282" spans="2:14" ht="15" customHeight="1" x14ac:dyDescent="0.25">
      <c r="B3282" s="124"/>
      <c r="C3282" s="145"/>
      <c r="D3282" s="125"/>
      <c r="E3282" s="125"/>
      <c r="F3282" s="125"/>
      <c r="G3282" s="125"/>
      <c r="H3282" s="125"/>
      <c r="I3282" s="746"/>
      <c r="J3282" s="747"/>
      <c r="K3282" s="748"/>
      <c r="L3282" s="746"/>
      <c r="M3282" s="747"/>
      <c r="N3282" s="753"/>
    </row>
    <row r="3283" spans="2:14" ht="15" customHeight="1" x14ac:dyDescent="0.25">
      <c r="B3283" s="124"/>
      <c r="C3283" s="125"/>
      <c r="D3283" s="125"/>
      <c r="E3283" s="125"/>
      <c r="F3283" s="125"/>
      <c r="G3283" s="125"/>
      <c r="H3283" s="125"/>
      <c r="I3283" s="746"/>
      <c r="J3283" s="747"/>
      <c r="K3283" s="748"/>
      <c r="L3283" s="746"/>
      <c r="M3283" s="747"/>
      <c r="N3283" s="753"/>
    </row>
    <row r="3284" spans="2:14" ht="15" customHeight="1" x14ac:dyDescent="0.25">
      <c r="B3284" s="127"/>
      <c r="C3284" s="125"/>
      <c r="D3284" s="125"/>
      <c r="E3284" s="125"/>
      <c r="F3284" s="125"/>
      <c r="G3284" s="125"/>
      <c r="H3284" s="125"/>
      <c r="I3284" s="749"/>
      <c r="J3284" s="750"/>
      <c r="K3284" s="751"/>
      <c r="L3284" s="749"/>
      <c r="M3284" s="750"/>
      <c r="N3284" s="754"/>
    </row>
    <row r="3285" spans="2:14" ht="15" customHeight="1" x14ac:dyDescent="0.25">
      <c r="B3285" s="225"/>
      <c r="C3285" s="128"/>
      <c r="D3285" s="128"/>
      <c r="E3285" s="128"/>
      <c r="F3285" s="128"/>
      <c r="G3285" s="128"/>
      <c r="H3285" s="128"/>
      <c r="I3285" s="128"/>
      <c r="J3285" s="128"/>
      <c r="K3285" s="128"/>
      <c r="L3285" s="118"/>
      <c r="M3285" s="118"/>
      <c r="N3285" s="210"/>
    </row>
    <row r="3286" spans="2:14" ht="15" customHeight="1" x14ac:dyDescent="0.25">
      <c r="B3286" s="209"/>
      <c r="C3286" s="118"/>
      <c r="D3286" s="118"/>
      <c r="E3286" s="118"/>
      <c r="F3286" s="118"/>
      <c r="G3286" s="118"/>
      <c r="H3286" s="118"/>
      <c r="I3286" s="118"/>
      <c r="J3286" s="118"/>
      <c r="K3286" s="118"/>
      <c r="L3286" s="118"/>
      <c r="M3286" s="118"/>
      <c r="N3286" s="210"/>
    </row>
    <row r="3287" spans="2:14" ht="15" customHeight="1" x14ac:dyDescent="0.25">
      <c r="B3287" s="209"/>
      <c r="C3287" s="118"/>
      <c r="D3287" s="118"/>
      <c r="E3287" s="118"/>
      <c r="F3287" s="118"/>
      <c r="G3287" s="118"/>
      <c r="H3287" s="118"/>
      <c r="I3287" s="118"/>
      <c r="J3287" s="118"/>
      <c r="K3287" s="118"/>
      <c r="L3287" s="118"/>
      <c r="M3287" s="118"/>
      <c r="N3287" s="210"/>
    </row>
    <row r="3288" spans="2:14" ht="15" customHeight="1" thickBot="1" x14ac:dyDescent="0.3">
      <c r="B3288" s="725" t="s">
        <v>414</v>
      </c>
      <c r="C3288" s="726"/>
      <c r="D3288" s="726"/>
      <c r="E3288" s="147"/>
      <c r="F3288" s="147"/>
      <c r="G3288" s="147"/>
      <c r="H3288" s="147"/>
      <c r="I3288" s="727"/>
      <c r="J3288" s="726"/>
      <c r="K3288" s="726"/>
      <c r="L3288" s="130"/>
      <c r="M3288" s="130"/>
      <c r="N3288" s="131"/>
    </row>
    <row r="3289" spans="2:14" ht="15" customHeight="1" thickBot="1" x14ac:dyDescent="0.3"/>
    <row r="3290" spans="2:14" ht="42" customHeight="1" x14ac:dyDescent="0.25">
      <c r="B3290" s="728"/>
      <c r="C3290" s="729"/>
      <c r="D3290" s="730" t="s">
        <v>393</v>
      </c>
      <c r="E3290" s="729"/>
      <c r="F3290" s="729"/>
      <c r="G3290" s="729"/>
      <c r="H3290" s="729"/>
      <c r="I3290" s="729"/>
      <c r="J3290" s="729"/>
      <c r="K3290" s="729"/>
      <c r="L3290" s="729"/>
      <c r="M3290" s="729"/>
      <c r="N3290" s="731"/>
    </row>
    <row r="3291" spans="2:14" ht="15" customHeight="1" x14ac:dyDescent="0.25">
      <c r="B3291" s="732" t="s">
        <v>394</v>
      </c>
      <c r="C3291" s="733"/>
      <c r="D3291" s="733"/>
      <c r="E3291" s="733"/>
      <c r="F3291" s="733"/>
      <c r="G3291" s="733"/>
      <c r="H3291" s="733"/>
      <c r="I3291" s="733"/>
      <c r="J3291" s="733"/>
      <c r="K3291" s="733"/>
      <c r="L3291" s="733"/>
      <c r="M3291" s="733"/>
      <c r="N3291" s="734"/>
    </row>
    <row r="3292" spans="2:14" ht="63.6" customHeight="1" x14ac:dyDescent="0.25">
      <c r="B3292" s="735" t="s">
        <v>395</v>
      </c>
      <c r="C3292" s="736"/>
      <c r="D3292" s="737" t="str">
        <f>VLOOKUP(B3294,Buenaventura!A9:G4539,3,FALSE)</f>
        <v>Suministro e instalación de platina 3/8 cuyas medidas son 15 cm x 15cm , incluye materiales complementarios de conexión, , corte, soldadura, anclajes, cartelas, tornillos</v>
      </c>
      <c r="E3292" s="738"/>
      <c r="F3292" s="738"/>
      <c r="G3292" s="738"/>
      <c r="H3292" s="738"/>
      <c r="I3292" s="738"/>
      <c r="J3292" s="738"/>
      <c r="K3292" s="738"/>
      <c r="L3292" s="738"/>
      <c r="M3292" s="738"/>
      <c r="N3292" s="739"/>
    </row>
    <row r="3293" spans="2:14" ht="31.15" customHeight="1" x14ac:dyDescent="0.25">
      <c r="B3293" s="740" t="s">
        <v>26</v>
      </c>
      <c r="C3293" s="741"/>
      <c r="D3293" s="119" t="s">
        <v>396</v>
      </c>
      <c r="E3293" s="742" t="s">
        <v>397</v>
      </c>
      <c r="F3293" s="733"/>
      <c r="G3293" s="733"/>
      <c r="H3293" s="736"/>
      <c r="I3293" s="742" t="s">
        <v>398</v>
      </c>
      <c r="J3293" s="733"/>
      <c r="K3293" s="736"/>
      <c r="L3293" s="742" t="s">
        <v>399</v>
      </c>
      <c r="M3293" s="733"/>
      <c r="N3293" s="734"/>
    </row>
    <row r="3294" spans="2:14" ht="15" customHeight="1" x14ac:dyDescent="0.25">
      <c r="B3294" s="283">
        <v>64</v>
      </c>
      <c r="C3294" s="284" t="str">
        <f>VLOOKUP(B3294,Buenaventura!A9:G4552,2,FALSE)</f>
        <v>CC-20</v>
      </c>
      <c r="D3294" s="285">
        <f>SUM(H3297:H3303)</f>
        <v>69.02000000000001</v>
      </c>
      <c r="E3294" s="743" t="str">
        <f>VLOOKUP(B3294,Buenaventura!A9:G4551,4,FALSE)</f>
        <v>UND</v>
      </c>
      <c r="F3294" s="743"/>
      <c r="G3294" s="743"/>
      <c r="H3294" s="743"/>
      <c r="I3294" s="744"/>
      <c r="J3294" s="745"/>
      <c r="K3294" s="741"/>
      <c r="L3294" s="744"/>
      <c r="M3294" s="745"/>
      <c r="N3294" s="752"/>
    </row>
    <row r="3295" spans="2:14" ht="15" customHeight="1" x14ac:dyDescent="0.25">
      <c r="B3295" s="755" t="s">
        <v>416</v>
      </c>
      <c r="C3295" s="733"/>
      <c r="D3295" s="733"/>
      <c r="E3295" s="733"/>
      <c r="F3295" s="733"/>
      <c r="G3295" s="733"/>
      <c r="H3295" s="736"/>
      <c r="I3295" s="746"/>
      <c r="J3295" s="747"/>
      <c r="K3295" s="748"/>
      <c r="L3295" s="746"/>
      <c r="M3295" s="747"/>
      <c r="N3295" s="753"/>
    </row>
    <row r="3296" spans="2:14" ht="15" customHeight="1" x14ac:dyDescent="0.25">
      <c r="B3296" s="121" t="s">
        <v>400</v>
      </c>
      <c r="C3296" s="122" t="s">
        <v>401</v>
      </c>
      <c r="D3296" s="123" t="s">
        <v>402</v>
      </c>
      <c r="E3296" s="123" t="s">
        <v>403</v>
      </c>
      <c r="F3296" s="123" t="s">
        <v>404</v>
      </c>
      <c r="G3296" s="123" t="s">
        <v>405</v>
      </c>
      <c r="H3296" s="123" t="s">
        <v>406</v>
      </c>
      <c r="I3296" s="746"/>
      <c r="J3296" s="747"/>
      <c r="K3296" s="748"/>
      <c r="L3296" s="746"/>
      <c r="M3296" s="747"/>
      <c r="N3296" s="753"/>
    </row>
    <row r="3297" spans="2:14" ht="15" customHeight="1" x14ac:dyDescent="0.25">
      <c r="B3297" s="124"/>
      <c r="C3297" s="363" t="s">
        <v>591</v>
      </c>
      <c r="D3297" s="125">
        <v>1</v>
      </c>
      <c r="E3297" s="125"/>
      <c r="F3297" s="125">
        <v>19.5</v>
      </c>
      <c r="G3297" s="125"/>
      <c r="H3297" s="125">
        <f>D3297*F3297</f>
        <v>19.5</v>
      </c>
      <c r="I3297" s="746"/>
      <c r="J3297" s="747"/>
      <c r="K3297" s="748"/>
      <c r="L3297" s="746"/>
      <c r="M3297" s="747"/>
      <c r="N3297" s="753"/>
    </row>
    <row r="3298" spans="2:14" ht="15" customHeight="1" x14ac:dyDescent="0.25">
      <c r="B3298" s="124"/>
      <c r="C3298" s="145"/>
      <c r="D3298" s="125">
        <v>2</v>
      </c>
      <c r="E3298" s="125"/>
      <c r="F3298" s="125">
        <v>21.76</v>
      </c>
      <c r="G3298" s="125"/>
      <c r="H3298" s="125">
        <f t="shared" ref="H3298:H3301" si="66">D3298*F3298</f>
        <v>43.52</v>
      </c>
      <c r="I3298" s="746"/>
      <c r="J3298" s="747"/>
      <c r="K3298" s="748"/>
      <c r="L3298" s="746"/>
      <c r="M3298" s="747"/>
      <c r="N3298" s="753"/>
    </row>
    <row r="3299" spans="2:14" ht="15" customHeight="1" x14ac:dyDescent="0.25">
      <c r="B3299" s="165"/>
      <c r="C3299" s="145" t="s">
        <v>592</v>
      </c>
      <c r="D3299" s="125">
        <v>2</v>
      </c>
      <c r="E3299" s="125"/>
      <c r="F3299" s="125">
        <v>3</v>
      </c>
      <c r="G3299" s="125"/>
      <c r="H3299" s="125">
        <f t="shared" si="66"/>
        <v>6</v>
      </c>
      <c r="I3299" s="746"/>
      <c r="J3299" s="747"/>
      <c r="K3299" s="748"/>
      <c r="L3299" s="746"/>
      <c r="M3299" s="747"/>
      <c r="N3299" s="753"/>
    </row>
    <row r="3300" spans="2:14" ht="15" customHeight="1" x14ac:dyDescent="0.25">
      <c r="B3300" s="165"/>
      <c r="C3300" s="145"/>
      <c r="D3300" s="125"/>
      <c r="E3300" s="125"/>
      <c r="F3300" s="125"/>
      <c r="G3300" s="125"/>
      <c r="H3300" s="125">
        <f t="shared" si="66"/>
        <v>0</v>
      </c>
      <c r="I3300" s="746"/>
      <c r="J3300" s="747"/>
      <c r="K3300" s="748"/>
      <c r="L3300" s="746"/>
      <c r="M3300" s="747"/>
      <c r="N3300" s="753"/>
    </row>
    <row r="3301" spans="2:14" ht="15" customHeight="1" x14ac:dyDescent="0.25">
      <c r="B3301" s="165"/>
      <c r="C3301" s="145"/>
      <c r="D3301" s="125"/>
      <c r="E3301" s="125"/>
      <c r="F3301" s="125"/>
      <c r="G3301" s="125"/>
      <c r="H3301" s="125">
        <f t="shared" si="66"/>
        <v>0</v>
      </c>
      <c r="I3301" s="746"/>
      <c r="J3301" s="747"/>
      <c r="K3301" s="748"/>
      <c r="L3301" s="746"/>
      <c r="M3301" s="747"/>
      <c r="N3301" s="753"/>
    </row>
    <row r="3302" spans="2:14" ht="15" customHeight="1" x14ac:dyDescent="0.25">
      <c r="B3302" s="165"/>
      <c r="C3302" s="145"/>
      <c r="D3302" s="125"/>
      <c r="E3302" s="125"/>
      <c r="F3302" s="125"/>
      <c r="G3302" s="125"/>
      <c r="H3302" s="125"/>
      <c r="I3302" s="746"/>
      <c r="J3302" s="747"/>
      <c r="K3302" s="748"/>
      <c r="L3302" s="746"/>
      <c r="M3302" s="747"/>
      <c r="N3302" s="753"/>
    </row>
    <row r="3303" spans="2:14" ht="15" customHeight="1" x14ac:dyDescent="0.25">
      <c r="B3303" s="165"/>
      <c r="C3303" s="145"/>
      <c r="D3303" s="125"/>
      <c r="E3303" s="125"/>
      <c r="F3303" s="125"/>
      <c r="G3303" s="125"/>
      <c r="H3303" s="125"/>
      <c r="I3303" s="746"/>
      <c r="J3303" s="747"/>
      <c r="K3303" s="748"/>
      <c r="L3303" s="746"/>
      <c r="M3303" s="747"/>
      <c r="N3303" s="753"/>
    </row>
    <row r="3304" spans="2:14" ht="15" customHeight="1" x14ac:dyDescent="0.25">
      <c r="B3304" s="124"/>
      <c r="C3304" s="145"/>
      <c r="D3304" s="125"/>
      <c r="E3304" s="125"/>
      <c r="F3304" s="125"/>
      <c r="G3304" s="125"/>
      <c r="H3304" s="125"/>
      <c r="I3304" s="746"/>
      <c r="J3304" s="747"/>
      <c r="K3304" s="748"/>
      <c r="L3304" s="746"/>
      <c r="M3304" s="747"/>
      <c r="N3304" s="753"/>
    </row>
    <row r="3305" spans="2:14" ht="15" customHeight="1" x14ac:dyDescent="0.25">
      <c r="B3305" s="124"/>
      <c r="C3305" s="125"/>
      <c r="D3305" s="125"/>
      <c r="E3305" s="125"/>
      <c r="F3305" s="125"/>
      <c r="G3305" s="125"/>
      <c r="H3305" s="125"/>
      <c r="I3305" s="746"/>
      <c r="J3305" s="747"/>
      <c r="K3305" s="748"/>
      <c r="L3305" s="746"/>
      <c r="M3305" s="747"/>
      <c r="N3305" s="753"/>
    </row>
    <row r="3306" spans="2:14" ht="15" customHeight="1" x14ac:dyDescent="0.25">
      <c r="B3306" s="127"/>
      <c r="C3306" s="125"/>
      <c r="D3306" s="125"/>
      <c r="E3306" s="125"/>
      <c r="F3306" s="125"/>
      <c r="G3306" s="125"/>
      <c r="H3306" s="125"/>
      <c r="I3306" s="749"/>
      <c r="J3306" s="750"/>
      <c r="K3306" s="751"/>
      <c r="L3306" s="749"/>
      <c r="M3306" s="750"/>
      <c r="N3306" s="754"/>
    </row>
    <row r="3307" spans="2:14" ht="15" customHeight="1" x14ac:dyDescent="0.25">
      <c r="B3307" s="225"/>
      <c r="C3307" s="128"/>
      <c r="D3307" s="128"/>
      <c r="E3307" s="128"/>
      <c r="F3307" s="128"/>
      <c r="G3307" s="128"/>
      <c r="H3307" s="128"/>
      <c r="I3307" s="128"/>
      <c r="J3307" s="128"/>
      <c r="K3307" s="128"/>
      <c r="L3307" s="118"/>
      <c r="M3307" s="118"/>
      <c r="N3307" s="210"/>
    </row>
    <row r="3308" spans="2:14" ht="15" customHeight="1" x14ac:dyDescent="0.25">
      <c r="B3308" s="209"/>
      <c r="C3308" s="118"/>
      <c r="D3308" s="118"/>
      <c r="E3308" s="118"/>
      <c r="F3308" s="118"/>
      <c r="G3308" s="118"/>
      <c r="H3308" s="118"/>
      <c r="I3308" s="118"/>
      <c r="J3308" s="118"/>
      <c r="K3308" s="118"/>
      <c r="L3308" s="118"/>
      <c r="M3308" s="118"/>
      <c r="N3308" s="210"/>
    </row>
    <row r="3309" spans="2:14" ht="15" customHeight="1" x14ac:dyDescent="0.25">
      <c r="B3309" s="209"/>
      <c r="C3309" s="118"/>
      <c r="D3309" s="118"/>
      <c r="E3309" s="118"/>
      <c r="F3309" s="118"/>
      <c r="G3309" s="118"/>
      <c r="H3309" s="118"/>
      <c r="I3309" s="118"/>
      <c r="J3309" s="118"/>
      <c r="K3309" s="118"/>
      <c r="L3309" s="118"/>
      <c r="M3309" s="118"/>
      <c r="N3309" s="210"/>
    </row>
    <row r="3310" spans="2:14" ht="15" customHeight="1" thickBot="1" x14ac:dyDescent="0.3">
      <c r="B3310" s="725" t="s">
        <v>414</v>
      </c>
      <c r="C3310" s="726"/>
      <c r="D3310" s="726"/>
      <c r="E3310" s="147"/>
      <c r="F3310" s="147"/>
      <c r="G3310" s="147"/>
      <c r="H3310" s="147"/>
      <c r="I3310" s="727"/>
      <c r="J3310" s="726"/>
      <c r="K3310" s="726"/>
      <c r="L3310" s="130"/>
      <c r="M3310" s="130"/>
      <c r="N3310" s="131"/>
    </row>
    <row r="3311" spans="2:14" ht="15" customHeight="1" thickBot="1" x14ac:dyDescent="0.3"/>
    <row r="3312" spans="2:14" ht="33" customHeight="1" x14ac:dyDescent="0.25">
      <c r="B3312" s="728"/>
      <c r="C3312" s="729"/>
      <c r="D3312" s="730" t="s">
        <v>393</v>
      </c>
      <c r="E3312" s="729"/>
      <c r="F3312" s="729"/>
      <c r="G3312" s="729"/>
      <c r="H3312" s="729"/>
      <c r="I3312" s="729"/>
      <c r="J3312" s="729"/>
      <c r="K3312" s="729"/>
      <c r="L3312" s="729"/>
      <c r="M3312" s="729"/>
      <c r="N3312" s="731"/>
    </row>
    <row r="3313" spans="2:14" ht="15" customHeight="1" x14ac:dyDescent="0.25">
      <c r="B3313" s="732" t="s">
        <v>394</v>
      </c>
      <c r="C3313" s="733"/>
      <c r="D3313" s="733"/>
      <c r="E3313" s="733"/>
      <c r="F3313" s="733"/>
      <c r="G3313" s="733"/>
      <c r="H3313" s="733"/>
      <c r="I3313" s="733"/>
      <c r="J3313" s="733"/>
      <c r="K3313" s="733"/>
      <c r="L3313" s="733"/>
      <c r="M3313" s="733"/>
      <c r="N3313" s="734"/>
    </row>
    <row r="3314" spans="2:14" ht="63" customHeight="1" x14ac:dyDescent="0.25">
      <c r="B3314" s="735" t="s">
        <v>395</v>
      </c>
      <c r="C3314" s="736"/>
      <c r="D3314" s="737" t="str">
        <f>VLOOKUP(B3316,Buenaventura!A9:G4561,3,FALSE)</f>
        <v>Suministro e instalación de platina 3/8 cuyas medidas son 20 cm x 20 cm, incluye materiales complementarios de conexión, , corte, soldadura, anclajes, cartelas, tornillos</v>
      </c>
      <c r="E3314" s="738"/>
      <c r="F3314" s="738"/>
      <c r="G3314" s="738"/>
      <c r="H3314" s="738"/>
      <c r="I3314" s="738"/>
      <c r="J3314" s="738"/>
      <c r="K3314" s="738"/>
      <c r="L3314" s="738"/>
      <c r="M3314" s="738"/>
      <c r="N3314" s="739"/>
    </row>
    <row r="3315" spans="2:14" ht="25.15" customHeight="1" x14ac:dyDescent="0.25">
      <c r="B3315" s="740" t="s">
        <v>26</v>
      </c>
      <c r="C3315" s="741"/>
      <c r="D3315" s="119" t="s">
        <v>396</v>
      </c>
      <c r="E3315" s="742" t="s">
        <v>397</v>
      </c>
      <c r="F3315" s="733"/>
      <c r="G3315" s="733"/>
      <c r="H3315" s="736"/>
      <c r="I3315" s="742" t="s">
        <v>398</v>
      </c>
      <c r="J3315" s="733"/>
      <c r="K3315" s="736"/>
      <c r="L3315" s="742" t="s">
        <v>399</v>
      </c>
      <c r="M3315" s="733"/>
      <c r="N3315" s="734"/>
    </row>
    <row r="3316" spans="2:14" ht="15" customHeight="1" x14ac:dyDescent="0.25">
      <c r="B3316" s="283">
        <v>65</v>
      </c>
      <c r="C3316" s="284" t="str">
        <f>VLOOKUP(B3316,Buenaventura!A9:G4574,2,FALSE)</f>
        <v>CC-20</v>
      </c>
      <c r="D3316" s="285">
        <f>SUM(H3319:H3322)</f>
        <v>479.83000000000004</v>
      </c>
      <c r="E3316" s="743" t="str">
        <f>VLOOKUP(B3316,Buenaventura!A9:G4573,4,FALSE)</f>
        <v>UND</v>
      </c>
      <c r="F3316" s="743"/>
      <c r="G3316" s="743"/>
      <c r="H3316" s="743"/>
      <c r="I3316" s="744"/>
      <c r="J3316" s="745"/>
      <c r="K3316" s="741"/>
      <c r="L3316" s="744"/>
      <c r="M3316" s="745"/>
      <c r="N3316" s="752"/>
    </row>
    <row r="3317" spans="2:14" ht="15" customHeight="1" x14ac:dyDescent="0.25">
      <c r="B3317" s="755" t="s">
        <v>416</v>
      </c>
      <c r="C3317" s="733"/>
      <c r="D3317" s="733"/>
      <c r="E3317" s="733"/>
      <c r="F3317" s="733"/>
      <c r="G3317" s="733"/>
      <c r="H3317" s="736"/>
      <c r="I3317" s="746"/>
      <c r="J3317" s="747"/>
      <c r="K3317" s="748"/>
      <c r="L3317" s="746"/>
      <c r="M3317" s="747"/>
      <c r="N3317" s="753"/>
    </row>
    <row r="3318" spans="2:14" ht="15" customHeight="1" x14ac:dyDescent="0.25">
      <c r="B3318" s="121" t="s">
        <v>400</v>
      </c>
      <c r="C3318" s="122" t="s">
        <v>401</v>
      </c>
      <c r="D3318" s="123" t="s">
        <v>402</v>
      </c>
      <c r="E3318" s="123" t="s">
        <v>403</v>
      </c>
      <c r="F3318" s="123" t="s">
        <v>404</v>
      </c>
      <c r="G3318" s="123" t="s">
        <v>405</v>
      </c>
      <c r="H3318" s="123" t="s">
        <v>406</v>
      </c>
      <c r="I3318" s="746"/>
      <c r="J3318" s="747"/>
      <c r="K3318" s="748"/>
      <c r="L3318" s="746"/>
      <c r="M3318" s="747"/>
      <c r="N3318" s="753"/>
    </row>
    <row r="3319" spans="2:14" ht="15" customHeight="1" x14ac:dyDescent="0.25">
      <c r="B3319" s="124"/>
      <c r="C3319" s="145"/>
      <c r="D3319" s="125">
        <v>16</v>
      </c>
      <c r="E3319" s="125"/>
      <c r="F3319" s="125">
        <v>23.93</v>
      </c>
      <c r="G3319" s="125"/>
      <c r="H3319" s="125">
        <f>D3319*F3319</f>
        <v>382.88</v>
      </c>
      <c r="I3319" s="746"/>
      <c r="J3319" s="747"/>
      <c r="K3319" s="748"/>
      <c r="L3319" s="746"/>
      <c r="M3319" s="747"/>
      <c r="N3319" s="753"/>
    </row>
    <row r="3320" spans="2:14" ht="15" customHeight="1" x14ac:dyDescent="0.25">
      <c r="B3320" s="124"/>
      <c r="C3320" s="145"/>
      <c r="D3320" s="125">
        <v>2</v>
      </c>
      <c r="E3320" s="125"/>
      <c r="F3320" s="125">
        <v>12.58</v>
      </c>
      <c r="G3320" s="125"/>
      <c r="H3320" s="125">
        <f t="shared" ref="H3320:H3324" si="67">D3320*F3320</f>
        <v>25.16</v>
      </c>
      <c r="I3320" s="746"/>
      <c r="J3320" s="747"/>
      <c r="K3320" s="748"/>
      <c r="L3320" s="746"/>
      <c r="M3320" s="747"/>
      <c r="N3320" s="753"/>
    </row>
    <row r="3321" spans="2:14" ht="15" customHeight="1" x14ac:dyDescent="0.25">
      <c r="B3321" s="165"/>
      <c r="C3321" s="145"/>
      <c r="D3321" s="125">
        <v>3</v>
      </c>
      <c r="E3321" s="125"/>
      <c r="F3321" s="125">
        <v>23.93</v>
      </c>
      <c r="G3321" s="125"/>
      <c r="H3321" s="125">
        <f t="shared" si="67"/>
        <v>71.789999999999992</v>
      </c>
      <c r="I3321" s="746"/>
      <c r="J3321" s="747"/>
      <c r="K3321" s="748"/>
      <c r="L3321" s="746"/>
      <c r="M3321" s="747"/>
      <c r="N3321" s="753"/>
    </row>
    <row r="3322" spans="2:14" ht="15" customHeight="1" x14ac:dyDescent="0.25">
      <c r="B3322" s="165"/>
      <c r="C3322" s="145"/>
      <c r="D3322" s="125"/>
      <c r="E3322" s="125"/>
      <c r="F3322" s="125"/>
      <c r="G3322" s="125"/>
      <c r="H3322" s="125">
        <f t="shared" si="67"/>
        <v>0</v>
      </c>
      <c r="I3322" s="746"/>
      <c r="J3322" s="747"/>
      <c r="K3322" s="748"/>
      <c r="L3322" s="746"/>
      <c r="M3322" s="747"/>
      <c r="N3322" s="753"/>
    </row>
    <row r="3323" spans="2:14" ht="15" customHeight="1" x14ac:dyDescent="0.25">
      <c r="B3323" s="165"/>
      <c r="C3323" s="145"/>
      <c r="D3323" s="125"/>
      <c r="E3323" s="125"/>
      <c r="F3323" s="125"/>
      <c r="G3323" s="125"/>
      <c r="H3323" s="125">
        <f t="shared" si="67"/>
        <v>0</v>
      </c>
      <c r="I3323" s="746"/>
      <c r="J3323" s="747"/>
      <c r="K3323" s="748"/>
      <c r="L3323" s="746"/>
      <c r="M3323" s="747"/>
      <c r="N3323" s="753"/>
    </row>
    <row r="3324" spans="2:14" ht="15" customHeight="1" x14ac:dyDescent="0.25">
      <c r="B3324" s="165"/>
      <c r="C3324" s="145"/>
      <c r="D3324" s="125"/>
      <c r="E3324" s="125"/>
      <c r="F3324" s="125"/>
      <c r="G3324" s="125"/>
      <c r="H3324" s="125">
        <f t="shared" si="67"/>
        <v>0</v>
      </c>
      <c r="I3324" s="746"/>
      <c r="J3324" s="747"/>
      <c r="K3324" s="748"/>
      <c r="L3324" s="746"/>
      <c r="M3324" s="747"/>
      <c r="N3324" s="753"/>
    </row>
    <row r="3325" spans="2:14" ht="15" customHeight="1" x14ac:dyDescent="0.25">
      <c r="B3325" s="165"/>
      <c r="C3325" s="145"/>
      <c r="D3325" s="125"/>
      <c r="E3325" s="125"/>
      <c r="F3325" s="125"/>
      <c r="G3325" s="125"/>
      <c r="H3325" s="125"/>
      <c r="I3325" s="746"/>
      <c r="J3325" s="747"/>
      <c r="K3325" s="748"/>
      <c r="L3325" s="746"/>
      <c r="M3325" s="747"/>
      <c r="N3325" s="753"/>
    </row>
    <row r="3326" spans="2:14" ht="15" customHeight="1" x14ac:dyDescent="0.25">
      <c r="B3326" s="124"/>
      <c r="C3326" s="145"/>
      <c r="D3326" s="125"/>
      <c r="E3326" s="125"/>
      <c r="F3326" s="125"/>
      <c r="G3326" s="125"/>
      <c r="H3326" s="125"/>
      <c r="I3326" s="746"/>
      <c r="J3326" s="747"/>
      <c r="K3326" s="748"/>
      <c r="L3326" s="746"/>
      <c r="M3326" s="747"/>
      <c r="N3326" s="753"/>
    </row>
    <row r="3327" spans="2:14" ht="15" customHeight="1" x14ac:dyDescent="0.25">
      <c r="B3327" s="124"/>
      <c r="C3327" s="125"/>
      <c r="D3327" s="125"/>
      <c r="E3327" s="125"/>
      <c r="F3327" s="125"/>
      <c r="G3327" s="125"/>
      <c r="H3327" s="125"/>
      <c r="I3327" s="746"/>
      <c r="J3327" s="747"/>
      <c r="K3327" s="748"/>
      <c r="L3327" s="746"/>
      <c r="M3327" s="747"/>
      <c r="N3327" s="753"/>
    </row>
    <row r="3328" spans="2:14" ht="15" customHeight="1" x14ac:dyDescent="0.25">
      <c r="B3328" s="127"/>
      <c r="C3328" s="125"/>
      <c r="D3328" s="125"/>
      <c r="E3328" s="125"/>
      <c r="F3328" s="125"/>
      <c r="G3328" s="125"/>
      <c r="H3328" s="125"/>
      <c r="I3328" s="749"/>
      <c r="J3328" s="750"/>
      <c r="K3328" s="751"/>
      <c r="L3328" s="749"/>
      <c r="M3328" s="750"/>
      <c r="N3328" s="754"/>
    </row>
    <row r="3329" spans="2:14" ht="15" customHeight="1" x14ac:dyDescent="0.25">
      <c r="B3329" s="225"/>
      <c r="C3329" s="128"/>
      <c r="D3329" s="128"/>
      <c r="E3329" s="128"/>
      <c r="F3329" s="128"/>
      <c r="G3329" s="128"/>
      <c r="H3329" s="128"/>
      <c r="I3329" s="128"/>
      <c r="J3329" s="128"/>
      <c r="K3329" s="128"/>
      <c r="L3329" s="118"/>
      <c r="M3329" s="118"/>
      <c r="N3329" s="210"/>
    </row>
    <row r="3330" spans="2:14" ht="15" customHeight="1" x14ac:dyDescent="0.25">
      <c r="B3330" s="209"/>
      <c r="C3330" s="118"/>
      <c r="D3330" s="118"/>
      <c r="E3330" s="118"/>
      <c r="F3330" s="118"/>
      <c r="G3330" s="118"/>
      <c r="H3330" s="118"/>
      <c r="I3330" s="118"/>
      <c r="J3330" s="118"/>
      <c r="K3330" s="118"/>
      <c r="L3330" s="118"/>
      <c r="M3330" s="118"/>
      <c r="N3330" s="210"/>
    </row>
    <row r="3331" spans="2:14" ht="15" customHeight="1" x14ac:dyDescent="0.25">
      <c r="B3331" s="209"/>
      <c r="C3331" s="118"/>
      <c r="D3331" s="118"/>
      <c r="E3331" s="118"/>
      <c r="F3331" s="118"/>
      <c r="G3331" s="118"/>
      <c r="H3331" s="118"/>
      <c r="I3331" s="118"/>
      <c r="J3331" s="118"/>
      <c r="K3331" s="118"/>
      <c r="L3331" s="118"/>
      <c r="M3331" s="118"/>
      <c r="N3331" s="210"/>
    </row>
    <row r="3332" spans="2:14" ht="15" customHeight="1" thickBot="1" x14ac:dyDescent="0.3">
      <c r="B3332" s="725" t="s">
        <v>414</v>
      </c>
      <c r="C3332" s="726"/>
      <c r="D3332" s="726"/>
      <c r="E3332" s="147"/>
      <c r="F3332" s="147"/>
      <c r="G3332" s="147"/>
      <c r="H3332" s="147"/>
      <c r="I3332" s="727"/>
      <c r="J3332" s="726"/>
      <c r="K3332" s="726"/>
      <c r="L3332" s="130"/>
      <c r="M3332" s="130"/>
      <c r="N3332" s="131"/>
    </row>
    <row r="3333" spans="2:14" ht="15" customHeight="1" thickBot="1" x14ac:dyDescent="0.3"/>
    <row r="3334" spans="2:14" ht="40.15" customHeight="1" x14ac:dyDescent="0.25">
      <c r="B3334" s="728"/>
      <c r="C3334" s="729"/>
      <c r="D3334" s="730" t="s">
        <v>393</v>
      </c>
      <c r="E3334" s="729"/>
      <c r="F3334" s="729"/>
      <c r="G3334" s="729"/>
      <c r="H3334" s="729"/>
      <c r="I3334" s="729"/>
      <c r="J3334" s="729"/>
      <c r="K3334" s="729"/>
      <c r="L3334" s="729"/>
      <c r="M3334" s="729"/>
      <c r="N3334" s="731"/>
    </row>
    <row r="3335" spans="2:14" ht="15" customHeight="1" x14ac:dyDescent="0.25">
      <c r="B3335" s="732" t="s">
        <v>394</v>
      </c>
      <c r="C3335" s="733"/>
      <c r="D3335" s="733"/>
      <c r="E3335" s="733"/>
      <c r="F3335" s="733"/>
      <c r="G3335" s="733"/>
      <c r="H3335" s="733"/>
      <c r="I3335" s="733"/>
      <c r="J3335" s="733"/>
      <c r="K3335" s="733"/>
      <c r="L3335" s="733"/>
      <c r="M3335" s="733"/>
      <c r="N3335" s="734"/>
    </row>
    <row r="3336" spans="2:14" ht="30.75" customHeight="1" x14ac:dyDescent="0.25">
      <c r="B3336" s="735" t="s">
        <v>395</v>
      </c>
      <c r="C3336" s="736"/>
      <c r="D3336" s="737" t="str">
        <f>VLOOKUP(B3338,Buenaventura!A9:G4583,3,FALSE)</f>
        <v>Suministro, fabricación e instalación de estructura metálica para soporte de cubierta, elaborada en tubería rectangular de 100 mm x 50 mm y espesor calibre 2 mm, incluyendo corte, armado, soldadura, fijación, nivelación, anclajes, aplicación de pintura anticorrosiva tipo 3 en 1 y todos los elementos y accesorios necesarios para su correcta instalación y funcionamiento</v>
      </c>
      <c r="E3336" s="738"/>
      <c r="F3336" s="738"/>
      <c r="G3336" s="738"/>
      <c r="H3336" s="738"/>
      <c r="I3336" s="738"/>
      <c r="J3336" s="738"/>
      <c r="K3336" s="738"/>
      <c r="L3336" s="738"/>
      <c r="M3336" s="738"/>
      <c r="N3336" s="739"/>
    </row>
    <row r="3337" spans="2:14" ht="30.6" customHeight="1" x14ac:dyDescent="0.25">
      <c r="B3337" s="740" t="s">
        <v>26</v>
      </c>
      <c r="C3337" s="741"/>
      <c r="D3337" s="119" t="s">
        <v>396</v>
      </c>
      <c r="E3337" s="742" t="s">
        <v>397</v>
      </c>
      <c r="F3337" s="733"/>
      <c r="G3337" s="733"/>
      <c r="H3337" s="736"/>
      <c r="I3337" s="742" t="s">
        <v>398</v>
      </c>
      <c r="J3337" s="733"/>
      <c r="K3337" s="736"/>
      <c r="L3337" s="742" t="s">
        <v>399</v>
      </c>
      <c r="M3337" s="733"/>
      <c r="N3337" s="734"/>
    </row>
    <row r="3338" spans="2:14" ht="15" customHeight="1" x14ac:dyDescent="0.25">
      <c r="B3338" s="283">
        <v>66</v>
      </c>
      <c r="C3338" s="284" t="str">
        <f>VLOOKUP(B3338,Buenaventura!A9:G4596,2,FALSE)</f>
        <v>CC-14</v>
      </c>
      <c r="D3338" s="285">
        <f>SUM(H3341:H3344)</f>
        <v>594.24</v>
      </c>
      <c r="E3338" s="743" t="str">
        <f>VLOOKUP(B3338,Buenaventura!A9:G4595,4,FALSE)</f>
        <v>ML</v>
      </c>
      <c r="F3338" s="743"/>
      <c r="G3338" s="743"/>
      <c r="H3338" s="743"/>
      <c r="I3338" s="744"/>
      <c r="J3338" s="745"/>
      <c r="K3338" s="741"/>
      <c r="L3338" s="744"/>
      <c r="M3338" s="745"/>
      <c r="N3338" s="752"/>
    </row>
    <row r="3339" spans="2:14" ht="15" customHeight="1" x14ac:dyDescent="0.25">
      <c r="B3339" s="755" t="s">
        <v>416</v>
      </c>
      <c r="C3339" s="733"/>
      <c r="D3339" s="733"/>
      <c r="E3339" s="733"/>
      <c r="F3339" s="733"/>
      <c r="G3339" s="733"/>
      <c r="H3339" s="736"/>
      <c r="I3339" s="746"/>
      <c r="J3339" s="747"/>
      <c r="K3339" s="748"/>
      <c r="L3339" s="746"/>
      <c r="M3339" s="747"/>
      <c r="N3339" s="753"/>
    </row>
    <row r="3340" spans="2:14" ht="15" customHeight="1" x14ac:dyDescent="0.25">
      <c r="B3340" s="121" t="s">
        <v>400</v>
      </c>
      <c r="C3340" s="122" t="s">
        <v>401</v>
      </c>
      <c r="D3340" s="123" t="s">
        <v>402</v>
      </c>
      <c r="E3340" s="123" t="s">
        <v>403</v>
      </c>
      <c r="F3340" s="123" t="s">
        <v>404</v>
      </c>
      <c r="G3340" s="123" t="s">
        <v>405</v>
      </c>
      <c r="H3340" s="123" t="s">
        <v>406</v>
      </c>
      <c r="I3340" s="746"/>
      <c r="J3340" s="747"/>
      <c r="K3340" s="748"/>
      <c r="L3340" s="746"/>
      <c r="M3340" s="747"/>
      <c r="N3340" s="753"/>
    </row>
    <row r="3341" spans="2:14" ht="15" customHeight="1" x14ac:dyDescent="0.25">
      <c r="B3341" s="124"/>
      <c r="C3341" s="145" t="s">
        <v>590</v>
      </c>
      <c r="D3341" s="125"/>
      <c r="E3341" s="125">
        <v>21.76</v>
      </c>
      <c r="F3341" s="125">
        <v>24</v>
      </c>
      <c r="G3341" s="125"/>
      <c r="H3341" s="125">
        <f>E3341*F3341</f>
        <v>522.24</v>
      </c>
      <c r="I3341" s="746"/>
      <c r="J3341" s="747"/>
      <c r="K3341" s="748"/>
      <c r="L3341" s="746"/>
      <c r="M3341" s="747"/>
      <c r="N3341" s="753"/>
    </row>
    <row r="3342" spans="2:14" ht="15" customHeight="1" x14ac:dyDescent="0.25">
      <c r="B3342" s="124"/>
      <c r="C3342" s="145"/>
      <c r="D3342" s="125"/>
      <c r="E3342" s="125">
        <v>3</v>
      </c>
      <c r="F3342" s="125">
        <v>24</v>
      </c>
      <c r="G3342" s="125"/>
      <c r="H3342" s="125">
        <f>E3342*F3342</f>
        <v>72</v>
      </c>
      <c r="I3342" s="746"/>
      <c r="J3342" s="747"/>
      <c r="K3342" s="748"/>
      <c r="L3342" s="746"/>
      <c r="M3342" s="747"/>
      <c r="N3342" s="753"/>
    </row>
    <row r="3343" spans="2:14" ht="15" customHeight="1" x14ac:dyDescent="0.25">
      <c r="B3343" s="165"/>
      <c r="C3343" s="145" t="s">
        <v>593</v>
      </c>
      <c r="D3343" s="125"/>
      <c r="E3343" s="125"/>
      <c r="F3343" s="125"/>
      <c r="G3343" s="125"/>
      <c r="H3343" s="125"/>
      <c r="I3343" s="746"/>
      <c r="J3343" s="747"/>
      <c r="K3343" s="748"/>
      <c r="L3343" s="746"/>
      <c r="M3343" s="747"/>
      <c r="N3343" s="753"/>
    </row>
    <row r="3344" spans="2:14" ht="15" customHeight="1" x14ac:dyDescent="0.25">
      <c r="B3344" s="165"/>
      <c r="C3344" s="145"/>
      <c r="D3344" s="125"/>
      <c r="E3344" s="125"/>
      <c r="F3344" s="125"/>
      <c r="G3344" s="125"/>
      <c r="H3344" s="125"/>
      <c r="I3344" s="746"/>
      <c r="J3344" s="747"/>
      <c r="K3344" s="748"/>
      <c r="L3344" s="746"/>
      <c r="M3344" s="747"/>
      <c r="N3344" s="753"/>
    </row>
    <row r="3345" spans="2:14" ht="15" customHeight="1" x14ac:dyDescent="0.25">
      <c r="B3345" s="165"/>
      <c r="C3345" s="145"/>
      <c r="D3345" s="125"/>
      <c r="E3345" s="125"/>
      <c r="F3345" s="125"/>
      <c r="G3345" s="125"/>
      <c r="H3345" s="125"/>
      <c r="I3345" s="746"/>
      <c r="J3345" s="747"/>
      <c r="K3345" s="748"/>
      <c r="L3345" s="746"/>
      <c r="M3345" s="747"/>
      <c r="N3345" s="753"/>
    </row>
    <row r="3346" spans="2:14" ht="15" customHeight="1" x14ac:dyDescent="0.25">
      <c r="B3346" s="165"/>
      <c r="C3346" s="145"/>
      <c r="D3346" s="125"/>
      <c r="E3346" s="125"/>
      <c r="F3346" s="125"/>
      <c r="G3346" s="125"/>
      <c r="H3346" s="125"/>
      <c r="I3346" s="746"/>
      <c r="J3346" s="747"/>
      <c r="K3346" s="748"/>
      <c r="L3346" s="746"/>
      <c r="M3346" s="747"/>
      <c r="N3346" s="753"/>
    </row>
    <row r="3347" spans="2:14" ht="15" customHeight="1" x14ac:dyDescent="0.25">
      <c r="B3347" s="165"/>
      <c r="C3347" s="145"/>
      <c r="D3347" s="125"/>
      <c r="E3347" s="125"/>
      <c r="F3347" s="125"/>
      <c r="G3347" s="125"/>
      <c r="H3347" s="125"/>
      <c r="I3347" s="746"/>
      <c r="J3347" s="747"/>
      <c r="K3347" s="748"/>
      <c r="L3347" s="746"/>
      <c r="M3347" s="747"/>
      <c r="N3347" s="753"/>
    </row>
    <row r="3348" spans="2:14" ht="15" customHeight="1" x14ac:dyDescent="0.25">
      <c r="B3348" s="124"/>
      <c r="C3348" s="145"/>
      <c r="D3348" s="125"/>
      <c r="E3348" s="125"/>
      <c r="F3348" s="125"/>
      <c r="G3348" s="125"/>
      <c r="H3348" s="125"/>
      <c r="I3348" s="746"/>
      <c r="J3348" s="747"/>
      <c r="K3348" s="748"/>
      <c r="L3348" s="746"/>
      <c r="M3348" s="747"/>
      <c r="N3348" s="753"/>
    </row>
    <row r="3349" spans="2:14" ht="15" customHeight="1" x14ac:dyDescent="0.25">
      <c r="B3349" s="124"/>
      <c r="C3349" s="125"/>
      <c r="D3349" s="125"/>
      <c r="E3349" s="125"/>
      <c r="F3349" s="125"/>
      <c r="G3349" s="125"/>
      <c r="H3349" s="125"/>
      <c r="I3349" s="746"/>
      <c r="J3349" s="747"/>
      <c r="K3349" s="748"/>
      <c r="L3349" s="746"/>
      <c r="M3349" s="747"/>
      <c r="N3349" s="753"/>
    </row>
    <row r="3350" spans="2:14" ht="15" customHeight="1" x14ac:dyDescent="0.25">
      <c r="B3350" s="127"/>
      <c r="C3350" s="125"/>
      <c r="D3350" s="125"/>
      <c r="E3350" s="125"/>
      <c r="F3350" s="125"/>
      <c r="G3350" s="125"/>
      <c r="H3350" s="125"/>
      <c r="I3350" s="749"/>
      <c r="J3350" s="750"/>
      <c r="K3350" s="751"/>
      <c r="L3350" s="749"/>
      <c r="M3350" s="750"/>
      <c r="N3350" s="754"/>
    </row>
    <row r="3351" spans="2:14" ht="15" customHeight="1" x14ac:dyDescent="0.25">
      <c r="B3351" s="225"/>
      <c r="C3351" s="128"/>
      <c r="D3351" s="128"/>
      <c r="E3351" s="128"/>
      <c r="F3351" s="128"/>
      <c r="G3351" s="128"/>
      <c r="H3351" s="128"/>
      <c r="I3351" s="128"/>
      <c r="J3351" s="128"/>
      <c r="K3351" s="128"/>
      <c r="L3351" s="118"/>
      <c r="M3351" s="118"/>
      <c r="N3351" s="210"/>
    </row>
    <row r="3352" spans="2:14" ht="15" customHeight="1" x14ac:dyDescent="0.25">
      <c r="B3352" s="209"/>
      <c r="C3352" s="118"/>
      <c r="D3352" s="118"/>
      <c r="E3352" s="118"/>
      <c r="F3352" s="118"/>
      <c r="G3352" s="118"/>
      <c r="H3352" s="118"/>
      <c r="I3352" s="118"/>
      <c r="J3352" s="118"/>
      <c r="K3352" s="118"/>
      <c r="L3352" s="118"/>
      <c r="M3352" s="118"/>
      <c r="N3352" s="210"/>
    </row>
    <row r="3353" spans="2:14" ht="15" customHeight="1" x14ac:dyDescent="0.25">
      <c r="B3353" s="209"/>
      <c r="C3353" s="118"/>
      <c r="D3353" s="118"/>
      <c r="E3353" s="118"/>
      <c r="F3353" s="118"/>
      <c r="G3353" s="118"/>
      <c r="H3353" s="118"/>
      <c r="I3353" s="118"/>
      <c r="J3353" s="118"/>
      <c r="K3353" s="118"/>
      <c r="L3353" s="118"/>
      <c r="M3353" s="118"/>
      <c r="N3353" s="210"/>
    </row>
    <row r="3354" spans="2:14" ht="15" customHeight="1" thickBot="1" x14ac:dyDescent="0.3">
      <c r="B3354" s="725" t="s">
        <v>414</v>
      </c>
      <c r="C3354" s="726"/>
      <c r="D3354" s="726"/>
      <c r="E3354" s="147"/>
      <c r="F3354" s="147"/>
      <c r="G3354" s="147"/>
      <c r="H3354" s="147"/>
      <c r="I3354" s="727"/>
      <c r="J3354" s="726"/>
      <c r="K3354" s="726"/>
      <c r="L3354" s="130"/>
      <c r="M3354" s="130"/>
      <c r="N3354" s="131"/>
    </row>
    <row r="3355" spans="2:14" ht="15" customHeight="1" thickBot="1" x14ac:dyDescent="0.3"/>
    <row r="3356" spans="2:14" ht="41.25" customHeight="1" x14ac:dyDescent="0.25">
      <c r="B3356" s="728"/>
      <c r="C3356" s="729"/>
      <c r="D3356" s="730" t="s">
        <v>393</v>
      </c>
      <c r="E3356" s="729"/>
      <c r="F3356" s="729"/>
      <c r="G3356" s="729"/>
      <c r="H3356" s="729"/>
      <c r="I3356" s="729"/>
      <c r="J3356" s="729"/>
      <c r="K3356" s="729"/>
      <c r="L3356" s="729"/>
      <c r="M3356" s="729"/>
      <c r="N3356" s="731"/>
    </row>
    <row r="3357" spans="2:14" ht="15" customHeight="1" x14ac:dyDescent="0.25">
      <c r="B3357" s="732" t="s">
        <v>394</v>
      </c>
      <c r="C3357" s="733"/>
      <c r="D3357" s="733"/>
      <c r="E3357" s="733"/>
      <c r="F3357" s="733"/>
      <c r="G3357" s="733"/>
      <c r="H3357" s="733"/>
      <c r="I3357" s="733"/>
      <c r="J3357" s="733"/>
      <c r="K3357" s="733"/>
      <c r="L3357" s="733"/>
      <c r="M3357" s="733"/>
      <c r="N3357" s="734"/>
    </row>
    <row r="3358" spans="2:14" ht="30" customHeight="1" x14ac:dyDescent="0.25">
      <c r="B3358" s="735" t="s">
        <v>395</v>
      </c>
      <c r="C3358" s="736"/>
      <c r="D3358" s="737" t="str">
        <f>VLOOKUP(B3360,Buenaventura!A9:G4605,3,FALSE)</f>
        <v>Suministro, fabricación e instalación de estructura metálica para soporte de cubierta, elaborada en tubería rectangular de 80 mm x 40 mm y espesor calibre 2 mm, incluyendo corte, armado, soldadura, fijación, nivelación, anclajes, aplicación de pintura anticorrosiva tipo 3 en 1 y todos los elementos y accesorios necesarios para su correcta instalación y funcionamiento</v>
      </c>
      <c r="E3358" s="738"/>
      <c r="F3358" s="738"/>
      <c r="G3358" s="738"/>
      <c r="H3358" s="738"/>
      <c r="I3358" s="738"/>
      <c r="J3358" s="738"/>
      <c r="K3358" s="738"/>
      <c r="L3358" s="738"/>
      <c r="M3358" s="738"/>
      <c r="N3358" s="739"/>
    </row>
    <row r="3359" spans="2:14" ht="37.15" customHeight="1" x14ac:dyDescent="0.25">
      <c r="B3359" s="740" t="s">
        <v>26</v>
      </c>
      <c r="C3359" s="741"/>
      <c r="D3359" s="119" t="s">
        <v>396</v>
      </c>
      <c r="E3359" s="742" t="s">
        <v>397</v>
      </c>
      <c r="F3359" s="733"/>
      <c r="G3359" s="733"/>
      <c r="H3359" s="736"/>
      <c r="I3359" s="742" t="s">
        <v>398</v>
      </c>
      <c r="J3359" s="733"/>
      <c r="K3359" s="736"/>
      <c r="L3359" s="742" t="s">
        <v>399</v>
      </c>
      <c r="M3359" s="733"/>
      <c r="N3359" s="734"/>
    </row>
    <row r="3360" spans="2:14" ht="15" customHeight="1" x14ac:dyDescent="0.25">
      <c r="B3360" s="283">
        <v>67</v>
      </c>
      <c r="C3360" s="284" t="str">
        <f>VLOOKUP(B3360,Buenaventura!A9:G4618,2,FALSE)</f>
        <v>CC-15</v>
      </c>
      <c r="D3360" s="285">
        <f>SUM(H3363:H3366)</f>
        <v>24</v>
      </c>
      <c r="E3360" s="743" t="str">
        <f>VLOOKUP(B3360,Buenaventura!A9:G4617,4,FALSE)</f>
        <v>ML</v>
      </c>
      <c r="F3360" s="743"/>
      <c r="G3360" s="743"/>
      <c r="H3360" s="743"/>
      <c r="I3360" s="744"/>
      <c r="J3360" s="745"/>
      <c r="K3360" s="741"/>
      <c r="L3360" s="744"/>
      <c r="M3360" s="745"/>
      <c r="N3360" s="752"/>
    </row>
    <row r="3361" spans="2:14" ht="15" customHeight="1" x14ac:dyDescent="0.25">
      <c r="B3361" s="755" t="s">
        <v>416</v>
      </c>
      <c r="C3361" s="733"/>
      <c r="D3361" s="733"/>
      <c r="E3361" s="733"/>
      <c r="F3361" s="733"/>
      <c r="G3361" s="733"/>
      <c r="H3361" s="736"/>
      <c r="I3361" s="746"/>
      <c r="J3361" s="747"/>
      <c r="K3361" s="748"/>
      <c r="L3361" s="746"/>
      <c r="M3361" s="747"/>
      <c r="N3361" s="753"/>
    </row>
    <row r="3362" spans="2:14" ht="15" customHeight="1" x14ac:dyDescent="0.25">
      <c r="B3362" s="121" t="s">
        <v>400</v>
      </c>
      <c r="C3362" s="122" t="s">
        <v>401</v>
      </c>
      <c r="D3362" s="123" t="s">
        <v>402</v>
      </c>
      <c r="E3362" s="123" t="s">
        <v>403</v>
      </c>
      <c r="F3362" s="123" t="s">
        <v>404</v>
      </c>
      <c r="G3362" s="123" t="s">
        <v>405</v>
      </c>
      <c r="H3362" s="123" t="s">
        <v>406</v>
      </c>
      <c r="I3362" s="746"/>
      <c r="J3362" s="747"/>
      <c r="K3362" s="748"/>
      <c r="L3362" s="746"/>
      <c r="M3362" s="747"/>
      <c r="N3362" s="753"/>
    </row>
    <row r="3363" spans="2:14" ht="15" customHeight="1" x14ac:dyDescent="0.25">
      <c r="B3363" s="124"/>
      <c r="C3363" s="145"/>
      <c r="D3363" s="125">
        <v>24</v>
      </c>
      <c r="E3363" s="125"/>
      <c r="F3363" s="125"/>
      <c r="G3363" s="125"/>
      <c r="H3363" s="125">
        <f>D3363</f>
        <v>24</v>
      </c>
      <c r="I3363" s="746"/>
      <c r="J3363" s="747"/>
      <c r="K3363" s="748"/>
      <c r="L3363" s="746"/>
      <c r="M3363" s="747"/>
      <c r="N3363" s="753"/>
    </row>
    <row r="3364" spans="2:14" ht="15" customHeight="1" x14ac:dyDescent="0.25">
      <c r="B3364" s="124"/>
      <c r="C3364" s="145"/>
      <c r="D3364" s="125"/>
      <c r="E3364" s="125"/>
      <c r="F3364" s="125"/>
      <c r="G3364" s="125"/>
      <c r="H3364" s="125"/>
      <c r="I3364" s="746"/>
      <c r="J3364" s="747"/>
      <c r="K3364" s="748"/>
      <c r="L3364" s="746"/>
      <c r="M3364" s="747"/>
      <c r="N3364" s="753"/>
    </row>
    <row r="3365" spans="2:14" ht="15" customHeight="1" x14ac:dyDescent="0.25">
      <c r="B3365" s="165"/>
      <c r="C3365" s="145"/>
      <c r="D3365" s="125"/>
      <c r="E3365" s="125"/>
      <c r="F3365" s="125"/>
      <c r="G3365" s="125"/>
      <c r="H3365" s="125"/>
      <c r="I3365" s="746"/>
      <c r="J3365" s="747"/>
      <c r="K3365" s="748"/>
      <c r="L3365" s="746"/>
      <c r="M3365" s="747"/>
      <c r="N3365" s="753"/>
    </row>
    <row r="3366" spans="2:14" ht="15" customHeight="1" x14ac:dyDescent="0.25">
      <c r="B3366" s="165"/>
      <c r="C3366" s="145"/>
      <c r="D3366" s="125"/>
      <c r="E3366" s="125"/>
      <c r="F3366" s="125"/>
      <c r="G3366" s="125"/>
      <c r="H3366" s="125"/>
      <c r="I3366" s="746"/>
      <c r="J3366" s="747"/>
      <c r="K3366" s="748"/>
      <c r="L3366" s="746"/>
      <c r="M3366" s="747"/>
      <c r="N3366" s="753"/>
    </row>
    <row r="3367" spans="2:14" ht="15" customHeight="1" x14ac:dyDescent="0.25">
      <c r="B3367" s="165"/>
      <c r="C3367" s="145"/>
      <c r="D3367" s="125"/>
      <c r="E3367" s="125"/>
      <c r="F3367" s="125"/>
      <c r="G3367" s="125"/>
      <c r="H3367" s="125"/>
      <c r="I3367" s="746"/>
      <c r="J3367" s="747"/>
      <c r="K3367" s="748"/>
      <c r="L3367" s="746"/>
      <c r="M3367" s="747"/>
      <c r="N3367" s="753"/>
    </row>
    <row r="3368" spans="2:14" ht="15" customHeight="1" x14ac:dyDescent="0.25">
      <c r="B3368" s="165"/>
      <c r="C3368" s="145"/>
      <c r="D3368" s="125"/>
      <c r="E3368" s="125"/>
      <c r="F3368" s="125"/>
      <c r="G3368" s="125"/>
      <c r="H3368" s="125"/>
      <c r="I3368" s="746"/>
      <c r="J3368" s="747"/>
      <c r="K3368" s="748"/>
      <c r="L3368" s="746"/>
      <c r="M3368" s="747"/>
      <c r="N3368" s="753"/>
    </row>
    <row r="3369" spans="2:14" ht="15" customHeight="1" x14ac:dyDescent="0.25">
      <c r="B3369" s="165"/>
      <c r="C3369" s="145"/>
      <c r="D3369" s="125"/>
      <c r="E3369" s="125"/>
      <c r="F3369" s="125"/>
      <c r="G3369" s="125"/>
      <c r="H3369" s="125"/>
      <c r="I3369" s="746"/>
      <c r="J3369" s="747"/>
      <c r="K3369" s="748"/>
      <c r="L3369" s="746"/>
      <c r="M3369" s="747"/>
      <c r="N3369" s="753"/>
    </row>
    <row r="3370" spans="2:14" ht="15" customHeight="1" x14ac:dyDescent="0.25">
      <c r="B3370" s="124"/>
      <c r="C3370" s="145"/>
      <c r="D3370" s="125"/>
      <c r="E3370" s="125"/>
      <c r="F3370" s="125"/>
      <c r="G3370" s="125"/>
      <c r="H3370" s="125"/>
      <c r="I3370" s="746"/>
      <c r="J3370" s="747"/>
      <c r="K3370" s="748"/>
      <c r="L3370" s="746"/>
      <c r="M3370" s="747"/>
      <c r="N3370" s="753"/>
    </row>
    <row r="3371" spans="2:14" ht="15" customHeight="1" x14ac:dyDescent="0.25">
      <c r="B3371" s="124"/>
      <c r="C3371" s="125"/>
      <c r="D3371" s="125"/>
      <c r="E3371" s="125"/>
      <c r="F3371" s="125"/>
      <c r="G3371" s="125"/>
      <c r="H3371" s="125"/>
      <c r="I3371" s="746"/>
      <c r="J3371" s="747"/>
      <c r="K3371" s="748"/>
      <c r="L3371" s="746"/>
      <c r="M3371" s="747"/>
      <c r="N3371" s="753"/>
    </row>
    <row r="3372" spans="2:14" ht="15" customHeight="1" x14ac:dyDescent="0.25">
      <c r="B3372" s="127"/>
      <c r="C3372" s="125"/>
      <c r="D3372" s="125"/>
      <c r="E3372" s="125"/>
      <c r="F3372" s="125"/>
      <c r="G3372" s="125"/>
      <c r="H3372" s="125"/>
      <c r="I3372" s="749"/>
      <c r="J3372" s="750"/>
      <c r="K3372" s="751"/>
      <c r="L3372" s="749"/>
      <c r="M3372" s="750"/>
      <c r="N3372" s="754"/>
    </row>
    <row r="3373" spans="2:14" ht="15" customHeight="1" x14ac:dyDescent="0.25">
      <c r="B3373" s="225"/>
      <c r="C3373" s="128"/>
      <c r="D3373" s="128"/>
      <c r="E3373" s="128"/>
      <c r="F3373" s="128"/>
      <c r="G3373" s="128"/>
      <c r="H3373" s="128"/>
      <c r="I3373" s="128"/>
      <c r="J3373" s="128"/>
      <c r="K3373" s="128"/>
      <c r="L3373" s="118"/>
      <c r="M3373" s="118"/>
      <c r="N3373" s="210"/>
    </row>
    <row r="3374" spans="2:14" ht="15" customHeight="1" x14ac:dyDescent="0.25">
      <c r="B3374" s="209"/>
      <c r="C3374" s="118"/>
      <c r="D3374" s="118"/>
      <c r="E3374" s="118"/>
      <c r="F3374" s="118"/>
      <c r="G3374" s="118"/>
      <c r="H3374" s="118"/>
      <c r="I3374" s="118"/>
      <c r="J3374" s="118"/>
      <c r="K3374" s="118"/>
      <c r="L3374" s="118"/>
      <c r="M3374" s="118"/>
      <c r="N3374" s="210"/>
    </row>
    <row r="3375" spans="2:14" ht="15" customHeight="1" x14ac:dyDescent="0.25">
      <c r="B3375" s="209"/>
      <c r="C3375" s="118"/>
      <c r="D3375" s="118"/>
      <c r="E3375" s="118"/>
      <c r="F3375" s="118"/>
      <c r="G3375" s="118"/>
      <c r="H3375" s="118"/>
      <c r="I3375" s="118"/>
      <c r="J3375" s="118"/>
      <c r="K3375" s="118"/>
      <c r="L3375" s="118"/>
      <c r="M3375" s="118"/>
      <c r="N3375" s="210"/>
    </row>
    <row r="3376" spans="2:14" ht="15" customHeight="1" thickBot="1" x14ac:dyDescent="0.3">
      <c r="B3376" s="725" t="s">
        <v>414</v>
      </c>
      <c r="C3376" s="726"/>
      <c r="D3376" s="726"/>
      <c r="E3376" s="147"/>
      <c r="F3376" s="147"/>
      <c r="G3376" s="147"/>
      <c r="H3376" s="147"/>
      <c r="I3376" s="727"/>
      <c r="J3376" s="726"/>
      <c r="K3376" s="726"/>
      <c r="L3376" s="130"/>
      <c r="M3376" s="130"/>
      <c r="N3376" s="131"/>
    </row>
    <row r="3377" spans="2:14" ht="15" customHeight="1" thickBot="1" x14ac:dyDescent="0.3"/>
    <row r="3378" spans="2:14" ht="37.15" customHeight="1" x14ac:dyDescent="0.25">
      <c r="B3378" s="728"/>
      <c r="C3378" s="729"/>
      <c r="D3378" s="730" t="s">
        <v>393</v>
      </c>
      <c r="E3378" s="729"/>
      <c r="F3378" s="729"/>
      <c r="G3378" s="729"/>
      <c r="H3378" s="729"/>
      <c r="I3378" s="729"/>
      <c r="J3378" s="729"/>
      <c r="K3378" s="729"/>
      <c r="L3378" s="729"/>
      <c r="M3378" s="729"/>
      <c r="N3378" s="731"/>
    </row>
    <row r="3379" spans="2:14" ht="15" customHeight="1" x14ac:dyDescent="0.25">
      <c r="B3379" s="732" t="s">
        <v>394</v>
      </c>
      <c r="C3379" s="733"/>
      <c r="D3379" s="733"/>
      <c r="E3379" s="733"/>
      <c r="F3379" s="733"/>
      <c r="G3379" s="733"/>
      <c r="H3379" s="733"/>
      <c r="I3379" s="733"/>
      <c r="J3379" s="733"/>
      <c r="K3379" s="733"/>
      <c r="L3379" s="733"/>
      <c r="M3379" s="733"/>
      <c r="N3379" s="734"/>
    </row>
    <row r="3380" spans="2:14" ht="42.6" customHeight="1" x14ac:dyDescent="0.25">
      <c r="B3380" s="735" t="s">
        <v>395</v>
      </c>
      <c r="C3380" s="736"/>
      <c r="D3380" s="737" t="str">
        <f>VLOOKUP(B3382,Buenaventura!A9:G4627,3,FALSE)</f>
        <v>Suministro e instalación de teja termoacústica en UPVC multicapa tipo trapezoidal perfil tipo TK5, con ancho útil aproximado de 1.00 m, altura de onda entre 30 y 35 mm, espesor mínimo de 2.0 mm y acabado en color blanco, con capa superior protegida contra radiación UV, alta resistencia a la humedad, ambientes salinos y agentes químicos, y con propiedades de aislamiento térmico y acústico; el sistema incluye traslapo lateral mínimo de una (1) onda y traslapo longitudinal no menor a 15 cm, fijación mediante tornillos autoperforantes galvanizados o inoxidables con arandela de neopreno en la cresta de la onda, sobre estructura metálica secundaria (correas en perfil C o tubular) con separación máxima de 1.20 m, contemplando dilataciones térmicas del material y accesorios de remate y cumbreras; el material deberá cumplir con propiedades mecánicas mínimas de densidad entre 1.4 y 1.5 g/cm³, resistencia a la tracción ≥ 40 MPa y módulo de elasticidad entre 2,500 y 3,500 MPa, garantizando adecuada rigidez estructural, comportamiento a la flexión con deflexión máxima admisible no mayor a L/200, estanqueidad, estabilidad mecánica y durabilidad en condiciones ambientales exigentes.</v>
      </c>
      <c r="E3380" s="738"/>
      <c r="F3380" s="738"/>
      <c r="G3380" s="738"/>
      <c r="H3380" s="738"/>
      <c r="I3380" s="738"/>
      <c r="J3380" s="738"/>
      <c r="K3380" s="738"/>
      <c r="L3380" s="738"/>
      <c r="M3380" s="738"/>
      <c r="N3380" s="739"/>
    </row>
    <row r="3381" spans="2:14" ht="27" customHeight="1" x14ac:dyDescent="0.25">
      <c r="B3381" s="740" t="s">
        <v>26</v>
      </c>
      <c r="C3381" s="741"/>
      <c r="D3381" s="119" t="s">
        <v>396</v>
      </c>
      <c r="E3381" s="742" t="s">
        <v>397</v>
      </c>
      <c r="F3381" s="733"/>
      <c r="G3381" s="733"/>
      <c r="H3381" s="736"/>
      <c r="I3381" s="742" t="s">
        <v>398</v>
      </c>
      <c r="J3381" s="733"/>
      <c r="K3381" s="736"/>
      <c r="L3381" s="742" t="s">
        <v>399</v>
      </c>
      <c r="M3381" s="733"/>
      <c r="N3381" s="734"/>
    </row>
    <row r="3382" spans="2:14" ht="15" customHeight="1" x14ac:dyDescent="0.25">
      <c r="B3382" s="283">
        <v>68</v>
      </c>
      <c r="C3382" s="284" t="str">
        <f>VLOOKUP(B3382,Buenaventura!A9:G4640,2,FALSE)</f>
        <v>CC-36</v>
      </c>
      <c r="D3382" s="285">
        <f>SUM(H3385:H3388)</f>
        <v>24</v>
      </c>
      <c r="E3382" s="743" t="str">
        <f>VLOOKUP(B3382,Buenaventura!A9:G4639,4,FALSE)</f>
        <v>M2</v>
      </c>
      <c r="F3382" s="743"/>
      <c r="G3382" s="743"/>
      <c r="H3382" s="743"/>
      <c r="I3382" s="744"/>
      <c r="J3382" s="745"/>
      <c r="K3382" s="741"/>
      <c r="L3382" s="744"/>
      <c r="M3382" s="745"/>
      <c r="N3382" s="752"/>
    </row>
    <row r="3383" spans="2:14" ht="15" customHeight="1" x14ac:dyDescent="0.25">
      <c r="B3383" s="755" t="s">
        <v>416</v>
      </c>
      <c r="C3383" s="733"/>
      <c r="D3383" s="733"/>
      <c r="E3383" s="733"/>
      <c r="F3383" s="733"/>
      <c r="G3383" s="733"/>
      <c r="H3383" s="736"/>
      <c r="I3383" s="746"/>
      <c r="J3383" s="747"/>
      <c r="K3383" s="748"/>
      <c r="L3383" s="746"/>
      <c r="M3383" s="747"/>
      <c r="N3383" s="753"/>
    </row>
    <row r="3384" spans="2:14" ht="15" customHeight="1" x14ac:dyDescent="0.25">
      <c r="B3384" s="121" t="s">
        <v>400</v>
      </c>
      <c r="C3384" s="122" t="s">
        <v>401</v>
      </c>
      <c r="D3384" s="123" t="s">
        <v>402</v>
      </c>
      <c r="E3384" s="123" t="s">
        <v>403</v>
      </c>
      <c r="F3384" s="123" t="s">
        <v>404</v>
      </c>
      <c r="G3384" s="123" t="s">
        <v>405</v>
      </c>
      <c r="H3384" s="123" t="s">
        <v>406</v>
      </c>
      <c r="I3384" s="746"/>
      <c r="J3384" s="747"/>
      <c r="K3384" s="748"/>
      <c r="L3384" s="746"/>
      <c r="M3384" s="747"/>
      <c r="N3384" s="753"/>
    </row>
    <row r="3385" spans="2:14" ht="15" customHeight="1" x14ac:dyDescent="0.25">
      <c r="B3385" s="124"/>
      <c r="C3385" s="145"/>
      <c r="D3385" s="125">
        <v>24</v>
      </c>
      <c r="E3385" s="125"/>
      <c r="F3385" s="125"/>
      <c r="G3385" s="125"/>
      <c r="H3385" s="125">
        <f>D3385</f>
        <v>24</v>
      </c>
      <c r="I3385" s="746"/>
      <c r="J3385" s="747"/>
      <c r="K3385" s="748"/>
      <c r="L3385" s="746"/>
      <c r="M3385" s="747"/>
      <c r="N3385" s="753"/>
    </row>
    <row r="3386" spans="2:14" ht="15" customHeight="1" x14ac:dyDescent="0.25">
      <c r="B3386" s="124"/>
      <c r="C3386" s="145"/>
      <c r="D3386" s="125"/>
      <c r="E3386" s="125"/>
      <c r="F3386" s="125"/>
      <c r="G3386" s="125"/>
      <c r="H3386" s="125"/>
      <c r="I3386" s="746"/>
      <c r="J3386" s="747"/>
      <c r="K3386" s="748"/>
      <c r="L3386" s="746"/>
      <c r="M3386" s="747"/>
      <c r="N3386" s="753"/>
    </row>
    <row r="3387" spans="2:14" ht="15" customHeight="1" x14ac:dyDescent="0.25">
      <c r="B3387" s="165"/>
      <c r="C3387" s="145"/>
      <c r="D3387" s="125"/>
      <c r="E3387" s="125"/>
      <c r="F3387" s="125"/>
      <c r="G3387" s="125"/>
      <c r="H3387" s="125"/>
      <c r="I3387" s="746"/>
      <c r="J3387" s="747"/>
      <c r="K3387" s="748"/>
      <c r="L3387" s="746"/>
      <c r="M3387" s="747"/>
      <c r="N3387" s="753"/>
    </row>
    <row r="3388" spans="2:14" ht="15" customHeight="1" x14ac:dyDescent="0.25">
      <c r="B3388" s="165"/>
      <c r="C3388" s="145"/>
      <c r="D3388" s="125"/>
      <c r="E3388" s="125"/>
      <c r="F3388" s="125"/>
      <c r="G3388" s="125"/>
      <c r="H3388" s="125"/>
      <c r="I3388" s="746"/>
      <c r="J3388" s="747"/>
      <c r="K3388" s="748"/>
      <c r="L3388" s="746"/>
      <c r="M3388" s="747"/>
      <c r="N3388" s="753"/>
    </row>
    <row r="3389" spans="2:14" ht="15" customHeight="1" x14ac:dyDescent="0.25">
      <c r="B3389" s="165"/>
      <c r="C3389" s="145"/>
      <c r="D3389" s="125"/>
      <c r="E3389" s="125"/>
      <c r="F3389" s="125"/>
      <c r="G3389" s="125"/>
      <c r="H3389" s="125"/>
      <c r="I3389" s="746"/>
      <c r="J3389" s="747"/>
      <c r="K3389" s="748"/>
      <c r="L3389" s="746"/>
      <c r="M3389" s="747"/>
      <c r="N3389" s="753"/>
    </row>
    <row r="3390" spans="2:14" ht="15" customHeight="1" x14ac:dyDescent="0.25">
      <c r="B3390" s="165"/>
      <c r="C3390" s="145"/>
      <c r="D3390" s="125"/>
      <c r="E3390" s="125"/>
      <c r="F3390" s="125"/>
      <c r="G3390" s="125"/>
      <c r="H3390" s="125"/>
      <c r="I3390" s="746"/>
      <c r="J3390" s="747"/>
      <c r="K3390" s="748"/>
      <c r="L3390" s="746"/>
      <c r="M3390" s="747"/>
      <c r="N3390" s="753"/>
    </row>
    <row r="3391" spans="2:14" ht="15" customHeight="1" x14ac:dyDescent="0.25">
      <c r="B3391" s="165"/>
      <c r="C3391" s="145"/>
      <c r="D3391" s="125"/>
      <c r="E3391" s="125"/>
      <c r="F3391" s="125"/>
      <c r="G3391" s="125"/>
      <c r="H3391" s="125"/>
      <c r="I3391" s="746"/>
      <c r="J3391" s="747"/>
      <c r="K3391" s="748"/>
      <c r="L3391" s="746"/>
      <c r="M3391" s="747"/>
      <c r="N3391" s="753"/>
    </row>
    <row r="3392" spans="2:14" ht="15" customHeight="1" x14ac:dyDescent="0.25">
      <c r="B3392" s="124"/>
      <c r="C3392" s="145"/>
      <c r="D3392" s="125"/>
      <c r="E3392" s="125"/>
      <c r="F3392" s="125"/>
      <c r="G3392" s="125"/>
      <c r="H3392" s="125"/>
      <c r="I3392" s="746"/>
      <c r="J3392" s="747"/>
      <c r="K3392" s="748"/>
      <c r="L3392" s="746"/>
      <c r="M3392" s="747"/>
      <c r="N3392" s="753"/>
    </row>
    <row r="3393" spans="2:14" ht="15" customHeight="1" x14ac:dyDescent="0.25">
      <c r="B3393" s="124"/>
      <c r="C3393" s="125"/>
      <c r="D3393" s="125"/>
      <c r="E3393" s="125"/>
      <c r="F3393" s="125"/>
      <c r="G3393" s="125"/>
      <c r="H3393" s="125"/>
      <c r="I3393" s="746"/>
      <c r="J3393" s="747"/>
      <c r="K3393" s="748"/>
      <c r="L3393" s="746"/>
      <c r="M3393" s="747"/>
      <c r="N3393" s="753"/>
    </row>
    <row r="3394" spans="2:14" ht="15" customHeight="1" x14ac:dyDescent="0.25">
      <c r="B3394" s="127"/>
      <c r="C3394" s="125"/>
      <c r="D3394" s="125"/>
      <c r="E3394" s="125"/>
      <c r="F3394" s="125"/>
      <c r="G3394" s="125"/>
      <c r="H3394" s="125"/>
      <c r="I3394" s="749"/>
      <c r="J3394" s="750"/>
      <c r="K3394" s="751"/>
      <c r="L3394" s="749"/>
      <c r="M3394" s="750"/>
      <c r="N3394" s="754"/>
    </row>
    <row r="3395" spans="2:14" ht="15" customHeight="1" x14ac:dyDescent="0.25">
      <c r="B3395" s="225"/>
      <c r="C3395" s="128"/>
      <c r="D3395" s="128"/>
      <c r="E3395" s="128"/>
      <c r="F3395" s="128"/>
      <c r="G3395" s="128"/>
      <c r="H3395" s="128"/>
      <c r="I3395" s="128"/>
      <c r="J3395" s="128"/>
      <c r="K3395" s="128"/>
      <c r="L3395" s="118"/>
      <c r="M3395" s="118"/>
      <c r="N3395" s="210"/>
    </row>
    <row r="3396" spans="2:14" ht="15" customHeight="1" x14ac:dyDescent="0.25">
      <c r="B3396" s="209"/>
      <c r="C3396" s="118"/>
      <c r="D3396" s="118"/>
      <c r="E3396" s="118"/>
      <c r="F3396" s="118"/>
      <c r="G3396" s="118"/>
      <c r="H3396" s="118"/>
      <c r="I3396" s="118"/>
      <c r="J3396" s="118"/>
      <c r="K3396" s="118"/>
      <c r="L3396" s="118"/>
      <c r="M3396" s="118"/>
      <c r="N3396" s="210"/>
    </row>
    <row r="3397" spans="2:14" ht="15" customHeight="1" x14ac:dyDescent="0.25">
      <c r="B3397" s="209"/>
      <c r="C3397" s="118"/>
      <c r="D3397" s="118"/>
      <c r="E3397" s="118"/>
      <c r="F3397" s="118"/>
      <c r="G3397" s="118"/>
      <c r="H3397" s="118"/>
      <c r="I3397" s="118"/>
      <c r="J3397" s="118"/>
      <c r="K3397" s="118"/>
      <c r="L3397" s="118"/>
      <c r="M3397" s="118"/>
      <c r="N3397" s="210"/>
    </row>
    <row r="3398" spans="2:14" ht="15" customHeight="1" thickBot="1" x14ac:dyDescent="0.3">
      <c r="B3398" s="725" t="s">
        <v>414</v>
      </c>
      <c r="C3398" s="726"/>
      <c r="D3398" s="726"/>
      <c r="E3398" s="147"/>
      <c r="F3398" s="147"/>
      <c r="G3398" s="147"/>
      <c r="H3398" s="147"/>
      <c r="I3398" s="727"/>
      <c r="J3398" s="726"/>
      <c r="K3398" s="726"/>
      <c r="L3398" s="130"/>
      <c r="M3398" s="130"/>
      <c r="N3398" s="131"/>
    </row>
    <row r="3399" spans="2:14" ht="15" customHeight="1" thickBot="1" x14ac:dyDescent="0.3"/>
    <row r="3400" spans="2:14" ht="45" customHeight="1" x14ac:dyDescent="0.25">
      <c r="B3400" s="728"/>
      <c r="C3400" s="729"/>
      <c r="D3400" s="730" t="s">
        <v>393</v>
      </c>
      <c r="E3400" s="729"/>
      <c r="F3400" s="729"/>
      <c r="G3400" s="729"/>
      <c r="H3400" s="729"/>
      <c r="I3400" s="729"/>
      <c r="J3400" s="729"/>
      <c r="K3400" s="729"/>
      <c r="L3400" s="729"/>
      <c r="M3400" s="729"/>
      <c r="N3400" s="731"/>
    </row>
    <row r="3401" spans="2:14" ht="15" customHeight="1" x14ac:dyDescent="0.25">
      <c r="B3401" s="732" t="s">
        <v>394</v>
      </c>
      <c r="C3401" s="733"/>
      <c r="D3401" s="733"/>
      <c r="E3401" s="733"/>
      <c r="F3401" s="733"/>
      <c r="G3401" s="733"/>
      <c r="H3401" s="733"/>
      <c r="I3401" s="733"/>
      <c r="J3401" s="733"/>
      <c r="K3401" s="733"/>
      <c r="L3401" s="733"/>
      <c r="M3401" s="733"/>
      <c r="N3401" s="734"/>
    </row>
    <row r="3402" spans="2:14" ht="28.9" customHeight="1" x14ac:dyDescent="0.25">
      <c r="B3402" s="735" t="s">
        <v>395</v>
      </c>
      <c r="C3402" s="736"/>
      <c r="D3402" s="737" t="str">
        <f>VLOOKUP(B3404,Buenaventura!A9:G4649,3,FALSE)</f>
        <v>Suministro e instalación de canal en lámina galvanizada calibre 22, ancho entre 30 y 45 cm, con la pendiente adecuada para evacuación de aguas lluvias; incluye soportes en platina metálica, anclajes, fijaciones, sellado de juntas, sosco, accesorios y todos los elementos necesarios para su correcta instalación y funcionamiento.</v>
      </c>
      <c r="E3402" s="738"/>
      <c r="F3402" s="738"/>
      <c r="G3402" s="738"/>
      <c r="H3402" s="738"/>
      <c r="I3402" s="738"/>
      <c r="J3402" s="738"/>
      <c r="K3402" s="738"/>
      <c r="L3402" s="738"/>
      <c r="M3402" s="738"/>
      <c r="N3402" s="739"/>
    </row>
    <row r="3403" spans="2:14" ht="30" customHeight="1" x14ac:dyDescent="0.25">
      <c r="B3403" s="740" t="s">
        <v>26</v>
      </c>
      <c r="C3403" s="741"/>
      <c r="D3403" s="119" t="s">
        <v>396</v>
      </c>
      <c r="E3403" s="742" t="s">
        <v>397</v>
      </c>
      <c r="F3403" s="733"/>
      <c r="G3403" s="733"/>
      <c r="H3403" s="736"/>
      <c r="I3403" s="742" t="s">
        <v>398</v>
      </c>
      <c r="J3403" s="733"/>
      <c r="K3403" s="736"/>
      <c r="L3403" s="742" t="s">
        <v>399</v>
      </c>
      <c r="M3403" s="733"/>
      <c r="N3403" s="734"/>
    </row>
    <row r="3404" spans="2:14" ht="15" customHeight="1" x14ac:dyDescent="0.25">
      <c r="B3404" s="283">
        <v>69</v>
      </c>
      <c r="C3404" s="284" t="str">
        <f>VLOOKUP(B3404,Buenaventura!A9:G4662,2,FALSE)</f>
        <v>CC-16</v>
      </c>
      <c r="D3404" s="285">
        <f>SUM(H3407:H3410)</f>
        <v>16</v>
      </c>
      <c r="E3404" s="743" t="str">
        <f>VLOOKUP(B3404,Buenaventura!A9:G4661,4,FALSE)</f>
        <v>ML</v>
      </c>
      <c r="F3404" s="743"/>
      <c r="G3404" s="743"/>
      <c r="H3404" s="743"/>
      <c r="I3404" s="744"/>
      <c r="J3404" s="745"/>
      <c r="K3404" s="741"/>
      <c r="L3404" s="744"/>
      <c r="M3404" s="745"/>
      <c r="N3404" s="752"/>
    </row>
    <row r="3405" spans="2:14" ht="15" customHeight="1" x14ac:dyDescent="0.25">
      <c r="B3405" s="755" t="s">
        <v>416</v>
      </c>
      <c r="C3405" s="733"/>
      <c r="D3405" s="733"/>
      <c r="E3405" s="733"/>
      <c r="F3405" s="733"/>
      <c r="G3405" s="733"/>
      <c r="H3405" s="736"/>
      <c r="I3405" s="746"/>
      <c r="J3405" s="747"/>
      <c r="K3405" s="748"/>
      <c r="L3405" s="746"/>
      <c r="M3405" s="747"/>
      <c r="N3405" s="753"/>
    </row>
    <row r="3406" spans="2:14" ht="15" customHeight="1" x14ac:dyDescent="0.25">
      <c r="B3406" s="121" t="s">
        <v>400</v>
      </c>
      <c r="C3406" s="122" t="s">
        <v>401</v>
      </c>
      <c r="D3406" s="123" t="s">
        <v>402</v>
      </c>
      <c r="E3406" s="123" t="s">
        <v>403</v>
      </c>
      <c r="F3406" s="123" t="s">
        <v>404</v>
      </c>
      <c r="G3406" s="123" t="s">
        <v>405</v>
      </c>
      <c r="H3406" s="123" t="s">
        <v>406</v>
      </c>
      <c r="I3406" s="746"/>
      <c r="J3406" s="747"/>
      <c r="K3406" s="748"/>
      <c r="L3406" s="746"/>
      <c r="M3406" s="747"/>
      <c r="N3406" s="753"/>
    </row>
    <row r="3407" spans="2:14" ht="15" customHeight="1" x14ac:dyDescent="0.25">
      <c r="B3407" s="124"/>
      <c r="C3407" s="145"/>
      <c r="D3407" s="125">
        <v>2</v>
      </c>
      <c r="E3407" s="125"/>
      <c r="F3407" s="125">
        <v>8</v>
      </c>
      <c r="G3407" s="125"/>
      <c r="H3407" s="125">
        <f>D3407*F3407</f>
        <v>16</v>
      </c>
      <c r="I3407" s="746"/>
      <c r="J3407" s="747"/>
      <c r="K3407" s="748"/>
      <c r="L3407" s="746"/>
      <c r="M3407" s="747"/>
      <c r="N3407" s="753"/>
    </row>
    <row r="3408" spans="2:14" ht="15" customHeight="1" x14ac:dyDescent="0.25">
      <c r="B3408" s="124"/>
      <c r="C3408" s="145"/>
      <c r="D3408" s="125"/>
      <c r="E3408" s="125"/>
      <c r="F3408" s="125"/>
      <c r="G3408" s="125"/>
      <c r="H3408" s="125"/>
      <c r="I3408" s="746"/>
      <c r="J3408" s="747"/>
      <c r="K3408" s="748"/>
      <c r="L3408" s="746"/>
      <c r="M3408" s="747"/>
      <c r="N3408" s="753"/>
    </row>
    <row r="3409" spans="2:14" ht="15" customHeight="1" x14ac:dyDescent="0.25">
      <c r="B3409" s="165"/>
      <c r="C3409" s="145"/>
      <c r="D3409" s="125"/>
      <c r="E3409" s="125"/>
      <c r="F3409" s="125"/>
      <c r="G3409" s="125"/>
      <c r="H3409" s="125"/>
      <c r="I3409" s="746"/>
      <c r="J3409" s="747"/>
      <c r="K3409" s="748"/>
      <c r="L3409" s="746"/>
      <c r="M3409" s="747"/>
      <c r="N3409" s="753"/>
    </row>
    <row r="3410" spans="2:14" ht="15" customHeight="1" x14ac:dyDescent="0.25">
      <c r="B3410" s="165"/>
      <c r="C3410" s="145"/>
      <c r="D3410" s="125"/>
      <c r="E3410" s="125"/>
      <c r="F3410" s="125"/>
      <c r="G3410" s="125"/>
      <c r="H3410" s="125"/>
      <c r="I3410" s="746"/>
      <c r="J3410" s="747"/>
      <c r="K3410" s="748"/>
      <c r="L3410" s="746"/>
      <c r="M3410" s="747"/>
      <c r="N3410" s="753"/>
    </row>
    <row r="3411" spans="2:14" ht="15" customHeight="1" x14ac:dyDescent="0.25">
      <c r="B3411" s="165"/>
      <c r="C3411" s="145"/>
      <c r="D3411" s="125"/>
      <c r="E3411" s="125"/>
      <c r="F3411" s="125"/>
      <c r="G3411" s="125"/>
      <c r="H3411" s="125"/>
      <c r="I3411" s="746"/>
      <c r="J3411" s="747"/>
      <c r="K3411" s="748"/>
      <c r="L3411" s="746"/>
      <c r="M3411" s="747"/>
      <c r="N3411" s="753"/>
    </row>
    <row r="3412" spans="2:14" ht="15" customHeight="1" x14ac:dyDescent="0.25">
      <c r="B3412" s="165"/>
      <c r="C3412" s="145"/>
      <c r="D3412" s="125"/>
      <c r="E3412" s="125"/>
      <c r="F3412" s="125"/>
      <c r="G3412" s="125"/>
      <c r="H3412" s="125"/>
      <c r="I3412" s="746"/>
      <c r="J3412" s="747"/>
      <c r="K3412" s="748"/>
      <c r="L3412" s="746"/>
      <c r="M3412" s="747"/>
      <c r="N3412" s="753"/>
    </row>
    <row r="3413" spans="2:14" ht="15" customHeight="1" x14ac:dyDescent="0.25">
      <c r="B3413" s="165"/>
      <c r="C3413" s="145"/>
      <c r="D3413" s="125"/>
      <c r="E3413" s="125"/>
      <c r="F3413" s="125"/>
      <c r="G3413" s="125"/>
      <c r="H3413" s="125"/>
      <c r="I3413" s="746"/>
      <c r="J3413" s="747"/>
      <c r="K3413" s="748"/>
      <c r="L3413" s="746"/>
      <c r="M3413" s="747"/>
      <c r="N3413" s="753"/>
    </row>
    <row r="3414" spans="2:14" ht="15" customHeight="1" x14ac:dyDescent="0.25">
      <c r="B3414" s="124"/>
      <c r="C3414" s="145"/>
      <c r="D3414" s="125"/>
      <c r="E3414" s="125"/>
      <c r="F3414" s="125"/>
      <c r="G3414" s="125"/>
      <c r="H3414" s="125"/>
      <c r="I3414" s="746"/>
      <c r="J3414" s="747"/>
      <c r="K3414" s="748"/>
      <c r="L3414" s="746"/>
      <c r="M3414" s="747"/>
      <c r="N3414" s="753"/>
    </row>
    <row r="3415" spans="2:14" ht="15" customHeight="1" x14ac:dyDescent="0.25">
      <c r="B3415" s="124"/>
      <c r="C3415" s="125"/>
      <c r="D3415" s="125"/>
      <c r="E3415" s="125"/>
      <c r="F3415" s="125"/>
      <c r="G3415" s="125"/>
      <c r="H3415" s="125"/>
      <c r="I3415" s="746"/>
      <c r="J3415" s="747"/>
      <c r="K3415" s="748"/>
      <c r="L3415" s="746"/>
      <c r="M3415" s="747"/>
      <c r="N3415" s="753"/>
    </row>
    <row r="3416" spans="2:14" ht="15" customHeight="1" x14ac:dyDescent="0.25">
      <c r="B3416" s="127"/>
      <c r="C3416" s="125"/>
      <c r="D3416" s="125"/>
      <c r="E3416" s="125"/>
      <c r="F3416" s="125"/>
      <c r="G3416" s="125"/>
      <c r="H3416" s="125"/>
      <c r="I3416" s="749"/>
      <c r="J3416" s="750"/>
      <c r="K3416" s="751"/>
      <c r="L3416" s="749"/>
      <c r="M3416" s="750"/>
      <c r="N3416" s="754"/>
    </row>
    <row r="3417" spans="2:14" ht="15" customHeight="1" x14ac:dyDescent="0.25">
      <c r="B3417" s="225"/>
      <c r="C3417" s="128"/>
      <c r="D3417" s="128"/>
      <c r="E3417" s="128"/>
      <c r="F3417" s="128"/>
      <c r="G3417" s="128"/>
      <c r="H3417" s="128"/>
      <c r="I3417" s="128"/>
      <c r="J3417" s="128"/>
      <c r="K3417" s="128"/>
      <c r="L3417" s="118"/>
      <c r="M3417" s="118"/>
      <c r="N3417" s="210"/>
    </row>
    <row r="3418" spans="2:14" ht="15" customHeight="1" x14ac:dyDescent="0.25">
      <c r="B3418" s="209"/>
      <c r="C3418" s="118"/>
      <c r="D3418" s="118"/>
      <c r="E3418" s="118"/>
      <c r="F3418" s="118"/>
      <c r="G3418" s="118"/>
      <c r="H3418" s="118"/>
      <c r="I3418" s="118"/>
      <c r="J3418" s="118"/>
      <c r="K3418" s="118"/>
      <c r="L3418" s="118"/>
      <c r="M3418" s="118"/>
      <c r="N3418" s="210"/>
    </row>
    <row r="3419" spans="2:14" ht="15" customHeight="1" x14ac:dyDescent="0.25">
      <c r="B3419" s="209"/>
      <c r="C3419" s="118"/>
      <c r="D3419" s="118"/>
      <c r="E3419" s="118"/>
      <c r="F3419" s="118"/>
      <c r="G3419" s="118"/>
      <c r="H3419" s="118"/>
      <c r="I3419" s="118"/>
      <c r="J3419" s="118"/>
      <c r="K3419" s="118"/>
      <c r="L3419" s="118"/>
      <c r="M3419" s="118"/>
      <c r="N3419" s="210"/>
    </row>
    <row r="3420" spans="2:14" ht="15" customHeight="1" thickBot="1" x14ac:dyDescent="0.3">
      <c r="B3420" s="725" t="s">
        <v>414</v>
      </c>
      <c r="C3420" s="726"/>
      <c r="D3420" s="726"/>
      <c r="E3420" s="147"/>
      <c r="F3420" s="147"/>
      <c r="G3420" s="147"/>
      <c r="H3420" s="147"/>
      <c r="I3420" s="727"/>
      <c r="J3420" s="726"/>
      <c r="K3420" s="726"/>
      <c r="L3420" s="130"/>
      <c r="M3420" s="130"/>
      <c r="N3420" s="131"/>
    </row>
    <row r="3421" spans="2:14" ht="15" customHeight="1" thickBot="1" x14ac:dyDescent="0.3"/>
    <row r="3422" spans="2:14" ht="48.75" customHeight="1" x14ac:dyDescent="0.25">
      <c r="B3422" s="728"/>
      <c r="C3422" s="729"/>
      <c r="D3422" s="730" t="s">
        <v>393</v>
      </c>
      <c r="E3422" s="729"/>
      <c r="F3422" s="729"/>
      <c r="G3422" s="729"/>
      <c r="H3422" s="729"/>
      <c r="I3422" s="729"/>
      <c r="J3422" s="729"/>
      <c r="K3422" s="729"/>
      <c r="L3422" s="729"/>
      <c r="M3422" s="729"/>
      <c r="N3422" s="731"/>
    </row>
    <row r="3423" spans="2:14" ht="15" customHeight="1" x14ac:dyDescent="0.25">
      <c r="B3423" s="732" t="s">
        <v>394</v>
      </c>
      <c r="C3423" s="733"/>
      <c r="D3423" s="733"/>
      <c r="E3423" s="733"/>
      <c r="F3423" s="733"/>
      <c r="G3423" s="733"/>
      <c r="H3423" s="733"/>
      <c r="I3423" s="733"/>
      <c r="J3423" s="733"/>
      <c r="K3423" s="733"/>
      <c r="L3423" s="733"/>
      <c r="M3423" s="733"/>
      <c r="N3423" s="734"/>
    </row>
    <row r="3424" spans="2:14" ht="18" customHeight="1" x14ac:dyDescent="0.25">
      <c r="B3424" s="735" t="s">
        <v>395</v>
      </c>
      <c r="C3424" s="736"/>
      <c r="D3424" s="737" t="str">
        <f>VLOOKUP(B3426,Buenaventura!A9:G4671,3,FALSE)</f>
        <v>Suministro e instalación de cumbrera termoacústica en UPVC tipo TK5, de espesor 2,5 mm, incluyendo todos los accesorios, elementos de fijación y sellado necesarios para su correcta instalación, garantizando durabilidad y adecuado comportamiento térmico y acústico.</v>
      </c>
      <c r="E3424" s="738"/>
      <c r="F3424" s="738"/>
      <c r="G3424" s="738"/>
      <c r="H3424" s="738"/>
      <c r="I3424" s="738"/>
      <c r="J3424" s="738"/>
      <c r="K3424" s="738"/>
      <c r="L3424" s="738"/>
      <c r="M3424" s="738"/>
      <c r="N3424" s="739"/>
    </row>
    <row r="3425" spans="2:14" ht="27.6" customHeight="1" x14ac:dyDescent="0.25">
      <c r="B3425" s="740" t="s">
        <v>26</v>
      </c>
      <c r="C3425" s="741"/>
      <c r="D3425" s="119" t="s">
        <v>396</v>
      </c>
      <c r="E3425" s="742" t="s">
        <v>397</v>
      </c>
      <c r="F3425" s="733"/>
      <c r="G3425" s="733"/>
      <c r="H3425" s="736"/>
      <c r="I3425" s="742" t="s">
        <v>398</v>
      </c>
      <c r="J3425" s="733"/>
      <c r="K3425" s="736"/>
      <c r="L3425" s="742" t="s">
        <v>399</v>
      </c>
      <c r="M3425" s="733"/>
      <c r="N3425" s="734"/>
    </row>
    <row r="3426" spans="2:14" ht="15" customHeight="1" x14ac:dyDescent="0.25">
      <c r="B3426" s="283">
        <v>70</v>
      </c>
      <c r="C3426" s="284" t="str">
        <f>VLOOKUP(B3426,Buenaventura!A9:G4684,2,FALSE)</f>
        <v>CC-37</v>
      </c>
      <c r="D3426" s="285">
        <f>SUM(H3429:H3432)</f>
        <v>15</v>
      </c>
      <c r="E3426" s="743" t="str">
        <f>VLOOKUP(B3426,Buenaventura!A9:G4683,4,FALSE)</f>
        <v>ML</v>
      </c>
      <c r="F3426" s="743"/>
      <c r="G3426" s="743"/>
      <c r="H3426" s="743"/>
      <c r="I3426" s="744"/>
      <c r="J3426" s="745"/>
      <c r="K3426" s="741"/>
      <c r="L3426" s="744"/>
      <c r="M3426" s="745"/>
      <c r="N3426" s="752"/>
    </row>
    <row r="3427" spans="2:14" ht="15" customHeight="1" x14ac:dyDescent="0.25">
      <c r="B3427" s="755" t="s">
        <v>416</v>
      </c>
      <c r="C3427" s="733"/>
      <c r="D3427" s="733"/>
      <c r="E3427" s="733"/>
      <c r="F3427" s="733"/>
      <c r="G3427" s="733"/>
      <c r="H3427" s="736"/>
      <c r="I3427" s="746"/>
      <c r="J3427" s="747"/>
      <c r="K3427" s="748"/>
      <c r="L3427" s="746"/>
      <c r="M3427" s="747"/>
      <c r="N3427" s="753"/>
    </row>
    <row r="3428" spans="2:14" ht="15" customHeight="1" x14ac:dyDescent="0.25">
      <c r="B3428" s="121" t="s">
        <v>400</v>
      </c>
      <c r="C3428" s="122" t="s">
        <v>401</v>
      </c>
      <c r="D3428" s="123" t="s">
        <v>402</v>
      </c>
      <c r="E3428" s="123" t="s">
        <v>403</v>
      </c>
      <c r="F3428" s="123" t="s">
        <v>404</v>
      </c>
      <c r="G3428" s="123" t="s">
        <v>405</v>
      </c>
      <c r="H3428" s="123" t="s">
        <v>406</v>
      </c>
      <c r="I3428" s="746"/>
      <c r="J3428" s="747"/>
      <c r="K3428" s="748"/>
      <c r="L3428" s="746"/>
      <c r="M3428" s="747"/>
      <c r="N3428" s="753"/>
    </row>
    <row r="3429" spans="2:14" ht="15" customHeight="1" x14ac:dyDescent="0.25">
      <c r="B3429" s="124"/>
      <c r="C3429" s="145"/>
      <c r="D3429" s="125">
        <v>15</v>
      </c>
      <c r="E3429" s="125"/>
      <c r="F3429" s="125"/>
      <c r="G3429" s="125"/>
      <c r="H3429" s="125">
        <f>D3429</f>
        <v>15</v>
      </c>
      <c r="I3429" s="746"/>
      <c r="J3429" s="747"/>
      <c r="K3429" s="748"/>
      <c r="L3429" s="746"/>
      <c r="M3429" s="747"/>
      <c r="N3429" s="753"/>
    </row>
    <row r="3430" spans="2:14" ht="15" customHeight="1" x14ac:dyDescent="0.25">
      <c r="B3430" s="124"/>
      <c r="C3430" s="145"/>
      <c r="D3430" s="125"/>
      <c r="E3430" s="125"/>
      <c r="F3430" s="125"/>
      <c r="G3430" s="125"/>
      <c r="H3430" s="125"/>
      <c r="I3430" s="746"/>
      <c r="J3430" s="747"/>
      <c r="K3430" s="748"/>
      <c r="L3430" s="746"/>
      <c r="M3430" s="747"/>
      <c r="N3430" s="753"/>
    </row>
    <row r="3431" spans="2:14" ht="15" customHeight="1" x14ac:dyDescent="0.25">
      <c r="B3431" s="165"/>
      <c r="C3431" s="145"/>
      <c r="D3431" s="125"/>
      <c r="E3431" s="125"/>
      <c r="F3431" s="125"/>
      <c r="G3431" s="125"/>
      <c r="H3431" s="125"/>
      <c r="I3431" s="746"/>
      <c r="J3431" s="747"/>
      <c r="K3431" s="748"/>
      <c r="L3431" s="746"/>
      <c r="M3431" s="747"/>
      <c r="N3431" s="753"/>
    </row>
    <row r="3432" spans="2:14" ht="15" customHeight="1" x14ac:dyDescent="0.25">
      <c r="B3432" s="165"/>
      <c r="C3432" s="145"/>
      <c r="D3432" s="125"/>
      <c r="E3432" s="125"/>
      <c r="F3432" s="125"/>
      <c r="G3432" s="125"/>
      <c r="H3432" s="125"/>
      <c r="I3432" s="746"/>
      <c r="J3432" s="747"/>
      <c r="K3432" s="748"/>
      <c r="L3432" s="746"/>
      <c r="M3432" s="747"/>
      <c r="N3432" s="753"/>
    </row>
    <row r="3433" spans="2:14" ht="15" customHeight="1" x14ac:dyDescent="0.25">
      <c r="B3433" s="165"/>
      <c r="C3433" s="145"/>
      <c r="D3433" s="125"/>
      <c r="E3433" s="125"/>
      <c r="F3433" s="125"/>
      <c r="G3433" s="125"/>
      <c r="H3433" s="125"/>
      <c r="I3433" s="746"/>
      <c r="J3433" s="747"/>
      <c r="K3433" s="748"/>
      <c r="L3433" s="746"/>
      <c r="M3433" s="747"/>
      <c r="N3433" s="753"/>
    </row>
    <row r="3434" spans="2:14" ht="15" customHeight="1" x14ac:dyDescent="0.25">
      <c r="B3434" s="165"/>
      <c r="C3434" s="145"/>
      <c r="D3434" s="125"/>
      <c r="E3434" s="125"/>
      <c r="F3434" s="125"/>
      <c r="G3434" s="125"/>
      <c r="H3434" s="125"/>
      <c r="I3434" s="746"/>
      <c r="J3434" s="747"/>
      <c r="K3434" s="748"/>
      <c r="L3434" s="746"/>
      <c r="M3434" s="747"/>
      <c r="N3434" s="753"/>
    </row>
    <row r="3435" spans="2:14" ht="15" customHeight="1" x14ac:dyDescent="0.25">
      <c r="B3435" s="165"/>
      <c r="C3435" s="145"/>
      <c r="D3435" s="125"/>
      <c r="E3435" s="125"/>
      <c r="F3435" s="125"/>
      <c r="G3435" s="125"/>
      <c r="H3435" s="125"/>
      <c r="I3435" s="746"/>
      <c r="J3435" s="747"/>
      <c r="K3435" s="748"/>
      <c r="L3435" s="746"/>
      <c r="M3435" s="747"/>
      <c r="N3435" s="753"/>
    </row>
    <row r="3436" spans="2:14" ht="15" customHeight="1" x14ac:dyDescent="0.25">
      <c r="B3436" s="124"/>
      <c r="C3436" s="145"/>
      <c r="D3436" s="125"/>
      <c r="E3436" s="125"/>
      <c r="F3436" s="125"/>
      <c r="G3436" s="125"/>
      <c r="H3436" s="125"/>
      <c r="I3436" s="746"/>
      <c r="J3436" s="747"/>
      <c r="K3436" s="748"/>
      <c r="L3436" s="746"/>
      <c r="M3436" s="747"/>
      <c r="N3436" s="753"/>
    </row>
    <row r="3437" spans="2:14" ht="15" customHeight="1" x14ac:dyDescent="0.25">
      <c r="B3437" s="124"/>
      <c r="C3437" s="125"/>
      <c r="D3437" s="125"/>
      <c r="E3437" s="125"/>
      <c r="F3437" s="125"/>
      <c r="G3437" s="125"/>
      <c r="H3437" s="125"/>
      <c r="I3437" s="746"/>
      <c r="J3437" s="747"/>
      <c r="K3437" s="748"/>
      <c r="L3437" s="746"/>
      <c r="M3437" s="747"/>
      <c r="N3437" s="753"/>
    </row>
    <row r="3438" spans="2:14" ht="15" customHeight="1" x14ac:dyDescent="0.25">
      <c r="B3438" s="127"/>
      <c r="C3438" s="125"/>
      <c r="D3438" s="125"/>
      <c r="E3438" s="125"/>
      <c r="F3438" s="125"/>
      <c r="G3438" s="125"/>
      <c r="H3438" s="125"/>
      <c r="I3438" s="749"/>
      <c r="J3438" s="750"/>
      <c r="K3438" s="751"/>
      <c r="L3438" s="749"/>
      <c r="M3438" s="750"/>
      <c r="N3438" s="754"/>
    </row>
    <row r="3439" spans="2:14" ht="15" customHeight="1" x14ac:dyDescent="0.25">
      <c r="B3439" s="225"/>
      <c r="C3439" s="128"/>
      <c r="D3439" s="128"/>
      <c r="E3439" s="128"/>
      <c r="F3439" s="128"/>
      <c r="G3439" s="128"/>
      <c r="H3439" s="128"/>
      <c r="I3439" s="128"/>
      <c r="J3439" s="128"/>
      <c r="K3439" s="128"/>
      <c r="L3439" s="118"/>
      <c r="M3439" s="118"/>
      <c r="N3439" s="210"/>
    </row>
    <row r="3440" spans="2:14" ht="15" customHeight="1" x14ac:dyDescent="0.25">
      <c r="B3440" s="209"/>
      <c r="C3440" s="118"/>
      <c r="D3440" s="118"/>
      <c r="E3440" s="118"/>
      <c r="F3440" s="118"/>
      <c r="G3440" s="118"/>
      <c r="H3440" s="118"/>
      <c r="I3440" s="118"/>
      <c r="J3440" s="118"/>
      <c r="K3440" s="118"/>
      <c r="L3440" s="118"/>
      <c r="M3440" s="118"/>
      <c r="N3440" s="210"/>
    </row>
    <row r="3441" spans="2:14" ht="15" customHeight="1" x14ac:dyDescent="0.25">
      <c r="B3441" s="209"/>
      <c r="C3441" s="118"/>
      <c r="D3441" s="118"/>
      <c r="E3441" s="118"/>
      <c r="F3441" s="118"/>
      <c r="G3441" s="118"/>
      <c r="H3441" s="118"/>
      <c r="I3441" s="118"/>
      <c r="J3441" s="118"/>
      <c r="K3441" s="118"/>
      <c r="L3441" s="118"/>
      <c r="M3441" s="118"/>
      <c r="N3441" s="210"/>
    </row>
    <row r="3442" spans="2:14" ht="15" customHeight="1" thickBot="1" x14ac:dyDescent="0.3">
      <c r="B3442" s="725" t="s">
        <v>414</v>
      </c>
      <c r="C3442" s="726"/>
      <c r="D3442" s="726"/>
      <c r="E3442" s="147"/>
      <c r="F3442" s="147"/>
      <c r="G3442" s="147"/>
      <c r="H3442" s="147"/>
      <c r="I3442" s="727"/>
      <c r="J3442" s="726"/>
      <c r="K3442" s="726"/>
      <c r="L3442" s="130"/>
      <c r="M3442" s="130"/>
      <c r="N3442" s="131"/>
    </row>
    <row r="3443" spans="2:14" ht="15" customHeight="1" thickBot="1" x14ac:dyDescent="0.3"/>
    <row r="3444" spans="2:14" ht="39.6" customHeight="1" x14ac:dyDescent="0.25">
      <c r="B3444" s="728"/>
      <c r="C3444" s="729"/>
      <c r="D3444" s="730" t="s">
        <v>393</v>
      </c>
      <c r="E3444" s="729"/>
      <c r="F3444" s="729"/>
      <c r="G3444" s="729"/>
      <c r="H3444" s="729"/>
      <c r="I3444" s="729"/>
      <c r="J3444" s="729"/>
      <c r="K3444" s="729"/>
      <c r="L3444" s="729"/>
      <c r="M3444" s="729"/>
      <c r="N3444" s="731"/>
    </row>
    <row r="3445" spans="2:14" ht="15" customHeight="1" x14ac:dyDescent="0.25">
      <c r="B3445" s="732" t="s">
        <v>394</v>
      </c>
      <c r="C3445" s="733"/>
      <c r="D3445" s="733"/>
      <c r="E3445" s="733"/>
      <c r="F3445" s="733"/>
      <c r="G3445" s="733"/>
      <c r="H3445" s="733"/>
      <c r="I3445" s="733"/>
      <c r="J3445" s="733"/>
      <c r="K3445" s="733"/>
      <c r="L3445" s="733"/>
      <c r="M3445" s="733"/>
      <c r="N3445" s="734"/>
    </row>
    <row r="3446" spans="2:14" ht="51" customHeight="1" x14ac:dyDescent="0.25">
      <c r="B3446" s="735" t="s">
        <v>395</v>
      </c>
      <c r="C3446" s="736"/>
      <c r="D3446" s="737" t="str">
        <f>VLOOKUP(B3448,Buenaventura!A9:G4693,3,FALSE)</f>
        <v xml:space="preserve">Suministro e instalación tubería sanitaria PVC 4",  incluye accesorios para su correcta instalación y elementos de fijación </v>
      </c>
      <c r="E3446" s="738"/>
      <c r="F3446" s="738"/>
      <c r="G3446" s="738"/>
      <c r="H3446" s="738"/>
      <c r="I3446" s="738"/>
      <c r="J3446" s="738"/>
      <c r="K3446" s="738"/>
      <c r="L3446" s="738"/>
      <c r="M3446" s="738"/>
      <c r="N3446" s="739"/>
    </row>
    <row r="3447" spans="2:14" ht="29.45" customHeight="1" x14ac:dyDescent="0.25">
      <c r="B3447" s="740" t="s">
        <v>26</v>
      </c>
      <c r="C3447" s="741"/>
      <c r="D3447" s="119" t="s">
        <v>396</v>
      </c>
      <c r="E3447" s="742" t="s">
        <v>397</v>
      </c>
      <c r="F3447" s="733"/>
      <c r="G3447" s="733"/>
      <c r="H3447" s="736"/>
      <c r="I3447" s="742" t="s">
        <v>398</v>
      </c>
      <c r="J3447" s="733"/>
      <c r="K3447" s="736"/>
      <c r="L3447" s="742" t="s">
        <v>399</v>
      </c>
      <c r="M3447" s="733"/>
      <c r="N3447" s="734"/>
    </row>
    <row r="3448" spans="2:14" ht="15" customHeight="1" x14ac:dyDescent="0.25">
      <c r="B3448" s="283">
        <v>71</v>
      </c>
      <c r="C3448" s="284" t="str">
        <f>VLOOKUP(B3448,Buenaventura!A9:G4706,2,FALSE)</f>
        <v>IH-03</v>
      </c>
      <c r="D3448" s="285">
        <f>SUM(H3451:H3454)</f>
        <v>29.909999999999997</v>
      </c>
      <c r="E3448" s="743" t="str">
        <f>VLOOKUP(B3448,Buenaventura!A9:G4705,4,FALSE)</f>
        <v>ML</v>
      </c>
      <c r="F3448" s="743"/>
      <c r="G3448" s="743"/>
      <c r="H3448" s="743"/>
      <c r="I3448" s="744"/>
      <c r="J3448" s="745"/>
      <c r="K3448" s="741"/>
      <c r="L3448" s="744"/>
      <c r="M3448" s="745"/>
      <c r="N3448" s="752"/>
    </row>
    <row r="3449" spans="2:14" ht="15" customHeight="1" x14ac:dyDescent="0.25">
      <c r="B3449" s="755" t="s">
        <v>416</v>
      </c>
      <c r="C3449" s="733"/>
      <c r="D3449" s="733"/>
      <c r="E3449" s="733"/>
      <c r="F3449" s="733"/>
      <c r="G3449" s="733"/>
      <c r="H3449" s="736"/>
      <c r="I3449" s="746"/>
      <c r="J3449" s="747"/>
      <c r="K3449" s="748"/>
      <c r="L3449" s="746"/>
      <c r="M3449" s="747"/>
      <c r="N3449" s="753"/>
    </row>
    <row r="3450" spans="2:14" ht="15" customHeight="1" x14ac:dyDescent="0.25">
      <c r="B3450" s="121" t="s">
        <v>400</v>
      </c>
      <c r="C3450" s="122" t="s">
        <v>401</v>
      </c>
      <c r="D3450" s="123" t="s">
        <v>402</v>
      </c>
      <c r="E3450" s="123" t="s">
        <v>403</v>
      </c>
      <c r="F3450" s="123" t="s">
        <v>404</v>
      </c>
      <c r="G3450" s="123" t="s">
        <v>405</v>
      </c>
      <c r="H3450" s="123" t="s">
        <v>406</v>
      </c>
      <c r="I3450" s="746"/>
      <c r="J3450" s="747"/>
      <c r="K3450" s="748"/>
      <c r="L3450" s="746"/>
      <c r="M3450" s="747"/>
      <c r="N3450" s="753"/>
    </row>
    <row r="3451" spans="2:14" ht="15" customHeight="1" x14ac:dyDescent="0.25">
      <c r="B3451" s="124"/>
      <c r="C3451" s="145"/>
      <c r="D3451" s="125"/>
      <c r="E3451" s="125">
        <v>0.6</v>
      </c>
      <c r="F3451" s="125">
        <v>24</v>
      </c>
      <c r="G3451" s="125"/>
      <c r="H3451" s="125">
        <f>E3451*F3451</f>
        <v>14.399999999999999</v>
      </c>
      <c r="I3451" s="746"/>
      <c r="J3451" s="747"/>
      <c r="K3451" s="748"/>
      <c r="L3451" s="746"/>
      <c r="M3451" s="747"/>
      <c r="N3451" s="753"/>
    </row>
    <row r="3452" spans="2:14" ht="15" customHeight="1" x14ac:dyDescent="0.25">
      <c r="B3452" s="124"/>
      <c r="C3452" s="145"/>
      <c r="D3452" s="125"/>
      <c r="E3452" s="125">
        <v>0.6</v>
      </c>
      <c r="F3452" s="125">
        <v>24</v>
      </c>
      <c r="G3452" s="125"/>
      <c r="H3452" s="125">
        <f t="shared" ref="H3452:H3455" si="68">E3452*F3452</f>
        <v>14.399999999999999</v>
      </c>
      <c r="I3452" s="746"/>
      <c r="J3452" s="747"/>
      <c r="K3452" s="748"/>
      <c r="L3452" s="746"/>
      <c r="M3452" s="747"/>
      <c r="N3452" s="753"/>
    </row>
    <row r="3453" spans="2:14" ht="15" customHeight="1" x14ac:dyDescent="0.25">
      <c r="B3453" s="165"/>
      <c r="C3453" s="145"/>
      <c r="D3453" s="125"/>
      <c r="E3453" s="125">
        <v>0.6</v>
      </c>
      <c r="F3453" s="125">
        <v>1.85</v>
      </c>
      <c r="G3453" s="125"/>
      <c r="H3453" s="125">
        <f t="shared" si="68"/>
        <v>1.1100000000000001</v>
      </c>
      <c r="I3453" s="746"/>
      <c r="J3453" s="747"/>
      <c r="K3453" s="748"/>
      <c r="L3453" s="746"/>
      <c r="M3453" s="747"/>
      <c r="N3453" s="753"/>
    </row>
    <row r="3454" spans="2:14" ht="15" customHeight="1" x14ac:dyDescent="0.25">
      <c r="B3454" s="165"/>
      <c r="C3454" s="145"/>
      <c r="D3454" s="125"/>
      <c r="E3454" s="125"/>
      <c r="F3454" s="125"/>
      <c r="G3454" s="125"/>
      <c r="H3454" s="125">
        <f t="shared" si="68"/>
        <v>0</v>
      </c>
      <c r="I3454" s="746"/>
      <c r="J3454" s="747"/>
      <c r="K3454" s="748"/>
      <c r="L3454" s="746"/>
      <c r="M3454" s="747"/>
      <c r="N3454" s="753"/>
    </row>
    <row r="3455" spans="2:14" ht="15" customHeight="1" x14ac:dyDescent="0.25">
      <c r="B3455" s="165"/>
      <c r="C3455" s="145"/>
      <c r="D3455" s="125"/>
      <c r="E3455" s="125"/>
      <c r="F3455" s="125"/>
      <c r="G3455" s="125"/>
      <c r="H3455" s="125">
        <f t="shared" si="68"/>
        <v>0</v>
      </c>
      <c r="I3455" s="746"/>
      <c r="J3455" s="747"/>
      <c r="K3455" s="748"/>
      <c r="L3455" s="746"/>
      <c r="M3455" s="747"/>
      <c r="N3455" s="753"/>
    </row>
    <row r="3456" spans="2:14" ht="15" customHeight="1" x14ac:dyDescent="0.25">
      <c r="B3456" s="165"/>
      <c r="C3456" s="145"/>
      <c r="D3456" s="125"/>
      <c r="E3456" s="125"/>
      <c r="F3456" s="125"/>
      <c r="G3456" s="125"/>
      <c r="H3456" s="125"/>
      <c r="I3456" s="746"/>
      <c r="J3456" s="747"/>
      <c r="K3456" s="748"/>
      <c r="L3456" s="746"/>
      <c r="M3456" s="747"/>
      <c r="N3456" s="753"/>
    </row>
    <row r="3457" spans="2:14" ht="15" customHeight="1" x14ac:dyDescent="0.25">
      <c r="B3457" s="165"/>
      <c r="C3457" s="145"/>
      <c r="D3457" s="125"/>
      <c r="E3457" s="125"/>
      <c r="F3457" s="125"/>
      <c r="G3457" s="125"/>
      <c r="H3457" s="125"/>
      <c r="I3457" s="746"/>
      <c r="J3457" s="747"/>
      <c r="K3457" s="748"/>
      <c r="L3457" s="746"/>
      <c r="M3457" s="747"/>
      <c r="N3457" s="753"/>
    </row>
    <row r="3458" spans="2:14" ht="15" customHeight="1" x14ac:dyDescent="0.25">
      <c r="B3458" s="124"/>
      <c r="C3458" s="145"/>
      <c r="D3458" s="125"/>
      <c r="E3458" s="125"/>
      <c r="F3458" s="125"/>
      <c r="G3458" s="125"/>
      <c r="H3458" s="125"/>
      <c r="I3458" s="746"/>
      <c r="J3458" s="747"/>
      <c r="K3458" s="748"/>
      <c r="L3458" s="746"/>
      <c r="M3458" s="747"/>
      <c r="N3458" s="753"/>
    </row>
    <row r="3459" spans="2:14" ht="15" customHeight="1" x14ac:dyDescent="0.25">
      <c r="B3459" s="124"/>
      <c r="C3459" s="125"/>
      <c r="D3459" s="125"/>
      <c r="E3459" s="125"/>
      <c r="F3459" s="125"/>
      <c r="G3459" s="125"/>
      <c r="H3459" s="125"/>
      <c r="I3459" s="746"/>
      <c r="J3459" s="747"/>
      <c r="K3459" s="748"/>
      <c r="L3459" s="746"/>
      <c r="M3459" s="747"/>
      <c r="N3459" s="753"/>
    </row>
    <row r="3460" spans="2:14" ht="15" customHeight="1" x14ac:dyDescent="0.25">
      <c r="B3460" s="127"/>
      <c r="C3460" s="125"/>
      <c r="D3460" s="125"/>
      <c r="E3460" s="125"/>
      <c r="F3460" s="125"/>
      <c r="G3460" s="125"/>
      <c r="H3460" s="125"/>
      <c r="I3460" s="749"/>
      <c r="J3460" s="750"/>
      <c r="K3460" s="751"/>
      <c r="L3460" s="749"/>
      <c r="M3460" s="750"/>
      <c r="N3460" s="754"/>
    </row>
    <row r="3461" spans="2:14" ht="15" customHeight="1" x14ac:dyDescent="0.25">
      <c r="B3461" s="225"/>
      <c r="C3461" s="128"/>
      <c r="D3461" s="128"/>
      <c r="E3461" s="128"/>
      <c r="F3461" s="128"/>
      <c r="G3461" s="128"/>
      <c r="H3461" s="128"/>
      <c r="I3461" s="128"/>
      <c r="J3461" s="128"/>
      <c r="K3461" s="128"/>
      <c r="L3461" s="118"/>
      <c r="M3461" s="118"/>
      <c r="N3461" s="210"/>
    </row>
    <row r="3462" spans="2:14" ht="15" customHeight="1" x14ac:dyDescent="0.25">
      <c r="B3462" s="209"/>
      <c r="C3462" s="118"/>
      <c r="D3462" s="118"/>
      <c r="E3462" s="118"/>
      <c r="F3462" s="118"/>
      <c r="G3462" s="118"/>
      <c r="H3462" s="118"/>
      <c r="I3462" s="118"/>
      <c r="J3462" s="118"/>
      <c r="K3462" s="118"/>
      <c r="L3462" s="118"/>
      <c r="M3462" s="118"/>
      <c r="N3462" s="210"/>
    </row>
    <row r="3463" spans="2:14" ht="15" customHeight="1" x14ac:dyDescent="0.25">
      <c r="B3463" s="209"/>
      <c r="C3463" s="118"/>
      <c r="D3463" s="118"/>
      <c r="E3463" s="118"/>
      <c r="F3463" s="118"/>
      <c r="G3463" s="118"/>
      <c r="H3463" s="118"/>
      <c r="I3463" s="118"/>
      <c r="J3463" s="118"/>
      <c r="K3463" s="118"/>
      <c r="L3463" s="118"/>
      <c r="M3463" s="118"/>
      <c r="N3463" s="210"/>
    </row>
    <row r="3464" spans="2:14" ht="15" customHeight="1" thickBot="1" x14ac:dyDescent="0.3">
      <c r="B3464" s="725" t="s">
        <v>414</v>
      </c>
      <c r="C3464" s="726"/>
      <c r="D3464" s="726"/>
      <c r="E3464" s="147"/>
      <c r="F3464" s="147"/>
      <c r="G3464" s="147"/>
      <c r="H3464" s="147"/>
      <c r="I3464" s="727"/>
      <c r="J3464" s="726"/>
      <c r="K3464" s="726"/>
      <c r="L3464" s="130"/>
      <c r="M3464" s="130"/>
      <c r="N3464" s="131"/>
    </row>
    <row r="3465" spans="2:14" ht="15" customHeight="1" thickBot="1" x14ac:dyDescent="0.3"/>
    <row r="3466" spans="2:14" ht="37.15" customHeight="1" x14ac:dyDescent="0.25">
      <c r="B3466" s="728"/>
      <c r="C3466" s="729"/>
      <c r="D3466" s="730" t="s">
        <v>393</v>
      </c>
      <c r="E3466" s="729"/>
      <c r="F3466" s="729"/>
      <c r="G3466" s="729"/>
      <c r="H3466" s="729"/>
      <c r="I3466" s="729"/>
      <c r="J3466" s="729"/>
      <c r="K3466" s="729"/>
      <c r="L3466" s="729"/>
      <c r="M3466" s="729"/>
      <c r="N3466" s="731"/>
    </row>
    <row r="3467" spans="2:14" ht="15" customHeight="1" x14ac:dyDescent="0.25">
      <c r="B3467" s="732" t="s">
        <v>394</v>
      </c>
      <c r="C3467" s="733"/>
      <c r="D3467" s="733"/>
      <c r="E3467" s="733"/>
      <c r="F3467" s="733"/>
      <c r="G3467" s="733"/>
      <c r="H3467" s="733"/>
      <c r="I3467" s="733"/>
      <c r="J3467" s="733"/>
      <c r="K3467" s="733"/>
      <c r="L3467" s="733"/>
      <c r="M3467" s="733"/>
      <c r="N3467" s="734"/>
    </row>
    <row r="3468" spans="2:14" ht="28.15" customHeight="1" x14ac:dyDescent="0.25">
      <c r="B3468" s="735" t="s">
        <v>395</v>
      </c>
      <c r="C3468" s="736"/>
      <c r="D3468" s="737" t="str">
        <f>VLOOKUP(B3470,Buenaventura!A9:G4715,3,FALSE)</f>
        <v xml:space="preserve">Suministro e instalación de manto asfáltica Foil de aluminio adhesivo </v>
      </c>
      <c r="E3468" s="738"/>
      <c r="F3468" s="738"/>
      <c r="G3468" s="738"/>
      <c r="H3468" s="738"/>
      <c r="I3468" s="738"/>
      <c r="J3468" s="738"/>
      <c r="K3468" s="738"/>
      <c r="L3468" s="738"/>
      <c r="M3468" s="738"/>
      <c r="N3468" s="739"/>
    </row>
    <row r="3469" spans="2:14" ht="24" customHeight="1" x14ac:dyDescent="0.25">
      <c r="B3469" s="740" t="s">
        <v>26</v>
      </c>
      <c r="C3469" s="741"/>
      <c r="D3469" s="119" t="s">
        <v>396</v>
      </c>
      <c r="E3469" s="742" t="s">
        <v>397</v>
      </c>
      <c r="F3469" s="733"/>
      <c r="G3469" s="733"/>
      <c r="H3469" s="736"/>
      <c r="I3469" s="742" t="s">
        <v>398</v>
      </c>
      <c r="J3469" s="733"/>
      <c r="K3469" s="736"/>
      <c r="L3469" s="742" t="s">
        <v>399</v>
      </c>
      <c r="M3469" s="733"/>
      <c r="N3469" s="734"/>
    </row>
    <row r="3470" spans="2:14" ht="15" customHeight="1" x14ac:dyDescent="0.25">
      <c r="B3470" s="283">
        <v>72</v>
      </c>
      <c r="C3470" s="284" t="str">
        <f>VLOOKUP(B3470,Buenaventura!A9:G4728,2,FALSE)</f>
        <v>RI-03</v>
      </c>
      <c r="D3470" s="285">
        <f>SUM(H3473:H3478)</f>
        <v>34.409999999999997</v>
      </c>
      <c r="E3470" s="743" t="str">
        <f>VLOOKUP(B3470,Buenaventura!A9:G4727,4,FALSE)</f>
        <v>ML</v>
      </c>
      <c r="F3470" s="743"/>
      <c r="G3470" s="743"/>
      <c r="H3470" s="743"/>
      <c r="I3470" s="744"/>
      <c r="J3470" s="745"/>
      <c r="K3470" s="741"/>
      <c r="L3470" s="744"/>
      <c r="M3470" s="745"/>
      <c r="N3470" s="752"/>
    </row>
    <row r="3471" spans="2:14" ht="15" customHeight="1" x14ac:dyDescent="0.25">
      <c r="B3471" s="755" t="s">
        <v>416</v>
      </c>
      <c r="C3471" s="733"/>
      <c r="D3471" s="733"/>
      <c r="E3471" s="733"/>
      <c r="F3471" s="733"/>
      <c r="G3471" s="733"/>
      <c r="H3471" s="736"/>
      <c r="I3471" s="746"/>
      <c r="J3471" s="747"/>
      <c r="K3471" s="748"/>
      <c r="L3471" s="746"/>
      <c r="M3471" s="747"/>
      <c r="N3471" s="753"/>
    </row>
    <row r="3472" spans="2:14" ht="15" customHeight="1" x14ac:dyDescent="0.25">
      <c r="B3472" s="121" t="s">
        <v>400</v>
      </c>
      <c r="C3472" s="122" t="s">
        <v>401</v>
      </c>
      <c r="D3472" s="123" t="s">
        <v>402</v>
      </c>
      <c r="E3472" s="123" t="s">
        <v>403</v>
      </c>
      <c r="F3472" s="123" t="s">
        <v>404</v>
      </c>
      <c r="G3472" s="123" t="s">
        <v>405</v>
      </c>
      <c r="H3472" s="123" t="s">
        <v>406</v>
      </c>
      <c r="I3472" s="746"/>
      <c r="J3472" s="747"/>
      <c r="K3472" s="748"/>
      <c r="L3472" s="746"/>
      <c r="M3472" s="747"/>
      <c r="N3472" s="753"/>
    </row>
    <row r="3473" spans="2:14" ht="15" customHeight="1" x14ac:dyDescent="0.25">
      <c r="B3473" s="124"/>
      <c r="C3473" s="764" t="s">
        <v>594</v>
      </c>
      <c r="D3473" s="125"/>
      <c r="E3473" s="125">
        <v>0.6</v>
      </c>
      <c r="F3473" s="125">
        <v>24</v>
      </c>
      <c r="G3473" s="125"/>
      <c r="H3473" s="125">
        <f>E3473*F3473</f>
        <v>14.399999999999999</v>
      </c>
      <c r="I3473" s="746"/>
      <c r="J3473" s="747"/>
      <c r="K3473" s="748"/>
      <c r="L3473" s="746"/>
      <c r="M3473" s="747"/>
      <c r="N3473" s="753"/>
    </row>
    <row r="3474" spans="2:14" ht="15" customHeight="1" x14ac:dyDescent="0.25">
      <c r="B3474" s="124"/>
      <c r="C3474" s="757"/>
      <c r="D3474" s="125"/>
      <c r="E3474" s="125">
        <v>0.6</v>
      </c>
      <c r="F3474" s="125">
        <v>24</v>
      </c>
      <c r="G3474" s="125"/>
      <c r="H3474" s="125">
        <f t="shared" ref="H3474:H3477" si="69">E3474*F3474</f>
        <v>14.399999999999999</v>
      </c>
      <c r="I3474" s="746"/>
      <c r="J3474" s="747"/>
      <c r="K3474" s="748"/>
      <c r="L3474" s="746"/>
      <c r="M3474" s="747"/>
      <c r="N3474" s="753"/>
    </row>
    <row r="3475" spans="2:14" ht="15" customHeight="1" x14ac:dyDescent="0.25">
      <c r="B3475" s="165"/>
      <c r="C3475" s="758"/>
      <c r="D3475" s="125"/>
      <c r="E3475" s="125">
        <v>0.6</v>
      </c>
      <c r="F3475" s="125">
        <v>1.85</v>
      </c>
      <c r="G3475" s="125"/>
      <c r="H3475" s="125">
        <f t="shared" si="69"/>
        <v>1.1100000000000001</v>
      </c>
      <c r="I3475" s="746"/>
      <c r="J3475" s="747"/>
      <c r="K3475" s="748"/>
      <c r="L3475" s="746"/>
      <c r="M3475" s="747"/>
      <c r="N3475" s="753"/>
    </row>
    <row r="3476" spans="2:14" ht="15" customHeight="1" x14ac:dyDescent="0.25">
      <c r="B3476" s="165"/>
      <c r="C3476" s="145" t="s">
        <v>595</v>
      </c>
      <c r="D3476" s="125"/>
      <c r="E3476" s="125">
        <v>1.5</v>
      </c>
      <c r="F3476" s="125">
        <v>3</v>
      </c>
      <c r="G3476" s="125"/>
      <c r="H3476" s="125">
        <f t="shared" si="69"/>
        <v>4.5</v>
      </c>
      <c r="I3476" s="746"/>
      <c r="J3476" s="747"/>
      <c r="K3476" s="748"/>
      <c r="L3476" s="746"/>
      <c r="M3476" s="747"/>
      <c r="N3476" s="753"/>
    </row>
    <row r="3477" spans="2:14" ht="15" customHeight="1" x14ac:dyDescent="0.25">
      <c r="B3477" s="165"/>
      <c r="C3477" s="145"/>
      <c r="D3477" s="125"/>
      <c r="E3477" s="125"/>
      <c r="F3477" s="125"/>
      <c r="G3477" s="125"/>
      <c r="H3477" s="125">
        <f t="shared" si="69"/>
        <v>0</v>
      </c>
      <c r="I3477" s="746"/>
      <c r="J3477" s="747"/>
      <c r="K3477" s="748"/>
      <c r="L3477" s="746"/>
      <c r="M3477" s="747"/>
      <c r="N3477" s="753"/>
    </row>
    <row r="3478" spans="2:14" ht="15" customHeight="1" x14ac:dyDescent="0.25">
      <c r="B3478" s="165"/>
      <c r="C3478" s="145"/>
      <c r="D3478" s="125"/>
      <c r="E3478" s="125"/>
      <c r="F3478" s="125"/>
      <c r="G3478" s="125"/>
      <c r="H3478" s="125"/>
      <c r="I3478" s="746"/>
      <c r="J3478" s="747"/>
      <c r="K3478" s="748"/>
      <c r="L3478" s="746"/>
      <c r="M3478" s="747"/>
      <c r="N3478" s="753"/>
    </row>
    <row r="3479" spans="2:14" ht="15" customHeight="1" x14ac:dyDescent="0.25">
      <c r="B3479" s="165"/>
      <c r="C3479" s="145"/>
      <c r="D3479" s="125"/>
      <c r="E3479" s="125"/>
      <c r="F3479" s="125"/>
      <c r="G3479" s="125"/>
      <c r="H3479" s="125"/>
      <c r="I3479" s="746"/>
      <c r="J3479" s="747"/>
      <c r="K3479" s="748"/>
      <c r="L3479" s="746"/>
      <c r="M3479" s="747"/>
      <c r="N3479" s="753"/>
    </row>
    <row r="3480" spans="2:14" ht="15" customHeight="1" x14ac:dyDescent="0.25">
      <c r="B3480" s="124"/>
      <c r="C3480" s="145"/>
      <c r="D3480" s="125"/>
      <c r="E3480" s="125"/>
      <c r="F3480" s="125"/>
      <c r="G3480" s="125"/>
      <c r="H3480" s="125"/>
      <c r="I3480" s="746"/>
      <c r="J3480" s="747"/>
      <c r="K3480" s="748"/>
      <c r="L3480" s="746"/>
      <c r="M3480" s="747"/>
      <c r="N3480" s="753"/>
    </row>
    <row r="3481" spans="2:14" ht="15" customHeight="1" x14ac:dyDescent="0.25">
      <c r="B3481" s="124"/>
      <c r="C3481" s="125"/>
      <c r="D3481" s="125"/>
      <c r="E3481" s="125"/>
      <c r="F3481" s="125"/>
      <c r="G3481" s="125"/>
      <c r="H3481" s="125"/>
      <c r="I3481" s="746"/>
      <c r="J3481" s="747"/>
      <c r="K3481" s="748"/>
      <c r="L3481" s="746"/>
      <c r="M3481" s="747"/>
      <c r="N3481" s="753"/>
    </row>
    <row r="3482" spans="2:14" ht="15" customHeight="1" x14ac:dyDescent="0.25">
      <c r="B3482" s="127"/>
      <c r="C3482" s="125"/>
      <c r="D3482" s="125"/>
      <c r="E3482" s="125"/>
      <c r="F3482" s="125"/>
      <c r="G3482" s="125"/>
      <c r="H3482" s="125"/>
      <c r="I3482" s="749"/>
      <c r="J3482" s="750"/>
      <c r="K3482" s="751"/>
      <c r="L3482" s="749"/>
      <c r="M3482" s="750"/>
      <c r="N3482" s="754"/>
    </row>
    <row r="3483" spans="2:14" ht="15" customHeight="1" x14ac:dyDescent="0.25">
      <c r="B3483" s="225"/>
      <c r="C3483" s="128"/>
      <c r="D3483" s="128"/>
      <c r="E3483" s="128"/>
      <c r="F3483" s="128"/>
      <c r="G3483" s="128"/>
      <c r="H3483" s="128"/>
      <c r="I3483" s="128"/>
      <c r="J3483" s="128"/>
      <c r="K3483" s="128"/>
      <c r="L3483" s="118"/>
      <c r="M3483" s="118"/>
      <c r="N3483" s="210"/>
    </row>
    <row r="3484" spans="2:14" ht="15" customHeight="1" x14ac:dyDescent="0.25">
      <c r="B3484" s="209"/>
      <c r="C3484" s="118"/>
      <c r="D3484" s="118"/>
      <c r="E3484" s="118"/>
      <c r="F3484" s="118"/>
      <c r="G3484" s="118"/>
      <c r="H3484" s="118"/>
      <c r="I3484" s="118"/>
      <c r="J3484" s="118"/>
      <c r="K3484" s="118"/>
      <c r="L3484" s="118"/>
      <c r="M3484" s="118"/>
      <c r="N3484" s="210"/>
    </row>
    <row r="3485" spans="2:14" ht="15" customHeight="1" x14ac:dyDescent="0.25">
      <c r="B3485" s="209"/>
      <c r="C3485" s="118"/>
      <c r="D3485" s="118"/>
      <c r="E3485" s="118"/>
      <c r="F3485" s="118"/>
      <c r="G3485" s="118"/>
      <c r="H3485" s="118"/>
      <c r="I3485" s="118"/>
      <c r="J3485" s="118"/>
      <c r="K3485" s="118"/>
      <c r="L3485" s="118"/>
      <c r="M3485" s="118"/>
      <c r="N3485" s="210"/>
    </row>
    <row r="3486" spans="2:14" ht="15" customHeight="1" thickBot="1" x14ac:dyDescent="0.3">
      <c r="B3486" s="725" t="s">
        <v>414</v>
      </c>
      <c r="C3486" s="726"/>
      <c r="D3486" s="726"/>
      <c r="E3486" s="147"/>
      <c r="F3486" s="147"/>
      <c r="G3486" s="147"/>
      <c r="H3486" s="147"/>
      <c r="I3486" s="727"/>
      <c r="J3486" s="726"/>
      <c r="K3486" s="726"/>
      <c r="L3486" s="130"/>
      <c r="M3486" s="130"/>
      <c r="N3486" s="131"/>
    </row>
    <row r="3487" spans="2:14" ht="15" customHeight="1" thickBot="1" x14ac:dyDescent="0.3"/>
    <row r="3488" spans="2:14" ht="42" customHeight="1" x14ac:dyDescent="0.25">
      <c r="B3488" s="728"/>
      <c r="C3488" s="729"/>
      <c r="D3488" s="730" t="s">
        <v>393</v>
      </c>
      <c r="E3488" s="729"/>
      <c r="F3488" s="729"/>
      <c r="G3488" s="729"/>
      <c r="H3488" s="729"/>
      <c r="I3488" s="729"/>
      <c r="J3488" s="729"/>
      <c r="K3488" s="729"/>
      <c r="L3488" s="729"/>
      <c r="M3488" s="729"/>
      <c r="N3488" s="731"/>
    </row>
    <row r="3489" spans="2:14" ht="15" customHeight="1" x14ac:dyDescent="0.25">
      <c r="B3489" s="732" t="s">
        <v>394</v>
      </c>
      <c r="C3489" s="733"/>
      <c r="D3489" s="733"/>
      <c r="E3489" s="733"/>
      <c r="F3489" s="733"/>
      <c r="G3489" s="733"/>
      <c r="H3489" s="733"/>
      <c r="I3489" s="733"/>
      <c r="J3489" s="733"/>
      <c r="K3489" s="733"/>
      <c r="L3489" s="733"/>
      <c r="M3489" s="733"/>
      <c r="N3489" s="734"/>
    </row>
    <row r="3490" spans="2:14" ht="27" customHeight="1" x14ac:dyDescent="0.25">
      <c r="B3490" s="735" t="s">
        <v>395</v>
      </c>
      <c r="C3490" s="736"/>
      <c r="D3490" s="737" t="str">
        <f>VLOOKUP(B3492,Buenaventura!A31:G4737,3,FALSE)</f>
        <v>Retiro de membrana impermeabilizante en PVC existente que se encuentre deteriorada o en mal estado, mediante medios manuales y/o mecánicos, incluyendo el levantamiento total del material, limpieza de la superficie base, retiro de residuos de adhesivos o fijaciones, cargue, transporte y disposición final de los escombros en sitio autorizado</v>
      </c>
      <c r="E3490" s="738"/>
      <c r="F3490" s="738"/>
      <c r="G3490" s="738"/>
      <c r="H3490" s="738"/>
      <c r="I3490" s="738"/>
      <c r="J3490" s="738"/>
      <c r="K3490" s="738"/>
      <c r="L3490" s="738"/>
      <c r="M3490" s="738"/>
      <c r="N3490" s="739"/>
    </row>
    <row r="3491" spans="2:14" ht="26.45" customHeight="1" x14ac:dyDescent="0.25">
      <c r="B3491" s="740" t="s">
        <v>26</v>
      </c>
      <c r="C3491" s="741"/>
      <c r="D3491" s="119" t="s">
        <v>396</v>
      </c>
      <c r="E3491" s="742" t="s">
        <v>397</v>
      </c>
      <c r="F3491" s="733"/>
      <c r="G3491" s="733"/>
      <c r="H3491" s="736"/>
      <c r="I3491" s="742" t="s">
        <v>398</v>
      </c>
      <c r="J3491" s="733"/>
      <c r="K3491" s="736"/>
      <c r="L3491" s="742" t="s">
        <v>399</v>
      </c>
      <c r="M3491" s="733"/>
      <c r="N3491" s="734"/>
    </row>
    <row r="3492" spans="2:14" ht="15" customHeight="1" x14ac:dyDescent="0.25">
      <c r="B3492" s="283">
        <v>73</v>
      </c>
      <c r="C3492" s="284" t="str">
        <f>VLOOKUP(B3492,Buenaventura!A9:G4750,2,FALSE)</f>
        <v>VA-33</v>
      </c>
      <c r="D3492" s="285">
        <f>SUM(H3495:H3498)</f>
        <v>24</v>
      </c>
      <c r="E3492" s="743" t="str">
        <f>VLOOKUP(B3492,Buenaventura!A9:G4749,4,FALSE)</f>
        <v>M2</v>
      </c>
      <c r="F3492" s="743"/>
      <c r="G3492" s="743"/>
      <c r="H3492" s="743"/>
      <c r="I3492" s="744"/>
      <c r="J3492" s="745"/>
      <c r="K3492" s="741"/>
      <c r="L3492" s="744"/>
      <c r="M3492" s="745"/>
      <c r="N3492" s="752"/>
    </row>
    <row r="3493" spans="2:14" ht="15" customHeight="1" x14ac:dyDescent="0.25">
      <c r="B3493" s="755" t="s">
        <v>416</v>
      </c>
      <c r="C3493" s="733"/>
      <c r="D3493" s="733"/>
      <c r="E3493" s="733"/>
      <c r="F3493" s="733"/>
      <c r="G3493" s="733"/>
      <c r="H3493" s="736"/>
      <c r="I3493" s="746"/>
      <c r="J3493" s="747"/>
      <c r="K3493" s="748"/>
      <c r="L3493" s="746"/>
      <c r="M3493" s="747"/>
      <c r="N3493" s="753"/>
    </row>
    <row r="3494" spans="2:14" ht="15" customHeight="1" x14ac:dyDescent="0.25">
      <c r="B3494" s="121" t="s">
        <v>400</v>
      </c>
      <c r="C3494" s="122" t="s">
        <v>401</v>
      </c>
      <c r="D3494" s="123" t="s">
        <v>402</v>
      </c>
      <c r="E3494" s="123" t="s">
        <v>403</v>
      </c>
      <c r="F3494" s="123" t="s">
        <v>404</v>
      </c>
      <c r="G3494" s="123" t="s">
        <v>405</v>
      </c>
      <c r="H3494" s="123" t="s">
        <v>406</v>
      </c>
      <c r="I3494" s="746"/>
      <c r="J3494" s="747"/>
      <c r="K3494" s="748"/>
      <c r="L3494" s="746"/>
      <c r="M3494" s="747"/>
      <c r="N3494" s="753"/>
    </row>
    <row r="3495" spans="2:14" ht="15" customHeight="1" x14ac:dyDescent="0.25">
      <c r="B3495" s="124"/>
      <c r="C3495" s="145"/>
      <c r="D3495" s="125">
        <v>24</v>
      </c>
      <c r="E3495" s="125"/>
      <c r="F3495" s="125"/>
      <c r="G3495" s="125"/>
      <c r="H3495" s="125">
        <f>D3495</f>
        <v>24</v>
      </c>
      <c r="I3495" s="746"/>
      <c r="J3495" s="747"/>
      <c r="K3495" s="748"/>
      <c r="L3495" s="746"/>
      <c r="M3495" s="747"/>
      <c r="N3495" s="753"/>
    </row>
    <row r="3496" spans="2:14" ht="15" customHeight="1" x14ac:dyDescent="0.25">
      <c r="B3496" s="124"/>
      <c r="C3496" s="145"/>
      <c r="D3496" s="125"/>
      <c r="E3496" s="125"/>
      <c r="F3496" s="125"/>
      <c r="G3496" s="125"/>
      <c r="H3496" s="125"/>
      <c r="I3496" s="746"/>
      <c r="J3496" s="747"/>
      <c r="K3496" s="748"/>
      <c r="L3496" s="746"/>
      <c r="M3496" s="747"/>
      <c r="N3496" s="753"/>
    </row>
    <row r="3497" spans="2:14" ht="15" customHeight="1" x14ac:dyDescent="0.25">
      <c r="B3497" s="165"/>
      <c r="C3497" s="145"/>
      <c r="D3497" s="125"/>
      <c r="E3497" s="125"/>
      <c r="F3497" s="125"/>
      <c r="G3497" s="125"/>
      <c r="H3497" s="125"/>
      <c r="I3497" s="746"/>
      <c r="J3497" s="747"/>
      <c r="K3497" s="748"/>
      <c r="L3497" s="746"/>
      <c r="M3497" s="747"/>
      <c r="N3497" s="753"/>
    </row>
    <row r="3498" spans="2:14" ht="15" customHeight="1" x14ac:dyDescent="0.25">
      <c r="B3498" s="165"/>
      <c r="C3498" s="145"/>
      <c r="D3498" s="125"/>
      <c r="E3498" s="125"/>
      <c r="F3498" s="125"/>
      <c r="G3498" s="125"/>
      <c r="H3498" s="125"/>
      <c r="I3498" s="746"/>
      <c r="J3498" s="747"/>
      <c r="K3498" s="748"/>
      <c r="L3498" s="746"/>
      <c r="M3498" s="747"/>
      <c r="N3498" s="753"/>
    </row>
    <row r="3499" spans="2:14" ht="15" customHeight="1" x14ac:dyDescent="0.25">
      <c r="B3499" s="165"/>
      <c r="C3499" s="145"/>
      <c r="D3499" s="125"/>
      <c r="E3499" s="125"/>
      <c r="F3499" s="125"/>
      <c r="G3499" s="125"/>
      <c r="H3499" s="125"/>
      <c r="I3499" s="746"/>
      <c r="J3499" s="747"/>
      <c r="K3499" s="748"/>
      <c r="L3499" s="746"/>
      <c r="M3499" s="747"/>
      <c r="N3499" s="753"/>
    </row>
    <row r="3500" spans="2:14" ht="15" customHeight="1" x14ac:dyDescent="0.25">
      <c r="B3500" s="165"/>
      <c r="C3500" s="145"/>
      <c r="D3500" s="125"/>
      <c r="E3500" s="125"/>
      <c r="F3500" s="125"/>
      <c r="G3500" s="125"/>
      <c r="H3500" s="125"/>
      <c r="I3500" s="746"/>
      <c r="J3500" s="747"/>
      <c r="K3500" s="748"/>
      <c r="L3500" s="746"/>
      <c r="M3500" s="747"/>
      <c r="N3500" s="753"/>
    </row>
    <row r="3501" spans="2:14" ht="15" customHeight="1" x14ac:dyDescent="0.25">
      <c r="B3501" s="165"/>
      <c r="C3501" s="145"/>
      <c r="D3501" s="125"/>
      <c r="E3501" s="125"/>
      <c r="F3501" s="125"/>
      <c r="G3501" s="125"/>
      <c r="H3501" s="125"/>
      <c r="I3501" s="746"/>
      <c r="J3501" s="747"/>
      <c r="K3501" s="748"/>
      <c r="L3501" s="746"/>
      <c r="M3501" s="747"/>
      <c r="N3501" s="753"/>
    </row>
    <row r="3502" spans="2:14" ht="15" customHeight="1" x14ac:dyDescent="0.25">
      <c r="B3502" s="124"/>
      <c r="C3502" s="145"/>
      <c r="D3502" s="125"/>
      <c r="E3502" s="125"/>
      <c r="F3502" s="125"/>
      <c r="G3502" s="125"/>
      <c r="H3502" s="125"/>
      <c r="I3502" s="746"/>
      <c r="J3502" s="747"/>
      <c r="K3502" s="748"/>
      <c r="L3502" s="746"/>
      <c r="M3502" s="747"/>
      <c r="N3502" s="753"/>
    </row>
    <row r="3503" spans="2:14" ht="15" customHeight="1" x14ac:dyDescent="0.25">
      <c r="B3503" s="124"/>
      <c r="C3503" s="125"/>
      <c r="D3503" s="125"/>
      <c r="E3503" s="125"/>
      <c r="F3503" s="125"/>
      <c r="G3503" s="125"/>
      <c r="H3503" s="125"/>
      <c r="I3503" s="746"/>
      <c r="J3503" s="747"/>
      <c r="K3503" s="748"/>
      <c r="L3503" s="746"/>
      <c r="M3503" s="747"/>
      <c r="N3503" s="753"/>
    </row>
    <row r="3504" spans="2:14" ht="15" customHeight="1" x14ac:dyDescent="0.25">
      <c r="B3504" s="127"/>
      <c r="C3504" s="125"/>
      <c r="D3504" s="125"/>
      <c r="E3504" s="125"/>
      <c r="F3504" s="125"/>
      <c r="G3504" s="125"/>
      <c r="H3504" s="125"/>
      <c r="I3504" s="749"/>
      <c r="J3504" s="750"/>
      <c r="K3504" s="751"/>
      <c r="L3504" s="749"/>
      <c r="M3504" s="750"/>
      <c r="N3504" s="754"/>
    </row>
    <row r="3505" spans="2:14" ht="15" customHeight="1" x14ac:dyDescent="0.25">
      <c r="B3505" s="225"/>
      <c r="C3505" s="128"/>
      <c r="D3505" s="128"/>
      <c r="E3505" s="128"/>
      <c r="F3505" s="128"/>
      <c r="G3505" s="128"/>
      <c r="H3505" s="128"/>
      <c r="I3505" s="128"/>
      <c r="J3505" s="128"/>
      <c r="K3505" s="128"/>
      <c r="L3505" s="118"/>
      <c r="M3505" s="118"/>
      <c r="N3505" s="210"/>
    </row>
    <row r="3506" spans="2:14" ht="15" customHeight="1" x14ac:dyDescent="0.25">
      <c r="B3506" s="209"/>
      <c r="C3506" s="118"/>
      <c r="D3506" s="118"/>
      <c r="E3506" s="118"/>
      <c r="F3506" s="118"/>
      <c r="G3506" s="118"/>
      <c r="H3506" s="118"/>
      <c r="I3506" s="118"/>
      <c r="J3506" s="118"/>
      <c r="K3506" s="118"/>
      <c r="L3506" s="118"/>
      <c r="M3506" s="118"/>
      <c r="N3506" s="210"/>
    </row>
    <row r="3507" spans="2:14" ht="15" customHeight="1" x14ac:dyDescent="0.25">
      <c r="B3507" s="209"/>
      <c r="C3507" s="118"/>
      <c r="D3507" s="118"/>
      <c r="E3507" s="118"/>
      <c r="F3507" s="118"/>
      <c r="G3507" s="118"/>
      <c r="H3507" s="118"/>
      <c r="I3507" s="118"/>
      <c r="J3507" s="118"/>
      <c r="K3507" s="118"/>
      <c r="L3507" s="118"/>
      <c r="M3507" s="118"/>
      <c r="N3507" s="210"/>
    </row>
    <row r="3508" spans="2:14" ht="15" customHeight="1" thickBot="1" x14ac:dyDescent="0.3">
      <c r="B3508" s="725" t="s">
        <v>414</v>
      </c>
      <c r="C3508" s="726"/>
      <c r="D3508" s="726"/>
      <c r="E3508" s="147"/>
      <c r="F3508" s="147"/>
      <c r="G3508" s="147"/>
      <c r="H3508" s="147"/>
      <c r="I3508" s="727"/>
      <c r="J3508" s="726"/>
      <c r="K3508" s="726"/>
      <c r="L3508" s="130"/>
      <c r="M3508" s="130"/>
      <c r="N3508" s="131"/>
    </row>
    <row r="3509" spans="2:14" ht="15" customHeight="1" thickBot="1" x14ac:dyDescent="0.3"/>
    <row r="3510" spans="2:14" ht="34.9" customHeight="1" x14ac:dyDescent="0.25">
      <c r="B3510" s="728"/>
      <c r="C3510" s="729"/>
      <c r="D3510" s="730" t="s">
        <v>393</v>
      </c>
      <c r="E3510" s="729"/>
      <c r="F3510" s="729"/>
      <c r="G3510" s="729"/>
      <c r="H3510" s="729"/>
      <c r="I3510" s="729"/>
      <c r="J3510" s="729"/>
      <c r="K3510" s="729"/>
      <c r="L3510" s="729"/>
      <c r="M3510" s="729"/>
      <c r="N3510" s="731"/>
    </row>
    <row r="3511" spans="2:14" ht="15" customHeight="1" x14ac:dyDescent="0.25">
      <c r="B3511" s="732" t="s">
        <v>394</v>
      </c>
      <c r="C3511" s="733"/>
      <c r="D3511" s="733"/>
      <c r="E3511" s="733"/>
      <c r="F3511" s="733"/>
      <c r="G3511" s="733"/>
      <c r="H3511" s="733"/>
      <c r="I3511" s="733"/>
      <c r="J3511" s="733"/>
      <c r="K3511" s="733"/>
      <c r="L3511" s="733"/>
      <c r="M3511" s="733"/>
      <c r="N3511" s="734"/>
    </row>
    <row r="3512" spans="2:14" ht="25.9" customHeight="1" x14ac:dyDescent="0.25">
      <c r="B3512" s="735" t="s">
        <v>395</v>
      </c>
      <c r="C3512" s="736"/>
      <c r="D3512" s="737" t="str">
        <f>VLOOKUP(B3514,Buenaventura!A53:G4759,3,FALSE)</f>
        <v>Suministro e instalación de sistema de impermeabilización mediante membrana de PVC, incluye perfiles de fijación (perlines), elementos de anclaje, sellado de juntas y todos los accesorios necesarios para garantizar la impermeabilidad, durabilidad y correcto funcionamiento del sistema.</v>
      </c>
      <c r="E3512" s="738"/>
      <c r="F3512" s="738"/>
      <c r="G3512" s="738"/>
      <c r="H3512" s="738"/>
      <c r="I3512" s="738"/>
      <c r="J3512" s="738"/>
      <c r="K3512" s="738"/>
      <c r="L3512" s="738"/>
      <c r="M3512" s="738"/>
      <c r="N3512" s="739"/>
    </row>
    <row r="3513" spans="2:14" ht="25.9" customHeight="1" x14ac:dyDescent="0.25">
      <c r="B3513" s="740" t="s">
        <v>26</v>
      </c>
      <c r="C3513" s="741"/>
      <c r="D3513" s="119" t="s">
        <v>396</v>
      </c>
      <c r="E3513" s="742" t="s">
        <v>397</v>
      </c>
      <c r="F3513" s="733"/>
      <c r="G3513" s="733"/>
      <c r="H3513" s="736"/>
      <c r="I3513" s="742" t="s">
        <v>398</v>
      </c>
      <c r="J3513" s="733"/>
      <c r="K3513" s="736"/>
      <c r="L3513" s="742" t="s">
        <v>399</v>
      </c>
      <c r="M3513" s="733"/>
      <c r="N3513" s="734"/>
    </row>
    <row r="3514" spans="2:14" ht="15" customHeight="1" x14ac:dyDescent="0.25">
      <c r="B3514" s="283">
        <v>74</v>
      </c>
      <c r="C3514" s="284" t="str">
        <f>VLOOKUP(B3514,Buenaventura!A9:G4772,2,FALSE)</f>
        <v>RI-08</v>
      </c>
      <c r="D3514" s="285">
        <f>SUM(H3517:H3520)</f>
        <v>61.6</v>
      </c>
      <c r="E3514" s="743" t="str">
        <f>VLOOKUP(B3514,Buenaventura!A9:G4771,4,FALSE)</f>
        <v>M2</v>
      </c>
      <c r="F3514" s="743"/>
      <c r="G3514" s="743"/>
      <c r="H3514" s="743"/>
      <c r="I3514" s="744"/>
      <c r="J3514" s="745"/>
      <c r="K3514" s="741"/>
      <c r="L3514" s="744"/>
      <c r="M3514" s="745"/>
      <c r="N3514" s="752"/>
    </row>
    <row r="3515" spans="2:14" ht="15" customHeight="1" x14ac:dyDescent="0.25">
      <c r="B3515" s="755" t="s">
        <v>416</v>
      </c>
      <c r="C3515" s="733"/>
      <c r="D3515" s="733"/>
      <c r="E3515" s="733"/>
      <c r="F3515" s="733"/>
      <c r="G3515" s="733"/>
      <c r="H3515" s="736"/>
      <c r="I3515" s="746"/>
      <c r="J3515" s="747"/>
      <c r="K3515" s="748"/>
      <c r="L3515" s="746"/>
      <c r="M3515" s="747"/>
      <c r="N3515" s="753"/>
    </row>
    <row r="3516" spans="2:14" ht="15" customHeight="1" x14ac:dyDescent="0.25">
      <c r="B3516" s="121" t="s">
        <v>400</v>
      </c>
      <c r="C3516" s="122" t="s">
        <v>401</v>
      </c>
      <c r="D3516" s="123" t="s">
        <v>402</v>
      </c>
      <c r="E3516" s="123" t="s">
        <v>403</v>
      </c>
      <c r="F3516" s="123" t="s">
        <v>404</v>
      </c>
      <c r="G3516" s="123" t="s">
        <v>405</v>
      </c>
      <c r="H3516" s="123" t="s">
        <v>406</v>
      </c>
      <c r="I3516" s="746"/>
      <c r="J3516" s="747"/>
      <c r="K3516" s="748"/>
      <c r="L3516" s="746"/>
      <c r="M3516" s="747"/>
      <c r="N3516" s="753"/>
    </row>
    <row r="3517" spans="2:14" ht="15" customHeight="1" x14ac:dyDescent="0.25">
      <c r="B3517" s="124"/>
      <c r="C3517" s="145" t="s">
        <v>596</v>
      </c>
      <c r="D3517" s="125">
        <v>1</v>
      </c>
      <c r="E3517" s="125"/>
      <c r="F3517" s="125">
        <v>24</v>
      </c>
      <c r="G3517" s="125"/>
      <c r="H3517" s="125">
        <f>D3517*F3517</f>
        <v>24</v>
      </c>
      <c r="I3517" s="746"/>
      <c r="J3517" s="747"/>
      <c r="K3517" s="748"/>
      <c r="L3517" s="746"/>
      <c r="M3517" s="747"/>
      <c r="N3517" s="753"/>
    </row>
    <row r="3518" spans="2:14" ht="15" customHeight="1" x14ac:dyDescent="0.25">
      <c r="B3518" s="124"/>
      <c r="C3518" s="145" t="s">
        <v>597</v>
      </c>
      <c r="D3518" s="125">
        <v>4</v>
      </c>
      <c r="E3518" s="125"/>
      <c r="F3518" s="125">
        <v>9</v>
      </c>
      <c r="G3518" s="125"/>
      <c r="H3518" s="125">
        <f t="shared" ref="H3518:H3519" si="70">D3518*F3518</f>
        <v>36</v>
      </c>
      <c r="I3518" s="746"/>
      <c r="J3518" s="747"/>
      <c r="K3518" s="748"/>
      <c r="L3518" s="746"/>
      <c r="M3518" s="747"/>
      <c r="N3518" s="753"/>
    </row>
    <row r="3519" spans="2:14" ht="15" customHeight="1" x14ac:dyDescent="0.25">
      <c r="B3519" s="165"/>
      <c r="C3519" s="145"/>
      <c r="D3519" s="125">
        <v>4</v>
      </c>
      <c r="E3519" s="125"/>
      <c r="F3519" s="125">
        <v>0.4</v>
      </c>
      <c r="G3519" s="125"/>
      <c r="H3519" s="125">
        <f t="shared" si="70"/>
        <v>1.6</v>
      </c>
      <c r="I3519" s="746"/>
      <c r="J3519" s="747"/>
      <c r="K3519" s="748"/>
      <c r="L3519" s="746"/>
      <c r="M3519" s="747"/>
      <c r="N3519" s="753"/>
    </row>
    <row r="3520" spans="2:14" ht="15" customHeight="1" x14ac:dyDescent="0.25">
      <c r="B3520" s="165"/>
      <c r="C3520" s="145"/>
      <c r="D3520" s="125"/>
      <c r="E3520" s="125"/>
      <c r="F3520" s="125"/>
      <c r="G3520" s="125"/>
      <c r="H3520" s="125"/>
      <c r="I3520" s="746"/>
      <c r="J3520" s="747"/>
      <c r="K3520" s="748"/>
      <c r="L3520" s="746"/>
      <c r="M3520" s="747"/>
      <c r="N3520" s="753"/>
    </row>
    <row r="3521" spans="2:14" ht="15" customHeight="1" x14ac:dyDescent="0.25">
      <c r="B3521" s="165"/>
      <c r="C3521" s="145"/>
      <c r="D3521" s="125"/>
      <c r="E3521" s="125"/>
      <c r="F3521" s="125"/>
      <c r="G3521" s="125"/>
      <c r="H3521" s="125"/>
      <c r="I3521" s="746"/>
      <c r="J3521" s="747"/>
      <c r="K3521" s="748"/>
      <c r="L3521" s="746"/>
      <c r="M3521" s="747"/>
      <c r="N3521" s="753"/>
    </row>
    <row r="3522" spans="2:14" ht="15" customHeight="1" x14ac:dyDescent="0.25">
      <c r="B3522" s="165"/>
      <c r="C3522" s="145"/>
      <c r="D3522" s="125"/>
      <c r="E3522" s="125"/>
      <c r="F3522" s="125"/>
      <c r="G3522" s="125"/>
      <c r="H3522" s="125"/>
      <c r="I3522" s="746"/>
      <c r="J3522" s="747"/>
      <c r="K3522" s="748"/>
      <c r="L3522" s="746"/>
      <c r="M3522" s="747"/>
      <c r="N3522" s="753"/>
    </row>
    <row r="3523" spans="2:14" ht="15" customHeight="1" x14ac:dyDescent="0.25">
      <c r="B3523" s="165"/>
      <c r="C3523" s="145"/>
      <c r="D3523" s="125"/>
      <c r="E3523" s="125"/>
      <c r="F3523" s="125"/>
      <c r="G3523" s="125"/>
      <c r="H3523" s="125"/>
      <c r="I3523" s="746"/>
      <c r="J3523" s="747"/>
      <c r="K3523" s="748"/>
      <c r="L3523" s="746"/>
      <c r="M3523" s="747"/>
      <c r="N3523" s="753"/>
    </row>
    <row r="3524" spans="2:14" ht="15" customHeight="1" x14ac:dyDescent="0.25">
      <c r="B3524" s="124"/>
      <c r="C3524" s="145"/>
      <c r="D3524" s="125"/>
      <c r="E3524" s="125"/>
      <c r="F3524" s="125"/>
      <c r="G3524" s="125"/>
      <c r="H3524" s="125"/>
      <c r="I3524" s="746"/>
      <c r="J3524" s="747"/>
      <c r="K3524" s="748"/>
      <c r="L3524" s="746"/>
      <c r="M3524" s="747"/>
      <c r="N3524" s="753"/>
    </row>
    <row r="3525" spans="2:14" ht="15" customHeight="1" x14ac:dyDescent="0.25">
      <c r="B3525" s="124"/>
      <c r="C3525" s="125"/>
      <c r="D3525" s="125"/>
      <c r="E3525" s="125"/>
      <c r="F3525" s="125"/>
      <c r="G3525" s="125"/>
      <c r="H3525" s="125"/>
      <c r="I3525" s="746"/>
      <c r="J3525" s="747"/>
      <c r="K3525" s="748"/>
      <c r="L3525" s="746"/>
      <c r="M3525" s="747"/>
      <c r="N3525" s="753"/>
    </row>
    <row r="3526" spans="2:14" ht="15" customHeight="1" x14ac:dyDescent="0.25">
      <c r="B3526" s="127"/>
      <c r="C3526" s="125"/>
      <c r="D3526" s="125"/>
      <c r="E3526" s="125"/>
      <c r="F3526" s="125"/>
      <c r="G3526" s="125"/>
      <c r="H3526" s="125"/>
      <c r="I3526" s="749"/>
      <c r="J3526" s="750"/>
      <c r="K3526" s="751"/>
      <c r="L3526" s="749"/>
      <c r="M3526" s="750"/>
      <c r="N3526" s="754"/>
    </row>
    <row r="3527" spans="2:14" ht="15" customHeight="1" x14ac:dyDescent="0.25">
      <c r="B3527" s="225"/>
      <c r="C3527" s="128"/>
      <c r="D3527" s="128"/>
      <c r="E3527" s="128"/>
      <c r="F3527" s="128"/>
      <c r="G3527" s="128"/>
      <c r="H3527" s="128"/>
      <c r="I3527" s="128"/>
      <c r="J3527" s="128"/>
      <c r="K3527" s="128"/>
      <c r="L3527" s="118"/>
      <c r="M3527" s="118"/>
      <c r="N3527" s="210"/>
    </row>
    <row r="3528" spans="2:14" ht="15" customHeight="1" x14ac:dyDescent="0.25">
      <c r="B3528" s="209"/>
      <c r="C3528" s="118"/>
      <c r="D3528" s="118"/>
      <c r="E3528" s="118"/>
      <c r="F3528" s="118"/>
      <c r="G3528" s="118"/>
      <c r="H3528" s="118"/>
      <c r="I3528" s="118"/>
      <c r="J3528" s="118"/>
      <c r="K3528" s="118"/>
      <c r="L3528" s="118"/>
      <c r="M3528" s="118"/>
      <c r="N3528" s="210"/>
    </row>
    <row r="3529" spans="2:14" ht="15" customHeight="1" x14ac:dyDescent="0.25">
      <c r="B3529" s="209"/>
      <c r="C3529" s="118"/>
      <c r="D3529" s="118"/>
      <c r="E3529" s="118"/>
      <c r="F3529" s="118"/>
      <c r="G3529" s="118"/>
      <c r="H3529" s="118"/>
      <c r="I3529" s="118"/>
      <c r="J3529" s="118"/>
      <c r="K3529" s="118"/>
      <c r="L3529" s="118"/>
      <c r="M3529" s="118"/>
      <c r="N3529" s="210"/>
    </row>
    <row r="3530" spans="2:14" ht="15" customHeight="1" thickBot="1" x14ac:dyDescent="0.3">
      <c r="B3530" s="725" t="s">
        <v>414</v>
      </c>
      <c r="C3530" s="726"/>
      <c r="D3530" s="726"/>
      <c r="E3530" s="147"/>
      <c r="F3530" s="147"/>
      <c r="G3530" s="147"/>
      <c r="H3530" s="147"/>
      <c r="I3530" s="727"/>
      <c r="J3530" s="726"/>
      <c r="K3530" s="726"/>
      <c r="L3530" s="130"/>
      <c r="M3530" s="130"/>
      <c r="N3530" s="131"/>
    </row>
    <row r="3531" spans="2:14" ht="15" customHeight="1" thickBot="1" x14ac:dyDescent="0.3"/>
    <row r="3532" spans="2:14" ht="40.9" customHeight="1" x14ac:dyDescent="0.25">
      <c r="B3532" s="728"/>
      <c r="C3532" s="729"/>
      <c r="D3532" s="730" t="s">
        <v>393</v>
      </c>
      <c r="E3532" s="729"/>
      <c r="F3532" s="729"/>
      <c r="G3532" s="729"/>
      <c r="H3532" s="729"/>
      <c r="I3532" s="729"/>
      <c r="J3532" s="729"/>
      <c r="K3532" s="729"/>
      <c r="L3532" s="729"/>
      <c r="M3532" s="729"/>
      <c r="N3532" s="731"/>
    </row>
    <row r="3533" spans="2:14" ht="15" customHeight="1" x14ac:dyDescent="0.25">
      <c r="B3533" s="732" t="s">
        <v>394</v>
      </c>
      <c r="C3533" s="733"/>
      <c r="D3533" s="733"/>
      <c r="E3533" s="733"/>
      <c r="F3533" s="733"/>
      <c r="G3533" s="733"/>
      <c r="H3533" s="733"/>
      <c r="I3533" s="733"/>
      <c r="J3533" s="733"/>
      <c r="K3533" s="733"/>
      <c r="L3533" s="733"/>
      <c r="M3533" s="733"/>
      <c r="N3533" s="734"/>
    </row>
    <row r="3534" spans="2:14" ht="27.6" customHeight="1" x14ac:dyDescent="0.25">
      <c r="B3534" s="735" t="s">
        <v>395</v>
      </c>
      <c r="C3534" s="736"/>
      <c r="D3534" s="737" t="str">
        <f>VLOOKUP(B3536,Buenaventura!A73:G4781,3,FALSE)</f>
        <v>Suministro e instalación de Solapa en lamina galvanizada Cal 24, incluye sellador sobre muro</v>
      </c>
      <c r="E3534" s="738"/>
      <c r="F3534" s="738"/>
      <c r="G3534" s="738"/>
      <c r="H3534" s="738"/>
      <c r="I3534" s="738"/>
      <c r="J3534" s="738"/>
      <c r="K3534" s="738"/>
      <c r="L3534" s="738"/>
      <c r="M3534" s="738"/>
      <c r="N3534" s="739"/>
    </row>
    <row r="3535" spans="2:14" ht="28.15" customHeight="1" x14ac:dyDescent="0.25">
      <c r="B3535" s="740" t="s">
        <v>26</v>
      </c>
      <c r="C3535" s="741"/>
      <c r="D3535" s="119" t="s">
        <v>396</v>
      </c>
      <c r="E3535" s="742" t="s">
        <v>397</v>
      </c>
      <c r="F3535" s="733"/>
      <c r="G3535" s="733"/>
      <c r="H3535" s="736"/>
      <c r="I3535" s="742" t="s">
        <v>398</v>
      </c>
      <c r="J3535" s="733"/>
      <c r="K3535" s="736"/>
      <c r="L3535" s="742" t="s">
        <v>399</v>
      </c>
      <c r="M3535" s="733"/>
      <c r="N3535" s="734"/>
    </row>
    <row r="3536" spans="2:14" ht="15" customHeight="1" x14ac:dyDescent="0.25">
      <c r="B3536" s="283">
        <v>75</v>
      </c>
      <c r="C3536" s="284" t="str">
        <f>VLOOKUP(B3536,Buenaventura!A9:G4794,2,FALSE)</f>
        <v>CC-25</v>
      </c>
      <c r="D3536" s="285">
        <f>SUM(H3539:H3542)</f>
        <v>0.12</v>
      </c>
      <c r="E3536" s="743" t="str">
        <f>VLOOKUP(B3536,Buenaventura!A9:G4793,4,FALSE)</f>
        <v>ML</v>
      </c>
      <c r="F3536" s="743"/>
      <c r="G3536" s="743"/>
      <c r="H3536" s="743"/>
      <c r="I3536" s="744"/>
      <c r="J3536" s="745"/>
      <c r="K3536" s="741"/>
      <c r="L3536" s="744"/>
      <c r="M3536" s="745"/>
      <c r="N3536" s="752"/>
    </row>
    <row r="3537" spans="2:14" ht="15" customHeight="1" x14ac:dyDescent="0.25">
      <c r="B3537" s="755" t="s">
        <v>416</v>
      </c>
      <c r="C3537" s="733"/>
      <c r="D3537" s="733"/>
      <c r="E3537" s="733"/>
      <c r="F3537" s="733"/>
      <c r="G3537" s="733"/>
      <c r="H3537" s="736"/>
      <c r="I3537" s="746"/>
      <c r="J3537" s="747"/>
      <c r="K3537" s="748"/>
      <c r="L3537" s="746"/>
      <c r="M3537" s="747"/>
      <c r="N3537" s="753"/>
    </row>
    <row r="3538" spans="2:14" ht="15" customHeight="1" x14ac:dyDescent="0.25">
      <c r="B3538" s="121" t="s">
        <v>400</v>
      </c>
      <c r="C3538" s="122" t="s">
        <v>401</v>
      </c>
      <c r="D3538" s="123" t="s">
        <v>402</v>
      </c>
      <c r="E3538" s="123" t="s">
        <v>403</v>
      </c>
      <c r="F3538" s="123" t="s">
        <v>404</v>
      </c>
      <c r="G3538" s="123" t="s">
        <v>405</v>
      </c>
      <c r="H3538" s="123" t="s">
        <v>406</v>
      </c>
      <c r="I3538" s="746"/>
      <c r="J3538" s="747"/>
      <c r="K3538" s="748"/>
      <c r="L3538" s="746"/>
      <c r="M3538" s="747"/>
      <c r="N3538" s="753"/>
    </row>
    <row r="3539" spans="2:14" ht="15" customHeight="1" x14ac:dyDescent="0.25">
      <c r="B3539" s="124"/>
      <c r="C3539" s="145"/>
      <c r="D3539" s="125">
        <v>2</v>
      </c>
      <c r="E3539" s="125">
        <v>0.4</v>
      </c>
      <c r="F3539" s="125">
        <v>1</v>
      </c>
      <c r="G3539" s="125">
        <v>0.15</v>
      </c>
      <c r="H3539" s="125">
        <f>D3539*E3539*F3539*G3539</f>
        <v>0.12</v>
      </c>
      <c r="I3539" s="746"/>
      <c r="J3539" s="747"/>
      <c r="K3539" s="748"/>
      <c r="L3539" s="746"/>
      <c r="M3539" s="747"/>
      <c r="N3539" s="753"/>
    </row>
    <row r="3540" spans="2:14" ht="15" customHeight="1" x14ac:dyDescent="0.25">
      <c r="B3540" s="124"/>
      <c r="C3540" s="145"/>
      <c r="D3540" s="125"/>
      <c r="E3540" s="125"/>
      <c r="F3540" s="125"/>
      <c r="G3540" s="125"/>
      <c r="H3540" s="125"/>
      <c r="I3540" s="746"/>
      <c r="J3540" s="747"/>
      <c r="K3540" s="748"/>
      <c r="L3540" s="746"/>
      <c r="M3540" s="747"/>
      <c r="N3540" s="753"/>
    </row>
    <row r="3541" spans="2:14" ht="15" customHeight="1" x14ac:dyDescent="0.25">
      <c r="B3541" s="165"/>
      <c r="C3541" s="145"/>
      <c r="D3541" s="125"/>
      <c r="E3541" s="125"/>
      <c r="F3541" s="125"/>
      <c r="G3541" s="125"/>
      <c r="H3541" s="125"/>
      <c r="I3541" s="746"/>
      <c r="J3541" s="747"/>
      <c r="K3541" s="748"/>
      <c r="L3541" s="746"/>
      <c r="M3541" s="747"/>
      <c r="N3541" s="753"/>
    </row>
    <row r="3542" spans="2:14" ht="15" customHeight="1" x14ac:dyDescent="0.25">
      <c r="B3542" s="165"/>
      <c r="C3542" s="145"/>
      <c r="D3542" s="125"/>
      <c r="E3542" s="125"/>
      <c r="F3542" s="125"/>
      <c r="G3542" s="125"/>
      <c r="H3542" s="125"/>
      <c r="I3542" s="746"/>
      <c r="J3542" s="747"/>
      <c r="K3542" s="748"/>
      <c r="L3542" s="746"/>
      <c r="M3542" s="747"/>
      <c r="N3542" s="753"/>
    </row>
    <row r="3543" spans="2:14" ht="15" customHeight="1" x14ac:dyDescent="0.25">
      <c r="B3543" s="165"/>
      <c r="C3543" s="145"/>
      <c r="D3543" s="125"/>
      <c r="E3543" s="125"/>
      <c r="F3543" s="125"/>
      <c r="G3543" s="125"/>
      <c r="H3543" s="125"/>
      <c r="I3543" s="746"/>
      <c r="J3543" s="747"/>
      <c r="K3543" s="748"/>
      <c r="L3543" s="746"/>
      <c r="M3543" s="747"/>
      <c r="N3543" s="753"/>
    </row>
    <row r="3544" spans="2:14" ht="15" customHeight="1" x14ac:dyDescent="0.25">
      <c r="B3544" s="165"/>
      <c r="C3544" s="145"/>
      <c r="D3544" s="125"/>
      <c r="E3544" s="125"/>
      <c r="F3544" s="125"/>
      <c r="G3544" s="125"/>
      <c r="H3544" s="125"/>
      <c r="I3544" s="746"/>
      <c r="J3544" s="747"/>
      <c r="K3544" s="748"/>
      <c r="L3544" s="746"/>
      <c r="M3544" s="747"/>
      <c r="N3544" s="753"/>
    </row>
    <row r="3545" spans="2:14" ht="15" customHeight="1" x14ac:dyDescent="0.25">
      <c r="B3545" s="165"/>
      <c r="C3545" s="145"/>
      <c r="D3545" s="125"/>
      <c r="E3545" s="125"/>
      <c r="F3545" s="125"/>
      <c r="G3545" s="125"/>
      <c r="H3545" s="125"/>
      <c r="I3545" s="746"/>
      <c r="J3545" s="747"/>
      <c r="K3545" s="748"/>
      <c r="L3545" s="746"/>
      <c r="M3545" s="747"/>
      <c r="N3545" s="753"/>
    </row>
    <row r="3546" spans="2:14" ht="15" customHeight="1" x14ac:dyDescent="0.25">
      <c r="B3546" s="124"/>
      <c r="C3546" s="145"/>
      <c r="D3546" s="125"/>
      <c r="E3546" s="125"/>
      <c r="F3546" s="125"/>
      <c r="G3546" s="125"/>
      <c r="H3546" s="125"/>
      <c r="I3546" s="746"/>
      <c r="J3546" s="747"/>
      <c r="K3546" s="748"/>
      <c r="L3546" s="746"/>
      <c r="M3546" s="747"/>
      <c r="N3546" s="753"/>
    </row>
    <row r="3547" spans="2:14" ht="15" customHeight="1" x14ac:dyDescent="0.25">
      <c r="B3547" s="124"/>
      <c r="C3547" s="125"/>
      <c r="D3547" s="125"/>
      <c r="E3547" s="125"/>
      <c r="F3547" s="125"/>
      <c r="G3547" s="125"/>
      <c r="H3547" s="125"/>
      <c r="I3547" s="746"/>
      <c r="J3547" s="747"/>
      <c r="K3547" s="748"/>
      <c r="L3547" s="746"/>
      <c r="M3547" s="747"/>
      <c r="N3547" s="753"/>
    </row>
    <row r="3548" spans="2:14" ht="15" customHeight="1" x14ac:dyDescent="0.25">
      <c r="B3548" s="127"/>
      <c r="C3548" s="125"/>
      <c r="D3548" s="125"/>
      <c r="E3548" s="125"/>
      <c r="F3548" s="125"/>
      <c r="G3548" s="125"/>
      <c r="H3548" s="125"/>
      <c r="I3548" s="749"/>
      <c r="J3548" s="750"/>
      <c r="K3548" s="751"/>
      <c r="L3548" s="749"/>
      <c r="M3548" s="750"/>
      <c r="N3548" s="754"/>
    </row>
    <row r="3549" spans="2:14" ht="15" customHeight="1" x14ac:dyDescent="0.25">
      <c r="B3549" s="225"/>
      <c r="C3549" s="128"/>
      <c r="D3549" s="128"/>
      <c r="E3549" s="128"/>
      <c r="F3549" s="128"/>
      <c r="G3549" s="128"/>
      <c r="H3549" s="128"/>
      <c r="I3549" s="128"/>
      <c r="J3549" s="128"/>
      <c r="K3549" s="128"/>
      <c r="L3549" s="118"/>
      <c r="M3549" s="118"/>
      <c r="N3549" s="210"/>
    </row>
    <row r="3550" spans="2:14" ht="15" customHeight="1" x14ac:dyDescent="0.25">
      <c r="B3550" s="209"/>
      <c r="C3550" s="118"/>
      <c r="D3550" s="118"/>
      <c r="E3550" s="118"/>
      <c r="F3550" s="118"/>
      <c r="G3550" s="118"/>
      <c r="H3550" s="118"/>
      <c r="I3550" s="118"/>
      <c r="J3550" s="118"/>
      <c r="K3550" s="118"/>
      <c r="L3550" s="118"/>
      <c r="M3550" s="118"/>
      <c r="N3550" s="210"/>
    </row>
    <row r="3551" spans="2:14" ht="15" customHeight="1" x14ac:dyDescent="0.25">
      <c r="B3551" s="209"/>
      <c r="C3551" s="118"/>
      <c r="D3551" s="118"/>
      <c r="E3551" s="118"/>
      <c r="F3551" s="118"/>
      <c r="G3551" s="118"/>
      <c r="H3551" s="118"/>
      <c r="I3551" s="118"/>
      <c r="J3551" s="118"/>
      <c r="K3551" s="118"/>
      <c r="L3551" s="118"/>
      <c r="M3551" s="118"/>
      <c r="N3551" s="210"/>
    </row>
    <row r="3552" spans="2:14" ht="15" customHeight="1" thickBot="1" x14ac:dyDescent="0.3">
      <c r="B3552" s="725" t="s">
        <v>414</v>
      </c>
      <c r="C3552" s="726"/>
      <c r="D3552" s="726"/>
      <c r="E3552" s="147"/>
      <c r="F3552" s="147"/>
      <c r="G3552" s="147"/>
      <c r="H3552" s="147"/>
      <c r="I3552" s="727"/>
      <c r="J3552" s="726"/>
      <c r="K3552" s="726"/>
      <c r="L3552" s="130"/>
      <c r="M3552" s="130"/>
      <c r="N3552" s="131"/>
    </row>
    <row r="3553" spans="2:14" ht="15" customHeight="1" thickBot="1" x14ac:dyDescent="0.3"/>
    <row r="3554" spans="2:14" ht="39" customHeight="1" x14ac:dyDescent="0.25">
      <c r="B3554" s="728"/>
      <c r="C3554" s="729"/>
      <c r="D3554" s="730" t="s">
        <v>393</v>
      </c>
      <c r="E3554" s="729"/>
      <c r="F3554" s="729"/>
      <c r="G3554" s="729"/>
      <c r="H3554" s="729"/>
      <c r="I3554" s="729"/>
      <c r="J3554" s="729"/>
      <c r="K3554" s="729"/>
      <c r="L3554" s="729"/>
      <c r="M3554" s="729"/>
      <c r="N3554" s="731"/>
    </row>
    <row r="3555" spans="2:14" ht="15" customHeight="1" x14ac:dyDescent="0.25">
      <c r="B3555" s="732" t="s">
        <v>394</v>
      </c>
      <c r="C3555" s="733"/>
      <c r="D3555" s="733"/>
      <c r="E3555" s="733"/>
      <c r="F3555" s="733"/>
      <c r="G3555" s="733"/>
      <c r="H3555" s="733"/>
      <c r="I3555" s="733"/>
      <c r="J3555" s="733"/>
      <c r="K3555" s="733"/>
      <c r="L3555" s="733"/>
      <c r="M3555" s="733"/>
      <c r="N3555" s="734"/>
    </row>
    <row r="3556" spans="2:14" ht="78.599999999999994" customHeight="1" x14ac:dyDescent="0.25">
      <c r="B3556" s="735" t="s">
        <v>395</v>
      </c>
      <c r="C3556" s="736"/>
      <c r="D3556" s="737" t="str">
        <f>VLOOKUP(B3558,Buenaventura!A82:G4803,3,FALSE)</f>
        <v>Corte de muro con pulidora</v>
      </c>
      <c r="E3556" s="738"/>
      <c r="F3556" s="738"/>
      <c r="G3556" s="738"/>
      <c r="H3556" s="738"/>
      <c r="I3556" s="738"/>
      <c r="J3556" s="738"/>
      <c r="K3556" s="738"/>
      <c r="L3556" s="738"/>
      <c r="M3556" s="738"/>
      <c r="N3556" s="739"/>
    </row>
    <row r="3557" spans="2:14" ht="27" customHeight="1" x14ac:dyDescent="0.25">
      <c r="B3557" s="740" t="s">
        <v>26</v>
      </c>
      <c r="C3557" s="741"/>
      <c r="D3557" s="119" t="s">
        <v>396</v>
      </c>
      <c r="E3557" s="742" t="s">
        <v>397</v>
      </c>
      <c r="F3557" s="733"/>
      <c r="G3557" s="733"/>
      <c r="H3557" s="736"/>
      <c r="I3557" s="742" t="s">
        <v>398</v>
      </c>
      <c r="J3557" s="733"/>
      <c r="K3557" s="736"/>
      <c r="L3557" s="742" t="s">
        <v>399</v>
      </c>
      <c r="M3557" s="733"/>
      <c r="N3557" s="734"/>
    </row>
    <row r="3558" spans="2:14" ht="15" customHeight="1" x14ac:dyDescent="0.25">
      <c r="B3558" s="283">
        <v>76</v>
      </c>
      <c r="C3558" s="284" t="str">
        <f>VLOOKUP(B3558,Buenaventura!A9:G4816,2,FALSE)</f>
        <v>PR-03</v>
      </c>
      <c r="D3558" s="285">
        <f>SUM(H3561:H3564)</f>
        <v>0.8</v>
      </c>
      <c r="E3558" s="743" t="str">
        <f>VLOOKUP(B3558,Buenaventura!A9:G4815,4,FALSE)</f>
        <v>ML</v>
      </c>
      <c r="F3558" s="743"/>
      <c r="G3558" s="743"/>
      <c r="H3558" s="743"/>
      <c r="I3558" s="744"/>
      <c r="J3558" s="745"/>
      <c r="K3558" s="741"/>
      <c r="L3558" s="744"/>
      <c r="M3558" s="745"/>
      <c r="N3558" s="752"/>
    </row>
    <row r="3559" spans="2:14" ht="15" customHeight="1" x14ac:dyDescent="0.25">
      <c r="B3559" s="755" t="s">
        <v>416</v>
      </c>
      <c r="C3559" s="733"/>
      <c r="D3559" s="733"/>
      <c r="E3559" s="733"/>
      <c r="F3559" s="733"/>
      <c r="G3559" s="733"/>
      <c r="H3559" s="736"/>
      <c r="I3559" s="746"/>
      <c r="J3559" s="747"/>
      <c r="K3559" s="748"/>
      <c r="L3559" s="746"/>
      <c r="M3559" s="747"/>
      <c r="N3559" s="753"/>
    </row>
    <row r="3560" spans="2:14" ht="15" customHeight="1" x14ac:dyDescent="0.25">
      <c r="B3560" s="121" t="s">
        <v>400</v>
      </c>
      <c r="C3560" s="122" t="s">
        <v>401</v>
      </c>
      <c r="D3560" s="123" t="s">
        <v>402</v>
      </c>
      <c r="E3560" s="123" t="s">
        <v>403</v>
      </c>
      <c r="F3560" s="123" t="s">
        <v>404</v>
      </c>
      <c r="G3560" s="123" t="s">
        <v>405</v>
      </c>
      <c r="H3560" s="123" t="s">
        <v>406</v>
      </c>
      <c r="I3560" s="746"/>
      <c r="J3560" s="747"/>
      <c r="K3560" s="748"/>
      <c r="L3560" s="746"/>
      <c r="M3560" s="747"/>
      <c r="N3560" s="753"/>
    </row>
    <row r="3561" spans="2:14" ht="15" customHeight="1" x14ac:dyDescent="0.25">
      <c r="B3561" s="124"/>
      <c r="C3561" s="145"/>
      <c r="D3561" s="125">
        <v>2</v>
      </c>
      <c r="E3561" s="125">
        <v>0.4</v>
      </c>
      <c r="F3561" s="125">
        <v>1</v>
      </c>
      <c r="G3561" s="125"/>
      <c r="H3561" s="125">
        <f>D3561*E3561*F3561</f>
        <v>0.8</v>
      </c>
      <c r="I3561" s="746"/>
      <c r="J3561" s="747"/>
      <c r="K3561" s="748"/>
      <c r="L3561" s="746"/>
      <c r="M3561" s="747"/>
      <c r="N3561" s="753"/>
    </row>
    <row r="3562" spans="2:14" ht="15" customHeight="1" x14ac:dyDescent="0.25">
      <c r="B3562" s="124"/>
      <c r="C3562" s="145"/>
      <c r="D3562" s="125"/>
      <c r="E3562" s="125"/>
      <c r="F3562" s="125"/>
      <c r="G3562" s="125"/>
      <c r="H3562" s="125"/>
      <c r="I3562" s="746"/>
      <c r="J3562" s="747"/>
      <c r="K3562" s="748"/>
      <c r="L3562" s="746"/>
      <c r="M3562" s="747"/>
      <c r="N3562" s="753"/>
    </row>
    <row r="3563" spans="2:14" ht="15" customHeight="1" x14ac:dyDescent="0.25">
      <c r="B3563" s="165"/>
      <c r="C3563" s="145"/>
      <c r="D3563" s="125"/>
      <c r="E3563" s="125"/>
      <c r="F3563" s="125"/>
      <c r="G3563" s="125"/>
      <c r="H3563" s="125"/>
      <c r="I3563" s="746"/>
      <c r="J3563" s="747"/>
      <c r="K3563" s="748"/>
      <c r="L3563" s="746"/>
      <c r="M3563" s="747"/>
      <c r="N3563" s="753"/>
    </row>
    <row r="3564" spans="2:14" ht="15" customHeight="1" x14ac:dyDescent="0.25">
      <c r="B3564" s="165"/>
      <c r="C3564" s="145"/>
      <c r="D3564" s="125"/>
      <c r="E3564" s="125"/>
      <c r="F3564" s="125"/>
      <c r="G3564" s="125"/>
      <c r="H3564" s="125"/>
      <c r="I3564" s="746"/>
      <c r="J3564" s="747"/>
      <c r="K3564" s="748"/>
      <c r="L3564" s="746"/>
      <c r="M3564" s="747"/>
      <c r="N3564" s="753"/>
    </row>
    <row r="3565" spans="2:14" ht="15" customHeight="1" x14ac:dyDescent="0.25">
      <c r="B3565" s="165"/>
      <c r="C3565" s="145"/>
      <c r="D3565" s="125"/>
      <c r="E3565" s="125"/>
      <c r="F3565" s="125"/>
      <c r="G3565" s="125"/>
      <c r="H3565" s="125"/>
      <c r="I3565" s="746"/>
      <c r="J3565" s="747"/>
      <c r="K3565" s="748"/>
      <c r="L3565" s="746"/>
      <c r="M3565" s="747"/>
      <c r="N3565" s="753"/>
    </row>
    <row r="3566" spans="2:14" ht="15" customHeight="1" x14ac:dyDescent="0.25">
      <c r="B3566" s="165"/>
      <c r="C3566" s="145"/>
      <c r="D3566" s="125"/>
      <c r="E3566" s="125"/>
      <c r="F3566" s="125"/>
      <c r="G3566" s="125"/>
      <c r="H3566" s="125"/>
      <c r="I3566" s="746"/>
      <c r="J3566" s="747"/>
      <c r="K3566" s="748"/>
      <c r="L3566" s="746"/>
      <c r="M3566" s="747"/>
      <c r="N3566" s="753"/>
    </row>
    <row r="3567" spans="2:14" ht="15" customHeight="1" x14ac:dyDescent="0.25">
      <c r="B3567" s="165"/>
      <c r="C3567" s="145"/>
      <c r="D3567" s="125"/>
      <c r="E3567" s="125"/>
      <c r="F3567" s="125"/>
      <c r="G3567" s="125"/>
      <c r="H3567" s="125"/>
      <c r="I3567" s="746"/>
      <c r="J3567" s="747"/>
      <c r="K3567" s="748"/>
      <c r="L3567" s="746"/>
      <c r="M3567" s="747"/>
      <c r="N3567" s="753"/>
    </row>
    <row r="3568" spans="2:14" ht="15" customHeight="1" x14ac:dyDescent="0.25">
      <c r="B3568" s="124"/>
      <c r="C3568" s="145"/>
      <c r="D3568" s="125"/>
      <c r="E3568" s="125"/>
      <c r="F3568" s="125"/>
      <c r="G3568" s="125"/>
      <c r="H3568" s="125"/>
      <c r="I3568" s="746"/>
      <c r="J3568" s="747"/>
      <c r="K3568" s="748"/>
      <c r="L3568" s="746"/>
      <c r="M3568" s="747"/>
      <c r="N3568" s="753"/>
    </row>
    <row r="3569" spans="2:14" ht="15" customHeight="1" x14ac:dyDescent="0.25">
      <c r="B3569" s="124"/>
      <c r="C3569" s="125"/>
      <c r="D3569" s="125"/>
      <c r="E3569" s="125"/>
      <c r="F3569" s="125"/>
      <c r="G3569" s="125"/>
      <c r="H3569" s="125"/>
      <c r="I3569" s="746"/>
      <c r="J3569" s="747"/>
      <c r="K3569" s="748"/>
      <c r="L3569" s="746"/>
      <c r="M3569" s="747"/>
      <c r="N3569" s="753"/>
    </row>
    <row r="3570" spans="2:14" ht="15" customHeight="1" x14ac:dyDescent="0.25">
      <c r="B3570" s="127"/>
      <c r="C3570" s="125"/>
      <c r="D3570" s="125"/>
      <c r="E3570" s="125"/>
      <c r="F3570" s="125"/>
      <c r="G3570" s="125"/>
      <c r="H3570" s="125"/>
      <c r="I3570" s="749"/>
      <c r="J3570" s="750"/>
      <c r="K3570" s="751"/>
      <c r="L3570" s="749"/>
      <c r="M3570" s="750"/>
      <c r="N3570" s="754"/>
    </row>
    <row r="3571" spans="2:14" ht="15" customHeight="1" x14ac:dyDescent="0.25">
      <c r="B3571" s="225"/>
      <c r="C3571" s="128"/>
      <c r="D3571" s="128"/>
      <c r="E3571" s="128"/>
      <c r="F3571" s="128"/>
      <c r="G3571" s="128"/>
      <c r="H3571" s="128"/>
      <c r="I3571" s="128"/>
      <c r="J3571" s="128"/>
      <c r="K3571" s="128"/>
      <c r="L3571" s="118"/>
      <c r="M3571" s="118"/>
      <c r="N3571" s="210"/>
    </row>
    <row r="3572" spans="2:14" ht="15" customHeight="1" x14ac:dyDescent="0.25">
      <c r="B3572" s="209"/>
      <c r="C3572" s="118"/>
      <c r="D3572" s="118"/>
      <c r="E3572" s="118"/>
      <c r="F3572" s="118"/>
      <c r="G3572" s="118"/>
      <c r="H3572" s="118"/>
      <c r="I3572" s="118"/>
      <c r="J3572" s="118"/>
      <c r="K3572" s="118"/>
      <c r="L3572" s="118"/>
      <c r="M3572" s="118"/>
      <c r="N3572" s="210"/>
    </row>
    <row r="3573" spans="2:14" ht="15" customHeight="1" x14ac:dyDescent="0.25">
      <c r="B3573" s="209"/>
      <c r="C3573" s="118"/>
      <c r="D3573" s="118"/>
      <c r="E3573" s="118"/>
      <c r="F3573" s="118"/>
      <c r="G3573" s="118"/>
      <c r="H3573" s="118"/>
      <c r="I3573" s="118"/>
      <c r="J3573" s="118"/>
      <c r="K3573" s="118"/>
      <c r="L3573" s="118"/>
      <c r="M3573" s="118"/>
      <c r="N3573" s="210"/>
    </row>
    <row r="3574" spans="2:14" ht="15" customHeight="1" thickBot="1" x14ac:dyDescent="0.3">
      <c r="B3574" s="725" t="s">
        <v>414</v>
      </c>
      <c r="C3574" s="726"/>
      <c r="D3574" s="726"/>
      <c r="E3574" s="147"/>
      <c r="F3574" s="147"/>
      <c r="G3574" s="147"/>
      <c r="H3574" s="147"/>
      <c r="I3574" s="727"/>
      <c r="J3574" s="726"/>
      <c r="K3574" s="726"/>
      <c r="L3574" s="130"/>
      <c r="M3574" s="130"/>
      <c r="N3574" s="131"/>
    </row>
    <row r="3575" spans="2:14" ht="15" customHeight="1" thickBot="1" x14ac:dyDescent="0.3"/>
    <row r="3576" spans="2:14" ht="42.6" customHeight="1" x14ac:dyDescent="0.25">
      <c r="B3576" s="728"/>
      <c r="C3576" s="729"/>
      <c r="D3576" s="730" t="s">
        <v>393</v>
      </c>
      <c r="E3576" s="729"/>
      <c r="F3576" s="729"/>
      <c r="G3576" s="729"/>
      <c r="H3576" s="729"/>
      <c r="I3576" s="729"/>
      <c r="J3576" s="729"/>
      <c r="K3576" s="729"/>
      <c r="L3576" s="729"/>
      <c r="M3576" s="729"/>
      <c r="N3576" s="731"/>
    </row>
    <row r="3577" spans="2:14" ht="15" customHeight="1" x14ac:dyDescent="0.25">
      <c r="B3577" s="732" t="s">
        <v>394</v>
      </c>
      <c r="C3577" s="733"/>
      <c r="D3577" s="733"/>
      <c r="E3577" s="733"/>
      <c r="F3577" s="733"/>
      <c r="G3577" s="733"/>
      <c r="H3577" s="733"/>
      <c r="I3577" s="733"/>
      <c r="J3577" s="733"/>
      <c r="K3577" s="733"/>
      <c r="L3577" s="733"/>
      <c r="M3577" s="733"/>
      <c r="N3577" s="734"/>
    </row>
    <row r="3578" spans="2:14" ht="62.45" customHeight="1" x14ac:dyDescent="0.25">
      <c r="B3578" s="735" t="s">
        <v>395</v>
      </c>
      <c r="C3578" s="736"/>
      <c r="D3578" s="737" t="str">
        <f>VLOOKUP(B3580,Buenaventura!A9:G4825,3,FALSE)</f>
        <v>Demolición muro existente  incluye retiro y disposición final en acopio certificado</v>
      </c>
      <c r="E3578" s="738"/>
      <c r="F3578" s="738"/>
      <c r="G3578" s="738"/>
      <c r="H3578" s="738"/>
      <c r="I3578" s="738"/>
      <c r="J3578" s="738"/>
      <c r="K3578" s="738"/>
      <c r="L3578" s="738"/>
      <c r="M3578" s="738"/>
      <c r="N3578" s="739"/>
    </row>
    <row r="3579" spans="2:14" ht="28.15" customHeight="1" x14ac:dyDescent="0.25">
      <c r="B3579" s="740" t="s">
        <v>26</v>
      </c>
      <c r="C3579" s="741"/>
      <c r="D3579" s="119" t="s">
        <v>396</v>
      </c>
      <c r="E3579" s="742" t="s">
        <v>397</v>
      </c>
      <c r="F3579" s="733"/>
      <c r="G3579" s="733"/>
      <c r="H3579" s="736"/>
      <c r="I3579" s="742" t="s">
        <v>398</v>
      </c>
      <c r="J3579" s="733"/>
      <c r="K3579" s="736"/>
      <c r="L3579" s="742" t="s">
        <v>399</v>
      </c>
      <c r="M3579" s="733"/>
      <c r="N3579" s="734"/>
    </row>
    <row r="3580" spans="2:14" ht="15" customHeight="1" x14ac:dyDescent="0.25">
      <c r="B3580" s="283">
        <v>77</v>
      </c>
      <c r="C3580" s="284" t="str">
        <f>VLOOKUP(B3580,Buenaventura!A9:G4838,2,FALSE)</f>
        <v>PR-12</v>
      </c>
      <c r="D3580" s="285">
        <f>SUM(H3583:H3586)</f>
        <v>105.5</v>
      </c>
      <c r="E3580" s="743" t="str">
        <f>VLOOKUP(B3580,Buenaventura!A9:G4837,4,FALSE)</f>
        <v>M3</v>
      </c>
      <c r="F3580" s="743"/>
      <c r="G3580" s="743"/>
      <c r="H3580" s="743"/>
      <c r="I3580" s="744"/>
      <c r="J3580" s="745"/>
      <c r="K3580" s="741"/>
      <c r="L3580" s="744"/>
      <c r="M3580" s="745"/>
      <c r="N3580" s="752"/>
    </row>
    <row r="3581" spans="2:14" ht="15" customHeight="1" x14ac:dyDescent="0.25">
      <c r="B3581" s="755" t="s">
        <v>416</v>
      </c>
      <c r="C3581" s="733"/>
      <c r="D3581" s="733"/>
      <c r="E3581" s="733"/>
      <c r="F3581" s="733"/>
      <c r="G3581" s="733"/>
      <c r="H3581" s="736"/>
      <c r="I3581" s="746"/>
      <c r="J3581" s="747"/>
      <c r="K3581" s="748"/>
      <c r="L3581" s="746"/>
      <c r="M3581" s="747"/>
      <c r="N3581" s="753"/>
    </row>
    <row r="3582" spans="2:14" ht="15" customHeight="1" x14ac:dyDescent="0.25">
      <c r="B3582" s="121" t="s">
        <v>400</v>
      </c>
      <c r="C3582" s="122" t="s">
        <v>401</v>
      </c>
      <c r="D3582" s="123" t="s">
        <v>402</v>
      </c>
      <c r="E3582" s="123" t="s">
        <v>403</v>
      </c>
      <c r="F3582" s="123" t="s">
        <v>404</v>
      </c>
      <c r="G3582" s="123" t="s">
        <v>405</v>
      </c>
      <c r="H3582" s="123" t="s">
        <v>406</v>
      </c>
      <c r="I3582" s="746"/>
      <c r="J3582" s="747"/>
      <c r="K3582" s="748"/>
      <c r="L3582" s="746"/>
      <c r="M3582" s="747"/>
      <c r="N3582" s="753"/>
    </row>
    <row r="3583" spans="2:14" ht="15" customHeight="1" x14ac:dyDescent="0.25">
      <c r="B3583" s="124"/>
      <c r="C3583" s="145" t="s">
        <v>598</v>
      </c>
      <c r="D3583" s="125">
        <v>5</v>
      </c>
      <c r="E3583" s="125"/>
      <c r="F3583" s="125">
        <v>6.7</v>
      </c>
      <c r="G3583" s="125"/>
      <c r="H3583" s="125">
        <f>D3583*F3583</f>
        <v>33.5</v>
      </c>
      <c r="I3583" s="746"/>
      <c r="J3583" s="747"/>
      <c r="K3583" s="748"/>
      <c r="L3583" s="746"/>
      <c r="M3583" s="747"/>
      <c r="N3583" s="753"/>
    </row>
    <row r="3584" spans="2:14" ht="15" customHeight="1" x14ac:dyDescent="0.25">
      <c r="B3584" s="124"/>
      <c r="C3584" s="145" t="s">
        <v>599</v>
      </c>
      <c r="D3584" s="125">
        <v>3</v>
      </c>
      <c r="E3584" s="125"/>
      <c r="F3584" s="125">
        <v>24</v>
      </c>
      <c r="G3584" s="125"/>
      <c r="H3584" s="125">
        <f t="shared" ref="H3584:H3585" si="71">D3584*F3584</f>
        <v>72</v>
      </c>
      <c r="I3584" s="746"/>
      <c r="J3584" s="747"/>
      <c r="K3584" s="748"/>
      <c r="L3584" s="746"/>
      <c r="M3584" s="747"/>
      <c r="N3584" s="753"/>
    </row>
    <row r="3585" spans="2:14" ht="15" customHeight="1" x14ac:dyDescent="0.25">
      <c r="B3585" s="165"/>
      <c r="C3585" s="145"/>
      <c r="D3585" s="125"/>
      <c r="E3585" s="125"/>
      <c r="F3585" s="125"/>
      <c r="G3585" s="125"/>
      <c r="H3585" s="125">
        <f t="shared" si="71"/>
        <v>0</v>
      </c>
      <c r="I3585" s="746"/>
      <c r="J3585" s="747"/>
      <c r="K3585" s="748"/>
      <c r="L3585" s="746"/>
      <c r="M3585" s="747"/>
      <c r="N3585" s="753"/>
    </row>
    <row r="3586" spans="2:14" ht="15" customHeight="1" x14ac:dyDescent="0.25">
      <c r="B3586" s="165"/>
      <c r="C3586" s="145"/>
      <c r="D3586" s="125"/>
      <c r="E3586" s="125"/>
      <c r="F3586" s="125"/>
      <c r="G3586" s="125"/>
      <c r="H3586" s="125"/>
      <c r="I3586" s="746"/>
      <c r="J3586" s="747"/>
      <c r="K3586" s="748"/>
      <c r="L3586" s="746"/>
      <c r="M3586" s="747"/>
      <c r="N3586" s="753"/>
    </row>
    <row r="3587" spans="2:14" ht="15" customHeight="1" x14ac:dyDescent="0.25">
      <c r="B3587" s="165"/>
      <c r="C3587" s="145"/>
      <c r="D3587" s="125"/>
      <c r="E3587" s="125"/>
      <c r="F3587" s="125"/>
      <c r="G3587" s="125"/>
      <c r="H3587" s="125"/>
      <c r="I3587" s="746"/>
      <c r="J3587" s="747"/>
      <c r="K3587" s="748"/>
      <c r="L3587" s="746"/>
      <c r="M3587" s="747"/>
      <c r="N3587" s="753"/>
    </row>
    <row r="3588" spans="2:14" ht="15" customHeight="1" x14ac:dyDescent="0.25">
      <c r="B3588" s="165"/>
      <c r="C3588" s="145"/>
      <c r="D3588" s="125"/>
      <c r="E3588" s="125"/>
      <c r="F3588" s="125"/>
      <c r="G3588" s="125"/>
      <c r="H3588" s="125"/>
      <c r="I3588" s="746"/>
      <c r="J3588" s="747"/>
      <c r="K3588" s="748"/>
      <c r="L3588" s="746"/>
      <c r="M3588" s="747"/>
      <c r="N3588" s="753"/>
    </row>
    <row r="3589" spans="2:14" ht="15" customHeight="1" x14ac:dyDescent="0.25">
      <c r="B3589" s="165"/>
      <c r="C3589" s="145"/>
      <c r="D3589" s="125"/>
      <c r="E3589" s="125"/>
      <c r="F3589" s="125"/>
      <c r="G3589" s="125"/>
      <c r="H3589" s="125"/>
      <c r="I3589" s="746"/>
      <c r="J3589" s="747"/>
      <c r="K3589" s="748"/>
      <c r="L3589" s="746"/>
      <c r="M3589" s="747"/>
      <c r="N3589" s="753"/>
    </row>
    <row r="3590" spans="2:14" ht="15" customHeight="1" x14ac:dyDescent="0.25">
      <c r="B3590" s="124"/>
      <c r="C3590" s="145"/>
      <c r="D3590" s="125"/>
      <c r="E3590" s="125"/>
      <c r="F3590" s="125"/>
      <c r="G3590" s="125"/>
      <c r="H3590" s="125"/>
      <c r="I3590" s="746"/>
      <c r="J3590" s="747"/>
      <c r="K3590" s="748"/>
      <c r="L3590" s="746"/>
      <c r="M3590" s="747"/>
      <c r="N3590" s="753"/>
    </row>
    <row r="3591" spans="2:14" ht="15" customHeight="1" x14ac:dyDescent="0.25">
      <c r="B3591" s="124"/>
      <c r="C3591" s="125"/>
      <c r="D3591" s="125"/>
      <c r="E3591" s="125"/>
      <c r="F3591" s="125"/>
      <c r="G3591" s="125"/>
      <c r="H3591" s="125"/>
      <c r="I3591" s="746"/>
      <c r="J3591" s="747"/>
      <c r="K3591" s="748"/>
      <c r="L3591" s="746"/>
      <c r="M3591" s="747"/>
      <c r="N3591" s="753"/>
    </row>
    <row r="3592" spans="2:14" ht="15" customHeight="1" x14ac:dyDescent="0.25">
      <c r="B3592" s="127"/>
      <c r="C3592" s="125"/>
      <c r="D3592" s="125"/>
      <c r="E3592" s="125"/>
      <c r="F3592" s="125"/>
      <c r="G3592" s="125"/>
      <c r="H3592" s="125"/>
      <c r="I3592" s="749"/>
      <c r="J3592" s="750"/>
      <c r="K3592" s="751"/>
      <c r="L3592" s="749"/>
      <c r="M3592" s="750"/>
      <c r="N3592" s="754"/>
    </row>
    <row r="3593" spans="2:14" ht="15" customHeight="1" x14ac:dyDescent="0.25">
      <c r="B3593" s="225"/>
      <c r="C3593" s="128"/>
      <c r="D3593" s="128"/>
      <c r="E3593" s="128"/>
      <c r="F3593" s="128"/>
      <c r="G3593" s="128"/>
      <c r="H3593" s="128"/>
      <c r="I3593" s="128"/>
      <c r="J3593" s="128"/>
      <c r="K3593" s="128"/>
      <c r="L3593" s="118"/>
      <c r="M3593" s="118"/>
      <c r="N3593" s="210"/>
    </row>
    <row r="3594" spans="2:14" ht="15" customHeight="1" x14ac:dyDescent="0.25">
      <c r="B3594" s="209"/>
      <c r="C3594" s="118"/>
      <c r="D3594" s="118"/>
      <c r="E3594" s="118"/>
      <c r="F3594" s="118"/>
      <c r="G3594" s="118"/>
      <c r="H3594" s="118"/>
      <c r="I3594" s="118"/>
      <c r="J3594" s="118"/>
      <c r="K3594" s="118"/>
      <c r="L3594" s="118"/>
      <c r="M3594" s="118"/>
      <c r="N3594" s="210"/>
    </row>
    <row r="3595" spans="2:14" ht="15" customHeight="1" x14ac:dyDescent="0.25">
      <c r="B3595" s="209"/>
      <c r="C3595" s="118"/>
      <c r="D3595" s="118"/>
      <c r="E3595" s="118"/>
      <c r="F3595" s="118"/>
      <c r="G3595" s="118"/>
      <c r="H3595" s="118"/>
      <c r="I3595" s="118"/>
      <c r="J3595" s="118"/>
      <c r="K3595" s="118"/>
      <c r="L3595" s="118"/>
      <c r="M3595" s="118"/>
      <c r="N3595" s="210"/>
    </row>
    <row r="3596" spans="2:14" ht="15" customHeight="1" thickBot="1" x14ac:dyDescent="0.3">
      <c r="B3596" s="725" t="s">
        <v>414</v>
      </c>
      <c r="C3596" s="726"/>
      <c r="D3596" s="726"/>
      <c r="E3596" s="147"/>
      <c r="F3596" s="147"/>
      <c r="G3596" s="147"/>
      <c r="H3596" s="147"/>
      <c r="I3596" s="727"/>
      <c r="J3596" s="726"/>
      <c r="K3596" s="726"/>
      <c r="L3596" s="130"/>
      <c r="M3596" s="130"/>
      <c r="N3596" s="131"/>
    </row>
    <row r="3597" spans="2:14" ht="15" customHeight="1" thickBot="1" x14ac:dyDescent="0.3"/>
    <row r="3598" spans="2:14" ht="38.450000000000003" customHeight="1" x14ac:dyDescent="0.25">
      <c r="B3598" s="728"/>
      <c r="C3598" s="729"/>
      <c r="D3598" s="730" t="s">
        <v>393</v>
      </c>
      <c r="E3598" s="729"/>
      <c r="F3598" s="729"/>
      <c r="G3598" s="729"/>
      <c r="H3598" s="729"/>
      <c r="I3598" s="729"/>
      <c r="J3598" s="729"/>
      <c r="K3598" s="729"/>
      <c r="L3598" s="729"/>
      <c r="M3598" s="729"/>
      <c r="N3598" s="731"/>
    </row>
    <row r="3599" spans="2:14" ht="15" customHeight="1" x14ac:dyDescent="0.25">
      <c r="B3599" s="732" t="s">
        <v>394</v>
      </c>
      <c r="C3599" s="733"/>
      <c r="D3599" s="733"/>
      <c r="E3599" s="733"/>
      <c r="F3599" s="733"/>
      <c r="G3599" s="733"/>
      <c r="H3599" s="733"/>
      <c r="I3599" s="733"/>
      <c r="J3599" s="733"/>
      <c r="K3599" s="733"/>
      <c r="L3599" s="733"/>
      <c r="M3599" s="733"/>
      <c r="N3599" s="734"/>
    </row>
    <row r="3600" spans="2:14" ht="19.149999999999999" customHeight="1" x14ac:dyDescent="0.25">
      <c r="B3600" s="735" t="s">
        <v>395</v>
      </c>
      <c r="C3600" s="736"/>
      <c r="D3600" s="737" t="str">
        <f>VLOOKUP(B3602,Buenaventura!A9:G4847,3,FALSE)</f>
        <v>Suministro, fabricación e instalación de lámina en aluminio arquitectónico perforado para fachada, con patrón de perforación redonda de 10 mm de diámetro, incluyendo estructura de soporte (marco), elementos de fijación, anclajes y refuerzos necesarios para su correcta estabilidad, aplicación de imprimante tipo wash primer o promotor de adherencia para aluminio, y acabado con pintura de alto desempeño tipo poliéster, poliuretano o sistema electrostático (pintura en polvo), mínimo dos capas, apta para exposición exterior y ambiente marino. asi mismo, incluye todos los accesorios, elementos de fijación y mano de obra necesarios para su correcta instalación, garantizando durabilidad, resistencia a la corrosión y adecuado acabado.</v>
      </c>
      <c r="E3600" s="738"/>
      <c r="F3600" s="738"/>
      <c r="G3600" s="738"/>
      <c r="H3600" s="738"/>
      <c r="I3600" s="738"/>
      <c r="J3600" s="738"/>
      <c r="K3600" s="738"/>
      <c r="L3600" s="738"/>
      <c r="M3600" s="738"/>
      <c r="N3600" s="739"/>
    </row>
    <row r="3601" spans="2:14" ht="24" customHeight="1" x14ac:dyDescent="0.25">
      <c r="B3601" s="740" t="s">
        <v>26</v>
      </c>
      <c r="C3601" s="741"/>
      <c r="D3601" s="119" t="s">
        <v>396</v>
      </c>
      <c r="E3601" s="742" t="s">
        <v>397</v>
      </c>
      <c r="F3601" s="733"/>
      <c r="G3601" s="733"/>
      <c r="H3601" s="736"/>
      <c r="I3601" s="742" t="s">
        <v>398</v>
      </c>
      <c r="J3601" s="733"/>
      <c r="K3601" s="736"/>
      <c r="L3601" s="742" t="s">
        <v>399</v>
      </c>
      <c r="M3601" s="733"/>
      <c r="N3601" s="734"/>
    </row>
    <row r="3602" spans="2:14" ht="15" customHeight="1" x14ac:dyDescent="0.25">
      <c r="B3602" s="283">
        <v>78</v>
      </c>
      <c r="C3602" s="284" t="str">
        <f>VLOOKUP(B3602,Buenaventura!A9:G4860,2,FALSE)</f>
        <v>CA-46</v>
      </c>
      <c r="D3602" s="285">
        <f>SUM(H3605:H3608)</f>
        <v>6.5</v>
      </c>
      <c r="E3602" s="743" t="str">
        <f>VLOOKUP(B3602,Buenaventura!A9:G4859,4,FALSE)</f>
        <v>M2</v>
      </c>
      <c r="F3602" s="743"/>
      <c r="G3602" s="743"/>
      <c r="H3602" s="743"/>
      <c r="I3602" s="744"/>
      <c r="J3602" s="745"/>
      <c r="K3602" s="741"/>
      <c r="L3602" s="744"/>
      <c r="M3602" s="745"/>
      <c r="N3602" s="752"/>
    </row>
    <row r="3603" spans="2:14" ht="15" customHeight="1" x14ac:dyDescent="0.25">
      <c r="B3603" s="755" t="s">
        <v>416</v>
      </c>
      <c r="C3603" s="733"/>
      <c r="D3603" s="733"/>
      <c r="E3603" s="733"/>
      <c r="F3603" s="733"/>
      <c r="G3603" s="733"/>
      <c r="H3603" s="736"/>
      <c r="I3603" s="746"/>
      <c r="J3603" s="747"/>
      <c r="K3603" s="748"/>
      <c r="L3603" s="746"/>
      <c r="M3603" s="747"/>
      <c r="N3603" s="753"/>
    </row>
    <row r="3604" spans="2:14" ht="15" customHeight="1" x14ac:dyDescent="0.25">
      <c r="B3604" s="121" t="s">
        <v>400</v>
      </c>
      <c r="C3604" s="122" t="s">
        <v>401</v>
      </c>
      <c r="D3604" s="123" t="s">
        <v>402</v>
      </c>
      <c r="E3604" s="123" t="s">
        <v>403</v>
      </c>
      <c r="F3604" s="123" t="s">
        <v>404</v>
      </c>
      <c r="G3604" s="123" t="s">
        <v>405</v>
      </c>
      <c r="H3604" s="123" t="s">
        <v>406</v>
      </c>
      <c r="I3604" s="746"/>
      <c r="J3604" s="747"/>
      <c r="K3604" s="748"/>
      <c r="L3604" s="746"/>
      <c r="M3604" s="747"/>
      <c r="N3604" s="753"/>
    </row>
    <row r="3605" spans="2:14" ht="15" customHeight="1" x14ac:dyDescent="0.25">
      <c r="B3605" s="124"/>
      <c r="C3605" s="145" t="s">
        <v>595</v>
      </c>
      <c r="D3605" s="125"/>
      <c r="E3605" s="125">
        <v>1.5</v>
      </c>
      <c r="F3605" s="125">
        <v>3</v>
      </c>
      <c r="G3605" s="125"/>
      <c r="H3605" s="125">
        <f t="shared" ref="H3605" si="72">E3605*F3605</f>
        <v>4.5</v>
      </c>
      <c r="I3605" s="746"/>
      <c r="J3605" s="747"/>
      <c r="K3605" s="748"/>
      <c r="L3605" s="746"/>
      <c r="M3605" s="747"/>
      <c r="N3605" s="753"/>
    </row>
    <row r="3606" spans="2:14" ht="15" customHeight="1" x14ac:dyDescent="0.25">
      <c r="B3606" s="124"/>
      <c r="C3606" s="145" t="s">
        <v>600</v>
      </c>
      <c r="D3606" s="125">
        <v>8</v>
      </c>
      <c r="E3606" s="125">
        <v>0.5</v>
      </c>
      <c r="F3606" s="125">
        <v>0.5</v>
      </c>
      <c r="G3606" s="125"/>
      <c r="H3606" s="125">
        <f>D3606*E3606*F3606</f>
        <v>2</v>
      </c>
      <c r="I3606" s="746"/>
      <c r="J3606" s="747"/>
      <c r="K3606" s="748"/>
      <c r="L3606" s="746"/>
      <c r="M3606" s="747"/>
      <c r="N3606" s="753"/>
    </row>
    <row r="3607" spans="2:14" ht="15" customHeight="1" x14ac:dyDescent="0.25">
      <c r="B3607" s="165"/>
      <c r="C3607" s="145"/>
      <c r="D3607" s="125"/>
      <c r="E3607" s="125"/>
      <c r="F3607" s="125"/>
      <c r="G3607" s="125"/>
      <c r="H3607" s="125"/>
      <c r="I3607" s="746"/>
      <c r="J3607" s="747"/>
      <c r="K3607" s="748"/>
      <c r="L3607" s="746"/>
      <c r="M3607" s="747"/>
      <c r="N3607" s="753"/>
    </row>
    <row r="3608" spans="2:14" ht="15" customHeight="1" x14ac:dyDescent="0.25">
      <c r="B3608" s="165"/>
      <c r="C3608" s="145"/>
      <c r="D3608" s="125"/>
      <c r="E3608" s="125"/>
      <c r="F3608" s="125"/>
      <c r="G3608" s="125"/>
      <c r="H3608" s="125"/>
      <c r="I3608" s="746"/>
      <c r="J3608" s="747"/>
      <c r="K3608" s="748"/>
      <c r="L3608" s="746"/>
      <c r="M3608" s="747"/>
      <c r="N3608" s="753"/>
    </row>
    <row r="3609" spans="2:14" ht="15" customHeight="1" x14ac:dyDescent="0.25">
      <c r="B3609" s="165"/>
      <c r="C3609" s="145"/>
      <c r="D3609" s="125"/>
      <c r="E3609" s="125"/>
      <c r="F3609" s="125"/>
      <c r="G3609" s="125"/>
      <c r="H3609" s="125"/>
      <c r="I3609" s="746"/>
      <c r="J3609" s="747"/>
      <c r="K3609" s="748"/>
      <c r="L3609" s="746"/>
      <c r="M3609" s="747"/>
      <c r="N3609" s="753"/>
    </row>
    <row r="3610" spans="2:14" ht="15" customHeight="1" x14ac:dyDescent="0.25">
      <c r="B3610" s="165"/>
      <c r="C3610" s="145"/>
      <c r="D3610" s="125"/>
      <c r="E3610" s="125"/>
      <c r="F3610" s="125"/>
      <c r="G3610" s="125"/>
      <c r="H3610" s="125"/>
      <c r="I3610" s="746"/>
      <c r="J3610" s="747"/>
      <c r="K3610" s="748"/>
      <c r="L3610" s="746"/>
      <c r="M3610" s="747"/>
      <c r="N3610" s="753"/>
    </row>
    <row r="3611" spans="2:14" ht="15" customHeight="1" x14ac:dyDescent="0.25">
      <c r="B3611" s="165"/>
      <c r="C3611" s="145"/>
      <c r="D3611" s="125"/>
      <c r="E3611" s="125"/>
      <c r="F3611" s="125"/>
      <c r="G3611" s="125"/>
      <c r="H3611" s="125"/>
      <c r="I3611" s="746"/>
      <c r="J3611" s="747"/>
      <c r="K3611" s="748"/>
      <c r="L3611" s="746"/>
      <c r="M3611" s="747"/>
      <c r="N3611" s="753"/>
    </row>
    <row r="3612" spans="2:14" ht="15" customHeight="1" x14ac:dyDescent="0.25">
      <c r="B3612" s="124"/>
      <c r="C3612" s="145"/>
      <c r="D3612" s="125"/>
      <c r="E3612" s="125"/>
      <c r="F3612" s="125"/>
      <c r="G3612" s="125"/>
      <c r="H3612" s="125"/>
      <c r="I3612" s="746"/>
      <c r="J3612" s="747"/>
      <c r="K3612" s="748"/>
      <c r="L3612" s="746"/>
      <c r="M3612" s="747"/>
      <c r="N3612" s="753"/>
    </row>
    <row r="3613" spans="2:14" ht="15" customHeight="1" x14ac:dyDescent="0.25">
      <c r="B3613" s="124"/>
      <c r="C3613" s="125"/>
      <c r="D3613" s="125"/>
      <c r="E3613" s="125"/>
      <c r="F3613" s="125"/>
      <c r="G3613" s="125"/>
      <c r="H3613" s="125"/>
      <c r="I3613" s="746"/>
      <c r="J3613" s="747"/>
      <c r="K3613" s="748"/>
      <c r="L3613" s="746"/>
      <c r="M3613" s="747"/>
      <c r="N3613" s="753"/>
    </row>
    <row r="3614" spans="2:14" ht="15" customHeight="1" x14ac:dyDescent="0.25">
      <c r="B3614" s="127"/>
      <c r="C3614" s="125"/>
      <c r="D3614" s="125"/>
      <c r="E3614" s="125"/>
      <c r="F3614" s="125"/>
      <c r="G3614" s="125"/>
      <c r="H3614" s="125"/>
      <c r="I3614" s="749"/>
      <c r="J3614" s="750"/>
      <c r="K3614" s="751"/>
      <c r="L3614" s="749"/>
      <c r="M3614" s="750"/>
      <c r="N3614" s="754"/>
    </row>
    <row r="3615" spans="2:14" ht="15" customHeight="1" x14ac:dyDescent="0.25">
      <c r="B3615" s="225"/>
      <c r="C3615" s="128"/>
      <c r="D3615" s="128"/>
      <c r="E3615" s="128"/>
      <c r="F3615" s="128"/>
      <c r="G3615" s="128"/>
      <c r="H3615" s="128"/>
      <c r="I3615" s="128"/>
      <c r="J3615" s="128"/>
      <c r="K3615" s="128"/>
      <c r="L3615" s="118"/>
      <c r="M3615" s="118"/>
      <c r="N3615" s="210"/>
    </row>
    <row r="3616" spans="2:14" ht="15" customHeight="1" x14ac:dyDescent="0.25">
      <c r="B3616" s="209"/>
      <c r="C3616" s="118"/>
      <c r="D3616" s="118"/>
      <c r="E3616" s="118"/>
      <c r="F3616" s="118"/>
      <c r="G3616" s="118"/>
      <c r="H3616" s="118"/>
      <c r="I3616" s="118"/>
      <c r="J3616" s="118"/>
      <c r="K3616" s="118"/>
      <c r="L3616" s="118"/>
      <c r="M3616" s="118"/>
      <c r="N3616" s="210"/>
    </row>
    <row r="3617" spans="2:14" ht="15" customHeight="1" x14ac:dyDescent="0.25">
      <c r="B3617" s="209"/>
      <c r="C3617" s="118"/>
      <c r="D3617" s="118"/>
      <c r="E3617" s="118"/>
      <c r="F3617" s="118"/>
      <c r="G3617" s="118"/>
      <c r="H3617" s="118"/>
      <c r="I3617" s="118"/>
      <c r="J3617" s="118"/>
      <c r="K3617" s="118"/>
      <c r="L3617" s="118"/>
      <c r="M3617" s="118"/>
      <c r="N3617" s="210"/>
    </row>
    <row r="3618" spans="2:14" ht="15" customHeight="1" thickBot="1" x14ac:dyDescent="0.3">
      <c r="B3618" s="725" t="s">
        <v>414</v>
      </c>
      <c r="C3618" s="726"/>
      <c r="D3618" s="726"/>
      <c r="E3618" s="147"/>
      <c r="F3618" s="147"/>
      <c r="G3618" s="147"/>
      <c r="H3618" s="147"/>
      <c r="I3618" s="727"/>
      <c r="J3618" s="726"/>
      <c r="K3618" s="726"/>
      <c r="L3618" s="130"/>
      <c r="M3618" s="130"/>
      <c r="N3618" s="131"/>
    </row>
    <row r="3619" spans="2:14" ht="15" customHeight="1" thickBot="1" x14ac:dyDescent="0.3"/>
    <row r="3620" spans="2:14" ht="33" customHeight="1" x14ac:dyDescent="0.25">
      <c r="B3620" s="728"/>
      <c r="C3620" s="729"/>
      <c r="D3620" s="730" t="s">
        <v>393</v>
      </c>
      <c r="E3620" s="729"/>
      <c r="F3620" s="729"/>
      <c r="G3620" s="729"/>
      <c r="H3620" s="729"/>
      <c r="I3620" s="729"/>
      <c r="J3620" s="729"/>
      <c r="K3620" s="729"/>
      <c r="L3620" s="729"/>
      <c r="M3620" s="729"/>
      <c r="N3620" s="731"/>
    </row>
    <row r="3621" spans="2:14" ht="15" customHeight="1" x14ac:dyDescent="0.25">
      <c r="B3621" s="732" t="s">
        <v>394</v>
      </c>
      <c r="C3621" s="733"/>
      <c r="D3621" s="733"/>
      <c r="E3621" s="733"/>
      <c r="F3621" s="733"/>
      <c r="G3621" s="733"/>
      <c r="H3621" s="733"/>
      <c r="I3621" s="733"/>
      <c r="J3621" s="733"/>
      <c r="K3621" s="733"/>
      <c r="L3621" s="733"/>
      <c r="M3621" s="733"/>
      <c r="N3621" s="734"/>
    </row>
    <row r="3622" spans="2:14" ht="15" customHeight="1" x14ac:dyDescent="0.25">
      <c r="B3622" s="735" t="s">
        <v>395</v>
      </c>
      <c r="C3622" s="736"/>
      <c r="D3622" s="737" t="str">
        <f>VLOOKUP(B3624,Buenaventura!A9:G4869,3,FALSE)</f>
        <v>Mantenimiento de estructura metalica sección máxima 10cm x10cm (4 caras) ,  incluye cepillado, limpieza del elemento,eliminación total del óxido superficial, cambio de partes afectadas, Reforzar o rehacer soldaduras defectuosas, Aplicación de Imprimante anticorrosivo, Aplicación de Acabado (esmalte o pintura industrial mate ) y todo lo necesario para su correcta instalación</v>
      </c>
      <c r="E3622" s="738"/>
      <c r="F3622" s="738"/>
      <c r="G3622" s="738"/>
      <c r="H3622" s="738"/>
      <c r="I3622" s="738"/>
      <c r="J3622" s="738"/>
      <c r="K3622" s="738"/>
      <c r="L3622" s="738"/>
      <c r="M3622" s="738"/>
      <c r="N3622" s="739"/>
    </row>
    <row r="3623" spans="2:14" ht="30" customHeight="1" x14ac:dyDescent="0.25">
      <c r="B3623" s="740" t="s">
        <v>26</v>
      </c>
      <c r="C3623" s="741"/>
      <c r="D3623" s="119" t="s">
        <v>396</v>
      </c>
      <c r="E3623" s="742" t="s">
        <v>397</v>
      </c>
      <c r="F3623" s="733"/>
      <c r="G3623" s="733"/>
      <c r="H3623" s="736"/>
      <c r="I3623" s="742" t="s">
        <v>398</v>
      </c>
      <c r="J3623" s="733"/>
      <c r="K3623" s="736"/>
      <c r="L3623" s="742" t="s">
        <v>399</v>
      </c>
      <c r="M3623" s="733"/>
      <c r="N3623" s="734"/>
    </row>
    <row r="3624" spans="2:14" ht="15" customHeight="1" x14ac:dyDescent="0.25">
      <c r="B3624" s="283">
        <v>79</v>
      </c>
      <c r="C3624" s="284" t="str">
        <f>VLOOKUP(B3624,Buenaventura!A9:G4882,2,FALSE)</f>
        <v>CA-47</v>
      </c>
      <c r="D3624" s="285">
        <f>SUM(H3627:H3630)</f>
        <v>4.5</v>
      </c>
      <c r="E3624" s="743" t="str">
        <f>VLOOKUP(B3624,Buenaventura!A9:G4881,4,FALSE)</f>
        <v>ML</v>
      </c>
      <c r="F3624" s="743"/>
      <c r="G3624" s="743"/>
      <c r="H3624" s="743"/>
      <c r="I3624" s="744"/>
      <c r="J3624" s="745"/>
      <c r="K3624" s="741"/>
      <c r="L3624" s="744"/>
      <c r="M3624" s="745"/>
      <c r="N3624" s="752"/>
    </row>
    <row r="3625" spans="2:14" ht="15" customHeight="1" x14ac:dyDescent="0.25">
      <c r="B3625" s="755" t="s">
        <v>416</v>
      </c>
      <c r="C3625" s="733"/>
      <c r="D3625" s="733"/>
      <c r="E3625" s="733"/>
      <c r="F3625" s="733"/>
      <c r="G3625" s="733"/>
      <c r="H3625" s="736"/>
      <c r="I3625" s="746"/>
      <c r="J3625" s="747"/>
      <c r="K3625" s="748"/>
      <c r="L3625" s="746"/>
      <c r="M3625" s="747"/>
      <c r="N3625" s="753"/>
    </row>
    <row r="3626" spans="2:14" ht="15" customHeight="1" x14ac:dyDescent="0.25">
      <c r="B3626" s="121" t="s">
        <v>400</v>
      </c>
      <c r="C3626" s="122" t="s">
        <v>401</v>
      </c>
      <c r="D3626" s="123" t="s">
        <v>402</v>
      </c>
      <c r="E3626" s="123" t="s">
        <v>403</v>
      </c>
      <c r="F3626" s="123" t="s">
        <v>404</v>
      </c>
      <c r="G3626" s="123" t="s">
        <v>405</v>
      </c>
      <c r="H3626" s="123" t="s">
        <v>406</v>
      </c>
      <c r="I3626" s="746"/>
      <c r="J3626" s="747"/>
      <c r="K3626" s="748"/>
      <c r="L3626" s="746"/>
      <c r="M3626" s="747"/>
      <c r="N3626" s="753"/>
    </row>
    <row r="3627" spans="2:14" ht="15" customHeight="1" x14ac:dyDescent="0.25">
      <c r="B3627" s="124"/>
      <c r="C3627" s="145" t="s">
        <v>595</v>
      </c>
      <c r="D3627" s="125"/>
      <c r="E3627" s="125">
        <v>1.5</v>
      </c>
      <c r="F3627" s="125">
        <v>3</v>
      </c>
      <c r="G3627" s="125"/>
      <c r="H3627" s="125">
        <f t="shared" ref="H3627" si="73">E3627*F3627</f>
        <v>4.5</v>
      </c>
      <c r="I3627" s="746"/>
      <c r="J3627" s="747"/>
      <c r="K3627" s="748"/>
      <c r="L3627" s="746"/>
      <c r="M3627" s="747"/>
      <c r="N3627" s="753"/>
    </row>
    <row r="3628" spans="2:14" ht="15" customHeight="1" x14ac:dyDescent="0.25">
      <c r="B3628" s="124"/>
      <c r="C3628" s="145"/>
      <c r="D3628" s="125"/>
      <c r="E3628" s="125"/>
      <c r="F3628" s="125"/>
      <c r="G3628" s="125"/>
      <c r="H3628" s="125"/>
      <c r="I3628" s="746"/>
      <c r="J3628" s="747"/>
      <c r="K3628" s="748"/>
      <c r="L3628" s="746"/>
      <c r="M3628" s="747"/>
      <c r="N3628" s="753"/>
    </row>
    <row r="3629" spans="2:14" ht="15" customHeight="1" x14ac:dyDescent="0.25">
      <c r="B3629" s="165"/>
      <c r="C3629" s="145"/>
      <c r="D3629" s="125"/>
      <c r="E3629" s="125"/>
      <c r="F3629" s="125"/>
      <c r="G3629" s="125"/>
      <c r="H3629" s="125"/>
      <c r="I3629" s="746"/>
      <c r="J3629" s="747"/>
      <c r="K3629" s="748"/>
      <c r="L3629" s="746"/>
      <c r="M3629" s="747"/>
      <c r="N3629" s="753"/>
    </row>
    <row r="3630" spans="2:14" ht="15" customHeight="1" x14ac:dyDescent="0.25">
      <c r="B3630" s="165"/>
      <c r="C3630" s="145"/>
      <c r="D3630" s="125"/>
      <c r="E3630" s="125"/>
      <c r="F3630" s="125"/>
      <c r="G3630" s="125"/>
      <c r="H3630" s="125"/>
      <c r="I3630" s="746"/>
      <c r="J3630" s="747"/>
      <c r="K3630" s="748"/>
      <c r="L3630" s="746"/>
      <c r="M3630" s="747"/>
      <c r="N3630" s="753"/>
    </row>
    <row r="3631" spans="2:14" ht="15" customHeight="1" x14ac:dyDescent="0.25">
      <c r="B3631" s="165"/>
      <c r="C3631" s="145"/>
      <c r="D3631" s="125"/>
      <c r="E3631" s="125"/>
      <c r="F3631" s="125"/>
      <c r="G3631" s="125"/>
      <c r="H3631" s="125"/>
      <c r="I3631" s="746"/>
      <c r="J3631" s="747"/>
      <c r="K3631" s="748"/>
      <c r="L3631" s="746"/>
      <c r="M3631" s="747"/>
      <c r="N3631" s="753"/>
    </row>
    <row r="3632" spans="2:14" ht="15" customHeight="1" x14ac:dyDescent="0.25">
      <c r="B3632" s="165"/>
      <c r="C3632" s="145"/>
      <c r="D3632" s="125"/>
      <c r="E3632" s="125"/>
      <c r="F3632" s="125"/>
      <c r="G3632" s="125"/>
      <c r="H3632" s="125"/>
      <c r="I3632" s="746"/>
      <c r="J3632" s="747"/>
      <c r="K3632" s="748"/>
      <c r="L3632" s="746"/>
      <c r="M3632" s="747"/>
      <c r="N3632" s="753"/>
    </row>
    <row r="3633" spans="2:14" ht="15" customHeight="1" x14ac:dyDescent="0.25">
      <c r="B3633" s="165"/>
      <c r="C3633" s="145"/>
      <c r="D3633" s="125"/>
      <c r="E3633" s="125"/>
      <c r="F3633" s="125"/>
      <c r="G3633" s="125"/>
      <c r="H3633" s="125"/>
      <c r="I3633" s="746"/>
      <c r="J3633" s="747"/>
      <c r="K3633" s="748"/>
      <c r="L3633" s="746"/>
      <c r="M3633" s="747"/>
      <c r="N3633" s="753"/>
    </row>
    <row r="3634" spans="2:14" ht="15" customHeight="1" x14ac:dyDescent="0.25">
      <c r="B3634" s="124"/>
      <c r="C3634" s="145"/>
      <c r="D3634" s="125"/>
      <c r="E3634" s="125"/>
      <c r="F3634" s="125"/>
      <c r="G3634" s="125"/>
      <c r="H3634" s="125"/>
      <c r="I3634" s="746"/>
      <c r="J3634" s="747"/>
      <c r="K3634" s="748"/>
      <c r="L3634" s="746"/>
      <c r="M3634" s="747"/>
      <c r="N3634" s="753"/>
    </row>
    <row r="3635" spans="2:14" ht="15" customHeight="1" x14ac:dyDescent="0.25">
      <c r="B3635" s="124"/>
      <c r="C3635" s="125"/>
      <c r="D3635" s="125"/>
      <c r="E3635" s="125"/>
      <c r="F3635" s="125"/>
      <c r="G3635" s="125"/>
      <c r="H3635" s="125"/>
      <c r="I3635" s="746"/>
      <c r="J3635" s="747"/>
      <c r="K3635" s="748"/>
      <c r="L3635" s="746"/>
      <c r="M3635" s="747"/>
      <c r="N3635" s="753"/>
    </row>
    <row r="3636" spans="2:14" ht="15" customHeight="1" x14ac:dyDescent="0.25">
      <c r="B3636" s="127"/>
      <c r="C3636" s="125"/>
      <c r="D3636" s="125"/>
      <c r="E3636" s="125"/>
      <c r="F3636" s="125"/>
      <c r="G3636" s="125"/>
      <c r="H3636" s="125"/>
      <c r="I3636" s="749"/>
      <c r="J3636" s="750"/>
      <c r="K3636" s="751"/>
      <c r="L3636" s="749"/>
      <c r="M3636" s="750"/>
      <c r="N3636" s="754"/>
    </row>
    <row r="3637" spans="2:14" ht="15" customHeight="1" x14ac:dyDescent="0.25">
      <c r="B3637" s="225"/>
      <c r="C3637" s="128"/>
      <c r="D3637" s="128"/>
      <c r="E3637" s="128"/>
      <c r="F3637" s="128"/>
      <c r="G3637" s="128"/>
      <c r="H3637" s="128"/>
      <c r="I3637" s="128"/>
      <c r="J3637" s="128"/>
      <c r="K3637" s="128"/>
      <c r="L3637" s="118"/>
      <c r="M3637" s="118"/>
      <c r="N3637" s="210"/>
    </row>
    <row r="3638" spans="2:14" ht="15" customHeight="1" x14ac:dyDescent="0.25">
      <c r="B3638" s="209"/>
      <c r="C3638" s="118"/>
      <c r="D3638" s="118"/>
      <c r="E3638" s="118"/>
      <c r="F3638" s="118"/>
      <c r="G3638" s="118"/>
      <c r="H3638" s="118"/>
      <c r="I3638" s="118"/>
      <c r="J3638" s="118"/>
      <c r="K3638" s="118"/>
      <c r="L3638" s="118"/>
      <c r="M3638" s="118"/>
      <c r="N3638" s="210"/>
    </row>
    <row r="3639" spans="2:14" ht="15" customHeight="1" x14ac:dyDescent="0.25">
      <c r="B3639" s="209"/>
      <c r="C3639" s="118"/>
      <c r="D3639" s="118"/>
      <c r="E3639" s="118"/>
      <c r="F3639" s="118"/>
      <c r="G3639" s="118"/>
      <c r="H3639" s="118"/>
      <c r="I3639" s="118"/>
      <c r="J3639" s="118"/>
      <c r="K3639" s="118"/>
      <c r="L3639" s="118"/>
      <c r="M3639" s="118"/>
      <c r="N3639" s="210"/>
    </row>
    <row r="3640" spans="2:14" ht="15" customHeight="1" thickBot="1" x14ac:dyDescent="0.3">
      <c r="B3640" s="725" t="s">
        <v>414</v>
      </c>
      <c r="C3640" s="726"/>
      <c r="D3640" s="726"/>
      <c r="E3640" s="147"/>
      <c r="F3640" s="147"/>
      <c r="G3640" s="147"/>
      <c r="H3640" s="147"/>
      <c r="I3640" s="727"/>
      <c r="J3640" s="726"/>
      <c r="K3640" s="726"/>
      <c r="L3640" s="130"/>
      <c r="M3640" s="130"/>
      <c r="N3640" s="131"/>
    </row>
    <row r="3641" spans="2:14" ht="15" customHeight="1" thickBot="1" x14ac:dyDescent="0.3"/>
    <row r="3642" spans="2:14" ht="41.45" customHeight="1" x14ac:dyDescent="0.25">
      <c r="B3642" s="728"/>
      <c r="C3642" s="729"/>
      <c r="D3642" s="730" t="s">
        <v>393</v>
      </c>
      <c r="E3642" s="729"/>
      <c r="F3642" s="729"/>
      <c r="G3642" s="729"/>
      <c r="H3642" s="729"/>
      <c r="I3642" s="729"/>
      <c r="J3642" s="729"/>
      <c r="K3642" s="729"/>
      <c r="L3642" s="729"/>
      <c r="M3642" s="729"/>
      <c r="N3642" s="731"/>
    </row>
    <row r="3643" spans="2:14" ht="15" customHeight="1" x14ac:dyDescent="0.25">
      <c r="B3643" s="732" t="s">
        <v>394</v>
      </c>
      <c r="C3643" s="733"/>
      <c r="D3643" s="733"/>
      <c r="E3643" s="733"/>
      <c r="F3643" s="733"/>
      <c r="G3643" s="733"/>
      <c r="H3643" s="733"/>
      <c r="I3643" s="733"/>
      <c r="J3643" s="733"/>
      <c r="K3643" s="733"/>
      <c r="L3643" s="733"/>
      <c r="M3643" s="733"/>
      <c r="N3643" s="734"/>
    </row>
    <row r="3644" spans="2:14" ht="21" customHeight="1" x14ac:dyDescent="0.25">
      <c r="B3644" s="735" t="s">
        <v>395</v>
      </c>
      <c r="C3644" s="736"/>
      <c r="D3644" s="737" t="str">
        <f>VLOOKUP(B3646,Buenaventura!A9:G4891,3,FALSE)</f>
        <v>Lavada con agua a chorro de aspersión con hipoclorito, incluye retiro de material extraño y piezas rotas</v>
      </c>
      <c r="E3644" s="738"/>
      <c r="F3644" s="738"/>
      <c r="G3644" s="738"/>
      <c r="H3644" s="738"/>
      <c r="I3644" s="738"/>
      <c r="J3644" s="738"/>
      <c r="K3644" s="738"/>
      <c r="L3644" s="738"/>
      <c r="M3644" s="738"/>
      <c r="N3644" s="739"/>
    </row>
    <row r="3645" spans="2:14" ht="23.45" customHeight="1" x14ac:dyDescent="0.25">
      <c r="B3645" s="740" t="s">
        <v>26</v>
      </c>
      <c r="C3645" s="741"/>
      <c r="D3645" s="119" t="s">
        <v>396</v>
      </c>
      <c r="E3645" s="742" t="s">
        <v>397</v>
      </c>
      <c r="F3645" s="733"/>
      <c r="G3645" s="733"/>
      <c r="H3645" s="736"/>
      <c r="I3645" s="742" t="s">
        <v>398</v>
      </c>
      <c r="J3645" s="733"/>
      <c r="K3645" s="736"/>
      <c r="L3645" s="742" t="s">
        <v>399</v>
      </c>
      <c r="M3645" s="733"/>
      <c r="N3645" s="734"/>
    </row>
    <row r="3646" spans="2:14" ht="15" customHeight="1" x14ac:dyDescent="0.25">
      <c r="B3646" s="283">
        <v>80</v>
      </c>
      <c r="C3646" s="284" t="str">
        <f>VLOOKUP(B3646,Buenaventura!A9:G4904,2,FALSE)</f>
        <v>VA-07</v>
      </c>
      <c r="D3646" s="285">
        <f>SUM(H3649:H3652)</f>
        <v>10</v>
      </c>
      <c r="E3646" s="743" t="str">
        <f>VLOOKUP(B3646,Buenaventura!A9:G4903,4,FALSE)</f>
        <v>M2</v>
      </c>
      <c r="F3646" s="743"/>
      <c r="G3646" s="743"/>
      <c r="H3646" s="743"/>
      <c r="I3646" s="744"/>
      <c r="J3646" s="745"/>
      <c r="K3646" s="741"/>
      <c r="L3646" s="744"/>
      <c r="M3646" s="745"/>
      <c r="N3646" s="752"/>
    </row>
    <row r="3647" spans="2:14" ht="15" customHeight="1" x14ac:dyDescent="0.25">
      <c r="B3647" s="755" t="s">
        <v>416</v>
      </c>
      <c r="C3647" s="733"/>
      <c r="D3647" s="733"/>
      <c r="E3647" s="733"/>
      <c r="F3647" s="733"/>
      <c r="G3647" s="733"/>
      <c r="H3647" s="736"/>
      <c r="I3647" s="746"/>
      <c r="J3647" s="747"/>
      <c r="K3647" s="748"/>
      <c r="L3647" s="746"/>
      <c r="M3647" s="747"/>
      <c r="N3647" s="753"/>
    </row>
    <row r="3648" spans="2:14" ht="15" customHeight="1" x14ac:dyDescent="0.25">
      <c r="B3648" s="121" t="s">
        <v>400</v>
      </c>
      <c r="C3648" s="122" t="s">
        <v>401</v>
      </c>
      <c r="D3648" s="123" t="s">
        <v>402</v>
      </c>
      <c r="E3648" s="123" t="s">
        <v>403</v>
      </c>
      <c r="F3648" s="123" t="s">
        <v>404</v>
      </c>
      <c r="G3648" s="123" t="s">
        <v>405</v>
      </c>
      <c r="H3648" s="123" t="s">
        <v>406</v>
      </c>
      <c r="I3648" s="746"/>
      <c r="J3648" s="747"/>
      <c r="K3648" s="748"/>
      <c r="L3648" s="746"/>
      <c r="M3648" s="747"/>
      <c r="N3648" s="753"/>
    </row>
    <row r="3649" spans="2:14" ht="15" customHeight="1" x14ac:dyDescent="0.25">
      <c r="B3649" s="124"/>
      <c r="C3649" s="145" t="s">
        <v>601</v>
      </c>
      <c r="D3649" s="125">
        <v>4</v>
      </c>
      <c r="E3649" s="125"/>
      <c r="F3649" s="125"/>
      <c r="G3649" s="125"/>
      <c r="H3649" s="125">
        <f>D3649</f>
        <v>4</v>
      </c>
      <c r="I3649" s="746"/>
      <c r="J3649" s="747"/>
      <c r="K3649" s="748"/>
      <c r="L3649" s="746"/>
      <c r="M3649" s="747"/>
      <c r="N3649" s="753"/>
    </row>
    <row r="3650" spans="2:14" ht="15" customHeight="1" x14ac:dyDescent="0.25">
      <c r="B3650" s="124"/>
      <c r="C3650" s="145" t="s">
        <v>602</v>
      </c>
      <c r="D3650" s="125">
        <v>4</v>
      </c>
      <c r="E3650" s="125"/>
      <c r="F3650" s="125"/>
      <c r="G3650" s="125"/>
      <c r="H3650" s="125">
        <f>D3650</f>
        <v>4</v>
      </c>
      <c r="I3650" s="746"/>
      <c r="J3650" s="747"/>
      <c r="K3650" s="748"/>
      <c r="L3650" s="746"/>
      <c r="M3650" s="747"/>
      <c r="N3650" s="753"/>
    </row>
    <row r="3651" spans="2:14" ht="15" customHeight="1" x14ac:dyDescent="0.25">
      <c r="B3651" s="165"/>
      <c r="C3651" s="145" t="s">
        <v>603</v>
      </c>
      <c r="D3651" s="125">
        <v>2</v>
      </c>
      <c r="E3651" s="125"/>
      <c r="F3651" s="125"/>
      <c r="G3651" s="125"/>
      <c r="H3651" s="125">
        <f t="shared" ref="H3651:H3652" si="74">D3651</f>
        <v>2</v>
      </c>
      <c r="I3651" s="746"/>
      <c r="J3651" s="747"/>
      <c r="K3651" s="748"/>
      <c r="L3651" s="746"/>
      <c r="M3651" s="747"/>
      <c r="N3651" s="753"/>
    </row>
    <row r="3652" spans="2:14" ht="15" customHeight="1" x14ac:dyDescent="0.25">
      <c r="B3652" s="165"/>
      <c r="C3652" s="145"/>
      <c r="D3652" s="125"/>
      <c r="E3652" s="125"/>
      <c r="F3652" s="125"/>
      <c r="G3652" s="125"/>
      <c r="H3652" s="125">
        <f t="shared" si="74"/>
        <v>0</v>
      </c>
      <c r="I3652" s="746"/>
      <c r="J3652" s="747"/>
      <c r="K3652" s="748"/>
      <c r="L3652" s="746"/>
      <c r="M3652" s="747"/>
      <c r="N3652" s="753"/>
    </row>
    <row r="3653" spans="2:14" ht="15" customHeight="1" x14ac:dyDescent="0.25">
      <c r="B3653" s="165"/>
      <c r="C3653" s="145"/>
      <c r="D3653" s="125"/>
      <c r="E3653" s="125"/>
      <c r="F3653" s="125"/>
      <c r="G3653" s="125"/>
      <c r="H3653" s="125"/>
      <c r="I3653" s="746"/>
      <c r="J3653" s="747"/>
      <c r="K3653" s="748"/>
      <c r="L3653" s="746"/>
      <c r="M3653" s="747"/>
      <c r="N3653" s="753"/>
    </row>
    <row r="3654" spans="2:14" ht="15" customHeight="1" x14ac:dyDescent="0.25">
      <c r="B3654" s="165"/>
      <c r="C3654" s="145"/>
      <c r="D3654" s="125"/>
      <c r="E3654" s="125"/>
      <c r="F3654" s="125"/>
      <c r="G3654" s="125"/>
      <c r="H3654" s="125"/>
      <c r="I3654" s="746"/>
      <c r="J3654" s="747"/>
      <c r="K3654" s="748"/>
      <c r="L3654" s="746"/>
      <c r="M3654" s="747"/>
      <c r="N3654" s="753"/>
    </row>
    <row r="3655" spans="2:14" ht="15" customHeight="1" x14ac:dyDescent="0.25">
      <c r="B3655" s="165"/>
      <c r="C3655" s="145"/>
      <c r="D3655" s="125"/>
      <c r="E3655" s="125"/>
      <c r="F3655" s="125"/>
      <c r="G3655" s="125"/>
      <c r="H3655" s="125"/>
      <c r="I3655" s="746"/>
      <c r="J3655" s="747"/>
      <c r="K3655" s="748"/>
      <c r="L3655" s="746"/>
      <c r="M3655" s="747"/>
      <c r="N3655" s="753"/>
    </row>
    <row r="3656" spans="2:14" ht="15" customHeight="1" x14ac:dyDescent="0.25">
      <c r="B3656" s="124"/>
      <c r="C3656" s="145"/>
      <c r="D3656" s="125"/>
      <c r="E3656" s="125"/>
      <c r="F3656" s="125"/>
      <c r="G3656" s="125"/>
      <c r="H3656" s="125"/>
      <c r="I3656" s="746"/>
      <c r="J3656" s="747"/>
      <c r="K3656" s="748"/>
      <c r="L3656" s="746"/>
      <c r="M3656" s="747"/>
      <c r="N3656" s="753"/>
    </row>
    <row r="3657" spans="2:14" ht="15" customHeight="1" x14ac:dyDescent="0.25">
      <c r="B3657" s="124"/>
      <c r="C3657" s="125"/>
      <c r="D3657" s="125"/>
      <c r="E3657" s="125"/>
      <c r="F3657" s="125"/>
      <c r="G3657" s="125"/>
      <c r="H3657" s="125"/>
      <c r="I3657" s="746"/>
      <c r="J3657" s="747"/>
      <c r="K3657" s="748"/>
      <c r="L3657" s="746"/>
      <c r="M3657" s="747"/>
      <c r="N3657" s="753"/>
    </row>
    <row r="3658" spans="2:14" ht="15" customHeight="1" x14ac:dyDescent="0.25">
      <c r="B3658" s="127"/>
      <c r="C3658" s="125"/>
      <c r="D3658" s="125"/>
      <c r="E3658" s="125"/>
      <c r="F3658" s="125"/>
      <c r="G3658" s="125"/>
      <c r="H3658" s="125"/>
      <c r="I3658" s="749"/>
      <c r="J3658" s="750"/>
      <c r="K3658" s="751"/>
      <c r="L3658" s="749"/>
      <c r="M3658" s="750"/>
      <c r="N3658" s="754"/>
    </row>
    <row r="3659" spans="2:14" ht="15" customHeight="1" x14ac:dyDescent="0.25">
      <c r="B3659" s="225"/>
      <c r="C3659" s="128"/>
      <c r="D3659" s="128"/>
      <c r="E3659" s="128"/>
      <c r="F3659" s="128"/>
      <c r="G3659" s="128"/>
      <c r="H3659" s="128"/>
      <c r="I3659" s="128"/>
      <c r="J3659" s="128"/>
      <c r="K3659" s="128"/>
      <c r="L3659" s="118"/>
      <c r="M3659" s="118"/>
      <c r="N3659" s="210"/>
    </row>
    <row r="3660" spans="2:14" ht="15" customHeight="1" x14ac:dyDescent="0.25">
      <c r="B3660" s="209"/>
      <c r="C3660" s="118"/>
      <c r="D3660" s="118"/>
      <c r="E3660" s="118"/>
      <c r="F3660" s="118"/>
      <c r="G3660" s="118"/>
      <c r="H3660" s="118"/>
      <c r="I3660" s="118"/>
      <c r="J3660" s="118"/>
      <c r="K3660" s="118"/>
      <c r="L3660" s="118"/>
      <c r="M3660" s="118"/>
      <c r="N3660" s="210"/>
    </row>
    <row r="3661" spans="2:14" ht="15" customHeight="1" x14ac:dyDescent="0.25">
      <c r="B3661" s="209"/>
      <c r="C3661" s="118"/>
      <c r="D3661" s="118"/>
      <c r="E3661" s="118"/>
      <c r="F3661" s="118"/>
      <c r="G3661" s="118"/>
      <c r="H3661" s="118"/>
      <c r="I3661" s="118"/>
      <c r="J3661" s="118"/>
      <c r="K3661" s="118"/>
      <c r="L3661" s="118"/>
      <c r="M3661" s="118"/>
      <c r="N3661" s="210"/>
    </row>
    <row r="3662" spans="2:14" ht="15" customHeight="1" thickBot="1" x14ac:dyDescent="0.3">
      <c r="B3662" s="725" t="s">
        <v>414</v>
      </c>
      <c r="C3662" s="726"/>
      <c r="D3662" s="726"/>
      <c r="E3662" s="147"/>
      <c r="F3662" s="147"/>
      <c r="G3662" s="147"/>
      <c r="H3662" s="147"/>
      <c r="I3662" s="727"/>
      <c r="J3662" s="726"/>
      <c r="K3662" s="726"/>
      <c r="L3662" s="130"/>
      <c r="M3662" s="130"/>
      <c r="N3662" s="131"/>
    </row>
    <row r="3663" spans="2:14" ht="15" customHeight="1" thickBot="1" x14ac:dyDescent="0.3"/>
    <row r="3664" spans="2:14" ht="40.9" customHeight="1" x14ac:dyDescent="0.25">
      <c r="B3664" s="728"/>
      <c r="C3664" s="729"/>
      <c r="D3664" s="730" t="s">
        <v>393</v>
      </c>
      <c r="E3664" s="729"/>
      <c r="F3664" s="729"/>
      <c r="G3664" s="729"/>
      <c r="H3664" s="729"/>
      <c r="I3664" s="729"/>
      <c r="J3664" s="729"/>
      <c r="K3664" s="729"/>
      <c r="L3664" s="729"/>
      <c r="M3664" s="729"/>
      <c r="N3664" s="731"/>
    </row>
    <row r="3665" spans="2:14" ht="15" customHeight="1" x14ac:dyDescent="0.25">
      <c r="B3665" s="732" t="s">
        <v>394</v>
      </c>
      <c r="C3665" s="733"/>
      <c r="D3665" s="733"/>
      <c r="E3665" s="733"/>
      <c r="F3665" s="733"/>
      <c r="G3665" s="733"/>
      <c r="H3665" s="733"/>
      <c r="I3665" s="733"/>
      <c r="J3665" s="733"/>
      <c r="K3665" s="733"/>
      <c r="L3665" s="733"/>
      <c r="M3665" s="733"/>
      <c r="N3665" s="734"/>
    </row>
    <row r="3666" spans="2:14" ht="15" customHeight="1" x14ac:dyDescent="0.25">
      <c r="B3666" s="735" t="s">
        <v>395</v>
      </c>
      <c r="C3666" s="736"/>
      <c r="D3666" s="737" t="str">
        <f>VLOOKUP(B3668,Buenaventura!A9:G4913,3,FALSE)</f>
        <v>Suministro y aplicación de impermeabilizante por cristalización tipo Xypex</v>
      </c>
      <c r="E3666" s="738"/>
      <c r="F3666" s="738"/>
      <c r="G3666" s="738"/>
      <c r="H3666" s="738"/>
      <c r="I3666" s="738"/>
      <c r="J3666" s="738"/>
      <c r="K3666" s="738"/>
      <c r="L3666" s="738"/>
      <c r="M3666" s="738"/>
      <c r="N3666" s="739"/>
    </row>
    <row r="3667" spans="2:14" ht="29.45" customHeight="1" x14ac:dyDescent="0.25">
      <c r="B3667" s="740" t="s">
        <v>26</v>
      </c>
      <c r="C3667" s="741"/>
      <c r="D3667" s="119" t="s">
        <v>396</v>
      </c>
      <c r="E3667" s="742" t="s">
        <v>397</v>
      </c>
      <c r="F3667" s="733"/>
      <c r="G3667" s="733"/>
      <c r="H3667" s="736"/>
      <c r="I3667" s="742" t="s">
        <v>398</v>
      </c>
      <c r="J3667" s="733"/>
      <c r="K3667" s="736"/>
      <c r="L3667" s="742" t="s">
        <v>399</v>
      </c>
      <c r="M3667" s="733"/>
      <c r="N3667" s="734"/>
    </row>
    <row r="3668" spans="2:14" ht="15" customHeight="1" x14ac:dyDescent="0.25">
      <c r="B3668" s="283">
        <v>81</v>
      </c>
      <c r="C3668" s="284" t="str">
        <f>VLOOKUP(B3668,Buenaventura!A9:G4926,2,FALSE)</f>
        <v>VA-34</v>
      </c>
      <c r="D3668" s="285">
        <f>SUM(H3671:H3674)</f>
        <v>2</v>
      </c>
      <c r="E3668" s="743" t="str">
        <f>VLOOKUP(B3668,Buenaventura!A9:G4925,4,FALSE)</f>
        <v>m2</v>
      </c>
      <c r="F3668" s="743"/>
      <c r="G3668" s="743"/>
      <c r="H3668" s="743"/>
      <c r="I3668" s="744"/>
      <c r="J3668" s="745"/>
      <c r="K3668" s="741"/>
      <c r="L3668" s="744"/>
      <c r="M3668" s="745"/>
      <c r="N3668" s="752"/>
    </row>
    <row r="3669" spans="2:14" ht="15" customHeight="1" x14ac:dyDescent="0.25">
      <c r="B3669" s="755" t="s">
        <v>416</v>
      </c>
      <c r="C3669" s="733"/>
      <c r="D3669" s="733"/>
      <c r="E3669" s="733"/>
      <c r="F3669" s="733"/>
      <c r="G3669" s="733"/>
      <c r="H3669" s="736"/>
      <c r="I3669" s="746"/>
      <c r="J3669" s="747"/>
      <c r="K3669" s="748"/>
      <c r="L3669" s="746"/>
      <c r="M3669" s="747"/>
      <c r="N3669" s="753"/>
    </row>
    <row r="3670" spans="2:14" ht="15" customHeight="1" x14ac:dyDescent="0.25">
      <c r="B3670" s="121" t="s">
        <v>400</v>
      </c>
      <c r="C3670" s="122" t="s">
        <v>401</v>
      </c>
      <c r="D3670" s="123" t="s">
        <v>402</v>
      </c>
      <c r="E3670" s="123" t="s">
        <v>403</v>
      </c>
      <c r="F3670" s="123" t="s">
        <v>404</v>
      </c>
      <c r="G3670" s="123" t="s">
        <v>405</v>
      </c>
      <c r="H3670" s="123" t="s">
        <v>406</v>
      </c>
      <c r="I3670" s="746"/>
      <c r="J3670" s="747"/>
      <c r="K3670" s="748"/>
      <c r="L3670" s="746"/>
      <c r="M3670" s="747"/>
      <c r="N3670" s="753"/>
    </row>
    <row r="3671" spans="2:14" ht="15" customHeight="1" x14ac:dyDescent="0.25">
      <c r="B3671" s="124"/>
      <c r="C3671" s="145" t="s">
        <v>604</v>
      </c>
      <c r="D3671" s="125">
        <v>2</v>
      </c>
      <c r="E3671" s="125"/>
      <c r="F3671" s="125"/>
      <c r="G3671" s="125"/>
      <c r="H3671" s="125">
        <f>D3671</f>
        <v>2</v>
      </c>
      <c r="I3671" s="746"/>
      <c r="J3671" s="747"/>
      <c r="K3671" s="748"/>
      <c r="L3671" s="746"/>
      <c r="M3671" s="747"/>
      <c r="N3671" s="753"/>
    </row>
    <row r="3672" spans="2:14" ht="15" customHeight="1" x14ac:dyDescent="0.25">
      <c r="B3672" s="124"/>
      <c r="C3672" s="145"/>
      <c r="D3672" s="125"/>
      <c r="E3672" s="125"/>
      <c r="F3672" s="125"/>
      <c r="G3672" s="125"/>
      <c r="H3672" s="125"/>
      <c r="I3672" s="746"/>
      <c r="J3672" s="747"/>
      <c r="K3672" s="748"/>
      <c r="L3672" s="746"/>
      <c r="M3672" s="747"/>
      <c r="N3672" s="753"/>
    </row>
    <row r="3673" spans="2:14" ht="15" customHeight="1" x14ac:dyDescent="0.25">
      <c r="B3673" s="165"/>
      <c r="C3673" s="145"/>
      <c r="D3673" s="125"/>
      <c r="E3673" s="125"/>
      <c r="F3673" s="125"/>
      <c r="G3673" s="125"/>
      <c r="H3673" s="125"/>
      <c r="I3673" s="746"/>
      <c r="J3673" s="747"/>
      <c r="K3673" s="748"/>
      <c r="L3673" s="746"/>
      <c r="M3673" s="747"/>
      <c r="N3673" s="753"/>
    </row>
    <row r="3674" spans="2:14" ht="15" customHeight="1" x14ac:dyDescent="0.25">
      <c r="B3674" s="165"/>
      <c r="C3674" s="145"/>
      <c r="D3674" s="125"/>
      <c r="E3674" s="125"/>
      <c r="F3674" s="125"/>
      <c r="G3674" s="125"/>
      <c r="H3674" s="125"/>
      <c r="I3674" s="746"/>
      <c r="J3674" s="747"/>
      <c r="K3674" s="748"/>
      <c r="L3674" s="746"/>
      <c r="M3674" s="747"/>
      <c r="N3674" s="753"/>
    </row>
    <row r="3675" spans="2:14" ht="15" customHeight="1" x14ac:dyDescent="0.25">
      <c r="B3675" s="165"/>
      <c r="C3675" s="145"/>
      <c r="D3675" s="125"/>
      <c r="E3675" s="125"/>
      <c r="F3675" s="125"/>
      <c r="G3675" s="125"/>
      <c r="H3675" s="125"/>
      <c r="I3675" s="746"/>
      <c r="J3675" s="747"/>
      <c r="K3675" s="748"/>
      <c r="L3675" s="746"/>
      <c r="M3675" s="747"/>
      <c r="N3675" s="753"/>
    </row>
    <row r="3676" spans="2:14" ht="15" customHeight="1" x14ac:dyDescent="0.25">
      <c r="B3676" s="165"/>
      <c r="C3676" s="145"/>
      <c r="D3676" s="125"/>
      <c r="E3676" s="125"/>
      <c r="F3676" s="125"/>
      <c r="G3676" s="125"/>
      <c r="H3676" s="125"/>
      <c r="I3676" s="746"/>
      <c r="J3676" s="747"/>
      <c r="K3676" s="748"/>
      <c r="L3676" s="746"/>
      <c r="M3676" s="747"/>
      <c r="N3676" s="753"/>
    </row>
    <row r="3677" spans="2:14" ht="15" customHeight="1" x14ac:dyDescent="0.25">
      <c r="B3677" s="165"/>
      <c r="C3677" s="145"/>
      <c r="D3677" s="125"/>
      <c r="E3677" s="125"/>
      <c r="F3677" s="125"/>
      <c r="G3677" s="125"/>
      <c r="H3677" s="125"/>
      <c r="I3677" s="746"/>
      <c r="J3677" s="747"/>
      <c r="K3677" s="748"/>
      <c r="L3677" s="746"/>
      <c r="M3677" s="747"/>
      <c r="N3677" s="753"/>
    </row>
    <row r="3678" spans="2:14" ht="15" customHeight="1" x14ac:dyDescent="0.25">
      <c r="B3678" s="124"/>
      <c r="C3678" s="145"/>
      <c r="D3678" s="125"/>
      <c r="E3678" s="125"/>
      <c r="F3678" s="125"/>
      <c r="G3678" s="125"/>
      <c r="H3678" s="125"/>
      <c r="I3678" s="746"/>
      <c r="J3678" s="747"/>
      <c r="K3678" s="748"/>
      <c r="L3678" s="746"/>
      <c r="M3678" s="747"/>
      <c r="N3678" s="753"/>
    </row>
    <row r="3679" spans="2:14" ht="15" customHeight="1" x14ac:dyDescent="0.25">
      <c r="B3679" s="124"/>
      <c r="C3679" s="125"/>
      <c r="D3679" s="125"/>
      <c r="E3679" s="125"/>
      <c r="F3679" s="125"/>
      <c r="G3679" s="125"/>
      <c r="H3679" s="125"/>
      <c r="I3679" s="746"/>
      <c r="J3679" s="747"/>
      <c r="K3679" s="748"/>
      <c r="L3679" s="746"/>
      <c r="M3679" s="747"/>
      <c r="N3679" s="753"/>
    </row>
    <row r="3680" spans="2:14" ht="15" customHeight="1" x14ac:dyDescent="0.25">
      <c r="B3680" s="127"/>
      <c r="C3680" s="125"/>
      <c r="D3680" s="125"/>
      <c r="E3680" s="125"/>
      <c r="F3680" s="125"/>
      <c r="G3680" s="125"/>
      <c r="H3680" s="125"/>
      <c r="I3680" s="749"/>
      <c r="J3680" s="750"/>
      <c r="K3680" s="751"/>
      <c r="L3680" s="749"/>
      <c r="M3680" s="750"/>
      <c r="N3680" s="754"/>
    </row>
    <row r="3681" spans="2:14" ht="15" customHeight="1" x14ac:dyDescent="0.25">
      <c r="B3681" s="225"/>
      <c r="C3681" s="128"/>
      <c r="D3681" s="128"/>
      <c r="E3681" s="128"/>
      <c r="F3681" s="128"/>
      <c r="G3681" s="128"/>
      <c r="H3681" s="128"/>
      <c r="I3681" s="128"/>
      <c r="J3681" s="128"/>
      <c r="K3681" s="128"/>
      <c r="L3681" s="118"/>
      <c r="M3681" s="118"/>
      <c r="N3681" s="210"/>
    </row>
    <row r="3682" spans="2:14" ht="15" customHeight="1" x14ac:dyDescent="0.25">
      <c r="B3682" s="209"/>
      <c r="C3682" s="118"/>
      <c r="D3682" s="118"/>
      <c r="E3682" s="118"/>
      <c r="F3682" s="118"/>
      <c r="G3682" s="118"/>
      <c r="H3682" s="118"/>
      <c r="I3682" s="118"/>
      <c r="J3682" s="118"/>
      <c r="K3682" s="118"/>
      <c r="L3682" s="118"/>
      <c r="M3682" s="118"/>
      <c r="N3682" s="210"/>
    </row>
    <row r="3683" spans="2:14" ht="15" customHeight="1" x14ac:dyDescent="0.25">
      <c r="B3683" s="209"/>
      <c r="C3683" s="118"/>
      <c r="D3683" s="118"/>
      <c r="E3683" s="118"/>
      <c r="F3683" s="118"/>
      <c r="G3683" s="118"/>
      <c r="H3683" s="118"/>
      <c r="I3683" s="118"/>
      <c r="J3683" s="118"/>
      <c r="K3683" s="118"/>
      <c r="L3683" s="118"/>
      <c r="M3683" s="118"/>
      <c r="N3683" s="210"/>
    </row>
    <row r="3684" spans="2:14" ht="15" customHeight="1" thickBot="1" x14ac:dyDescent="0.3">
      <c r="B3684" s="725" t="s">
        <v>414</v>
      </c>
      <c r="C3684" s="726"/>
      <c r="D3684" s="726"/>
      <c r="E3684" s="147"/>
      <c r="F3684" s="147"/>
      <c r="G3684" s="147"/>
      <c r="H3684" s="147"/>
      <c r="I3684" s="727"/>
      <c r="J3684" s="726"/>
      <c r="K3684" s="726"/>
      <c r="L3684" s="130"/>
      <c r="M3684" s="130"/>
      <c r="N3684" s="131"/>
    </row>
    <row r="3685" spans="2:14" ht="15" customHeight="1" thickBot="1" x14ac:dyDescent="0.3"/>
    <row r="3686" spans="2:14" ht="41.45" customHeight="1" x14ac:dyDescent="0.25">
      <c r="B3686" s="728"/>
      <c r="C3686" s="729"/>
      <c r="D3686" s="730" t="s">
        <v>393</v>
      </c>
      <c r="E3686" s="729"/>
      <c r="F3686" s="729"/>
      <c r="G3686" s="729"/>
      <c r="H3686" s="729"/>
      <c r="I3686" s="729"/>
      <c r="J3686" s="729"/>
      <c r="K3686" s="729"/>
      <c r="L3686" s="729"/>
      <c r="M3686" s="729"/>
      <c r="N3686" s="731"/>
    </row>
    <row r="3687" spans="2:14" ht="15" customHeight="1" x14ac:dyDescent="0.25">
      <c r="B3687" s="732" t="s">
        <v>394</v>
      </c>
      <c r="C3687" s="733"/>
      <c r="D3687" s="733"/>
      <c r="E3687" s="733"/>
      <c r="F3687" s="733"/>
      <c r="G3687" s="733"/>
      <c r="H3687" s="733"/>
      <c r="I3687" s="733"/>
      <c r="J3687" s="733"/>
      <c r="K3687" s="733"/>
      <c r="L3687" s="733"/>
      <c r="M3687" s="733"/>
      <c r="N3687" s="734"/>
    </row>
    <row r="3688" spans="2:14" ht="15" customHeight="1" x14ac:dyDescent="0.25">
      <c r="B3688" s="735" t="s">
        <v>395</v>
      </c>
      <c r="C3688" s="736"/>
      <c r="D3688" s="737" t="str">
        <f>VLOOKUP(B3690,Buenaventura!A9:G4935,3,FALSE)</f>
        <v>Desmonte aparatos sanitarios, incluye retiro y disposición final en centro de acopio autorizado</v>
      </c>
      <c r="E3688" s="738"/>
      <c r="F3688" s="738"/>
      <c r="G3688" s="738"/>
      <c r="H3688" s="738"/>
      <c r="I3688" s="738"/>
      <c r="J3688" s="738"/>
      <c r="K3688" s="738"/>
      <c r="L3688" s="738"/>
      <c r="M3688" s="738"/>
      <c r="N3688" s="739"/>
    </row>
    <row r="3689" spans="2:14" ht="29.45" customHeight="1" x14ac:dyDescent="0.25">
      <c r="B3689" s="740" t="s">
        <v>26</v>
      </c>
      <c r="C3689" s="741"/>
      <c r="D3689" s="119" t="s">
        <v>396</v>
      </c>
      <c r="E3689" s="742" t="s">
        <v>397</v>
      </c>
      <c r="F3689" s="733"/>
      <c r="G3689" s="733"/>
      <c r="H3689" s="736"/>
      <c r="I3689" s="742" t="s">
        <v>398</v>
      </c>
      <c r="J3689" s="733"/>
      <c r="K3689" s="736"/>
      <c r="L3689" s="742" t="s">
        <v>399</v>
      </c>
      <c r="M3689" s="733"/>
      <c r="N3689" s="734"/>
    </row>
    <row r="3690" spans="2:14" ht="15" customHeight="1" x14ac:dyDescent="0.25">
      <c r="B3690" s="283">
        <v>82</v>
      </c>
      <c r="C3690" s="284" t="str">
        <f>VLOOKUP(B3690,Buenaventura!A9:G4948,2,FALSE)</f>
        <v>PR-23</v>
      </c>
      <c r="D3690" s="285">
        <f>SUM(H3693:H3696)</f>
        <v>2</v>
      </c>
      <c r="E3690" s="743" t="str">
        <f>VLOOKUP(B3690,Buenaventura!A9:G4947,4,FALSE)</f>
        <v>UND</v>
      </c>
      <c r="F3690" s="743"/>
      <c r="G3690" s="743"/>
      <c r="H3690" s="743"/>
      <c r="I3690" s="744"/>
      <c r="J3690" s="745"/>
      <c r="K3690" s="741"/>
      <c r="L3690" s="744"/>
      <c r="M3690" s="745"/>
      <c r="N3690" s="752"/>
    </row>
    <row r="3691" spans="2:14" ht="15" customHeight="1" x14ac:dyDescent="0.25">
      <c r="B3691" s="755" t="s">
        <v>416</v>
      </c>
      <c r="C3691" s="733"/>
      <c r="D3691" s="733"/>
      <c r="E3691" s="733"/>
      <c r="F3691" s="733"/>
      <c r="G3691" s="733"/>
      <c r="H3691" s="736"/>
      <c r="I3691" s="746"/>
      <c r="J3691" s="747"/>
      <c r="K3691" s="748"/>
      <c r="L3691" s="746"/>
      <c r="M3691" s="747"/>
      <c r="N3691" s="753"/>
    </row>
    <row r="3692" spans="2:14" ht="15" customHeight="1" x14ac:dyDescent="0.25">
      <c r="B3692" s="121" t="s">
        <v>400</v>
      </c>
      <c r="C3692" s="122" t="s">
        <v>401</v>
      </c>
      <c r="D3692" s="123" t="s">
        <v>402</v>
      </c>
      <c r="E3692" s="123" t="s">
        <v>403</v>
      </c>
      <c r="F3692" s="123" t="s">
        <v>404</v>
      </c>
      <c r="G3692" s="123" t="s">
        <v>405</v>
      </c>
      <c r="H3692" s="123" t="s">
        <v>406</v>
      </c>
      <c r="I3692" s="746"/>
      <c r="J3692" s="747"/>
      <c r="K3692" s="748"/>
      <c r="L3692" s="746"/>
      <c r="M3692" s="747"/>
      <c r="N3692" s="753"/>
    </row>
    <row r="3693" spans="2:14" ht="15" customHeight="1" x14ac:dyDescent="0.25">
      <c r="B3693" s="124"/>
      <c r="C3693" s="145" t="s">
        <v>605</v>
      </c>
      <c r="D3693" s="125">
        <v>2</v>
      </c>
      <c r="E3693" s="125"/>
      <c r="F3693" s="125"/>
      <c r="G3693" s="125"/>
      <c r="H3693" s="125">
        <f>D3693</f>
        <v>2</v>
      </c>
      <c r="I3693" s="746"/>
      <c r="J3693" s="747"/>
      <c r="K3693" s="748"/>
      <c r="L3693" s="746"/>
      <c r="M3693" s="747"/>
      <c r="N3693" s="753"/>
    </row>
    <row r="3694" spans="2:14" ht="15" customHeight="1" x14ac:dyDescent="0.25">
      <c r="B3694" s="124"/>
      <c r="C3694" s="145"/>
      <c r="D3694" s="125"/>
      <c r="E3694" s="125"/>
      <c r="F3694" s="125"/>
      <c r="G3694" s="125"/>
      <c r="H3694" s="125"/>
      <c r="I3694" s="746"/>
      <c r="J3694" s="747"/>
      <c r="K3694" s="748"/>
      <c r="L3694" s="746"/>
      <c r="M3694" s="747"/>
      <c r="N3694" s="753"/>
    </row>
    <row r="3695" spans="2:14" ht="15" customHeight="1" x14ac:dyDescent="0.25">
      <c r="B3695" s="165"/>
      <c r="C3695" s="145"/>
      <c r="D3695" s="125"/>
      <c r="E3695" s="125"/>
      <c r="F3695" s="125"/>
      <c r="G3695" s="125"/>
      <c r="H3695" s="125"/>
      <c r="I3695" s="746"/>
      <c r="J3695" s="747"/>
      <c r="K3695" s="748"/>
      <c r="L3695" s="746"/>
      <c r="M3695" s="747"/>
      <c r="N3695" s="753"/>
    </row>
    <row r="3696" spans="2:14" ht="15" customHeight="1" x14ac:dyDescent="0.25">
      <c r="B3696" s="165"/>
      <c r="C3696" s="145"/>
      <c r="D3696" s="125"/>
      <c r="E3696" s="125"/>
      <c r="F3696" s="125"/>
      <c r="G3696" s="125"/>
      <c r="H3696" s="125"/>
      <c r="I3696" s="746"/>
      <c r="J3696" s="747"/>
      <c r="K3696" s="748"/>
      <c r="L3696" s="746"/>
      <c r="M3696" s="747"/>
      <c r="N3696" s="753"/>
    </row>
    <row r="3697" spans="2:14" ht="15" customHeight="1" x14ac:dyDescent="0.25">
      <c r="B3697" s="165"/>
      <c r="C3697" s="145"/>
      <c r="D3697" s="125"/>
      <c r="E3697" s="125"/>
      <c r="F3697" s="125"/>
      <c r="G3697" s="125"/>
      <c r="H3697" s="125"/>
      <c r="I3697" s="746"/>
      <c r="J3697" s="747"/>
      <c r="K3697" s="748"/>
      <c r="L3697" s="746"/>
      <c r="M3697" s="747"/>
      <c r="N3697" s="753"/>
    </row>
    <row r="3698" spans="2:14" ht="15" customHeight="1" x14ac:dyDescent="0.25">
      <c r="B3698" s="165"/>
      <c r="C3698" s="145"/>
      <c r="D3698" s="125"/>
      <c r="E3698" s="125"/>
      <c r="F3698" s="125"/>
      <c r="G3698" s="125"/>
      <c r="H3698" s="125"/>
      <c r="I3698" s="746"/>
      <c r="J3698" s="747"/>
      <c r="K3698" s="748"/>
      <c r="L3698" s="746"/>
      <c r="M3698" s="747"/>
      <c r="N3698" s="753"/>
    </row>
    <row r="3699" spans="2:14" ht="15" customHeight="1" x14ac:dyDescent="0.25">
      <c r="B3699" s="165"/>
      <c r="C3699" s="145"/>
      <c r="D3699" s="125"/>
      <c r="E3699" s="125"/>
      <c r="F3699" s="125"/>
      <c r="G3699" s="125"/>
      <c r="H3699" s="125"/>
      <c r="I3699" s="746"/>
      <c r="J3699" s="747"/>
      <c r="K3699" s="748"/>
      <c r="L3699" s="746"/>
      <c r="M3699" s="747"/>
      <c r="N3699" s="753"/>
    </row>
    <row r="3700" spans="2:14" ht="15" customHeight="1" x14ac:dyDescent="0.25">
      <c r="B3700" s="124"/>
      <c r="C3700" s="145"/>
      <c r="D3700" s="125"/>
      <c r="E3700" s="125"/>
      <c r="F3700" s="125"/>
      <c r="G3700" s="125"/>
      <c r="H3700" s="125"/>
      <c r="I3700" s="746"/>
      <c r="J3700" s="747"/>
      <c r="K3700" s="748"/>
      <c r="L3700" s="746"/>
      <c r="M3700" s="747"/>
      <c r="N3700" s="753"/>
    </row>
    <row r="3701" spans="2:14" ht="15" customHeight="1" x14ac:dyDescent="0.25">
      <c r="B3701" s="124"/>
      <c r="C3701" s="125"/>
      <c r="D3701" s="125"/>
      <c r="E3701" s="125"/>
      <c r="F3701" s="125"/>
      <c r="G3701" s="125"/>
      <c r="H3701" s="125"/>
      <c r="I3701" s="746"/>
      <c r="J3701" s="747"/>
      <c r="K3701" s="748"/>
      <c r="L3701" s="746"/>
      <c r="M3701" s="747"/>
      <c r="N3701" s="753"/>
    </row>
    <row r="3702" spans="2:14" ht="15" customHeight="1" x14ac:dyDescent="0.25">
      <c r="B3702" s="127"/>
      <c r="C3702" s="125"/>
      <c r="D3702" s="125"/>
      <c r="E3702" s="125"/>
      <c r="F3702" s="125"/>
      <c r="G3702" s="125"/>
      <c r="H3702" s="125"/>
      <c r="I3702" s="749"/>
      <c r="J3702" s="750"/>
      <c r="K3702" s="751"/>
      <c r="L3702" s="749"/>
      <c r="M3702" s="750"/>
      <c r="N3702" s="754"/>
    </row>
    <row r="3703" spans="2:14" ht="15" customHeight="1" x14ac:dyDescent="0.25">
      <c r="B3703" s="225"/>
      <c r="C3703" s="128"/>
      <c r="D3703" s="128"/>
      <c r="E3703" s="128"/>
      <c r="F3703" s="128"/>
      <c r="G3703" s="128"/>
      <c r="H3703" s="128"/>
      <c r="I3703" s="128"/>
      <c r="J3703" s="128"/>
      <c r="K3703" s="128"/>
      <c r="L3703" s="118"/>
      <c r="M3703" s="118"/>
      <c r="N3703" s="210"/>
    </row>
    <row r="3704" spans="2:14" ht="15" customHeight="1" x14ac:dyDescent="0.25">
      <c r="B3704" s="209"/>
      <c r="C3704" s="118"/>
      <c r="D3704" s="118"/>
      <c r="E3704" s="118"/>
      <c r="F3704" s="118"/>
      <c r="G3704" s="118"/>
      <c r="H3704" s="118"/>
      <c r="I3704" s="118"/>
      <c r="J3704" s="118"/>
      <c r="K3704" s="118"/>
      <c r="L3704" s="118"/>
      <c r="M3704" s="118"/>
      <c r="N3704" s="210"/>
    </row>
    <row r="3705" spans="2:14" ht="15" customHeight="1" x14ac:dyDescent="0.25">
      <c r="B3705" s="209"/>
      <c r="C3705" s="118"/>
      <c r="D3705" s="118"/>
      <c r="E3705" s="118"/>
      <c r="F3705" s="118"/>
      <c r="G3705" s="118"/>
      <c r="H3705" s="118"/>
      <c r="I3705" s="118"/>
      <c r="J3705" s="118"/>
      <c r="K3705" s="118"/>
      <c r="L3705" s="118"/>
      <c r="M3705" s="118"/>
      <c r="N3705" s="210"/>
    </row>
    <row r="3706" spans="2:14" ht="15" customHeight="1" thickBot="1" x14ac:dyDescent="0.3">
      <c r="B3706" s="725" t="s">
        <v>414</v>
      </c>
      <c r="C3706" s="726"/>
      <c r="D3706" s="726"/>
      <c r="E3706" s="147"/>
      <c r="F3706" s="147"/>
      <c r="G3706" s="147"/>
      <c r="H3706" s="147"/>
      <c r="I3706" s="727"/>
      <c r="J3706" s="726"/>
      <c r="K3706" s="726"/>
      <c r="L3706" s="130"/>
      <c r="M3706" s="130"/>
      <c r="N3706" s="131"/>
    </row>
    <row r="3707" spans="2:14" ht="15" customHeight="1" thickBot="1" x14ac:dyDescent="0.3"/>
    <row r="3708" spans="2:14" ht="43.15" customHeight="1" x14ac:dyDescent="0.25">
      <c r="B3708" s="728"/>
      <c r="C3708" s="729"/>
      <c r="D3708" s="730" t="s">
        <v>393</v>
      </c>
      <c r="E3708" s="729"/>
      <c r="F3708" s="729"/>
      <c r="G3708" s="729"/>
      <c r="H3708" s="729"/>
      <c r="I3708" s="729"/>
      <c r="J3708" s="729"/>
      <c r="K3708" s="729"/>
      <c r="L3708" s="729"/>
      <c r="M3708" s="729"/>
      <c r="N3708" s="731"/>
    </row>
    <row r="3709" spans="2:14" ht="15" customHeight="1" x14ac:dyDescent="0.25">
      <c r="B3709" s="732" t="s">
        <v>394</v>
      </c>
      <c r="C3709" s="733"/>
      <c r="D3709" s="733"/>
      <c r="E3709" s="733"/>
      <c r="F3709" s="733"/>
      <c r="G3709" s="733"/>
      <c r="H3709" s="733"/>
      <c r="I3709" s="733"/>
      <c r="J3709" s="733"/>
      <c r="K3709" s="733"/>
      <c r="L3709" s="733"/>
      <c r="M3709" s="733"/>
      <c r="N3709" s="734"/>
    </row>
    <row r="3710" spans="2:14" ht="19.149999999999999" customHeight="1" x14ac:dyDescent="0.25">
      <c r="B3710" s="735" t="s">
        <v>395</v>
      </c>
      <c r="C3710" s="736"/>
      <c r="D3710" s="737" t="str">
        <f>VLOOKUP(B3712,Buenaventura!A9:G4957,3,FALSE)</f>
        <v>Desmonte de puertas existentes,incluye retiro y disposición final en centro de acopio autorizado</v>
      </c>
      <c r="E3710" s="738"/>
      <c r="F3710" s="738"/>
      <c r="G3710" s="738"/>
      <c r="H3710" s="738"/>
      <c r="I3710" s="738"/>
      <c r="J3710" s="738"/>
      <c r="K3710" s="738"/>
      <c r="L3710" s="738"/>
      <c r="M3710" s="738"/>
      <c r="N3710" s="739"/>
    </row>
    <row r="3711" spans="2:14" ht="27.6" customHeight="1" x14ac:dyDescent="0.25">
      <c r="B3711" s="740" t="s">
        <v>26</v>
      </c>
      <c r="C3711" s="741"/>
      <c r="D3711" s="119" t="s">
        <v>396</v>
      </c>
      <c r="E3711" s="742" t="s">
        <v>397</v>
      </c>
      <c r="F3711" s="733"/>
      <c r="G3711" s="733"/>
      <c r="H3711" s="736"/>
      <c r="I3711" s="742" t="s">
        <v>398</v>
      </c>
      <c r="J3711" s="733"/>
      <c r="K3711" s="736"/>
      <c r="L3711" s="742" t="s">
        <v>399</v>
      </c>
      <c r="M3711" s="733"/>
      <c r="N3711" s="734"/>
    </row>
    <row r="3712" spans="2:14" ht="15" customHeight="1" x14ac:dyDescent="0.25">
      <c r="B3712" s="283">
        <v>83</v>
      </c>
      <c r="C3712" s="284" t="str">
        <f>VLOOKUP(B3712,Buenaventura!A9:G4970,2,FALSE)</f>
        <v>PR-68</v>
      </c>
      <c r="D3712" s="285">
        <f>SUM(H3715:H3718)</f>
        <v>2</v>
      </c>
      <c r="E3712" s="743" t="str">
        <f>VLOOKUP(B3712,Buenaventura!A9:G4969,4,FALSE)</f>
        <v>M2</v>
      </c>
      <c r="F3712" s="743"/>
      <c r="G3712" s="743"/>
      <c r="H3712" s="743"/>
      <c r="I3712" s="744"/>
      <c r="J3712" s="745"/>
      <c r="K3712" s="741"/>
      <c r="L3712" s="744"/>
      <c r="M3712" s="745"/>
      <c r="N3712" s="752"/>
    </row>
    <row r="3713" spans="2:14" ht="15" customHeight="1" x14ac:dyDescent="0.25">
      <c r="B3713" s="755" t="s">
        <v>416</v>
      </c>
      <c r="C3713" s="733"/>
      <c r="D3713" s="733"/>
      <c r="E3713" s="733"/>
      <c r="F3713" s="733"/>
      <c r="G3713" s="733"/>
      <c r="H3713" s="736"/>
      <c r="I3713" s="746"/>
      <c r="J3713" s="747"/>
      <c r="K3713" s="748"/>
      <c r="L3713" s="746"/>
      <c r="M3713" s="747"/>
      <c r="N3713" s="753"/>
    </row>
    <row r="3714" spans="2:14" ht="15" customHeight="1" x14ac:dyDescent="0.25">
      <c r="B3714" s="121" t="s">
        <v>400</v>
      </c>
      <c r="C3714" s="122" t="s">
        <v>401</v>
      </c>
      <c r="D3714" s="123" t="s">
        <v>402</v>
      </c>
      <c r="E3714" s="123" t="s">
        <v>403</v>
      </c>
      <c r="F3714" s="123" t="s">
        <v>404</v>
      </c>
      <c r="G3714" s="123" t="s">
        <v>405</v>
      </c>
      <c r="H3714" s="123" t="s">
        <v>406</v>
      </c>
      <c r="I3714" s="746"/>
      <c r="J3714" s="747"/>
      <c r="K3714" s="748"/>
      <c r="L3714" s="746"/>
      <c r="M3714" s="747"/>
      <c r="N3714" s="753"/>
    </row>
    <row r="3715" spans="2:14" ht="15" customHeight="1" x14ac:dyDescent="0.25">
      <c r="B3715" s="124"/>
      <c r="C3715" s="145" t="s">
        <v>606</v>
      </c>
      <c r="D3715" s="125">
        <v>2</v>
      </c>
      <c r="E3715" s="125"/>
      <c r="F3715" s="125"/>
      <c r="G3715" s="125"/>
      <c r="H3715" s="125">
        <f>D3715</f>
        <v>2</v>
      </c>
      <c r="I3715" s="746"/>
      <c r="J3715" s="747"/>
      <c r="K3715" s="748"/>
      <c r="L3715" s="746"/>
      <c r="M3715" s="747"/>
      <c r="N3715" s="753"/>
    </row>
    <row r="3716" spans="2:14" ht="15" customHeight="1" x14ac:dyDescent="0.25">
      <c r="B3716" s="124"/>
      <c r="C3716" s="145"/>
      <c r="D3716" s="125"/>
      <c r="E3716" s="125"/>
      <c r="F3716" s="125"/>
      <c r="G3716" s="125"/>
      <c r="H3716" s="125"/>
      <c r="I3716" s="746"/>
      <c r="J3716" s="747"/>
      <c r="K3716" s="748"/>
      <c r="L3716" s="746"/>
      <c r="M3716" s="747"/>
      <c r="N3716" s="753"/>
    </row>
    <row r="3717" spans="2:14" ht="15" customHeight="1" x14ac:dyDescent="0.25">
      <c r="B3717" s="165"/>
      <c r="C3717" s="145"/>
      <c r="D3717" s="125"/>
      <c r="E3717" s="125"/>
      <c r="F3717" s="125"/>
      <c r="G3717" s="125"/>
      <c r="H3717" s="125"/>
      <c r="I3717" s="746"/>
      <c r="J3717" s="747"/>
      <c r="K3717" s="748"/>
      <c r="L3717" s="746"/>
      <c r="M3717" s="747"/>
      <c r="N3717" s="753"/>
    </row>
    <row r="3718" spans="2:14" ht="15" customHeight="1" x14ac:dyDescent="0.25">
      <c r="B3718" s="165"/>
      <c r="C3718" s="145"/>
      <c r="D3718" s="125"/>
      <c r="E3718" s="125"/>
      <c r="F3718" s="125"/>
      <c r="G3718" s="125"/>
      <c r="H3718" s="125"/>
      <c r="I3718" s="746"/>
      <c r="J3718" s="747"/>
      <c r="K3718" s="748"/>
      <c r="L3718" s="746"/>
      <c r="M3718" s="747"/>
      <c r="N3718" s="753"/>
    </row>
    <row r="3719" spans="2:14" ht="15" customHeight="1" x14ac:dyDescent="0.25">
      <c r="B3719" s="165"/>
      <c r="C3719" s="145"/>
      <c r="D3719" s="125"/>
      <c r="E3719" s="125"/>
      <c r="F3719" s="125"/>
      <c r="G3719" s="125"/>
      <c r="H3719" s="125"/>
      <c r="I3719" s="746"/>
      <c r="J3719" s="747"/>
      <c r="K3719" s="748"/>
      <c r="L3719" s="746"/>
      <c r="M3719" s="747"/>
      <c r="N3719" s="753"/>
    </row>
    <row r="3720" spans="2:14" ht="15" customHeight="1" x14ac:dyDescent="0.25">
      <c r="B3720" s="165"/>
      <c r="C3720" s="145"/>
      <c r="D3720" s="125"/>
      <c r="E3720" s="125"/>
      <c r="F3720" s="125"/>
      <c r="G3720" s="125"/>
      <c r="H3720" s="125"/>
      <c r="I3720" s="746"/>
      <c r="J3720" s="747"/>
      <c r="K3720" s="748"/>
      <c r="L3720" s="746"/>
      <c r="M3720" s="747"/>
      <c r="N3720" s="753"/>
    </row>
    <row r="3721" spans="2:14" ht="15" customHeight="1" x14ac:dyDescent="0.25">
      <c r="B3721" s="165"/>
      <c r="C3721" s="145"/>
      <c r="D3721" s="125"/>
      <c r="E3721" s="125"/>
      <c r="F3721" s="125"/>
      <c r="G3721" s="125"/>
      <c r="H3721" s="125"/>
      <c r="I3721" s="746"/>
      <c r="J3721" s="747"/>
      <c r="K3721" s="748"/>
      <c r="L3721" s="746"/>
      <c r="M3721" s="747"/>
      <c r="N3721" s="753"/>
    </row>
    <row r="3722" spans="2:14" ht="15" customHeight="1" x14ac:dyDescent="0.25">
      <c r="B3722" s="124"/>
      <c r="C3722" s="145"/>
      <c r="D3722" s="125"/>
      <c r="E3722" s="125"/>
      <c r="F3722" s="125"/>
      <c r="G3722" s="125"/>
      <c r="H3722" s="125"/>
      <c r="I3722" s="746"/>
      <c r="J3722" s="747"/>
      <c r="K3722" s="748"/>
      <c r="L3722" s="746"/>
      <c r="M3722" s="747"/>
      <c r="N3722" s="753"/>
    </row>
    <row r="3723" spans="2:14" ht="15" customHeight="1" x14ac:dyDescent="0.25">
      <c r="B3723" s="124"/>
      <c r="C3723" s="125"/>
      <c r="D3723" s="125"/>
      <c r="E3723" s="125"/>
      <c r="F3723" s="125"/>
      <c r="G3723" s="125"/>
      <c r="H3723" s="125"/>
      <c r="I3723" s="746"/>
      <c r="J3723" s="747"/>
      <c r="K3723" s="748"/>
      <c r="L3723" s="746"/>
      <c r="M3723" s="747"/>
      <c r="N3723" s="753"/>
    </row>
    <row r="3724" spans="2:14" ht="15" customHeight="1" x14ac:dyDescent="0.25">
      <c r="B3724" s="127"/>
      <c r="C3724" s="125"/>
      <c r="D3724" s="125"/>
      <c r="E3724" s="125"/>
      <c r="F3724" s="125"/>
      <c r="G3724" s="125"/>
      <c r="H3724" s="125"/>
      <c r="I3724" s="749"/>
      <c r="J3724" s="750"/>
      <c r="K3724" s="751"/>
      <c r="L3724" s="749"/>
      <c r="M3724" s="750"/>
      <c r="N3724" s="754"/>
    </row>
    <row r="3725" spans="2:14" ht="15" customHeight="1" x14ac:dyDescent="0.25">
      <c r="B3725" s="225"/>
      <c r="C3725" s="128"/>
      <c r="D3725" s="128"/>
      <c r="E3725" s="128"/>
      <c r="F3725" s="128"/>
      <c r="G3725" s="128"/>
      <c r="H3725" s="128"/>
      <c r="I3725" s="128"/>
      <c r="J3725" s="128"/>
      <c r="K3725" s="128"/>
      <c r="L3725" s="118"/>
      <c r="M3725" s="118"/>
      <c r="N3725" s="210"/>
    </row>
    <row r="3726" spans="2:14" ht="15" customHeight="1" x14ac:dyDescent="0.25">
      <c r="B3726" s="209"/>
      <c r="C3726" s="118"/>
      <c r="D3726" s="118"/>
      <c r="E3726" s="118"/>
      <c r="F3726" s="118"/>
      <c r="G3726" s="118"/>
      <c r="H3726" s="118"/>
      <c r="I3726" s="118"/>
      <c r="J3726" s="118"/>
      <c r="K3726" s="118"/>
      <c r="L3726" s="118"/>
      <c r="M3726" s="118"/>
      <c r="N3726" s="210"/>
    </row>
    <row r="3727" spans="2:14" ht="15" customHeight="1" x14ac:dyDescent="0.25">
      <c r="B3727" s="209"/>
      <c r="C3727" s="118"/>
      <c r="D3727" s="118"/>
      <c r="E3727" s="118"/>
      <c r="F3727" s="118"/>
      <c r="G3727" s="118"/>
      <c r="H3727" s="118"/>
      <c r="I3727" s="118"/>
      <c r="J3727" s="118"/>
      <c r="K3727" s="118"/>
      <c r="L3727" s="118"/>
      <c r="M3727" s="118"/>
      <c r="N3727" s="210"/>
    </row>
    <row r="3728" spans="2:14" ht="15" customHeight="1" thickBot="1" x14ac:dyDescent="0.3">
      <c r="B3728" s="725" t="s">
        <v>414</v>
      </c>
      <c r="C3728" s="726"/>
      <c r="D3728" s="726"/>
      <c r="E3728" s="147"/>
      <c r="F3728" s="147"/>
      <c r="G3728" s="147"/>
      <c r="H3728" s="147"/>
      <c r="I3728" s="727"/>
      <c r="J3728" s="726"/>
      <c r="K3728" s="726"/>
      <c r="L3728" s="130"/>
      <c r="M3728" s="130"/>
      <c r="N3728" s="131"/>
    </row>
    <row r="3729" spans="2:14" ht="15" customHeight="1" thickBot="1" x14ac:dyDescent="0.3"/>
    <row r="3730" spans="2:14" ht="39.6" customHeight="1" x14ac:dyDescent="0.25">
      <c r="B3730" s="728"/>
      <c r="C3730" s="729"/>
      <c r="D3730" s="730" t="s">
        <v>393</v>
      </c>
      <c r="E3730" s="729"/>
      <c r="F3730" s="729"/>
      <c r="G3730" s="729"/>
      <c r="H3730" s="729"/>
      <c r="I3730" s="729"/>
      <c r="J3730" s="729"/>
      <c r="K3730" s="729"/>
      <c r="L3730" s="729"/>
      <c r="M3730" s="729"/>
      <c r="N3730" s="731"/>
    </row>
    <row r="3731" spans="2:14" ht="15" customHeight="1" x14ac:dyDescent="0.25">
      <c r="B3731" s="732" t="s">
        <v>394</v>
      </c>
      <c r="C3731" s="733"/>
      <c r="D3731" s="733"/>
      <c r="E3731" s="733"/>
      <c r="F3731" s="733"/>
      <c r="G3731" s="733"/>
      <c r="H3731" s="733"/>
      <c r="I3731" s="733"/>
      <c r="J3731" s="733"/>
      <c r="K3731" s="733"/>
      <c r="L3731" s="733"/>
      <c r="M3731" s="733"/>
      <c r="N3731" s="734"/>
    </row>
    <row r="3732" spans="2:14" ht="23.45" customHeight="1" x14ac:dyDescent="0.25">
      <c r="B3732" s="735" t="s">
        <v>395</v>
      </c>
      <c r="C3732" s="736"/>
      <c r="D3732" s="737" t="str">
        <f>VLOOKUP(B3734,Buenaventura!A9:G4979,3,FALSE)</f>
        <v>Desmonte y retiro de espejo existente y disposición final en centro de acopio autorizado</v>
      </c>
      <c r="E3732" s="738"/>
      <c r="F3732" s="738"/>
      <c r="G3732" s="738"/>
      <c r="H3732" s="738"/>
      <c r="I3732" s="738"/>
      <c r="J3732" s="738"/>
      <c r="K3732" s="738"/>
      <c r="L3732" s="738"/>
      <c r="M3732" s="738"/>
      <c r="N3732" s="739"/>
    </row>
    <row r="3733" spans="2:14" ht="27" customHeight="1" x14ac:dyDescent="0.25">
      <c r="B3733" s="740" t="s">
        <v>26</v>
      </c>
      <c r="C3733" s="741"/>
      <c r="D3733" s="119" t="s">
        <v>396</v>
      </c>
      <c r="E3733" s="742" t="s">
        <v>397</v>
      </c>
      <c r="F3733" s="733"/>
      <c r="G3733" s="733"/>
      <c r="H3733" s="736"/>
      <c r="I3733" s="742" t="s">
        <v>398</v>
      </c>
      <c r="J3733" s="733"/>
      <c r="K3733" s="736"/>
      <c r="L3733" s="742" t="s">
        <v>399</v>
      </c>
      <c r="M3733" s="733"/>
      <c r="N3733" s="734"/>
    </row>
    <row r="3734" spans="2:14" ht="15" customHeight="1" x14ac:dyDescent="0.25">
      <c r="B3734" s="283">
        <v>84</v>
      </c>
      <c r="C3734" s="284" t="str">
        <f>VLOOKUP(B3734,Buenaventura!A9:G4992,2,FALSE)</f>
        <v>PR-63</v>
      </c>
      <c r="D3734" s="285">
        <f>SUM(H3737:H3740)</f>
        <v>21.938500000000001</v>
      </c>
      <c r="E3734" s="743" t="str">
        <f>VLOOKUP(B3734,Buenaventura!A9:G4991,4,FALSE)</f>
        <v>UND</v>
      </c>
      <c r="F3734" s="743"/>
      <c r="G3734" s="743"/>
      <c r="H3734" s="743"/>
      <c r="I3734" s="744"/>
      <c r="J3734" s="745"/>
      <c r="K3734" s="741"/>
      <c r="L3734" s="744"/>
      <c r="M3734" s="745"/>
      <c r="N3734" s="752"/>
    </row>
    <row r="3735" spans="2:14" ht="15" customHeight="1" x14ac:dyDescent="0.25">
      <c r="B3735" s="755" t="s">
        <v>416</v>
      </c>
      <c r="C3735" s="733"/>
      <c r="D3735" s="733"/>
      <c r="E3735" s="733"/>
      <c r="F3735" s="733"/>
      <c r="G3735" s="733"/>
      <c r="H3735" s="736"/>
      <c r="I3735" s="746"/>
      <c r="J3735" s="747"/>
      <c r="K3735" s="748"/>
      <c r="L3735" s="746"/>
      <c r="M3735" s="747"/>
      <c r="N3735" s="753"/>
    </row>
    <row r="3736" spans="2:14" ht="15" customHeight="1" x14ac:dyDescent="0.25">
      <c r="B3736" s="121" t="s">
        <v>400</v>
      </c>
      <c r="C3736" s="122" t="s">
        <v>401</v>
      </c>
      <c r="D3736" s="123" t="s">
        <v>402</v>
      </c>
      <c r="E3736" s="123" t="s">
        <v>403</v>
      </c>
      <c r="F3736" s="123" t="s">
        <v>404</v>
      </c>
      <c r="G3736" s="123" t="s">
        <v>405</v>
      </c>
      <c r="H3736" s="123" t="s">
        <v>406</v>
      </c>
      <c r="I3736" s="746"/>
      <c r="J3736" s="747"/>
      <c r="K3736" s="748"/>
      <c r="L3736" s="746"/>
      <c r="M3736" s="747"/>
      <c r="N3736" s="753"/>
    </row>
    <row r="3737" spans="2:14" ht="15" customHeight="1" x14ac:dyDescent="0.25">
      <c r="B3737" s="124"/>
      <c r="C3737" s="145"/>
      <c r="D3737" s="125"/>
      <c r="E3737" s="125">
        <v>4.45</v>
      </c>
      <c r="F3737" s="125">
        <v>4.93</v>
      </c>
      <c r="G3737" s="125"/>
      <c r="H3737" s="125">
        <f>E3737*F3737</f>
        <v>21.938500000000001</v>
      </c>
      <c r="I3737" s="746"/>
      <c r="J3737" s="747"/>
      <c r="K3737" s="748"/>
      <c r="L3737" s="746"/>
      <c r="M3737" s="747"/>
      <c r="N3737" s="753"/>
    </row>
    <row r="3738" spans="2:14" ht="15" customHeight="1" x14ac:dyDescent="0.25">
      <c r="B3738" s="124"/>
      <c r="C3738" s="145"/>
      <c r="D3738" s="125"/>
      <c r="E3738" s="125"/>
      <c r="F3738" s="125"/>
      <c r="G3738" s="125"/>
      <c r="H3738" s="125"/>
      <c r="I3738" s="746"/>
      <c r="J3738" s="747"/>
      <c r="K3738" s="748"/>
      <c r="L3738" s="746"/>
      <c r="M3738" s="747"/>
      <c r="N3738" s="753"/>
    </row>
    <row r="3739" spans="2:14" ht="15" customHeight="1" x14ac:dyDescent="0.25">
      <c r="B3739" s="165"/>
      <c r="C3739" s="145"/>
      <c r="D3739" s="125"/>
      <c r="E3739" s="125"/>
      <c r="F3739" s="125"/>
      <c r="G3739" s="125"/>
      <c r="H3739" s="125"/>
      <c r="I3739" s="746"/>
      <c r="J3739" s="747"/>
      <c r="K3739" s="748"/>
      <c r="L3739" s="746"/>
      <c r="M3739" s="747"/>
      <c r="N3739" s="753"/>
    </row>
    <row r="3740" spans="2:14" ht="15" customHeight="1" x14ac:dyDescent="0.25">
      <c r="B3740" s="165"/>
      <c r="C3740" s="145"/>
      <c r="D3740" s="125"/>
      <c r="E3740" s="125"/>
      <c r="F3740" s="125"/>
      <c r="G3740" s="125"/>
      <c r="H3740" s="125"/>
      <c r="I3740" s="746"/>
      <c r="J3740" s="747"/>
      <c r="K3740" s="748"/>
      <c r="L3740" s="746"/>
      <c r="M3740" s="747"/>
      <c r="N3740" s="753"/>
    </row>
    <row r="3741" spans="2:14" ht="15" customHeight="1" x14ac:dyDescent="0.25">
      <c r="B3741" s="165"/>
      <c r="C3741" s="145"/>
      <c r="D3741" s="125"/>
      <c r="E3741" s="125"/>
      <c r="F3741" s="125"/>
      <c r="G3741" s="125"/>
      <c r="H3741" s="125"/>
      <c r="I3741" s="746"/>
      <c r="J3741" s="747"/>
      <c r="K3741" s="748"/>
      <c r="L3741" s="746"/>
      <c r="M3741" s="747"/>
      <c r="N3741" s="753"/>
    </row>
    <row r="3742" spans="2:14" ht="15" customHeight="1" x14ac:dyDescent="0.25">
      <c r="B3742" s="165"/>
      <c r="C3742" s="145"/>
      <c r="D3742" s="125"/>
      <c r="E3742" s="125"/>
      <c r="F3742" s="125"/>
      <c r="G3742" s="125"/>
      <c r="H3742" s="125"/>
      <c r="I3742" s="746"/>
      <c r="J3742" s="747"/>
      <c r="K3742" s="748"/>
      <c r="L3742" s="746"/>
      <c r="M3742" s="747"/>
      <c r="N3742" s="753"/>
    </row>
    <row r="3743" spans="2:14" ht="15" customHeight="1" x14ac:dyDescent="0.25">
      <c r="B3743" s="165"/>
      <c r="C3743" s="145"/>
      <c r="D3743" s="125"/>
      <c r="E3743" s="125"/>
      <c r="F3743" s="125"/>
      <c r="G3743" s="125"/>
      <c r="H3743" s="125"/>
      <c r="I3743" s="746"/>
      <c r="J3743" s="747"/>
      <c r="K3743" s="748"/>
      <c r="L3743" s="746"/>
      <c r="M3743" s="747"/>
      <c r="N3743" s="753"/>
    </row>
    <row r="3744" spans="2:14" ht="15" customHeight="1" x14ac:dyDescent="0.25">
      <c r="B3744" s="124"/>
      <c r="C3744" s="145"/>
      <c r="D3744" s="125"/>
      <c r="E3744" s="125"/>
      <c r="F3744" s="125"/>
      <c r="G3744" s="125"/>
      <c r="H3744" s="125"/>
      <c r="I3744" s="746"/>
      <c r="J3744" s="747"/>
      <c r="K3744" s="748"/>
      <c r="L3744" s="746"/>
      <c r="M3744" s="747"/>
      <c r="N3744" s="753"/>
    </row>
    <row r="3745" spans="2:14" ht="15" customHeight="1" x14ac:dyDescent="0.25">
      <c r="B3745" s="124"/>
      <c r="C3745" s="125"/>
      <c r="D3745" s="125"/>
      <c r="E3745" s="125"/>
      <c r="F3745" s="125"/>
      <c r="G3745" s="125"/>
      <c r="H3745" s="125"/>
      <c r="I3745" s="746"/>
      <c r="J3745" s="747"/>
      <c r="K3745" s="748"/>
      <c r="L3745" s="746"/>
      <c r="M3745" s="747"/>
      <c r="N3745" s="753"/>
    </row>
    <row r="3746" spans="2:14" ht="15" customHeight="1" x14ac:dyDescent="0.25">
      <c r="B3746" s="127"/>
      <c r="C3746" s="125"/>
      <c r="D3746" s="125"/>
      <c r="E3746" s="125"/>
      <c r="F3746" s="125"/>
      <c r="G3746" s="125"/>
      <c r="H3746" s="125"/>
      <c r="I3746" s="749"/>
      <c r="J3746" s="750"/>
      <c r="K3746" s="751"/>
      <c r="L3746" s="749"/>
      <c r="M3746" s="750"/>
      <c r="N3746" s="754"/>
    </row>
    <row r="3747" spans="2:14" ht="15" customHeight="1" x14ac:dyDescent="0.25">
      <c r="B3747" s="225"/>
      <c r="C3747" s="128"/>
      <c r="D3747" s="128"/>
      <c r="E3747" s="128"/>
      <c r="F3747" s="128"/>
      <c r="G3747" s="128"/>
      <c r="H3747" s="128"/>
      <c r="I3747" s="128"/>
      <c r="J3747" s="128"/>
      <c r="K3747" s="128"/>
      <c r="L3747" s="118"/>
      <c r="M3747" s="118"/>
      <c r="N3747" s="210"/>
    </row>
    <row r="3748" spans="2:14" ht="15" customHeight="1" x14ac:dyDescent="0.25">
      <c r="B3748" s="209"/>
      <c r="C3748" s="118"/>
      <c r="D3748" s="118"/>
      <c r="E3748" s="118"/>
      <c r="F3748" s="118"/>
      <c r="G3748" s="118"/>
      <c r="H3748" s="118"/>
      <c r="I3748" s="118"/>
      <c r="J3748" s="118"/>
      <c r="K3748" s="118"/>
      <c r="L3748" s="118"/>
      <c r="M3748" s="118"/>
      <c r="N3748" s="210"/>
    </row>
    <row r="3749" spans="2:14" ht="15" customHeight="1" x14ac:dyDescent="0.25">
      <c r="B3749" s="209"/>
      <c r="C3749" s="118"/>
      <c r="D3749" s="118"/>
      <c r="E3749" s="118"/>
      <c r="F3749" s="118"/>
      <c r="G3749" s="118"/>
      <c r="H3749" s="118"/>
      <c r="I3749" s="118"/>
      <c r="J3749" s="118"/>
      <c r="K3749" s="118"/>
      <c r="L3749" s="118"/>
      <c r="M3749" s="118"/>
      <c r="N3749" s="210"/>
    </row>
    <row r="3750" spans="2:14" ht="15" customHeight="1" thickBot="1" x14ac:dyDescent="0.3">
      <c r="B3750" s="725" t="s">
        <v>414</v>
      </c>
      <c r="C3750" s="726"/>
      <c r="D3750" s="726"/>
      <c r="E3750" s="147"/>
      <c r="F3750" s="147"/>
      <c r="G3750" s="147"/>
      <c r="H3750" s="147"/>
      <c r="I3750" s="727"/>
      <c r="J3750" s="726"/>
      <c r="K3750" s="726"/>
      <c r="L3750" s="130"/>
      <c r="M3750" s="130"/>
      <c r="N3750" s="131"/>
    </row>
    <row r="3751" spans="2:14" ht="15" customHeight="1" thickBot="1" x14ac:dyDescent="0.3"/>
    <row r="3752" spans="2:14" ht="35.450000000000003" customHeight="1" x14ac:dyDescent="0.25">
      <c r="B3752" s="728"/>
      <c r="C3752" s="729"/>
      <c r="D3752" s="730" t="s">
        <v>393</v>
      </c>
      <c r="E3752" s="729"/>
      <c r="F3752" s="729"/>
      <c r="G3752" s="729"/>
      <c r="H3752" s="729"/>
      <c r="I3752" s="729"/>
      <c r="J3752" s="729"/>
      <c r="K3752" s="729"/>
      <c r="L3752" s="729"/>
      <c r="M3752" s="729"/>
      <c r="N3752" s="731"/>
    </row>
    <row r="3753" spans="2:14" ht="15" customHeight="1" x14ac:dyDescent="0.25">
      <c r="B3753" s="732" t="s">
        <v>394</v>
      </c>
      <c r="C3753" s="733"/>
      <c r="D3753" s="733"/>
      <c r="E3753" s="733"/>
      <c r="F3753" s="733"/>
      <c r="G3753" s="733"/>
      <c r="H3753" s="733"/>
      <c r="I3753" s="733"/>
      <c r="J3753" s="733"/>
      <c r="K3753" s="733"/>
      <c r="L3753" s="733"/>
      <c r="M3753" s="733"/>
      <c r="N3753" s="734"/>
    </row>
    <row r="3754" spans="2:14" ht="22.9" customHeight="1" x14ac:dyDescent="0.25">
      <c r="B3754" s="735" t="s">
        <v>395</v>
      </c>
      <c r="C3754" s="736"/>
      <c r="D3754" s="737" t="str">
        <f>VLOOKUP(B3756,Buenaventura!A9:G5001,3,FALSE)</f>
        <v>Desmonte y retiro las divisiones de baño existentes y disposición final en centro de acopio autorizado</v>
      </c>
      <c r="E3754" s="738"/>
      <c r="F3754" s="738"/>
      <c r="G3754" s="738"/>
      <c r="H3754" s="738"/>
      <c r="I3754" s="738"/>
      <c r="J3754" s="738"/>
      <c r="K3754" s="738"/>
      <c r="L3754" s="738"/>
      <c r="M3754" s="738"/>
      <c r="N3754" s="739"/>
    </row>
    <row r="3755" spans="2:14" ht="22.9" customHeight="1" x14ac:dyDescent="0.25">
      <c r="B3755" s="740" t="s">
        <v>26</v>
      </c>
      <c r="C3755" s="741"/>
      <c r="D3755" s="119" t="s">
        <v>396</v>
      </c>
      <c r="E3755" s="742" t="s">
        <v>397</v>
      </c>
      <c r="F3755" s="733"/>
      <c r="G3755" s="733"/>
      <c r="H3755" s="736"/>
      <c r="I3755" s="742" t="s">
        <v>398</v>
      </c>
      <c r="J3755" s="733"/>
      <c r="K3755" s="736"/>
      <c r="L3755" s="742" t="s">
        <v>399</v>
      </c>
      <c r="M3755" s="733"/>
      <c r="N3755" s="734"/>
    </row>
    <row r="3756" spans="2:14" ht="15" customHeight="1" x14ac:dyDescent="0.25">
      <c r="B3756" s="283">
        <v>85</v>
      </c>
      <c r="C3756" s="284" t="str">
        <f>VLOOKUP(B3756,Buenaventura!A9:G5014,2,FALSE)</f>
        <v>PR-31</v>
      </c>
      <c r="D3756" s="285">
        <f>SUM(H3759:H3762)</f>
        <v>49.655999999999992</v>
      </c>
      <c r="E3756" s="743" t="str">
        <f>VLOOKUP(B3756,Buenaventura!A9:G5013,4,FALSE)</f>
        <v>UND</v>
      </c>
      <c r="F3756" s="743"/>
      <c r="G3756" s="743"/>
      <c r="H3756" s="743"/>
      <c r="I3756" s="744"/>
      <c r="J3756" s="745"/>
      <c r="K3756" s="741"/>
      <c r="L3756" s="744"/>
      <c r="M3756" s="745"/>
      <c r="N3756" s="752"/>
    </row>
    <row r="3757" spans="2:14" ht="15" customHeight="1" x14ac:dyDescent="0.25">
      <c r="B3757" s="755" t="s">
        <v>416</v>
      </c>
      <c r="C3757" s="733"/>
      <c r="D3757" s="733"/>
      <c r="E3757" s="733"/>
      <c r="F3757" s="733"/>
      <c r="G3757" s="733"/>
      <c r="H3757" s="736"/>
      <c r="I3757" s="746"/>
      <c r="J3757" s="747"/>
      <c r="K3757" s="748"/>
      <c r="L3757" s="746"/>
      <c r="M3757" s="747"/>
      <c r="N3757" s="753"/>
    </row>
    <row r="3758" spans="2:14" ht="15" customHeight="1" x14ac:dyDescent="0.25">
      <c r="B3758" s="121" t="s">
        <v>400</v>
      </c>
      <c r="C3758" s="122" t="s">
        <v>401</v>
      </c>
      <c r="D3758" s="123" t="s">
        <v>402</v>
      </c>
      <c r="E3758" s="123" t="s">
        <v>403</v>
      </c>
      <c r="F3758" s="123" t="s">
        <v>404</v>
      </c>
      <c r="G3758" s="123" t="s">
        <v>405</v>
      </c>
      <c r="H3758" s="123" t="s">
        <v>406</v>
      </c>
      <c r="I3758" s="746"/>
      <c r="J3758" s="747"/>
      <c r="K3758" s="748"/>
      <c r="L3758" s="746"/>
      <c r="M3758" s="747"/>
      <c r="N3758" s="753"/>
    </row>
    <row r="3759" spans="2:14" ht="15" customHeight="1" x14ac:dyDescent="0.25">
      <c r="B3759" s="124"/>
      <c r="C3759" s="145"/>
      <c r="D3759" s="125">
        <v>3</v>
      </c>
      <c r="E3759" s="125">
        <v>4.93</v>
      </c>
      <c r="F3759" s="125"/>
      <c r="G3759" s="125">
        <v>2.4</v>
      </c>
      <c r="H3759" s="125">
        <f>D3759*E3759*G3759</f>
        <v>35.495999999999995</v>
      </c>
      <c r="I3759" s="746"/>
      <c r="J3759" s="747"/>
      <c r="K3759" s="748"/>
      <c r="L3759" s="746"/>
      <c r="M3759" s="747"/>
      <c r="N3759" s="753"/>
    </row>
    <row r="3760" spans="2:14" ht="15" customHeight="1" x14ac:dyDescent="0.25">
      <c r="B3760" s="124"/>
      <c r="C3760" s="145"/>
      <c r="D3760" s="125">
        <v>2</v>
      </c>
      <c r="E3760" s="125">
        <v>2.15</v>
      </c>
      <c r="F3760" s="125"/>
      <c r="G3760" s="125">
        <v>2.4</v>
      </c>
      <c r="H3760" s="125">
        <f t="shared" ref="H3760:H3762" si="75">D3760*E3760*G3760</f>
        <v>10.319999999999999</v>
      </c>
      <c r="I3760" s="746"/>
      <c r="J3760" s="747"/>
      <c r="K3760" s="748"/>
      <c r="L3760" s="746"/>
      <c r="M3760" s="747"/>
      <c r="N3760" s="753"/>
    </row>
    <row r="3761" spans="2:14" ht="15" customHeight="1" x14ac:dyDescent="0.25">
      <c r="B3761" s="165"/>
      <c r="C3761" s="145"/>
      <c r="D3761" s="125">
        <v>2</v>
      </c>
      <c r="E3761" s="125">
        <v>0.8</v>
      </c>
      <c r="F3761" s="125"/>
      <c r="G3761" s="125">
        <v>2.4</v>
      </c>
      <c r="H3761" s="125">
        <f t="shared" si="75"/>
        <v>3.84</v>
      </c>
      <c r="I3761" s="746"/>
      <c r="J3761" s="747"/>
      <c r="K3761" s="748"/>
      <c r="L3761" s="746"/>
      <c r="M3761" s="747"/>
      <c r="N3761" s="753"/>
    </row>
    <row r="3762" spans="2:14" ht="15" customHeight="1" x14ac:dyDescent="0.25">
      <c r="B3762" s="165"/>
      <c r="C3762" s="145"/>
      <c r="D3762" s="125"/>
      <c r="E3762" s="125"/>
      <c r="F3762" s="125"/>
      <c r="G3762" s="125"/>
      <c r="H3762" s="125">
        <f t="shared" si="75"/>
        <v>0</v>
      </c>
      <c r="I3762" s="746"/>
      <c r="J3762" s="747"/>
      <c r="K3762" s="748"/>
      <c r="L3762" s="746"/>
      <c r="M3762" s="747"/>
      <c r="N3762" s="753"/>
    </row>
    <row r="3763" spans="2:14" ht="15" customHeight="1" x14ac:dyDescent="0.25">
      <c r="B3763" s="165"/>
      <c r="C3763" s="145"/>
      <c r="D3763" s="125"/>
      <c r="E3763" s="125"/>
      <c r="F3763" s="125"/>
      <c r="G3763" s="125"/>
      <c r="H3763" s="125"/>
      <c r="I3763" s="746"/>
      <c r="J3763" s="747"/>
      <c r="K3763" s="748"/>
      <c r="L3763" s="746"/>
      <c r="M3763" s="747"/>
      <c r="N3763" s="753"/>
    </row>
    <row r="3764" spans="2:14" ht="15" customHeight="1" x14ac:dyDescent="0.25">
      <c r="B3764" s="165"/>
      <c r="C3764" s="145"/>
      <c r="D3764" s="125"/>
      <c r="E3764" s="125"/>
      <c r="F3764" s="125"/>
      <c r="G3764" s="125"/>
      <c r="H3764" s="125"/>
      <c r="I3764" s="746"/>
      <c r="J3764" s="747"/>
      <c r="K3764" s="748"/>
      <c r="L3764" s="746"/>
      <c r="M3764" s="747"/>
      <c r="N3764" s="753"/>
    </row>
    <row r="3765" spans="2:14" ht="15" customHeight="1" x14ac:dyDescent="0.25">
      <c r="B3765" s="165"/>
      <c r="C3765" s="145"/>
      <c r="D3765" s="125"/>
      <c r="E3765" s="125"/>
      <c r="F3765" s="125"/>
      <c r="G3765" s="125"/>
      <c r="H3765" s="125"/>
      <c r="I3765" s="746"/>
      <c r="J3765" s="747"/>
      <c r="K3765" s="748"/>
      <c r="L3765" s="746"/>
      <c r="M3765" s="747"/>
      <c r="N3765" s="753"/>
    </row>
    <row r="3766" spans="2:14" ht="15" customHeight="1" x14ac:dyDescent="0.25">
      <c r="B3766" s="124"/>
      <c r="C3766" s="145"/>
      <c r="D3766" s="125"/>
      <c r="E3766" s="125"/>
      <c r="F3766" s="125"/>
      <c r="G3766" s="125"/>
      <c r="H3766" s="125"/>
      <c r="I3766" s="746"/>
      <c r="J3766" s="747"/>
      <c r="K3766" s="748"/>
      <c r="L3766" s="746"/>
      <c r="M3766" s="747"/>
      <c r="N3766" s="753"/>
    </row>
    <row r="3767" spans="2:14" ht="15" customHeight="1" x14ac:dyDescent="0.25">
      <c r="B3767" s="124"/>
      <c r="C3767" s="125"/>
      <c r="D3767" s="125"/>
      <c r="E3767" s="125"/>
      <c r="F3767" s="125"/>
      <c r="G3767" s="125"/>
      <c r="H3767" s="125"/>
      <c r="I3767" s="746"/>
      <c r="J3767" s="747"/>
      <c r="K3767" s="748"/>
      <c r="L3767" s="746"/>
      <c r="M3767" s="747"/>
      <c r="N3767" s="753"/>
    </row>
    <row r="3768" spans="2:14" ht="15" customHeight="1" x14ac:dyDescent="0.25">
      <c r="B3768" s="127"/>
      <c r="C3768" s="125"/>
      <c r="D3768" s="125"/>
      <c r="E3768" s="125"/>
      <c r="F3768" s="125"/>
      <c r="G3768" s="125"/>
      <c r="H3768" s="125"/>
      <c r="I3768" s="749"/>
      <c r="J3768" s="750"/>
      <c r="K3768" s="751"/>
      <c r="L3768" s="749"/>
      <c r="M3768" s="750"/>
      <c r="N3768" s="754"/>
    </row>
    <row r="3769" spans="2:14" ht="15" customHeight="1" x14ac:dyDescent="0.25">
      <c r="B3769" s="225"/>
      <c r="C3769" s="128"/>
      <c r="D3769" s="128"/>
      <c r="E3769" s="128"/>
      <c r="F3769" s="128"/>
      <c r="G3769" s="128"/>
      <c r="H3769" s="128"/>
      <c r="I3769" s="128"/>
      <c r="J3769" s="128"/>
      <c r="K3769" s="128"/>
      <c r="L3769" s="118"/>
      <c r="M3769" s="118"/>
      <c r="N3769" s="210"/>
    </row>
    <row r="3770" spans="2:14" ht="15" customHeight="1" x14ac:dyDescent="0.25">
      <c r="B3770" s="209"/>
      <c r="C3770" s="118"/>
      <c r="D3770" s="118"/>
      <c r="E3770" s="118"/>
      <c r="F3770" s="118"/>
      <c r="G3770" s="118"/>
      <c r="H3770" s="118"/>
      <c r="I3770" s="118"/>
      <c r="J3770" s="118"/>
      <c r="K3770" s="118"/>
      <c r="L3770" s="118"/>
      <c r="M3770" s="118"/>
      <c r="N3770" s="210"/>
    </row>
    <row r="3771" spans="2:14" ht="15" customHeight="1" x14ac:dyDescent="0.25">
      <c r="B3771" s="209"/>
      <c r="C3771" s="118"/>
      <c r="D3771" s="118"/>
      <c r="E3771" s="118"/>
      <c r="F3771" s="118"/>
      <c r="G3771" s="118"/>
      <c r="H3771" s="118"/>
      <c r="I3771" s="118"/>
      <c r="J3771" s="118"/>
      <c r="K3771" s="118"/>
      <c r="L3771" s="118"/>
      <c r="M3771" s="118"/>
      <c r="N3771" s="210"/>
    </row>
    <row r="3772" spans="2:14" ht="15" customHeight="1" thickBot="1" x14ac:dyDescent="0.3">
      <c r="B3772" s="725" t="s">
        <v>414</v>
      </c>
      <c r="C3772" s="726"/>
      <c r="D3772" s="726"/>
      <c r="E3772" s="147"/>
      <c r="F3772" s="147"/>
      <c r="G3772" s="147"/>
      <c r="H3772" s="147"/>
      <c r="I3772" s="727"/>
      <c r="J3772" s="726"/>
      <c r="K3772" s="726"/>
      <c r="L3772" s="130"/>
      <c r="M3772" s="130"/>
      <c r="N3772" s="131"/>
    </row>
    <row r="3773" spans="2:14" ht="15" customHeight="1" thickBot="1" x14ac:dyDescent="0.3"/>
    <row r="3774" spans="2:14" ht="34.9" customHeight="1" x14ac:dyDescent="0.25">
      <c r="B3774" s="728"/>
      <c r="C3774" s="729"/>
      <c r="D3774" s="730" t="s">
        <v>393</v>
      </c>
      <c r="E3774" s="729"/>
      <c r="F3774" s="729"/>
      <c r="G3774" s="729"/>
      <c r="H3774" s="729"/>
      <c r="I3774" s="729"/>
      <c r="J3774" s="729"/>
      <c r="K3774" s="729"/>
      <c r="L3774" s="729"/>
      <c r="M3774" s="729"/>
      <c r="N3774" s="731"/>
    </row>
    <row r="3775" spans="2:14" ht="19.149999999999999" customHeight="1" x14ac:dyDescent="0.25">
      <c r="B3775" s="732" t="s">
        <v>394</v>
      </c>
      <c r="C3775" s="733"/>
      <c r="D3775" s="733"/>
      <c r="E3775" s="733"/>
      <c r="F3775" s="733"/>
      <c r="G3775" s="733"/>
      <c r="H3775" s="733"/>
      <c r="I3775" s="733"/>
      <c r="J3775" s="733"/>
      <c r="K3775" s="733"/>
      <c r="L3775" s="733"/>
      <c r="M3775" s="733"/>
      <c r="N3775" s="734"/>
    </row>
    <row r="3776" spans="2:14" ht="25.9" customHeight="1" x14ac:dyDescent="0.25">
      <c r="B3776" s="735" t="s">
        <v>395</v>
      </c>
      <c r="C3776" s="736"/>
      <c r="D3776" s="737" t="str">
        <f>VLOOKUP(B3778,Buenaventura!A9:G5023,3,FALSE)</f>
        <v>Demolición enchape de piso, incluye retiro, empaque, trasiego de escombros y disposición final en centro de acopio certificado</v>
      </c>
      <c r="E3776" s="738"/>
      <c r="F3776" s="738"/>
      <c r="G3776" s="738"/>
      <c r="H3776" s="738"/>
      <c r="I3776" s="738"/>
      <c r="J3776" s="738"/>
      <c r="K3776" s="738"/>
      <c r="L3776" s="738"/>
      <c r="M3776" s="738"/>
      <c r="N3776" s="739"/>
    </row>
    <row r="3777" spans="2:14" ht="31.9" customHeight="1" x14ac:dyDescent="0.25">
      <c r="B3777" s="740" t="s">
        <v>26</v>
      </c>
      <c r="C3777" s="741"/>
      <c r="D3777" s="119" t="s">
        <v>396</v>
      </c>
      <c r="E3777" s="742" t="s">
        <v>397</v>
      </c>
      <c r="F3777" s="733"/>
      <c r="G3777" s="733"/>
      <c r="H3777" s="736"/>
      <c r="I3777" s="742" t="s">
        <v>398</v>
      </c>
      <c r="J3777" s="733"/>
      <c r="K3777" s="736"/>
      <c r="L3777" s="742" t="s">
        <v>399</v>
      </c>
      <c r="M3777" s="733"/>
      <c r="N3777" s="734"/>
    </row>
    <row r="3778" spans="2:14" ht="15" customHeight="1" x14ac:dyDescent="0.25">
      <c r="B3778" s="283">
        <v>86</v>
      </c>
      <c r="C3778" s="284" t="str">
        <f>VLOOKUP(B3778,Buenaventura!A9:G5036,2,FALSE)</f>
        <v>PR-07</v>
      </c>
      <c r="D3778" s="285">
        <f>SUM(H3781:H3784)</f>
        <v>12.79</v>
      </c>
      <c r="E3778" s="743" t="str">
        <f>VLOOKUP(B3778,Buenaventura!A9:G5035,4,FALSE)</f>
        <v>M2</v>
      </c>
      <c r="F3778" s="743"/>
      <c r="G3778" s="743"/>
      <c r="H3778" s="743"/>
      <c r="I3778" s="744"/>
      <c r="J3778" s="745"/>
      <c r="K3778" s="741"/>
      <c r="L3778" s="744"/>
      <c r="M3778" s="745"/>
      <c r="N3778" s="752"/>
    </row>
    <row r="3779" spans="2:14" ht="15" customHeight="1" x14ac:dyDescent="0.25">
      <c r="B3779" s="755" t="s">
        <v>416</v>
      </c>
      <c r="C3779" s="733"/>
      <c r="D3779" s="733"/>
      <c r="E3779" s="733"/>
      <c r="F3779" s="733"/>
      <c r="G3779" s="733"/>
      <c r="H3779" s="736"/>
      <c r="I3779" s="746"/>
      <c r="J3779" s="747"/>
      <c r="K3779" s="748"/>
      <c r="L3779" s="746"/>
      <c r="M3779" s="747"/>
      <c r="N3779" s="753"/>
    </row>
    <row r="3780" spans="2:14" ht="15" customHeight="1" x14ac:dyDescent="0.25">
      <c r="B3780" s="121" t="s">
        <v>400</v>
      </c>
      <c r="C3780" s="122" t="s">
        <v>401</v>
      </c>
      <c r="D3780" s="123" t="s">
        <v>402</v>
      </c>
      <c r="E3780" s="123" t="s">
        <v>403</v>
      </c>
      <c r="F3780" s="123" t="s">
        <v>404</v>
      </c>
      <c r="G3780" s="123" t="s">
        <v>405</v>
      </c>
      <c r="H3780" s="123" t="s">
        <v>406</v>
      </c>
      <c r="I3780" s="746"/>
      <c r="J3780" s="747"/>
      <c r="K3780" s="748"/>
      <c r="L3780" s="746"/>
      <c r="M3780" s="747"/>
      <c r="N3780" s="753"/>
    </row>
    <row r="3781" spans="2:14" ht="15" customHeight="1" x14ac:dyDescent="0.25">
      <c r="B3781" s="124"/>
      <c r="C3781" s="145"/>
      <c r="D3781" s="125"/>
      <c r="E3781" s="125"/>
      <c r="F3781" s="125">
        <f>4.71+4.15+3.93</f>
        <v>12.79</v>
      </c>
      <c r="G3781" s="125"/>
      <c r="H3781" s="125">
        <f>F3781</f>
        <v>12.79</v>
      </c>
      <c r="I3781" s="746"/>
      <c r="J3781" s="747"/>
      <c r="K3781" s="748"/>
      <c r="L3781" s="746"/>
      <c r="M3781" s="747"/>
      <c r="N3781" s="753"/>
    </row>
    <row r="3782" spans="2:14" ht="15" customHeight="1" x14ac:dyDescent="0.25">
      <c r="B3782" s="124"/>
      <c r="C3782" s="145"/>
      <c r="D3782" s="125"/>
      <c r="E3782" s="125"/>
      <c r="F3782" s="125"/>
      <c r="G3782" s="125"/>
      <c r="H3782" s="125"/>
      <c r="I3782" s="746"/>
      <c r="J3782" s="747"/>
      <c r="K3782" s="748"/>
      <c r="L3782" s="746"/>
      <c r="M3782" s="747"/>
      <c r="N3782" s="753"/>
    </row>
    <row r="3783" spans="2:14" ht="15" customHeight="1" x14ac:dyDescent="0.25">
      <c r="B3783" s="165"/>
      <c r="C3783" s="145"/>
      <c r="D3783" s="125"/>
      <c r="E3783" s="125"/>
      <c r="F3783" s="125"/>
      <c r="G3783" s="125"/>
      <c r="H3783" s="125"/>
      <c r="I3783" s="746"/>
      <c r="J3783" s="747"/>
      <c r="K3783" s="748"/>
      <c r="L3783" s="746"/>
      <c r="M3783" s="747"/>
      <c r="N3783" s="753"/>
    </row>
    <row r="3784" spans="2:14" ht="15" customHeight="1" x14ac:dyDescent="0.25">
      <c r="B3784" s="165"/>
      <c r="C3784" s="145"/>
      <c r="D3784" s="125"/>
      <c r="E3784" s="125"/>
      <c r="F3784" s="125"/>
      <c r="G3784" s="125"/>
      <c r="H3784" s="125"/>
      <c r="I3784" s="746"/>
      <c r="J3784" s="747"/>
      <c r="K3784" s="748"/>
      <c r="L3784" s="746"/>
      <c r="M3784" s="747"/>
      <c r="N3784" s="753"/>
    </row>
    <row r="3785" spans="2:14" ht="15" customHeight="1" x14ac:dyDescent="0.25">
      <c r="B3785" s="165"/>
      <c r="C3785" s="145"/>
      <c r="D3785" s="125"/>
      <c r="E3785" s="125"/>
      <c r="F3785" s="125"/>
      <c r="G3785" s="125"/>
      <c r="H3785" s="125"/>
      <c r="I3785" s="746"/>
      <c r="J3785" s="747"/>
      <c r="K3785" s="748"/>
      <c r="L3785" s="746"/>
      <c r="M3785" s="747"/>
      <c r="N3785" s="753"/>
    </row>
    <row r="3786" spans="2:14" ht="15" customHeight="1" x14ac:dyDescent="0.25">
      <c r="B3786" s="165"/>
      <c r="C3786" s="145"/>
      <c r="D3786" s="125"/>
      <c r="E3786" s="125"/>
      <c r="F3786" s="125"/>
      <c r="G3786" s="125"/>
      <c r="H3786" s="125"/>
      <c r="I3786" s="746"/>
      <c r="J3786" s="747"/>
      <c r="K3786" s="748"/>
      <c r="L3786" s="746"/>
      <c r="M3786" s="747"/>
      <c r="N3786" s="753"/>
    </row>
    <row r="3787" spans="2:14" ht="15" customHeight="1" x14ac:dyDescent="0.25">
      <c r="B3787" s="165"/>
      <c r="C3787" s="145"/>
      <c r="D3787" s="125"/>
      <c r="E3787" s="125"/>
      <c r="F3787" s="125"/>
      <c r="G3787" s="125"/>
      <c r="H3787" s="125"/>
      <c r="I3787" s="746"/>
      <c r="J3787" s="747"/>
      <c r="K3787" s="748"/>
      <c r="L3787" s="746"/>
      <c r="M3787" s="747"/>
      <c r="N3787" s="753"/>
    </row>
    <row r="3788" spans="2:14" ht="15" customHeight="1" x14ac:dyDescent="0.25">
      <c r="B3788" s="124"/>
      <c r="C3788" s="145"/>
      <c r="D3788" s="125"/>
      <c r="E3788" s="125"/>
      <c r="F3788" s="125"/>
      <c r="G3788" s="125"/>
      <c r="H3788" s="125"/>
      <c r="I3788" s="746"/>
      <c r="J3788" s="747"/>
      <c r="K3788" s="748"/>
      <c r="L3788" s="746"/>
      <c r="M3788" s="747"/>
      <c r="N3788" s="753"/>
    </row>
    <row r="3789" spans="2:14" ht="15" customHeight="1" x14ac:dyDescent="0.25">
      <c r="B3789" s="124"/>
      <c r="C3789" s="125"/>
      <c r="D3789" s="125"/>
      <c r="E3789" s="125"/>
      <c r="F3789" s="125"/>
      <c r="G3789" s="125"/>
      <c r="H3789" s="125"/>
      <c r="I3789" s="746"/>
      <c r="J3789" s="747"/>
      <c r="K3789" s="748"/>
      <c r="L3789" s="746"/>
      <c r="M3789" s="747"/>
      <c r="N3789" s="753"/>
    </row>
    <row r="3790" spans="2:14" ht="15" customHeight="1" x14ac:dyDescent="0.25">
      <c r="B3790" s="127"/>
      <c r="C3790" s="125"/>
      <c r="D3790" s="125"/>
      <c r="E3790" s="125"/>
      <c r="F3790" s="125"/>
      <c r="G3790" s="125"/>
      <c r="H3790" s="125"/>
      <c r="I3790" s="749"/>
      <c r="J3790" s="750"/>
      <c r="K3790" s="751"/>
      <c r="L3790" s="749"/>
      <c r="M3790" s="750"/>
      <c r="N3790" s="754"/>
    </row>
    <row r="3791" spans="2:14" ht="15" customHeight="1" x14ac:dyDescent="0.25">
      <c r="B3791" s="225"/>
      <c r="C3791" s="128"/>
      <c r="D3791" s="128"/>
      <c r="E3791" s="128"/>
      <c r="F3791" s="128"/>
      <c r="G3791" s="128"/>
      <c r="H3791" s="128"/>
      <c r="I3791" s="128"/>
      <c r="J3791" s="128"/>
      <c r="K3791" s="128"/>
      <c r="L3791" s="118"/>
      <c r="M3791" s="118"/>
      <c r="N3791" s="210"/>
    </row>
    <row r="3792" spans="2:14" ht="15" customHeight="1" x14ac:dyDescent="0.25">
      <c r="B3792" s="209"/>
      <c r="C3792" s="118"/>
      <c r="D3792" s="118"/>
      <c r="E3792" s="118"/>
      <c r="F3792" s="118"/>
      <c r="G3792" s="118"/>
      <c r="H3792" s="118"/>
      <c r="I3792" s="118"/>
      <c r="J3792" s="118"/>
      <c r="K3792" s="118"/>
      <c r="L3792" s="118"/>
      <c r="M3792" s="118"/>
      <c r="N3792" s="210"/>
    </row>
    <row r="3793" spans="2:14" ht="15" customHeight="1" x14ac:dyDescent="0.25">
      <c r="B3793" s="209"/>
      <c r="C3793" s="118"/>
      <c r="D3793" s="118"/>
      <c r="E3793" s="118"/>
      <c r="F3793" s="118"/>
      <c r="G3793" s="118"/>
      <c r="H3793" s="118"/>
      <c r="I3793" s="118"/>
      <c r="J3793" s="118"/>
      <c r="K3793" s="118"/>
      <c r="L3793" s="118"/>
      <c r="M3793" s="118"/>
      <c r="N3793" s="210"/>
    </row>
    <row r="3794" spans="2:14" ht="15" customHeight="1" thickBot="1" x14ac:dyDescent="0.3">
      <c r="B3794" s="725" t="s">
        <v>414</v>
      </c>
      <c r="C3794" s="726"/>
      <c r="D3794" s="726"/>
      <c r="E3794" s="147"/>
      <c r="F3794" s="147"/>
      <c r="G3794" s="147"/>
      <c r="H3794" s="147"/>
      <c r="I3794" s="727"/>
      <c r="J3794" s="726"/>
      <c r="K3794" s="726"/>
      <c r="L3794" s="130"/>
      <c r="M3794" s="130"/>
      <c r="N3794" s="131"/>
    </row>
    <row r="3795" spans="2:14" ht="15" customHeight="1" thickBot="1" x14ac:dyDescent="0.3"/>
    <row r="3796" spans="2:14" ht="47.45" customHeight="1" x14ac:dyDescent="0.25">
      <c r="B3796" s="728"/>
      <c r="C3796" s="729"/>
      <c r="D3796" s="730" t="s">
        <v>393</v>
      </c>
      <c r="E3796" s="729"/>
      <c r="F3796" s="729"/>
      <c r="G3796" s="729"/>
      <c r="H3796" s="729"/>
      <c r="I3796" s="729"/>
      <c r="J3796" s="729"/>
      <c r="K3796" s="729"/>
      <c r="L3796" s="729"/>
      <c r="M3796" s="729"/>
      <c r="N3796" s="731"/>
    </row>
    <row r="3797" spans="2:14" ht="15" customHeight="1" x14ac:dyDescent="0.25">
      <c r="B3797" s="732" t="s">
        <v>394</v>
      </c>
      <c r="C3797" s="733"/>
      <c r="D3797" s="733"/>
      <c r="E3797" s="733"/>
      <c r="F3797" s="733"/>
      <c r="G3797" s="733"/>
      <c r="H3797" s="733"/>
      <c r="I3797" s="733"/>
      <c r="J3797" s="733"/>
      <c r="K3797" s="733"/>
      <c r="L3797" s="733"/>
      <c r="M3797" s="733"/>
      <c r="N3797" s="734"/>
    </row>
    <row r="3798" spans="2:14" ht="15" customHeight="1" x14ac:dyDescent="0.25">
      <c r="B3798" s="735" t="s">
        <v>395</v>
      </c>
      <c r="C3798" s="736"/>
      <c r="D3798" s="737" t="str">
        <f>VLOOKUP(B3800,Buenaventura!A9:G5045,3,FALSE)</f>
        <v>Demolición enchape de muro, incluye retiro, empaque, trasiego de escombros y disposición final en centro de acopio certificado</v>
      </c>
      <c r="E3798" s="738"/>
      <c r="F3798" s="738"/>
      <c r="G3798" s="738"/>
      <c r="H3798" s="738"/>
      <c r="I3798" s="738"/>
      <c r="J3798" s="738"/>
      <c r="K3798" s="738"/>
      <c r="L3798" s="738"/>
      <c r="M3798" s="738"/>
      <c r="N3798" s="739"/>
    </row>
    <row r="3799" spans="2:14" ht="29.45" customHeight="1" x14ac:dyDescent="0.25">
      <c r="B3799" s="740" t="s">
        <v>26</v>
      </c>
      <c r="C3799" s="741"/>
      <c r="D3799" s="119" t="s">
        <v>396</v>
      </c>
      <c r="E3799" s="742" t="s">
        <v>397</v>
      </c>
      <c r="F3799" s="733"/>
      <c r="G3799" s="733"/>
      <c r="H3799" s="736"/>
      <c r="I3799" s="742" t="s">
        <v>398</v>
      </c>
      <c r="J3799" s="733"/>
      <c r="K3799" s="736"/>
      <c r="L3799" s="742" t="s">
        <v>399</v>
      </c>
      <c r="M3799" s="733"/>
      <c r="N3799" s="734"/>
    </row>
    <row r="3800" spans="2:14" ht="15" customHeight="1" x14ac:dyDescent="0.25">
      <c r="B3800" s="283">
        <v>87</v>
      </c>
      <c r="C3800" s="284" t="str">
        <f>VLOOKUP(B3800,Buenaventura!A9:G5058,2,FALSE)</f>
        <v>PR-08</v>
      </c>
      <c r="D3800" s="285">
        <f>SUM(H3803:H3806)</f>
        <v>18.62</v>
      </c>
      <c r="E3800" s="743" t="str">
        <f>VLOOKUP(B3800,Buenaventura!A9:G5057,4,FALSE)</f>
        <v>M2</v>
      </c>
      <c r="F3800" s="743"/>
      <c r="G3800" s="743"/>
      <c r="H3800" s="743"/>
      <c r="I3800" s="744"/>
      <c r="J3800" s="745"/>
      <c r="K3800" s="741"/>
      <c r="L3800" s="744"/>
      <c r="M3800" s="745"/>
      <c r="N3800" s="752"/>
    </row>
    <row r="3801" spans="2:14" ht="15" customHeight="1" x14ac:dyDescent="0.25">
      <c r="B3801" s="755" t="s">
        <v>416</v>
      </c>
      <c r="C3801" s="733"/>
      <c r="D3801" s="733"/>
      <c r="E3801" s="733"/>
      <c r="F3801" s="733"/>
      <c r="G3801" s="733"/>
      <c r="H3801" s="736"/>
      <c r="I3801" s="746"/>
      <c r="J3801" s="747"/>
      <c r="K3801" s="748"/>
      <c r="L3801" s="746"/>
      <c r="M3801" s="747"/>
      <c r="N3801" s="753"/>
    </row>
    <row r="3802" spans="2:14" ht="15" customHeight="1" x14ac:dyDescent="0.25">
      <c r="B3802" s="121" t="s">
        <v>400</v>
      </c>
      <c r="C3802" s="122" t="s">
        <v>401</v>
      </c>
      <c r="D3802" s="123" t="s">
        <v>402</v>
      </c>
      <c r="E3802" s="123" t="s">
        <v>403</v>
      </c>
      <c r="F3802" s="123" t="s">
        <v>404</v>
      </c>
      <c r="G3802" s="123" t="s">
        <v>405</v>
      </c>
      <c r="H3802" s="123" t="s">
        <v>406</v>
      </c>
      <c r="I3802" s="746"/>
      <c r="J3802" s="747"/>
      <c r="K3802" s="748"/>
      <c r="L3802" s="746"/>
      <c r="M3802" s="747"/>
      <c r="N3802" s="753"/>
    </row>
    <row r="3803" spans="2:14" ht="15" customHeight="1" x14ac:dyDescent="0.25">
      <c r="B3803" s="124"/>
      <c r="C3803" s="145" t="s">
        <v>607</v>
      </c>
      <c r="D3803" s="125">
        <v>2</v>
      </c>
      <c r="E3803" s="125"/>
      <c r="F3803" s="125">
        <f>4.51+0.73+2.07</f>
        <v>7.3100000000000005</v>
      </c>
      <c r="G3803" s="125"/>
      <c r="H3803" s="125">
        <f>D3803*F3803</f>
        <v>14.620000000000001</v>
      </c>
      <c r="I3803" s="746"/>
      <c r="J3803" s="747"/>
      <c r="K3803" s="748"/>
      <c r="L3803" s="746"/>
      <c r="M3803" s="747"/>
      <c r="N3803" s="753"/>
    </row>
    <row r="3804" spans="2:14" ht="15" customHeight="1" x14ac:dyDescent="0.25">
      <c r="B3804" s="124"/>
      <c r="C3804" s="145" t="s">
        <v>608</v>
      </c>
      <c r="D3804" s="125">
        <v>1</v>
      </c>
      <c r="E3804" s="125"/>
      <c r="F3804" s="125">
        <v>4</v>
      </c>
      <c r="G3804" s="125"/>
      <c r="H3804" s="125">
        <f>D3804*F3804</f>
        <v>4</v>
      </c>
      <c r="I3804" s="746"/>
      <c r="J3804" s="747"/>
      <c r="K3804" s="748"/>
      <c r="L3804" s="746"/>
      <c r="M3804" s="747"/>
      <c r="N3804" s="753"/>
    </row>
    <row r="3805" spans="2:14" ht="15" customHeight="1" x14ac:dyDescent="0.25">
      <c r="B3805" s="165"/>
      <c r="C3805" s="145"/>
      <c r="D3805" s="125"/>
      <c r="E3805" s="125"/>
      <c r="F3805" s="125"/>
      <c r="G3805" s="125"/>
      <c r="H3805" s="125"/>
      <c r="I3805" s="746"/>
      <c r="J3805" s="747"/>
      <c r="K3805" s="748"/>
      <c r="L3805" s="746"/>
      <c r="M3805" s="747"/>
      <c r="N3805" s="753"/>
    </row>
    <row r="3806" spans="2:14" ht="15" customHeight="1" x14ac:dyDescent="0.25">
      <c r="B3806" s="165"/>
      <c r="C3806" s="145"/>
      <c r="D3806" s="125"/>
      <c r="E3806" s="125"/>
      <c r="F3806" s="125"/>
      <c r="G3806" s="125"/>
      <c r="H3806" s="125"/>
      <c r="I3806" s="746"/>
      <c r="J3806" s="747"/>
      <c r="K3806" s="748"/>
      <c r="L3806" s="746"/>
      <c r="M3806" s="747"/>
      <c r="N3806" s="753"/>
    </row>
    <row r="3807" spans="2:14" ht="15" customHeight="1" x14ac:dyDescent="0.25">
      <c r="B3807" s="165"/>
      <c r="C3807" s="145"/>
      <c r="D3807" s="125"/>
      <c r="E3807" s="125"/>
      <c r="F3807" s="125"/>
      <c r="G3807" s="125"/>
      <c r="H3807" s="125"/>
      <c r="I3807" s="746"/>
      <c r="J3807" s="747"/>
      <c r="K3807" s="748"/>
      <c r="L3807" s="746"/>
      <c r="M3807" s="747"/>
      <c r="N3807" s="753"/>
    </row>
    <row r="3808" spans="2:14" ht="15" customHeight="1" x14ac:dyDescent="0.25">
      <c r="B3808" s="165"/>
      <c r="C3808" s="145"/>
      <c r="D3808" s="125"/>
      <c r="E3808" s="125"/>
      <c r="F3808" s="125"/>
      <c r="G3808" s="125"/>
      <c r="H3808" s="125"/>
      <c r="I3808" s="746"/>
      <c r="J3808" s="747"/>
      <c r="K3808" s="748"/>
      <c r="L3808" s="746"/>
      <c r="M3808" s="747"/>
      <c r="N3808" s="753"/>
    </row>
    <row r="3809" spans="2:14" ht="15" customHeight="1" x14ac:dyDescent="0.25">
      <c r="B3809" s="165"/>
      <c r="C3809" s="145"/>
      <c r="D3809" s="125"/>
      <c r="E3809" s="125"/>
      <c r="F3809" s="125"/>
      <c r="G3809" s="125"/>
      <c r="H3809" s="125"/>
      <c r="I3809" s="746"/>
      <c r="J3809" s="747"/>
      <c r="K3809" s="748"/>
      <c r="L3809" s="746"/>
      <c r="M3809" s="747"/>
      <c r="N3809" s="753"/>
    </row>
    <row r="3810" spans="2:14" ht="15" customHeight="1" x14ac:dyDescent="0.25">
      <c r="B3810" s="124"/>
      <c r="C3810" s="145"/>
      <c r="D3810" s="125"/>
      <c r="E3810" s="125"/>
      <c r="F3810" s="125"/>
      <c r="G3810" s="125"/>
      <c r="H3810" s="125"/>
      <c r="I3810" s="746"/>
      <c r="J3810" s="747"/>
      <c r="K3810" s="748"/>
      <c r="L3810" s="746"/>
      <c r="M3810" s="747"/>
      <c r="N3810" s="753"/>
    </row>
    <row r="3811" spans="2:14" ht="15" customHeight="1" x14ac:dyDescent="0.25">
      <c r="B3811" s="124"/>
      <c r="C3811" s="125"/>
      <c r="D3811" s="125"/>
      <c r="E3811" s="125"/>
      <c r="F3811" s="125"/>
      <c r="G3811" s="125"/>
      <c r="H3811" s="125"/>
      <c r="I3811" s="746"/>
      <c r="J3811" s="747"/>
      <c r="K3811" s="748"/>
      <c r="L3811" s="746"/>
      <c r="M3811" s="747"/>
      <c r="N3811" s="753"/>
    </row>
    <row r="3812" spans="2:14" ht="15" customHeight="1" x14ac:dyDescent="0.25">
      <c r="B3812" s="127"/>
      <c r="C3812" s="125"/>
      <c r="D3812" s="125"/>
      <c r="E3812" s="125"/>
      <c r="F3812" s="125"/>
      <c r="G3812" s="125"/>
      <c r="H3812" s="125"/>
      <c r="I3812" s="749"/>
      <c r="J3812" s="750"/>
      <c r="K3812" s="751"/>
      <c r="L3812" s="749"/>
      <c r="M3812" s="750"/>
      <c r="N3812" s="754"/>
    </row>
    <row r="3813" spans="2:14" ht="15" customHeight="1" x14ac:dyDescent="0.25">
      <c r="B3813" s="225"/>
      <c r="C3813" s="128"/>
      <c r="D3813" s="128"/>
      <c r="E3813" s="128"/>
      <c r="F3813" s="128"/>
      <c r="G3813" s="128"/>
      <c r="H3813" s="128"/>
      <c r="I3813" s="128"/>
      <c r="J3813" s="128"/>
      <c r="K3813" s="128"/>
      <c r="L3813" s="118"/>
      <c r="M3813" s="118"/>
      <c r="N3813" s="210"/>
    </row>
    <row r="3814" spans="2:14" ht="15" customHeight="1" x14ac:dyDescent="0.25">
      <c r="B3814" s="209"/>
      <c r="C3814" s="118"/>
      <c r="D3814" s="118"/>
      <c r="E3814" s="118"/>
      <c r="F3814" s="118"/>
      <c r="G3814" s="118"/>
      <c r="H3814" s="118"/>
      <c r="I3814" s="118"/>
      <c r="J3814" s="118"/>
      <c r="K3814" s="118"/>
      <c r="L3814" s="118"/>
      <c r="M3814" s="118"/>
      <c r="N3814" s="210"/>
    </row>
    <row r="3815" spans="2:14" ht="15" customHeight="1" x14ac:dyDescent="0.25">
      <c r="B3815" s="209"/>
      <c r="C3815" s="118"/>
      <c r="D3815" s="118"/>
      <c r="E3815" s="118"/>
      <c r="F3815" s="118"/>
      <c r="G3815" s="118"/>
      <c r="H3815" s="118"/>
      <c r="I3815" s="118"/>
      <c r="J3815" s="118"/>
      <c r="K3815" s="118"/>
      <c r="L3815" s="118"/>
      <c r="M3815" s="118"/>
      <c r="N3815" s="210"/>
    </row>
    <row r="3816" spans="2:14" ht="15" customHeight="1" thickBot="1" x14ac:dyDescent="0.3">
      <c r="B3816" s="725" t="s">
        <v>414</v>
      </c>
      <c r="C3816" s="726"/>
      <c r="D3816" s="726"/>
      <c r="E3816" s="147"/>
      <c r="F3816" s="147"/>
      <c r="G3816" s="147"/>
      <c r="H3816" s="147"/>
      <c r="I3816" s="727"/>
      <c r="J3816" s="726"/>
      <c r="K3816" s="726"/>
      <c r="L3816" s="130"/>
      <c r="M3816" s="130"/>
      <c r="N3816" s="131"/>
    </row>
    <row r="3817" spans="2:14" ht="15" customHeight="1" thickBot="1" x14ac:dyDescent="0.3"/>
    <row r="3818" spans="2:14" ht="37.9" customHeight="1" x14ac:dyDescent="0.25">
      <c r="B3818" s="728"/>
      <c r="C3818" s="729"/>
      <c r="D3818" s="730" t="s">
        <v>393</v>
      </c>
      <c r="E3818" s="729"/>
      <c r="F3818" s="729"/>
      <c r="G3818" s="729"/>
      <c r="H3818" s="729"/>
      <c r="I3818" s="729"/>
      <c r="J3818" s="729"/>
      <c r="K3818" s="729"/>
      <c r="L3818" s="729"/>
      <c r="M3818" s="729"/>
      <c r="N3818" s="731"/>
    </row>
    <row r="3819" spans="2:14" ht="15" customHeight="1" x14ac:dyDescent="0.25">
      <c r="B3819" s="732" t="s">
        <v>394</v>
      </c>
      <c r="C3819" s="733"/>
      <c r="D3819" s="733"/>
      <c r="E3819" s="733"/>
      <c r="F3819" s="733"/>
      <c r="G3819" s="733"/>
      <c r="H3819" s="733"/>
      <c r="I3819" s="733"/>
      <c r="J3819" s="733"/>
      <c r="K3819" s="733"/>
      <c r="L3819" s="733"/>
      <c r="M3819" s="733"/>
      <c r="N3819" s="734"/>
    </row>
    <row r="3820" spans="2:14" ht="15" customHeight="1" x14ac:dyDescent="0.25">
      <c r="B3820" s="735" t="s">
        <v>395</v>
      </c>
      <c r="C3820" s="736"/>
      <c r="D3820" s="737" t="str">
        <f>VLOOKUP(B3822,Buenaventura!A9:G5067,3,FALSE)</f>
        <v>Retiro de tuberia existente diametros entre 1/2" y 1"</v>
      </c>
      <c r="E3820" s="738"/>
      <c r="F3820" s="738"/>
      <c r="G3820" s="738"/>
      <c r="H3820" s="738"/>
      <c r="I3820" s="738"/>
      <c r="J3820" s="738"/>
      <c r="K3820" s="738"/>
      <c r="L3820" s="738"/>
      <c r="M3820" s="738"/>
      <c r="N3820" s="739"/>
    </row>
    <row r="3821" spans="2:14" ht="30.6" customHeight="1" x14ac:dyDescent="0.25">
      <c r="B3821" s="740" t="s">
        <v>26</v>
      </c>
      <c r="C3821" s="741"/>
      <c r="D3821" s="119" t="s">
        <v>396</v>
      </c>
      <c r="E3821" s="742" t="s">
        <v>397</v>
      </c>
      <c r="F3821" s="733"/>
      <c r="G3821" s="733"/>
      <c r="H3821" s="736"/>
      <c r="I3821" s="742" t="s">
        <v>398</v>
      </c>
      <c r="J3821" s="733"/>
      <c r="K3821" s="736"/>
      <c r="L3821" s="742" t="s">
        <v>399</v>
      </c>
      <c r="M3821" s="733"/>
      <c r="N3821" s="734"/>
    </row>
    <row r="3822" spans="2:14" ht="15" customHeight="1" x14ac:dyDescent="0.25">
      <c r="B3822" s="283">
        <v>88</v>
      </c>
      <c r="C3822" s="284" t="str">
        <f>VLOOKUP(B3822,Buenaventura!A9:G5080,2,FALSE)</f>
        <v>PR-29</v>
      </c>
      <c r="D3822" s="285">
        <f>SUM(H3825:H3828)</f>
        <v>6</v>
      </c>
      <c r="E3822" s="743" t="str">
        <f>VLOOKUP(B3822,Buenaventura!A9:G5079,4,FALSE)</f>
        <v>ML</v>
      </c>
      <c r="F3822" s="743"/>
      <c r="G3822" s="743"/>
      <c r="H3822" s="743"/>
      <c r="I3822" s="744"/>
      <c r="J3822" s="745"/>
      <c r="K3822" s="741"/>
      <c r="L3822" s="744"/>
      <c r="M3822" s="745"/>
      <c r="N3822" s="752"/>
    </row>
    <row r="3823" spans="2:14" ht="15" customHeight="1" x14ac:dyDescent="0.25">
      <c r="B3823" s="755" t="s">
        <v>416</v>
      </c>
      <c r="C3823" s="733"/>
      <c r="D3823" s="733"/>
      <c r="E3823" s="733"/>
      <c r="F3823" s="733"/>
      <c r="G3823" s="733"/>
      <c r="H3823" s="736"/>
      <c r="I3823" s="746"/>
      <c r="J3823" s="747"/>
      <c r="K3823" s="748"/>
      <c r="L3823" s="746"/>
      <c r="M3823" s="747"/>
      <c r="N3823" s="753"/>
    </row>
    <row r="3824" spans="2:14" ht="15" customHeight="1" x14ac:dyDescent="0.25">
      <c r="B3824" s="121" t="s">
        <v>400</v>
      </c>
      <c r="C3824" s="122" t="s">
        <v>401</v>
      </c>
      <c r="D3824" s="123" t="s">
        <v>402</v>
      </c>
      <c r="E3824" s="123" t="s">
        <v>403</v>
      </c>
      <c r="F3824" s="123" t="s">
        <v>404</v>
      </c>
      <c r="G3824" s="123" t="s">
        <v>405</v>
      </c>
      <c r="H3824" s="123" t="s">
        <v>406</v>
      </c>
      <c r="I3824" s="746"/>
      <c r="J3824" s="747"/>
      <c r="K3824" s="748"/>
      <c r="L3824" s="746"/>
      <c r="M3824" s="747"/>
      <c r="N3824" s="753"/>
    </row>
    <row r="3825" spans="2:14" ht="15" customHeight="1" x14ac:dyDescent="0.25">
      <c r="B3825" s="124"/>
      <c r="C3825" s="145"/>
      <c r="D3825" s="125">
        <v>6</v>
      </c>
      <c r="E3825" s="125"/>
      <c r="F3825" s="125"/>
      <c r="G3825" s="125"/>
      <c r="H3825" s="125">
        <f>D3825</f>
        <v>6</v>
      </c>
      <c r="I3825" s="746"/>
      <c r="J3825" s="747"/>
      <c r="K3825" s="748"/>
      <c r="L3825" s="746"/>
      <c r="M3825" s="747"/>
      <c r="N3825" s="753"/>
    </row>
    <row r="3826" spans="2:14" ht="15" customHeight="1" x14ac:dyDescent="0.25">
      <c r="B3826" s="124"/>
      <c r="C3826" s="145"/>
      <c r="D3826" s="125"/>
      <c r="E3826" s="125"/>
      <c r="F3826" s="125"/>
      <c r="G3826" s="125"/>
      <c r="H3826" s="125"/>
      <c r="I3826" s="746"/>
      <c r="J3826" s="747"/>
      <c r="K3826" s="748"/>
      <c r="L3826" s="746"/>
      <c r="M3826" s="747"/>
      <c r="N3826" s="753"/>
    </row>
    <row r="3827" spans="2:14" ht="15" customHeight="1" x14ac:dyDescent="0.25">
      <c r="B3827" s="165"/>
      <c r="C3827" s="145"/>
      <c r="D3827" s="125"/>
      <c r="E3827" s="125"/>
      <c r="F3827" s="125"/>
      <c r="G3827" s="125"/>
      <c r="H3827" s="125"/>
      <c r="I3827" s="746"/>
      <c r="J3827" s="747"/>
      <c r="K3827" s="748"/>
      <c r="L3827" s="746"/>
      <c r="M3827" s="747"/>
      <c r="N3827" s="753"/>
    </row>
    <row r="3828" spans="2:14" ht="15" customHeight="1" x14ac:dyDescent="0.25">
      <c r="B3828" s="165"/>
      <c r="C3828" s="145"/>
      <c r="D3828" s="125"/>
      <c r="E3828" s="125"/>
      <c r="F3828" s="125"/>
      <c r="G3828" s="125"/>
      <c r="H3828" s="125"/>
      <c r="I3828" s="746"/>
      <c r="J3828" s="747"/>
      <c r="K3828" s="748"/>
      <c r="L3828" s="746"/>
      <c r="M3828" s="747"/>
      <c r="N3828" s="753"/>
    </row>
    <row r="3829" spans="2:14" ht="15" customHeight="1" x14ac:dyDescent="0.25">
      <c r="B3829" s="165"/>
      <c r="C3829" s="145"/>
      <c r="D3829" s="125"/>
      <c r="E3829" s="125"/>
      <c r="F3829" s="125"/>
      <c r="G3829" s="125"/>
      <c r="H3829" s="125"/>
      <c r="I3829" s="746"/>
      <c r="J3829" s="747"/>
      <c r="K3829" s="748"/>
      <c r="L3829" s="746"/>
      <c r="M3829" s="747"/>
      <c r="N3829" s="753"/>
    </row>
    <row r="3830" spans="2:14" ht="15" customHeight="1" x14ac:dyDescent="0.25">
      <c r="B3830" s="165"/>
      <c r="C3830" s="145"/>
      <c r="D3830" s="125"/>
      <c r="E3830" s="125"/>
      <c r="F3830" s="125"/>
      <c r="G3830" s="125"/>
      <c r="H3830" s="125"/>
      <c r="I3830" s="746"/>
      <c r="J3830" s="747"/>
      <c r="K3830" s="748"/>
      <c r="L3830" s="746"/>
      <c r="M3830" s="747"/>
      <c r="N3830" s="753"/>
    </row>
    <row r="3831" spans="2:14" ht="15" customHeight="1" x14ac:dyDescent="0.25">
      <c r="B3831" s="165"/>
      <c r="C3831" s="145"/>
      <c r="D3831" s="125"/>
      <c r="E3831" s="125"/>
      <c r="F3831" s="125"/>
      <c r="G3831" s="125"/>
      <c r="H3831" s="125"/>
      <c r="I3831" s="746"/>
      <c r="J3831" s="747"/>
      <c r="K3831" s="748"/>
      <c r="L3831" s="746"/>
      <c r="M3831" s="747"/>
      <c r="N3831" s="753"/>
    </row>
    <row r="3832" spans="2:14" ht="15" customHeight="1" x14ac:dyDescent="0.25">
      <c r="B3832" s="124"/>
      <c r="C3832" s="145"/>
      <c r="D3832" s="125"/>
      <c r="E3832" s="125"/>
      <c r="F3832" s="125"/>
      <c r="G3832" s="125"/>
      <c r="H3832" s="125"/>
      <c r="I3832" s="746"/>
      <c r="J3832" s="747"/>
      <c r="K3832" s="748"/>
      <c r="L3832" s="746"/>
      <c r="M3832" s="747"/>
      <c r="N3832" s="753"/>
    </row>
    <row r="3833" spans="2:14" ht="15" customHeight="1" x14ac:dyDescent="0.25">
      <c r="B3833" s="124"/>
      <c r="C3833" s="125"/>
      <c r="D3833" s="125"/>
      <c r="E3833" s="125"/>
      <c r="F3833" s="125"/>
      <c r="G3833" s="125"/>
      <c r="H3833" s="125"/>
      <c r="I3833" s="746"/>
      <c r="J3833" s="747"/>
      <c r="K3833" s="748"/>
      <c r="L3833" s="746"/>
      <c r="M3833" s="747"/>
      <c r="N3833" s="753"/>
    </row>
    <row r="3834" spans="2:14" ht="15" customHeight="1" x14ac:dyDescent="0.25">
      <c r="B3834" s="127"/>
      <c r="C3834" s="125"/>
      <c r="D3834" s="125"/>
      <c r="E3834" s="125"/>
      <c r="F3834" s="125"/>
      <c r="G3834" s="125"/>
      <c r="H3834" s="125"/>
      <c r="I3834" s="749"/>
      <c r="J3834" s="750"/>
      <c r="K3834" s="751"/>
      <c r="L3834" s="749"/>
      <c r="M3834" s="750"/>
      <c r="N3834" s="754"/>
    </row>
    <row r="3835" spans="2:14" ht="15" customHeight="1" x14ac:dyDescent="0.25">
      <c r="B3835" s="225"/>
      <c r="C3835" s="128"/>
      <c r="D3835" s="128"/>
      <c r="E3835" s="128"/>
      <c r="F3835" s="128"/>
      <c r="G3835" s="128"/>
      <c r="H3835" s="128"/>
      <c r="I3835" s="128"/>
      <c r="J3835" s="128"/>
      <c r="K3835" s="128"/>
      <c r="L3835" s="118"/>
      <c r="M3835" s="118"/>
      <c r="N3835" s="210"/>
    </row>
    <row r="3836" spans="2:14" ht="15" customHeight="1" x14ac:dyDescent="0.25">
      <c r="B3836" s="209"/>
      <c r="C3836" s="118"/>
      <c r="D3836" s="118"/>
      <c r="E3836" s="118"/>
      <c r="F3836" s="118"/>
      <c r="G3836" s="118"/>
      <c r="H3836" s="118"/>
      <c r="I3836" s="118"/>
      <c r="J3836" s="118"/>
      <c r="K3836" s="118"/>
      <c r="L3836" s="118"/>
      <c r="M3836" s="118"/>
      <c r="N3836" s="210"/>
    </row>
    <row r="3837" spans="2:14" ht="15" customHeight="1" x14ac:dyDescent="0.25">
      <c r="B3837" s="209"/>
      <c r="C3837" s="118"/>
      <c r="D3837" s="118"/>
      <c r="E3837" s="118"/>
      <c r="F3837" s="118"/>
      <c r="G3837" s="118"/>
      <c r="H3837" s="118"/>
      <c r="I3837" s="118"/>
      <c r="J3837" s="118"/>
      <c r="K3837" s="118"/>
      <c r="L3837" s="118"/>
      <c r="M3837" s="118"/>
      <c r="N3837" s="210"/>
    </row>
    <row r="3838" spans="2:14" ht="15" customHeight="1" thickBot="1" x14ac:dyDescent="0.3">
      <c r="B3838" s="725" t="s">
        <v>414</v>
      </c>
      <c r="C3838" s="726"/>
      <c r="D3838" s="726"/>
      <c r="E3838" s="147"/>
      <c r="F3838" s="147"/>
      <c r="G3838" s="147"/>
      <c r="H3838" s="147"/>
      <c r="I3838" s="727"/>
      <c r="J3838" s="726"/>
      <c r="K3838" s="726"/>
      <c r="L3838" s="130"/>
      <c r="M3838" s="130"/>
      <c r="N3838" s="131"/>
    </row>
    <row r="3839" spans="2:14" ht="15" customHeight="1" thickBot="1" x14ac:dyDescent="0.3"/>
    <row r="3840" spans="2:14" ht="36" customHeight="1" x14ac:dyDescent="0.25">
      <c r="B3840" s="728"/>
      <c r="C3840" s="729"/>
      <c r="D3840" s="730" t="s">
        <v>393</v>
      </c>
      <c r="E3840" s="729"/>
      <c r="F3840" s="729"/>
      <c r="G3840" s="729"/>
      <c r="H3840" s="729"/>
      <c r="I3840" s="729"/>
      <c r="J3840" s="729"/>
      <c r="K3840" s="729"/>
      <c r="L3840" s="729"/>
      <c r="M3840" s="729"/>
      <c r="N3840" s="731"/>
    </row>
    <row r="3841" spans="2:14" ht="15" customHeight="1" x14ac:dyDescent="0.25">
      <c r="B3841" s="732" t="s">
        <v>394</v>
      </c>
      <c r="C3841" s="733"/>
      <c r="D3841" s="733"/>
      <c r="E3841" s="733"/>
      <c r="F3841" s="733"/>
      <c r="G3841" s="733"/>
      <c r="H3841" s="733"/>
      <c r="I3841" s="733"/>
      <c r="J3841" s="733"/>
      <c r="K3841" s="733"/>
      <c r="L3841" s="733"/>
      <c r="M3841" s="733"/>
      <c r="N3841" s="734"/>
    </row>
    <row r="3842" spans="2:14" ht="19.149999999999999" customHeight="1" x14ac:dyDescent="0.25">
      <c r="B3842" s="735" t="s">
        <v>395</v>
      </c>
      <c r="C3842" s="736"/>
      <c r="D3842" s="737" t="str">
        <f>VLOOKUP(B3844,Buenaventura!A9:G5089,3,FALSE)</f>
        <v>Retiro de tuberia existente cuyos diametros oscilan entre 2" y 4"</v>
      </c>
      <c r="E3842" s="738"/>
      <c r="F3842" s="738"/>
      <c r="G3842" s="738"/>
      <c r="H3842" s="738"/>
      <c r="I3842" s="738"/>
      <c r="J3842" s="738"/>
      <c r="K3842" s="738"/>
      <c r="L3842" s="738"/>
      <c r="M3842" s="738"/>
      <c r="N3842" s="739"/>
    </row>
    <row r="3843" spans="2:14" ht="24.6" customHeight="1" x14ac:dyDescent="0.25">
      <c r="B3843" s="740" t="s">
        <v>26</v>
      </c>
      <c r="C3843" s="741"/>
      <c r="D3843" s="119" t="s">
        <v>396</v>
      </c>
      <c r="E3843" s="742" t="s">
        <v>397</v>
      </c>
      <c r="F3843" s="733"/>
      <c r="G3843" s="733"/>
      <c r="H3843" s="736"/>
      <c r="I3843" s="742" t="s">
        <v>398</v>
      </c>
      <c r="J3843" s="733"/>
      <c r="K3843" s="736"/>
      <c r="L3843" s="742" t="s">
        <v>399</v>
      </c>
      <c r="M3843" s="733"/>
      <c r="N3843" s="734"/>
    </row>
    <row r="3844" spans="2:14" ht="15" customHeight="1" x14ac:dyDescent="0.25">
      <c r="B3844" s="283">
        <v>89</v>
      </c>
      <c r="C3844" s="284" t="str">
        <f>VLOOKUP(B3844,Buenaventura!A9:G5102,2,FALSE)</f>
        <v>PR-19</v>
      </c>
      <c r="D3844" s="285">
        <f>SUM(H3847:H3850)</f>
        <v>10</v>
      </c>
      <c r="E3844" s="743" t="str">
        <f>VLOOKUP(B3844,Buenaventura!A9:G5101,4,FALSE)</f>
        <v>ML</v>
      </c>
      <c r="F3844" s="743"/>
      <c r="G3844" s="743"/>
      <c r="H3844" s="743"/>
      <c r="I3844" s="744"/>
      <c r="J3844" s="745"/>
      <c r="K3844" s="741"/>
      <c r="L3844" s="744"/>
      <c r="M3844" s="745"/>
      <c r="N3844" s="752"/>
    </row>
    <row r="3845" spans="2:14" ht="15" customHeight="1" x14ac:dyDescent="0.25">
      <c r="B3845" s="755" t="s">
        <v>416</v>
      </c>
      <c r="C3845" s="733"/>
      <c r="D3845" s="733"/>
      <c r="E3845" s="733"/>
      <c r="F3845" s="733"/>
      <c r="G3845" s="733"/>
      <c r="H3845" s="736"/>
      <c r="I3845" s="746"/>
      <c r="J3845" s="747"/>
      <c r="K3845" s="748"/>
      <c r="L3845" s="746"/>
      <c r="M3845" s="747"/>
      <c r="N3845" s="753"/>
    </row>
    <row r="3846" spans="2:14" ht="15" customHeight="1" x14ac:dyDescent="0.25">
      <c r="B3846" s="121" t="s">
        <v>400</v>
      </c>
      <c r="C3846" s="122" t="s">
        <v>401</v>
      </c>
      <c r="D3846" s="123" t="s">
        <v>402</v>
      </c>
      <c r="E3846" s="123" t="s">
        <v>403</v>
      </c>
      <c r="F3846" s="123" t="s">
        <v>404</v>
      </c>
      <c r="G3846" s="123" t="s">
        <v>405</v>
      </c>
      <c r="H3846" s="123" t="s">
        <v>406</v>
      </c>
      <c r="I3846" s="746"/>
      <c r="J3846" s="747"/>
      <c r="K3846" s="748"/>
      <c r="L3846" s="746"/>
      <c r="M3846" s="747"/>
      <c r="N3846" s="753"/>
    </row>
    <row r="3847" spans="2:14" ht="15" customHeight="1" x14ac:dyDescent="0.25">
      <c r="B3847" s="124"/>
      <c r="C3847" s="145" t="s">
        <v>601</v>
      </c>
      <c r="D3847" s="125">
        <v>4</v>
      </c>
      <c r="E3847" s="125"/>
      <c r="F3847" s="125"/>
      <c r="G3847" s="125"/>
      <c r="H3847" s="125">
        <f>D3847</f>
        <v>4</v>
      </c>
      <c r="I3847" s="746"/>
      <c r="J3847" s="747"/>
      <c r="K3847" s="748"/>
      <c r="L3847" s="746"/>
      <c r="M3847" s="747"/>
      <c r="N3847" s="753"/>
    </row>
    <row r="3848" spans="2:14" ht="15" customHeight="1" x14ac:dyDescent="0.25">
      <c r="B3848" s="124"/>
      <c r="C3848" s="145" t="s">
        <v>602</v>
      </c>
      <c r="D3848" s="125">
        <v>4</v>
      </c>
      <c r="E3848" s="125"/>
      <c r="F3848" s="125"/>
      <c r="G3848" s="125"/>
      <c r="H3848" s="125">
        <f>D3848</f>
        <v>4</v>
      </c>
      <c r="I3848" s="746"/>
      <c r="J3848" s="747"/>
      <c r="K3848" s="748"/>
      <c r="L3848" s="746"/>
      <c r="M3848" s="747"/>
      <c r="N3848" s="753"/>
    </row>
    <row r="3849" spans="2:14" ht="15" customHeight="1" x14ac:dyDescent="0.25">
      <c r="B3849" s="165"/>
      <c r="C3849" s="145" t="s">
        <v>603</v>
      </c>
      <c r="D3849" s="125">
        <v>2</v>
      </c>
      <c r="E3849" s="125"/>
      <c r="F3849" s="125"/>
      <c r="G3849" s="125"/>
      <c r="H3849" s="125">
        <f t="shared" ref="H3849" si="76">D3849</f>
        <v>2</v>
      </c>
      <c r="I3849" s="746"/>
      <c r="J3849" s="747"/>
      <c r="K3849" s="748"/>
      <c r="L3849" s="746"/>
      <c r="M3849" s="747"/>
      <c r="N3849" s="753"/>
    </row>
    <row r="3850" spans="2:14" ht="15" customHeight="1" x14ac:dyDescent="0.25">
      <c r="B3850" s="165"/>
      <c r="C3850" s="145"/>
      <c r="D3850" s="125"/>
      <c r="E3850" s="125"/>
      <c r="F3850" s="125"/>
      <c r="G3850" s="125"/>
      <c r="H3850" s="125"/>
      <c r="I3850" s="746"/>
      <c r="J3850" s="747"/>
      <c r="K3850" s="748"/>
      <c r="L3850" s="746"/>
      <c r="M3850" s="747"/>
      <c r="N3850" s="753"/>
    </row>
    <row r="3851" spans="2:14" ht="15" customHeight="1" x14ac:dyDescent="0.25">
      <c r="B3851" s="165"/>
      <c r="C3851" s="145"/>
      <c r="D3851" s="125"/>
      <c r="E3851" s="125"/>
      <c r="F3851" s="125"/>
      <c r="G3851" s="125"/>
      <c r="H3851" s="125"/>
      <c r="I3851" s="746"/>
      <c r="J3851" s="747"/>
      <c r="K3851" s="748"/>
      <c r="L3851" s="746"/>
      <c r="M3851" s="747"/>
      <c r="N3851" s="753"/>
    </row>
    <row r="3852" spans="2:14" ht="15" customHeight="1" x14ac:dyDescent="0.25">
      <c r="B3852" s="165"/>
      <c r="C3852" s="145"/>
      <c r="D3852" s="125"/>
      <c r="E3852" s="125"/>
      <c r="F3852" s="125"/>
      <c r="G3852" s="125"/>
      <c r="H3852" s="125"/>
      <c r="I3852" s="746"/>
      <c r="J3852" s="747"/>
      <c r="K3852" s="748"/>
      <c r="L3852" s="746"/>
      <c r="M3852" s="747"/>
      <c r="N3852" s="753"/>
    </row>
    <row r="3853" spans="2:14" ht="15" customHeight="1" x14ac:dyDescent="0.25">
      <c r="B3853" s="165"/>
      <c r="C3853" s="145"/>
      <c r="D3853" s="125"/>
      <c r="E3853" s="125"/>
      <c r="F3853" s="125"/>
      <c r="G3853" s="125"/>
      <c r="H3853" s="125"/>
      <c r="I3853" s="746"/>
      <c r="J3853" s="747"/>
      <c r="K3853" s="748"/>
      <c r="L3853" s="746"/>
      <c r="M3853" s="747"/>
      <c r="N3853" s="753"/>
    </row>
    <row r="3854" spans="2:14" ht="15" customHeight="1" x14ac:dyDescent="0.25">
      <c r="B3854" s="124"/>
      <c r="C3854" s="145"/>
      <c r="D3854" s="125"/>
      <c r="E3854" s="125"/>
      <c r="F3854" s="125"/>
      <c r="G3854" s="125"/>
      <c r="H3854" s="125"/>
      <c r="I3854" s="746"/>
      <c r="J3854" s="747"/>
      <c r="K3854" s="748"/>
      <c r="L3854" s="746"/>
      <c r="M3854" s="747"/>
      <c r="N3854" s="753"/>
    </row>
    <row r="3855" spans="2:14" ht="15" customHeight="1" x14ac:dyDescent="0.25">
      <c r="B3855" s="124"/>
      <c r="C3855" s="125"/>
      <c r="D3855" s="125"/>
      <c r="E3855" s="125"/>
      <c r="F3855" s="125"/>
      <c r="G3855" s="125"/>
      <c r="H3855" s="125"/>
      <c r="I3855" s="746"/>
      <c r="J3855" s="747"/>
      <c r="K3855" s="748"/>
      <c r="L3855" s="746"/>
      <c r="M3855" s="747"/>
      <c r="N3855" s="753"/>
    </row>
    <row r="3856" spans="2:14" ht="15" customHeight="1" x14ac:dyDescent="0.25">
      <c r="B3856" s="127"/>
      <c r="C3856" s="125"/>
      <c r="D3856" s="125"/>
      <c r="E3856" s="125"/>
      <c r="F3856" s="125"/>
      <c r="G3856" s="125"/>
      <c r="H3856" s="125"/>
      <c r="I3856" s="749"/>
      <c r="J3856" s="750"/>
      <c r="K3856" s="751"/>
      <c r="L3856" s="749"/>
      <c r="M3856" s="750"/>
      <c r="N3856" s="754"/>
    </row>
    <row r="3857" spans="2:14" ht="15" customHeight="1" x14ac:dyDescent="0.25">
      <c r="B3857" s="225"/>
      <c r="C3857" s="128"/>
      <c r="D3857" s="128"/>
      <c r="E3857" s="128"/>
      <c r="F3857" s="128"/>
      <c r="G3857" s="128"/>
      <c r="H3857" s="128"/>
      <c r="I3857" s="128"/>
      <c r="J3857" s="128"/>
      <c r="K3857" s="128"/>
      <c r="L3857" s="118"/>
      <c r="M3857" s="118"/>
      <c r="N3857" s="210"/>
    </row>
    <row r="3858" spans="2:14" ht="15" customHeight="1" x14ac:dyDescent="0.25">
      <c r="B3858" s="209"/>
      <c r="C3858" s="118"/>
      <c r="D3858" s="118"/>
      <c r="E3858" s="118"/>
      <c r="F3858" s="118"/>
      <c r="G3858" s="118"/>
      <c r="H3858" s="118"/>
      <c r="I3858" s="118"/>
      <c r="J3858" s="118"/>
      <c r="K3858" s="118"/>
      <c r="L3858" s="118"/>
      <c r="M3858" s="118"/>
      <c r="N3858" s="210"/>
    </row>
    <row r="3859" spans="2:14" ht="15" customHeight="1" x14ac:dyDescent="0.25">
      <c r="B3859" s="209"/>
      <c r="C3859" s="118"/>
      <c r="D3859" s="118"/>
      <c r="E3859" s="118"/>
      <c r="F3859" s="118"/>
      <c r="G3859" s="118"/>
      <c r="H3859" s="118"/>
      <c r="I3859" s="118"/>
      <c r="J3859" s="118"/>
      <c r="K3859" s="118"/>
      <c r="L3859" s="118"/>
      <c r="M3859" s="118"/>
      <c r="N3859" s="210"/>
    </row>
    <row r="3860" spans="2:14" ht="15" customHeight="1" thickBot="1" x14ac:dyDescent="0.3">
      <c r="B3860" s="725" t="s">
        <v>414</v>
      </c>
      <c r="C3860" s="726"/>
      <c r="D3860" s="726"/>
      <c r="E3860" s="147"/>
      <c r="F3860" s="147"/>
      <c r="G3860" s="147"/>
      <c r="H3860" s="147"/>
      <c r="I3860" s="727"/>
      <c r="J3860" s="726"/>
      <c r="K3860" s="726"/>
      <c r="L3860" s="130"/>
      <c r="M3860" s="130"/>
      <c r="N3860" s="131"/>
    </row>
    <row r="3861" spans="2:14" ht="15" customHeight="1" thickBot="1" x14ac:dyDescent="0.3"/>
    <row r="3862" spans="2:14" ht="42" customHeight="1" x14ac:dyDescent="0.25">
      <c r="B3862" s="728"/>
      <c r="C3862" s="729"/>
      <c r="D3862" s="730" t="s">
        <v>393</v>
      </c>
      <c r="E3862" s="729"/>
      <c r="F3862" s="729"/>
      <c r="G3862" s="729"/>
      <c r="H3862" s="729"/>
      <c r="I3862" s="729"/>
      <c r="J3862" s="729"/>
      <c r="K3862" s="729"/>
      <c r="L3862" s="729"/>
      <c r="M3862" s="729"/>
      <c r="N3862" s="731"/>
    </row>
    <row r="3863" spans="2:14" ht="15" customHeight="1" x14ac:dyDescent="0.25">
      <c r="B3863" s="732" t="s">
        <v>394</v>
      </c>
      <c r="C3863" s="733"/>
      <c r="D3863" s="733"/>
      <c r="E3863" s="733"/>
      <c r="F3863" s="733"/>
      <c r="G3863" s="733"/>
      <c r="H3863" s="733"/>
      <c r="I3863" s="733"/>
      <c r="J3863" s="733"/>
      <c r="K3863" s="733"/>
      <c r="L3863" s="733"/>
      <c r="M3863" s="733"/>
      <c r="N3863" s="734"/>
    </row>
    <row r="3864" spans="2:14" ht="15" customHeight="1" x14ac:dyDescent="0.25">
      <c r="B3864" s="735" t="s">
        <v>395</v>
      </c>
      <c r="C3864" s="736"/>
      <c r="D3864" s="737" t="str">
        <f>VLOOKUP(B3866,Buenaventura!A9:G5111,3,FALSE)</f>
        <v>Regatas en muros</v>
      </c>
      <c r="E3864" s="738"/>
      <c r="F3864" s="738"/>
      <c r="G3864" s="738"/>
      <c r="H3864" s="738"/>
      <c r="I3864" s="738"/>
      <c r="J3864" s="738"/>
      <c r="K3864" s="738"/>
      <c r="L3864" s="738"/>
      <c r="M3864" s="738"/>
      <c r="N3864" s="739"/>
    </row>
    <row r="3865" spans="2:14" ht="24.6" customHeight="1" x14ac:dyDescent="0.25">
      <c r="B3865" s="740" t="s">
        <v>26</v>
      </c>
      <c r="C3865" s="741"/>
      <c r="D3865" s="119" t="s">
        <v>396</v>
      </c>
      <c r="E3865" s="742" t="s">
        <v>397</v>
      </c>
      <c r="F3865" s="733"/>
      <c r="G3865" s="733"/>
      <c r="H3865" s="736"/>
      <c r="I3865" s="742" t="s">
        <v>398</v>
      </c>
      <c r="J3865" s="733"/>
      <c r="K3865" s="736"/>
      <c r="L3865" s="742" t="s">
        <v>399</v>
      </c>
      <c r="M3865" s="733"/>
      <c r="N3865" s="734"/>
    </row>
    <row r="3866" spans="2:14" ht="15" customHeight="1" x14ac:dyDescent="0.25">
      <c r="B3866" s="283">
        <v>90</v>
      </c>
      <c r="C3866" s="284" t="str">
        <f>VLOOKUP(B3866,Buenaventura!A9:G5124,2,FALSE)</f>
        <v>PR-35</v>
      </c>
      <c r="D3866" s="285">
        <f>SUM(H3869:H3872)</f>
        <v>17.8</v>
      </c>
      <c r="E3866" s="743" t="str">
        <f>VLOOKUP(B3866,Buenaventura!A9:G5123,4,FALSE)</f>
        <v>ML</v>
      </c>
      <c r="F3866" s="743"/>
      <c r="G3866" s="743"/>
      <c r="H3866" s="743"/>
      <c r="I3866" s="744"/>
      <c r="J3866" s="745"/>
      <c r="K3866" s="741"/>
      <c r="L3866" s="744"/>
      <c r="M3866" s="745"/>
      <c r="N3866" s="752"/>
    </row>
    <row r="3867" spans="2:14" ht="15" customHeight="1" x14ac:dyDescent="0.25">
      <c r="B3867" s="755" t="s">
        <v>416</v>
      </c>
      <c r="C3867" s="733"/>
      <c r="D3867" s="733"/>
      <c r="E3867" s="733"/>
      <c r="F3867" s="733"/>
      <c r="G3867" s="733"/>
      <c r="H3867" s="736"/>
      <c r="I3867" s="746"/>
      <c r="J3867" s="747"/>
      <c r="K3867" s="748"/>
      <c r="L3867" s="746"/>
      <c r="M3867" s="747"/>
      <c r="N3867" s="753"/>
    </row>
    <row r="3868" spans="2:14" ht="15" customHeight="1" x14ac:dyDescent="0.25">
      <c r="B3868" s="121" t="s">
        <v>400</v>
      </c>
      <c r="C3868" s="122" t="s">
        <v>401</v>
      </c>
      <c r="D3868" s="123" t="s">
        <v>402</v>
      </c>
      <c r="E3868" s="123" t="s">
        <v>403</v>
      </c>
      <c r="F3868" s="123" t="s">
        <v>404</v>
      </c>
      <c r="G3868" s="123" t="s">
        <v>405</v>
      </c>
      <c r="H3868" s="123" t="s">
        <v>406</v>
      </c>
      <c r="I3868" s="746"/>
      <c r="J3868" s="747"/>
      <c r="K3868" s="748"/>
      <c r="L3868" s="746"/>
      <c r="M3868" s="747"/>
      <c r="N3868" s="753"/>
    </row>
    <row r="3869" spans="2:14" ht="15" customHeight="1" x14ac:dyDescent="0.25">
      <c r="B3869" s="124"/>
      <c r="C3869" s="145"/>
      <c r="D3869" s="125"/>
      <c r="E3869" s="125"/>
      <c r="F3869" s="125">
        <f>4.9*2</f>
        <v>9.8000000000000007</v>
      </c>
      <c r="G3869" s="125"/>
      <c r="H3869" s="125">
        <f>F3869</f>
        <v>9.8000000000000007</v>
      </c>
      <c r="I3869" s="746"/>
      <c r="J3869" s="747"/>
      <c r="K3869" s="748"/>
      <c r="L3869" s="746"/>
      <c r="M3869" s="747"/>
      <c r="N3869" s="753"/>
    </row>
    <row r="3870" spans="2:14" ht="15" customHeight="1" x14ac:dyDescent="0.25">
      <c r="B3870" s="124"/>
      <c r="C3870" s="145"/>
      <c r="D3870" s="125"/>
      <c r="E3870" s="125"/>
      <c r="F3870" s="125">
        <v>4</v>
      </c>
      <c r="G3870" s="125"/>
      <c r="H3870" s="125">
        <f t="shared" ref="H3870:H3871" si="77">F3870</f>
        <v>4</v>
      </c>
      <c r="I3870" s="746"/>
      <c r="J3870" s="747"/>
      <c r="K3870" s="748"/>
      <c r="L3870" s="746"/>
      <c r="M3870" s="747"/>
      <c r="N3870" s="753"/>
    </row>
    <row r="3871" spans="2:14" ht="15" customHeight="1" x14ac:dyDescent="0.25">
      <c r="B3871" s="165"/>
      <c r="C3871" s="145"/>
      <c r="D3871" s="125"/>
      <c r="E3871" s="125"/>
      <c r="F3871" s="125">
        <v>4</v>
      </c>
      <c r="G3871" s="125"/>
      <c r="H3871" s="125">
        <f t="shared" si="77"/>
        <v>4</v>
      </c>
      <c r="I3871" s="746"/>
      <c r="J3871" s="747"/>
      <c r="K3871" s="748"/>
      <c r="L3871" s="746"/>
      <c r="M3871" s="747"/>
      <c r="N3871" s="753"/>
    </row>
    <row r="3872" spans="2:14" ht="15" customHeight="1" x14ac:dyDescent="0.25">
      <c r="B3872" s="165"/>
      <c r="C3872" s="145"/>
      <c r="D3872" s="125"/>
      <c r="E3872" s="125"/>
      <c r="F3872" s="125"/>
      <c r="G3872" s="125"/>
      <c r="H3872" s="125"/>
      <c r="I3872" s="746"/>
      <c r="J3872" s="747"/>
      <c r="K3872" s="748"/>
      <c r="L3872" s="746"/>
      <c r="M3872" s="747"/>
      <c r="N3872" s="753"/>
    </row>
    <row r="3873" spans="2:14" ht="15" customHeight="1" x14ac:dyDescent="0.25">
      <c r="B3873" s="165"/>
      <c r="C3873" s="145"/>
      <c r="D3873" s="125"/>
      <c r="E3873" s="125"/>
      <c r="F3873" s="125"/>
      <c r="G3873" s="125"/>
      <c r="H3873" s="125"/>
      <c r="I3873" s="746"/>
      <c r="J3873" s="747"/>
      <c r="K3873" s="748"/>
      <c r="L3873" s="746"/>
      <c r="M3873" s="747"/>
      <c r="N3873" s="753"/>
    </row>
    <row r="3874" spans="2:14" ht="15" customHeight="1" x14ac:dyDescent="0.25">
      <c r="B3874" s="165"/>
      <c r="C3874" s="145"/>
      <c r="D3874" s="125"/>
      <c r="E3874" s="125"/>
      <c r="F3874" s="125"/>
      <c r="G3874" s="125"/>
      <c r="H3874" s="125"/>
      <c r="I3874" s="746"/>
      <c r="J3874" s="747"/>
      <c r="K3874" s="748"/>
      <c r="L3874" s="746"/>
      <c r="M3874" s="747"/>
      <c r="N3874" s="753"/>
    </row>
    <row r="3875" spans="2:14" ht="15" customHeight="1" x14ac:dyDescent="0.25">
      <c r="B3875" s="165"/>
      <c r="C3875" s="145"/>
      <c r="D3875" s="125"/>
      <c r="E3875" s="125"/>
      <c r="F3875" s="125"/>
      <c r="G3875" s="125"/>
      <c r="H3875" s="125"/>
      <c r="I3875" s="746"/>
      <c r="J3875" s="747"/>
      <c r="K3875" s="748"/>
      <c r="L3875" s="746"/>
      <c r="M3875" s="747"/>
      <c r="N3875" s="753"/>
    </row>
    <row r="3876" spans="2:14" ht="15" customHeight="1" x14ac:dyDescent="0.25">
      <c r="B3876" s="124"/>
      <c r="C3876" s="145"/>
      <c r="D3876" s="125"/>
      <c r="E3876" s="125"/>
      <c r="F3876" s="125"/>
      <c r="G3876" s="125"/>
      <c r="H3876" s="125"/>
      <c r="I3876" s="746"/>
      <c r="J3876" s="747"/>
      <c r="K3876" s="748"/>
      <c r="L3876" s="746"/>
      <c r="M3876" s="747"/>
      <c r="N3876" s="753"/>
    </row>
    <row r="3877" spans="2:14" ht="15" customHeight="1" x14ac:dyDescent="0.25">
      <c r="B3877" s="124"/>
      <c r="C3877" s="125"/>
      <c r="D3877" s="125"/>
      <c r="E3877" s="125"/>
      <c r="F3877" s="125"/>
      <c r="G3877" s="125"/>
      <c r="H3877" s="125"/>
      <c r="I3877" s="746"/>
      <c r="J3877" s="747"/>
      <c r="K3877" s="748"/>
      <c r="L3877" s="746"/>
      <c r="M3877" s="747"/>
      <c r="N3877" s="753"/>
    </row>
    <row r="3878" spans="2:14" ht="15" customHeight="1" x14ac:dyDescent="0.25">
      <c r="B3878" s="127"/>
      <c r="C3878" s="125"/>
      <c r="D3878" s="125"/>
      <c r="E3878" s="125"/>
      <c r="F3878" s="125"/>
      <c r="G3878" s="125"/>
      <c r="H3878" s="125"/>
      <c r="I3878" s="749"/>
      <c r="J3878" s="750"/>
      <c r="K3878" s="751"/>
      <c r="L3878" s="749"/>
      <c r="M3878" s="750"/>
      <c r="N3878" s="754"/>
    </row>
    <row r="3879" spans="2:14" ht="15" customHeight="1" x14ac:dyDescent="0.25">
      <c r="B3879" s="225"/>
      <c r="C3879" s="128"/>
      <c r="D3879" s="128"/>
      <c r="E3879" s="128"/>
      <c r="F3879" s="128"/>
      <c r="G3879" s="128"/>
      <c r="H3879" s="128"/>
      <c r="I3879" s="128"/>
      <c r="J3879" s="128"/>
      <c r="K3879" s="128"/>
      <c r="L3879" s="118"/>
      <c r="M3879" s="118"/>
      <c r="N3879" s="210"/>
    </row>
    <row r="3880" spans="2:14" ht="15" customHeight="1" x14ac:dyDescent="0.25">
      <c r="B3880" s="209"/>
      <c r="C3880" s="118"/>
      <c r="D3880" s="118"/>
      <c r="E3880" s="118"/>
      <c r="F3880" s="118"/>
      <c r="G3880" s="118"/>
      <c r="H3880" s="118"/>
      <c r="I3880" s="118"/>
      <c r="J3880" s="118"/>
      <c r="K3880" s="118"/>
      <c r="L3880" s="118"/>
      <c r="M3880" s="118"/>
      <c r="N3880" s="210"/>
    </row>
    <row r="3881" spans="2:14" ht="15" customHeight="1" x14ac:dyDescent="0.25">
      <c r="B3881" s="209"/>
      <c r="C3881" s="118"/>
      <c r="D3881" s="118"/>
      <c r="E3881" s="118"/>
      <c r="F3881" s="118"/>
      <c r="G3881" s="118"/>
      <c r="H3881" s="118"/>
      <c r="I3881" s="118"/>
      <c r="J3881" s="118"/>
      <c r="K3881" s="118"/>
      <c r="L3881" s="118"/>
      <c r="M3881" s="118"/>
      <c r="N3881" s="210"/>
    </row>
    <row r="3882" spans="2:14" ht="15" customHeight="1" thickBot="1" x14ac:dyDescent="0.3">
      <c r="B3882" s="725" t="s">
        <v>414</v>
      </c>
      <c r="C3882" s="726"/>
      <c r="D3882" s="726"/>
      <c r="E3882" s="147"/>
      <c r="F3882" s="147"/>
      <c r="G3882" s="147"/>
      <c r="H3882" s="147"/>
      <c r="I3882" s="727"/>
      <c r="J3882" s="726"/>
      <c r="K3882" s="726"/>
      <c r="L3882" s="130"/>
      <c r="M3882" s="130"/>
      <c r="N3882" s="131"/>
    </row>
    <row r="3883" spans="2:14" ht="15" customHeight="1" thickBot="1" x14ac:dyDescent="0.3"/>
    <row r="3884" spans="2:14" ht="35.450000000000003" customHeight="1" x14ac:dyDescent="0.25">
      <c r="B3884" s="728"/>
      <c r="C3884" s="729"/>
      <c r="D3884" s="730" t="s">
        <v>393</v>
      </c>
      <c r="E3884" s="729"/>
      <c r="F3884" s="729"/>
      <c r="G3884" s="729"/>
      <c r="H3884" s="729"/>
      <c r="I3884" s="729"/>
      <c r="J3884" s="729"/>
      <c r="K3884" s="729"/>
      <c r="L3884" s="729"/>
      <c r="M3884" s="729"/>
      <c r="N3884" s="731"/>
    </row>
    <row r="3885" spans="2:14" ht="15" customHeight="1" x14ac:dyDescent="0.25">
      <c r="B3885" s="732" t="s">
        <v>394</v>
      </c>
      <c r="C3885" s="733"/>
      <c r="D3885" s="733"/>
      <c r="E3885" s="733"/>
      <c r="F3885" s="733"/>
      <c r="G3885" s="733"/>
      <c r="H3885" s="733"/>
      <c r="I3885" s="733"/>
      <c r="J3885" s="733"/>
      <c r="K3885" s="733"/>
      <c r="L3885" s="733"/>
      <c r="M3885" s="733"/>
      <c r="N3885" s="734"/>
    </row>
    <row r="3886" spans="2:14" ht="19.149999999999999" customHeight="1" x14ac:dyDescent="0.25">
      <c r="B3886" s="735" t="s">
        <v>395</v>
      </c>
      <c r="C3886" s="736"/>
      <c r="D3886" s="737" t="str">
        <f>VLOOKUP(B3888,Buenaventura!A81:G5133,3,FALSE)</f>
        <v>Suministro e instalación punto hidráulico 1/2"</v>
      </c>
      <c r="E3886" s="738"/>
      <c r="F3886" s="738"/>
      <c r="G3886" s="738"/>
      <c r="H3886" s="738"/>
      <c r="I3886" s="738"/>
      <c r="J3886" s="738"/>
      <c r="K3886" s="738"/>
      <c r="L3886" s="738"/>
      <c r="M3886" s="738"/>
      <c r="N3886" s="739"/>
    </row>
    <row r="3887" spans="2:14" ht="25.15" customHeight="1" x14ac:dyDescent="0.25">
      <c r="B3887" s="740" t="s">
        <v>26</v>
      </c>
      <c r="C3887" s="741"/>
      <c r="D3887" s="119" t="s">
        <v>396</v>
      </c>
      <c r="E3887" s="742" t="s">
        <v>397</v>
      </c>
      <c r="F3887" s="733"/>
      <c r="G3887" s="733"/>
      <c r="H3887" s="736"/>
      <c r="I3887" s="742" t="s">
        <v>398</v>
      </c>
      <c r="J3887" s="733"/>
      <c r="K3887" s="736"/>
      <c r="L3887" s="742" t="s">
        <v>399</v>
      </c>
      <c r="M3887" s="733"/>
      <c r="N3887" s="734"/>
    </row>
    <row r="3888" spans="2:14" ht="15" customHeight="1" x14ac:dyDescent="0.25">
      <c r="B3888" s="283">
        <v>91</v>
      </c>
      <c r="C3888" s="284" t="str">
        <f>VLOOKUP(B3888,Buenaventura!A9:G5146,2,FALSE)</f>
        <v>IH-12</v>
      </c>
      <c r="D3888" s="285">
        <f>SUM(H3891:H3894)</f>
        <v>5</v>
      </c>
      <c r="E3888" s="743" t="str">
        <f>VLOOKUP(B3888,Buenaventura!A9:G5145,4,FALSE)</f>
        <v>UND</v>
      </c>
      <c r="F3888" s="743"/>
      <c r="G3888" s="743"/>
      <c r="H3888" s="743"/>
      <c r="I3888" s="744"/>
      <c r="J3888" s="745"/>
      <c r="K3888" s="741"/>
      <c r="L3888" s="744"/>
      <c r="M3888" s="745"/>
      <c r="N3888" s="752"/>
    </row>
    <row r="3889" spans="2:14" ht="15" customHeight="1" x14ac:dyDescent="0.25">
      <c r="B3889" s="755" t="s">
        <v>416</v>
      </c>
      <c r="C3889" s="733"/>
      <c r="D3889" s="733"/>
      <c r="E3889" s="733"/>
      <c r="F3889" s="733"/>
      <c r="G3889" s="733"/>
      <c r="H3889" s="736"/>
      <c r="I3889" s="746"/>
      <c r="J3889" s="747"/>
      <c r="K3889" s="748"/>
      <c r="L3889" s="746"/>
      <c r="M3889" s="747"/>
      <c r="N3889" s="753"/>
    </row>
    <row r="3890" spans="2:14" ht="15" customHeight="1" x14ac:dyDescent="0.25">
      <c r="B3890" s="121" t="s">
        <v>400</v>
      </c>
      <c r="C3890" s="122" t="s">
        <v>401</v>
      </c>
      <c r="D3890" s="123" t="s">
        <v>402</v>
      </c>
      <c r="E3890" s="123" t="s">
        <v>403</v>
      </c>
      <c r="F3890" s="123" t="s">
        <v>404</v>
      </c>
      <c r="G3890" s="123" t="s">
        <v>405</v>
      </c>
      <c r="H3890" s="123" t="s">
        <v>406</v>
      </c>
      <c r="I3890" s="746"/>
      <c r="J3890" s="747"/>
      <c r="K3890" s="748"/>
      <c r="L3890" s="746"/>
      <c r="M3890" s="747"/>
      <c r="N3890" s="753"/>
    </row>
    <row r="3891" spans="2:14" ht="15" customHeight="1" x14ac:dyDescent="0.25">
      <c r="B3891" s="124"/>
      <c r="C3891" s="145"/>
      <c r="D3891" s="125">
        <v>5</v>
      </c>
      <c r="E3891" s="125"/>
      <c r="F3891" s="125"/>
      <c r="G3891" s="125"/>
      <c r="H3891" s="125">
        <f>D3891</f>
        <v>5</v>
      </c>
      <c r="I3891" s="746"/>
      <c r="J3891" s="747"/>
      <c r="K3891" s="748"/>
      <c r="L3891" s="746"/>
      <c r="M3891" s="747"/>
      <c r="N3891" s="753"/>
    </row>
    <row r="3892" spans="2:14" ht="15" customHeight="1" x14ac:dyDescent="0.25">
      <c r="B3892" s="124"/>
      <c r="C3892" s="145"/>
      <c r="D3892" s="125"/>
      <c r="E3892" s="125"/>
      <c r="F3892" s="125"/>
      <c r="G3892" s="125"/>
      <c r="H3892" s="125"/>
      <c r="I3892" s="746"/>
      <c r="J3892" s="747"/>
      <c r="K3892" s="748"/>
      <c r="L3892" s="746"/>
      <c r="M3892" s="747"/>
      <c r="N3892" s="753"/>
    </row>
    <row r="3893" spans="2:14" ht="15" customHeight="1" x14ac:dyDescent="0.25">
      <c r="B3893" s="165"/>
      <c r="C3893" s="145"/>
      <c r="D3893" s="125"/>
      <c r="E3893" s="125"/>
      <c r="F3893" s="125"/>
      <c r="G3893" s="125"/>
      <c r="H3893" s="125"/>
      <c r="I3893" s="746"/>
      <c r="J3893" s="747"/>
      <c r="K3893" s="748"/>
      <c r="L3893" s="746"/>
      <c r="M3893" s="747"/>
      <c r="N3893" s="753"/>
    </row>
    <row r="3894" spans="2:14" ht="15" customHeight="1" x14ac:dyDescent="0.25">
      <c r="B3894" s="165"/>
      <c r="C3894" s="145"/>
      <c r="D3894" s="125"/>
      <c r="E3894" s="125"/>
      <c r="F3894" s="125"/>
      <c r="G3894" s="125"/>
      <c r="H3894" s="125"/>
      <c r="I3894" s="746"/>
      <c r="J3894" s="747"/>
      <c r="K3894" s="748"/>
      <c r="L3894" s="746"/>
      <c r="M3894" s="747"/>
      <c r="N3894" s="753"/>
    </row>
    <row r="3895" spans="2:14" ht="15" customHeight="1" x14ac:dyDescent="0.25">
      <c r="B3895" s="165"/>
      <c r="C3895" s="145"/>
      <c r="D3895" s="125"/>
      <c r="E3895" s="125"/>
      <c r="F3895" s="125"/>
      <c r="G3895" s="125"/>
      <c r="H3895" s="125"/>
      <c r="I3895" s="746"/>
      <c r="J3895" s="747"/>
      <c r="K3895" s="748"/>
      <c r="L3895" s="746"/>
      <c r="M3895" s="747"/>
      <c r="N3895" s="753"/>
    </row>
    <row r="3896" spans="2:14" ht="15" customHeight="1" x14ac:dyDescent="0.25">
      <c r="B3896" s="165"/>
      <c r="C3896" s="145"/>
      <c r="D3896" s="125"/>
      <c r="E3896" s="125"/>
      <c r="F3896" s="125"/>
      <c r="G3896" s="125"/>
      <c r="H3896" s="125"/>
      <c r="I3896" s="746"/>
      <c r="J3896" s="747"/>
      <c r="K3896" s="748"/>
      <c r="L3896" s="746"/>
      <c r="M3896" s="747"/>
      <c r="N3896" s="753"/>
    </row>
    <row r="3897" spans="2:14" ht="15" customHeight="1" x14ac:dyDescent="0.25">
      <c r="B3897" s="165"/>
      <c r="C3897" s="145"/>
      <c r="D3897" s="125"/>
      <c r="E3897" s="125"/>
      <c r="F3897" s="125"/>
      <c r="G3897" s="125"/>
      <c r="H3897" s="125"/>
      <c r="I3897" s="746"/>
      <c r="J3897" s="747"/>
      <c r="K3897" s="748"/>
      <c r="L3897" s="746"/>
      <c r="M3897" s="747"/>
      <c r="N3897" s="753"/>
    </row>
    <row r="3898" spans="2:14" ht="15" customHeight="1" x14ac:dyDescent="0.25">
      <c r="B3898" s="124"/>
      <c r="C3898" s="145"/>
      <c r="D3898" s="125"/>
      <c r="E3898" s="125"/>
      <c r="F3898" s="125"/>
      <c r="G3898" s="125"/>
      <c r="H3898" s="125"/>
      <c r="I3898" s="746"/>
      <c r="J3898" s="747"/>
      <c r="K3898" s="748"/>
      <c r="L3898" s="746"/>
      <c r="M3898" s="747"/>
      <c r="N3898" s="753"/>
    </row>
    <row r="3899" spans="2:14" ht="15" customHeight="1" x14ac:dyDescent="0.25">
      <c r="B3899" s="124"/>
      <c r="C3899" s="125"/>
      <c r="D3899" s="125"/>
      <c r="E3899" s="125"/>
      <c r="F3899" s="125"/>
      <c r="G3899" s="125"/>
      <c r="H3899" s="125"/>
      <c r="I3899" s="746"/>
      <c r="J3899" s="747"/>
      <c r="K3899" s="748"/>
      <c r="L3899" s="746"/>
      <c r="M3899" s="747"/>
      <c r="N3899" s="753"/>
    </row>
    <row r="3900" spans="2:14" ht="15" customHeight="1" x14ac:dyDescent="0.25">
      <c r="B3900" s="127"/>
      <c r="C3900" s="125"/>
      <c r="D3900" s="125"/>
      <c r="E3900" s="125"/>
      <c r="F3900" s="125"/>
      <c r="G3900" s="125"/>
      <c r="H3900" s="125"/>
      <c r="I3900" s="749"/>
      <c r="J3900" s="750"/>
      <c r="K3900" s="751"/>
      <c r="L3900" s="749"/>
      <c r="M3900" s="750"/>
      <c r="N3900" s="754"/>
    </row>
    <row r="3901" spans="2:14" ht="15" customHeight="1" x14ac:dyDescent="0.25">
      <c r="B3901" s="225"/>
      <c r="C3901" s="128"/>
      <c r="D3901" s="128"/>
      <c r="E3901" s="128"/>
      <c r="F3901" s="128"/>
      <c r="G3901" s="128"/>
      <c r="H3901" s="128"/>
      <c r="I3901" s="128"/>
      <c r="J3901" s="128"/>
      <c r="K3901" s="128"/>
      <c r="L3901" s="118"/>
      <c r="M3901" s="118"/>
      <c r="N3901" s="210"/>
    </row>
    <row r="3902" spans="2:14" ht="15" customHeight="1" x14ac:dyDescent="0.25">
      <c r="B3902" s="209"/>
      <c r="C3902" s="118"/>
      <c r="D3902" s="118"/>
      <c r="E3902" s="118"/>
      <c r="F3902" s="118"/>
      <c r="G3902" s="118"/>
      <c r="H3902" s="118"/>
      <c r="I3902" s="118"/>
      <c r="J3902" s="118"/>
      <c r="K3902" s="118"/>
      <c r="L3902" s="118"/>
      <c r="M3902" s="118"/>
      <c r="N3902" s="210"/>
    </row>
    <row r="3903" spans="2:14" ht="15" customHeight="1" x14ac:dyDescent="0.25">
      <c r="B3903" s="209"/>
      <c r="C3903" s="118"/>
      <c r="D3903" s="118"/>
      <c r="E3903" s="118"/>
      <c r="F3903" s="118"/>
      <c r="G3903" s="118"/>
      <c r="H3903" s="118"/>
      <c r="I3903" s="118"/>
      <c r="J3903" s="118"/>
      <c r="K3903" s="118"/>
      <c r="L3903" s="118"/>
      <c r="M3903" s="118"/>
      <c r="N3903" s="210"/>
    </row>
    <row r="3904" spans="2:14" ht="15" customHeight="1" thickBot="1" x14ac:dyDescent="0.3">
      <c r="B3904" s="725" t="s">
        <v>414</v>
      </c>
      <c r="C3904" s="726"/>
      <c r="D3904" s="726"/>
      <c r="E3904" s="147"/>
      <c r="F3904" s="147"/>
      <c r="G3904" s="147"/>
      <c r="H3904" s="147"/>
      <c r="I3904" s="727"/>
      <c r="J3904" s="726"/>
      <c r="K3904" s="726"/>
      <c r="L3904" s="130"/>
      <c r="M3904" s="130"/>
      <c r="N3904" s="131"/>
    </row>
    <row r="3905" spans="2:14" ht="15" customHeight="1" thickBot="1" x14ac:dyDescent="0.3"/>
    <row r="3906" spans="2:14" ht="37.9" customHeight="1" x14ac:dyDescent="0.25">
      <c r="B3906" s="728"/>
      <c r="C3906" s="729"/>
      <c r="D3906" s="730" t="s">
        <v>393</v>
      </c>
      <c r="E3906" s="729"/>
      <c r="F3906" s="729"/>
      <c r="G3906" s="729"/>
      <c r="H3906" s="729"/>
      <c r="I3906" s="729"/>
      <c r="J3906" s="729"/>
      <c r="K3906" s="729"/>
      <c r="L3906" s="729"/>
      <c r="M3906" s="729"/>
      <c r="N3906" s="731"/>
    </row>
    <row r="3907" spans="2:14" ht="15" customHeight="1" x14ac:dyDescent="0.25">
      <c r="B3907" s="732" t="s">
        <v>394</v>
      </c>
      <c r="C3907" s="733"/>
      <c r="D3907" s="733"/>
      <c r="E3907" s="733"/>
      <c r="F3907" s="733"/>
      <c r="G3907" s="733"/>
      <c r="H3907" s="733"/>
      <c r="I3907" s="733"/>
      <c r="J3907" s="733"/>
      <c r="K3907" s="733"/>
      <c r="L3907" s="733"/>
      <c r="M3907" s="733"/>
      <c r="N3907" s="734"/>
    </row>
    <row r="3908" spans="2:14" ht="15" customHeight="1" x14ac:dyDescent="0.25">
      <c r="B3908" s="735" t="s">
        <v>395</v>
      </c>
      <c r="C3908" s="736"/>
      <c r="D3908" s="737" t="str">
        <f>VLOOKUP(B3910,Buenaventura!A9:G5155,3,FALSE)</f>
        <v>Suministro e instalación de tubería hidráulica de 1/2" incluye accesorios</v>
      </c>
      <c r="E3908" s="738"/>
      <c r="F3908" s="738"/>
      <c r="G3908" s="738"/>
      <c r="H3908" s="738"/>
      <c r="I3908" s="738"/>
      <c r="J3908" s="738"/>
      <c r="K3908" s="738"/>
      <c r="L3908" s="738"/>
      <c r="M3908" s="738"/>
      <c r="N3908" s="739"/>
    </row>
    <row r="3909" spans="2:14" ht="26.45" customHeight="1" x14ac:dyDescent="0.25">
      <c r="B3909" s="740" t="s">
        <v>26</v>
      </c>
      <c r="C3909" s="741"/>
      <c r="D3909" s="119" t="s">
        <v>396</v>
      </c>
      <c r="E3909" s="742" t="s">
        <v>397</v>
      </c>
      <c r="F3909" s="733"/>
      <c r="G3909" s="733"/>
      <c r="H3909" s="736"/>
      <c r="I3909" s="742" t="s">
        <v>398</v>
      </c>
      <c r="J3909" s="733"/>
      <c r="K3909" s="736"/>
      <c r="L3909" s="742" t="s">
        <v>399</v>
      </c>
      <c r="M3909" s="733"/>
      <c r="N3909" s="734"/>
    </row>
    <row r="3910" spans="2:14" ht="15" customHeight="1" x14ac:dyDescent="0.25">
      <c r="B3910" s="283">
        <v>92</v>
      </c>
      <c r="C3910" s="284" t="str">
        <f>VLOOKUP(B3910,Buenaventura!A9:G5168,2,FALSE)</f>
        <v>IH-06</v>
      </c>
      <c r="D3910" s="285">
        <f>SUM(H3913:H3916)</f>
        <v>2</v>
      </c>
      <c r="E3910" s="743" t="str">
        <f>VLOOKUP(B3910,Buenaventura!A9:G5167,4,FALSE)</f>
        <v>ML</v>
      </c>
      <c r="F3910" s="743"/>
      <c r="G3910" s="743"/>
      <c r="H3910" s="743"/>
      <c r="I3910" s="744"/>
      <c r="J3910" s="745"/>
      <c r="K3910" s="741"/>
      <c r="L3910" s="744"/>
      <c r="M3910" s="745"/>
      <c r="N3910" s="752"/>
    </row>
    <row r="3911" spans="2:14" ht="15" customHeight="1" x14ac:dyDescent="0.25">
      <c r="B3911" s="755" t="s">
        <v>416</v>
      </c>
      <c r="C3911" s="733"/>
      <c r="D3911" s="733"/>
      <c r="E3911" s="733"/>
      <c r="F3911" s="733"/>
      <c r="G3911" s="733"/>
      <c r="H3911" s="736"/>
      <c r="I3911" s="746"/>
      <c r="J3911" s="747"/>
      <c r="K3911" s="748"/>
      <c r="L3911" s="746"/>
      <c r="M3911" s="747"/>
      <c r="N3911" s="753"/>
    </row>
    <row r="3912" spans="2:14" ht="15" customHeight="1" x14ac:dyDescent="0.25">
      <c r="B3912" s="121" t="s">
        <v>400</v>
      </c>
      <c r="C3912" s="122" t="s">
        <v>401</v>
      </c>
      <c r="D3912" s="123" t="s">
        <v>402</v>
      </c>
      <c r="E3912" s="123" t="s">
        <v>403</v>
      </c>
      <c r="F3912" s="123" t="s">
        <v>404</v>
      </c>
      <c r="G3912" s="123" t="s">
        <v>405</v>
      </c>
      <c r="H3912" s="123" t="s">
        <v>406</v>
      </c>
      <c r="I3912" s="746"/>
      <c r="J3912" s="747"/>
      <c r="K3912" s="748"/>
      <c r="L3912" s="746"/>
      <c r="M3912" s="747"/>
      <c r="N3912" s="753"/>
    </row>
    <row r="3913" spans="2:14" ht="15" customHeight="1" x14ac:dyDescent="0.25">
      <c r="B3913" s="124"/>
      <c r="C3913" s="145"/>
      <c r="D3913" s="125">
        <v>2</v>
      </c>
      <c r="E3913" s="125"/>
      <c r="F3913" s="125"/>
      <c r="G3913" s="125"/>
      <c r="H3913" s="126">
        <f>D3913</f>
        <v>2</v>
      </c>
      <c r="I3913" s="746"/>
      <c r="J3913" s="747"/>
      <c r="K3913" s="748"/>
      <c r="L3913" s="746"/>
      <c r="M3913" s="747"/>
      <c r="N3913" s="753"/>
    </row>
    <row r="3914" spans="2:14" ht="15" customHeight="1" x14ac:dyDescent="0.25">
      <c r="B3914" s="124"/>
      <c r="C3914" s="145"/>
      <c r="D3914" s="125"/>
      <c r="E3914" s="125"/>
      <c r="F3914" s="125"/>
      <c r="G3914" s="125"/>
      <c r="H3914" s="125"/>
      <c r="I3914" s="746"/>
      <c r="J3914" s="747"/>
      <c r="K3914" s="748"/>
      <c r="L3914" s="746"/>
      <c r="M3914" s="747"/>
      <c r="N3914" s="753"/>
    </row>
    <row r="3915" spans="2:14" ht="15" customHeight="1" x14ac:dyDescent="0.25">
      <c r="B3915" s="165"/>
      <c r="C3915" s="145"/>
      <c r="D3915" s="125"/>
      <c r="E3915" s="125"/>
      <c r="F3915" s="125"/>
      <c r="G3915" s="125"/>
      <c r="H3915" s="125"/>
      <c r="I3915" s="746"/>
      <c r="J3915" s="747"/>
      <c r="K3915" s="748"/>
      <c r="L3915" s="746"/>
      <c r="M3915" s="747"/>
      <c r="N3915" s="753"/>
    </row>
    <row r="3916" spans="2:14" ht="15" customHeight="1" x14ac:dyDescent="0.25">
      <c r="B3916" s="165"/>
      <c r="C3916" s="145"/>
      <c r="D3916" s="125"/>
      <c r="E3916" s="125"/>
      <c r="F3916" s="125"/>
      <c r="G3916" s="125"/>
      <c r="H3916" s="125"/>
      <c r="I3916" s="746"/>
      <c r="J3916" s="747"/>
      <c r="K3916" s="748"/>
      <c r="L3916" s="746"/>
      <c r="M3916" s="747"/>
      <c r="N3916" s="753"/>
    </row>
    <row r="3917" spans="2:14" ht="15" customHeight="1" x14ac:dyDescent="0.25">
      <c r="B3917" s="165"/>
      <c r="C3917" s="145"/>
      <c r="D3917" s="125"/>
      <c r="E3917" s="125"/>
      <c r="F3917" s="125"/>
      <c r="G3917" s="125"/>
      <c r="H3917" s="125"/>
      <c r="I3917" s="746"/>
      <c r="J3917" s="747"/>
      <c r="K3917" s="748"/>
      <c r="L3917" s="746"/>
      <c r="M3917" s="747"/>
      <c r="N3917" s="753"/>
    </row>
    <row r="3918" spans="2:14" ht="15" customHeight="1" x14ac:dyDescent="0.25">
      <c r="B3918" s="165"/>
      <c r="C3918" s="145"/>
      <c r="D3918" s="125"/>
      <c r="E3918" s="125"/>
      <c r="F3918" s="125"/>
      <c r="G3918" s="125"/>
      <c r="H3918" s="125"/>
      <c r="I3918" s="746"/>
      <c r="J3918" s="747"/>
      <c r="K3918" s="748"/>
      <c r="L3918" s="746"/>
      <c r="M3918" s="747"/>
      <c r="N3918" s="753"/>
    </row>
    <row r="3919" spans="2:14" ht="15" customHeight="1" x14ac:dyDescent="0.25">
      <c r="B3919" s="165"/>
      <c r="C3919" s="145"/>
      <c r="D3919" s="125"/>
      <c r="E3919" s="125"/>
      <c r="F3919" s="125"/>
      <c r="G3919" s="125"/>
      <c r="H3919" s="125"/>
      <c r="I3919" s="746"/>
      <c r="J3919" s="747"/>
      <c r="K3919" s="748"/>
      <c r="L3919" s="746"/>
      <c r="M3919" s="747"/>
      <c r="N3919" s="753"/>
    </row>
    <row r="3920" spans="2:14" ht="15" customHeight="1" x14ac:dyDescent="0.25">
      <c r="B3920" s="124"/>
      <c r="C3920" s="145"/>
      <c r="D3920" s="125"/>
      <c r="E3920" s="125"/>
      <c r="F3920" s="125"/>
      <c r="G3920" s="125"/>
      <c r="H3920" s="125"/>
      <c r="I3920" s="746"/>
      <c r="J3920" s="747"/>
      <c r="K3920" s="748"/>
      <c r="L3920" s="746"/>
      <c r="M3920" s="747"/>
      <c r="N3920" s="753"/>
    </row>
    <row r="3921" spans="2:14" ht="15" customHeight="1" x14ac:dyDescent="0.25">
      <c r="B3921" s="124"/>
      <c r="C3921" s="125"/>
      <c r="D3921" s="125"/>
      <c r="E3921" s="125"/>
      <c r="F3921" s="125"/>
      <c r="G3921" s="125"/>
      <c r="H3921" s="125"/>
      <c r="I3921" s="746"/>
      <c r="J3921" s="747"/>
      <c r="K3921" s="748"/>
      <c r="L3921" s="746"/>
      <c r="M3921" s="747"/>
      <c r="N3921" s="753"/>
    </row>
    <row r="3922" spans="2:14" ht="15" customHeight="1" x14ac:dyDescent="0.25">
      <c r="B3922" s="127"/>
      <c r="C3922" s="125"/>
      <c r="D3922" s="125"/>
      <c r="E3922" s="125"/>
      <c r="F3922" s="125"/>
      <c r="G3922" s="125"/>
      <c r="H3922" s="125"/>
      <c r="I3922" s="749"/>
      <c r="J3922" s="750"/>
      <c r="K3922" s="751"/>
      <c r="L3922" s="749"/>
      <c r="M3922" s="750"/>
      <c r="N3922" s="754"/>
    </row>
    <row r="3923" spans="2:14" ht="15" customHeight="1" x14ac:dyDescent="0.25">
      <c r="B3923" s="225"/>
      <c r="C3923" s="128"/>
      <c r="D3923" s="128"/>
      <c r="E3923" s="128"/>
      <c r="F3923" s="128"/>
      <c r="G3923" s="128"/>
      <c r="H3923" s="128"/>
      <c r="I3923" s="128"/>
      <c r="J3923" s="128"/>
      <c r="K3923" s="128"/>
      <c r="L3923" s="118"/>
      <c r="M3923" s="118"/>
      <c r="N3923" s="210"/>
    </row>
    <row r="3924" spans="2:14" ht="15" customHeight="1" x14ac:dyDescent="0.25">
      <c r="B3924" s="209"/>
      <c r="C3924" s="118"/>
      <c r="D3924" s="118"/>
      <c r="E3924" s="118"/>
      <c r="F3924" s="118"/>
      <c r="G3924" s="118"/>
      <c r="H3924" s="118"/>
      <c r="I3924" s="118"/>
      <c r="J3924" s="118"/>
      <c r="K3924" s="118"/>
      <c r="L3924" s="118"/>
      <c r="M3924" s="118"/>
      <c r="N3924" s="210"/>
    </row>
    <row r="3925" spans="2:14" ht="15" customHeight="1" x14ac:dyDescent="0.25">
      <c r="B3925" s="209"/>
      <c r="C3925" s="118"/>
      <c r="D3925" s="118"/>
      <c r="E3925" s="118"/>
      <c r="F3925" s="118"/>
      <c r="G3925" s="118"/>
      <c r="H3925" s="118"/>
      <c r="I3925" s="118"/>
      <c r="J3925" s="118"/>
      <c r="K3925" s="118"/>
      <c r="L3925" s="118"/>
      <c r="M3925" s="118"/>
      <c r="N3925" s="210"/>
    </row>
    <row r="3926" spans="2:14" ht="15" customHeight="1" thickBot="1" x14ac:dyDescent="0.3">
      <c r="B3926" s="725" t="s">
        <v>414</v>
      </c>
      <c r="C3926" s="726"/>
      <c r="D3926" s="726"/>
      <c r="E3926" s="147"/>
      <c r="F3926" s="147"/>
      <c r="G3926" s="147"/>
      <c r="H3926" s="147"/>
      <c r="I3926" s="727"/>
      <c r="J3926" s="726"/>
      <c r="K3926" s="726"/>
      <c r="L3926" s="130"/>
      <c r="M3926" s="130"/>
      <c r="N3926" s="131"/>
    </row>
    <row r="3927" spans="2:14" ht="15" customHeight="1" thickBot="1" x14ac:dyDescent="0.3"/>
    <row r="3928" spans="2:14" ht="39" customHeight="1" x14ac:dyDescent="0.25">
      <c r="B3928" s="728"/>
      <c r="C3928" s="729"/>
      <c r="D3928" s="730" t="s">
        <v>393</v>
      </c>
      <c r="E3928" s="729"/>
      <c r="F3928" s="729"/>
      <c r="G3928" s="729"/>
      <c r="H3928" s="729"/>
      <c r="I3928" s="729"/>
      <c r="J3928" s="729"/>
      <c r="K3928" s="729"/>
      <c r="L3928" s="729"/>
      <c r="M3928" s="729"/>
      <c r="N3928" s="731"/>
    </row>
    <row r="3929" spans="2:14" ht="15" customHeight="1" x14ac:dyDescent="0.25">
      <c r="B3929" s="732" t="s">
        <v>394</v>
      </c>
      <c r="C3929" s="733"/>
      <c r="D3929" s="733"/>
      <c r="E3929" s="733"/>
      <c r="F3929" s="733"/>
      <c r="G3929" s="733"/>
      <c r="H3929" s="733"/>
      <c r="I3929" s="733"/>
      <c r="J3929" s="733"/>
      <c r="K3929" s="733"/>
      <c r="L3929" s="733"/>
      <c r="M3929" s="733"/>
      <c r="N3929" s="734"/>
    </row>
    <row r="3930" spans="2:14" ht="15" customHeight="1" x14ac:dyDescent="0.25">
      <c r="B3930" s="735" t="s">
        <v>395</v>
      </c>
      <c r="C3930" s="736"/>
      <c r="D3930" s="737" t="str">
        <f>VLOOKUP(B3932,Buenaventura!A9:G5177,3,FALSE)</f>
        <v>Suministro e instalación de tubería hidráulica de 1" incluye accesorios</v>
      </c>
      <c r="E3930" s="738"/>
      <c r="F3930" s="738"/>
      <c r="G3930" s="738"/>
      <c r="H3930" s="738"/>
      <c r="I3930" s="738"/>
      <c r="J3930" s="738"/>
      <c r="K3930" s="738"/>
      <c r="L3930" s="738"/>
      <c r="M3930" s="738"/>
      <c r="N3930" s="739"/>
    </row>
    <row r="3931" spans="2:14" ht="34.9" customHeight="1" x14ac:dyDescent="0.25">
      <c r="B3931" s="740" t="s">
        <v>26</v>
      </c>
      <c r="C3931" s="741"/>
      <c r="D3931" s="119" t="s">
        <v>396</v>
      </c>
      <c r="E3931" s="742" t="s">
        <v>397</v>
      </c>
      <c r="F3931" s="733"/>
      <c r="G3931" s="733"/>
      <c r="H3931" s="736"/>
      <c r="I3931" s="742" t="s">
        <v>398</v>
      </c>
      <c r="J3931" s="733"/>
      <c r="K3931" s="736"/>
      <c r="L3931" s="742" t="s">
        <v>399</v>
      </c>
      <c r="M3931" s="733"/>
      <c r="N3931" s="734"/>
    </row>
    <row r="3932" spans="2:14" ht="15" customHeight="1" x14ac:dyDescent="0.25">
      <c r="B3932" s="283">
        <v>93</v>
      </c>
      <c r="C3932" s="284" t="str">
        <f>VLOOKUP(B3932,Buenaventura!A9:G5190,2,FALSE)</f>
        <v>IH-07</v>
      </c>
      <c r="D3932" s="285">
        <f>SUM(H3935:H3938)</f>
        <v>4</v>
      </c>
      <c r="E3932" s="743" t="str">
        <f>VLOOKUP(B3932,Buenaventura!A9:G5189,4,FALSE)</f>
        <v>ML</v>
      </c>
      <c r="F3932" s="743"/>
      <c r="G3932" s="743"/>
      <c r="H3932" s="743"/>
      <c r="I3932" s="744"/>
      <c r="J3932" s="745"/>
      <c r="K3932" s="741"/>
      <c r="L3932" s="744"/>
      <c r="M3932" s="745"/>
      <c r="N3932" s="752"/>
    </row>
    <row r="3933" spans="2:14" ht="15" customHeight="1" x14ac:dyDescent="0.25">
      <c r="B3933" s="755" t="s">
        <v>416</v>
      </c>
      <c r="C3933" s="733"/>
      <c r="D3933" s="733"/>
      <c r="E3933" s="733"/>
      <c r="F3933" s="733"/>
      <c r="G3933" s="733"/>
      <c r="H3933" s="736"/>
      <c r="I3933" s="746"/>
      <c r="J3933" s="747"/>
      <c r="K3933" s="748"/>
      <c r="L3933" s="746"/>
      <c r="M3933" s="747"/>
      <c r="N3933" s="753"/>
    </row>
    <row r="3934" spans="2:14" ht="15" customHeight="1" x14ac:dyDescent="0.25">
      <c r="B3934" s="121" t="s">
        <v>400</v>
      </c>
      <c r="C3934" s="122" t="s">
        <v>401</v>
      </c>
      <c r="D3934" s="123" t="s">
        <v>402</v>
      </c>
      <c r="E3934" s="123" t="s">
        <v>403</v>
      </c>
      <c r="F3934" s="123" t="s">
        <v>404</v>
      </c>
      <c r="G3934" s="123" t="s">
        <v>405</v>
      </c>
      <c r="H3934" s="123" t="s">
        <v>406</v>
      </c>
      <c r="I3934" s="746"/>
      <c r="J3934" s="747"/>
      <c r="K3934" s="748"/>
      <c r="L3934" s="746"/>
      <c r="M3934" s="747"/>
      <c r="N3934" s="753"/>
    </row>
    <row r="3935" spans="2:14" ht="15" customHeight="1" x14ac:dyDescent="0.25">
      <c r="B3935" s="124"/>
      <c r="C3935" s="145"/>
      <c r="D3935" s="125">
        <v>4</v>
      </c>
      <c r="E3935" s="125"/>
      <c r="F3935" s="125"/>
      <c r="G3935" s="125"/>
      <c r="H3935" s="125">
        <f>D3935</f>
        <v>4</v>
      </c>
      <c r="I3935" s="746"/>
      <c r="J3935" s="747"/>
      <c r="K3935" s="748"/>
      <c r="L3935" s="746"/>
      <c r="M3935" s="747"/>
      <c r="N3935" s="753"/>
    </row>
    <row r="3936" spans="2:14" ht="15" customHeight="1" x14ac:dyDescent="0.25">
      <c r="B3936" s="124"/>
      <c r="C3936" s="145"/>
      <c r="D3936" s="125"/>
      <c r="E3936" s="125"/>
      <c r="F3936" s="125"/>
      <c r="G3936" s="125"/>
      <c r="H3936" s="125"/>
      <c r="I3936" s="746"/>
      <c r="J3936" s="747"/>
      <c r="K3936" s="748"/>
      <c r="L3936" s="746"/>
      <c r="M3936" s="747"/>
      <c r="N3936" s="753"/>
    </row>
    <row r="3937" spans="2:14" ht="15" customHeight="1" x14ac:dyDescent="0.25">
      <c r="B3937" s="165"/>
      <c r="C3937" s="145"/>
      <c r="D3937" s="125"/>
      <c r="E3937" s="125"/>
      <c r="F3937" s="125"/>
      <c r="G3937" s="125"/>
      <c r="H3937" s="125"/>
      <c r="I3937" s="746"/>
      <c r="J3937" s="747"/>
      <c r="K3937" s="748"/>
      <c r="L3937" s="746"/>
      <c r="M3937" s="747"/>
      <c r="N3937" s="753"/>
    </row>
    <row r="3938" spans="2:14" ht="15" customHeight="1" x14ac:dyDescent="0.25">
      <c r="B3938" s="165"/>
      <c r="C3938" s="145"/>
      <c r="D3938" s="125"/>
      <c r="E3938" s="125"/>
      <c r="F3938" s="125"/>
      <c r="G3938" s="125"/>
      <c r="H3938" s="125"/>
      <c r="I3938" s="746"/>
      <c r="J3938" s="747"/>
      <c r="K3938" s="748"/>
      <c r="L3938" s="746"/>
      <c r="M3938" s="747"/>
      <c r="N3938" s="753"/>
    </row>
    <row r="3939" spans="2:14" ht="15" customHeight="1" x14ac:dyDescent="0.25">
      <c r="B3939" s="165"/>
      <c r="C3939" s="145"/>
      <c r="D3939" s="125"/>
      <c r="E3939" s="125"/>
      <c r="F3939" s="125"/>
      <c r="G3939" s="125"/>
      <c r="H3939" s="125"/>
      <c r="I3939" s="746"/>
      <c r="J3939" s="747"/>
      <c r="K3939" s="748"/>
      <c r="L3939" s="746"/>
      <c r="M3939" s="747"/>
      <c r="N3939" s="753"/>
    </row>
    <row r="3940" spans="2:14" ht="15" customHeight="1" x14ac:dyDescent="0.25">
      <c r="B3940" s="165"/>
      <c r="C3940" s="145"/>
      <c r="D3940" s="125"/>
      <c r="E3940" s="125"/>
      <c r="F3940" s="125"/>
      <c r="G3940" s="125"/>
      <c r="H3940" s="125"/>
      <c r="I3940" s="746"/>
      <c r="J3940" s="747"/>
      <c r="K3940" s="748"/>
      <c r="L3940" s="746"/>
      <c r="M3940" s="747"/>
      <c r="N3940" s="753"/>
    </row>
    <row r="3941" spans="2:14" ht="15" customHeight="1" x14ac:dyDescent="0.25">
      <c r="B3941" s="165"/>
      <c r="C3941" s="145"/>
      <c r="D3941" s="125"/>
      <c r="E3941" s="125"/>
      <c r="F3941" s="125"/>
      <c r="G3941" s="125"/>
      <c r="H3941" s="125"/>
      <c r="I3941" s="746"/>
      <c r="J3941" s="747"/>
      <c r="K3941" s="748"/>
      <c r="L3941" s="746"/>
      <c r="M3941" s="747"/>
      <c r="N3941" s="753"/>
    </row>
    <row r="3942" spans="2:14" ht="15" customHeight="1" x14ac:dyDescent="0.25">
      <c r="B3942" s="124"/>
      <c r="C3942" s="145"/>
      <c r="D3942" s="125"/>
      <c r="E3942" s="125"/>
      <c r="F3942" s="125"/>
      <c r="G3942" s="125"/>
      <c r="H3942" s="125"/>
      <c r="I3942" s="746"/>
      <c r="J3942" s="747"/>
      <c r="K3942" s="748"/>
      <c r="L3942" s="746"/>
      <c r="M3942" s="747"/>
      <c r="N3942" s="753"/>
    </row>
    <row r="3943" spans="2:14" ht="15" customHeight="1" x14ac:dyDescent="0.25">
      <c r="B3943" s="124"/>
      <c r="C3943" s="125"/>
      <c r="D3943" s="125"/>
      <c r="E3943" s="125"/>
      <c r="F3943" s="125"/>
      <c r="G3943" s="125"/>
      <c r="H3943" s="125"/>
      <c r="I3943" s="746"/>
      <c r="J3943" s="747"/>
      <c r="K3943" s="748"/>
      <c r="L3943" s="746"/>
      <c r="M3943" s="747"/>
      <c r="N3943" s="753"/>
    </row>
    <row r="3944" spans="2:14" ht="15" customHeight="1" x14ac:dyDescent="0.25">
      <c r="B3944" s="127"/>
      <c r="C3944" s="125"/>
      <c r="D3944" s="125"/>
      <c r="E3944" s="125"/>
      <c r="F3944" s="125"/>
      <c r="G3944" s="125"/>
      <c r="H3944" s="125"/>
      <c r="I3944" s="749"/>
      <c r="J3944" s="750"/>
      <c r="K3944" s="751"/>
      <c r="L3944" s="749"/>
      <c r="M3944" s="750"/>
      <c r="N3944" s="754"/>
    </row>
    <row r="3945" spans="2:14" ht="15" customHeight="1" x14ac:dyDescent="0.25">
      <c r="B3945" s="225"/>
      <c r="C3945" s="128"/>
      <c r="D3945" s="128"/>
      <c r="E3945" s="128"/>
      <c r="F3945" s="128"/>
      <c r="G3945" s="128"/>
      <c r="H3945" s="128"/>
      <c r="I3945" s="128"/>
      <c r="J3945" s="128"/>
      <c r="K3945" s="128"/>
      <c r="L3945" s="118"/>
      <c r="M3945" s="118"/>
      <c r="N3945" s="210"/>
    </row>
    <row r="3946" spans="2:14" ht="15" customHeight="1" x14ac:dyDescent="0.25">
      <c r="B3946" s="209"/>
      <c r="C3946" s="118"/>
      <c r="D3946" s="118"/>
      <c r="E3946" s="118"/>
      <c r="F3946" s="118"/>
      <c r="G3946" s="118"/>
      <c r="H3946" s="118"/>
      <c r="I3946" s="118"/>
      <c r="J3946" s="118"/>
      <c r="K3946" s="118"/>
      <c r="L3946" s="118"/>
      <c r="M3946" s="118"/>
      <c r="N3946" s="210"/>
    </row>
    <row r="3947" spans="2:14" ht="15" customHeight="1" x14ac:dyDescent="0.25">
      <c r="B3947" s="209"/>
      <c r="C3947" s="118"/>
      <c r="D3947" s="118"/>
      <c r="E3947" s="118"/>
      <c r="F3947" s="118"/>
      <c r="G3947" s="118"/>
      <c r="H3947" s="118"/>
      <c r="I3947" s="118"/>
      <c r="J3947" s="118"/>
      <c r="K3947" s="118"/>
      <c r="L3947" s="118"/>
      <c r="M3947" s="118"/>
      <c r="N3947" s="210"/>
    </row>
    <row r="3948" spans="2:14" ht="15" customHeight="1" thickBot="1" x14ac:dyDescent="0.3">
      <c r="B3948" s="725" t="s">
        <v>414</v>
      </c>
      <c r="C3948" s="726"/>
      <c r="D3948" s="726"/>
      <c r="E3948" s="147"/>
      <c r="F3948" s="147"/>
      <c r="G3948" s="147"/>
      <c r="H3948" s="147"/>
      <c r="I3948" s="727"/>
      <c r="J3948" s="726"/>
      <c r="K3948" s="726"/>
      <c r="L3948" s="130"/>
      <c r="M3948" s="130"/>
      <c r="N3948" s="131"/>
    </row>
    <row r="3949" spans="2:14" ht="15" customHeight="1" thickBot="1" x14ac:dyDescent="0.3"/>
    <row r="3950" spans="2:14" ht="33" customHeight="1" x14ac:dyDescent="0.25">
      <c r="B3950" s="728"/>
      <c r="C3950" s="729"/>
      <c r="D3950" s="730" t="s">
        <v>393</v>
      </c>
      <c r="E3950" s="729"/>
      <c r="F3950" s="729"/>
      <c r="G3950" s="729"/>
      <c r="H3950" s="729"/>
      <c r="I3950" s="729"/>
      <c r="J3950" s="729"/>
      <c r="K3950" s="729"/>
      <c r="L3950" s="729"/>
      <c r="M3950" s="729"/>
      <c r="N3950" s="731"/>
    </row>
    <row r="3951" spans="2:14" ht="15" customHeight="1" x14ac:dyDescent="0.25">
      <c r="B3951" s="732" t="s">
        <v>394</v>
      </c>
      <c r="C3951" s="733"/>
      <c r="D3951" s="733"/>
      <c r="E3951" s="733"/>
      <c r="F3951" s="733"/>
      <c r="G3951" s="733"/>
      <c r="H3951" s="733"/>
      <c r="I3951" s="733"/>
      <c r="J3951" s="733"/>
      <c r="K3951" s="733"/>
      <c r="L3951" s="733"/>
      <c r="M3951" s="733"/>
      <c r="N3951" s="734"/>
    </row>
    <row r="3952" spans="2:14" ht="15" customHeight="1" x14ac:dyDescent="0.25">
      <c r="B3952" s="735" t="s">
        <v>395</v>
      </c>
      <c r="C3952" s="736"/>
      <c r="D3952" s="737" t="str">
        <f>VLOOKUP(B3954,Buenaventura!A9:G5199,3,FALSE)</f>
        <v>Suministro e instalación Registro de corte en bronce 1/2"</v>
      </c>
      <c r="E3952" s="738"/>
      <c r="F3952" s="738"/>
      <c r="G3952" s="738"/>
      <c r="H3952" s="738"/>
      <c r="I3952" s="738"/>
      <c r="J3952" s="738"/>
      <c r="K3952" s="738"/>
      <c r="L3952" s="738"/>
      <c r="M3952" s="738"/>
      <c r="N3952" s="739"/>
    </row>
    <row r="3953" spans="2:14" ht="31.9" customHeight="1" x14ac:dyDescent="0.25">
      <c r="B3953" s="740" t="s">
        <v>26</v>
      </c>
      <c r="C3953" s="741"/>
      <c r="D3953" s="119" t="s">
        <v>396</v>
      </c>
      <c r="E3953" s="742" t="s">
        <v>397</v>
      </c>
      <c r="F3953" s="733"/>
      <c r="G3953" s="733"/>
      <c r="H3953" s="736"/>
      <c r="I3953" s="742" t="s">
        <v>398</v>
      </c>
      <c r="J3953" s="733"/>
      <c r="K3953" s="736"/>
      <c r="L3953" s="742" t="s">
        <v>399</v>
      </c>
      <c r="M3953" s="733"/>
      <c r="N3953" s="734"/>
    </row>
    <row r="3954" spans="2:14" ht="15" customHeight="1" x14ac:dyDescent="0.25">
      <c r="B3954" s="283">
        <v>94</v>
      </c>
      <c r="C3954" s="284" t="str">
        <f>VLOOKUP(B3954,Buenaventura!A9:G5212,2,FALSE)</f>
        <v>IH-20</v>
      </c>
      <c r="D3954" s="285">
        <f>SUM(H3957:H3960)</f>
        <v>3</v>
      </c>
      <c r="E3954" s="743" t="str">
        <f>VLOOKUP(B3954,Buenaventura!A9:G5211,4,FALSE)</f>
        <v>UND</v>
      </c>
      <c r="F3954" s="743"/>
      <c r="G3954" s="743"/>
      <c r="H3954" s="743"/>
      <c r="I3954" s="744"/>
      <c r="J3954" s="745"/>
      <c r="K3954" s="741"/>
      <c r="L3954" s="744"/>
      <c r="M3954" s="745"/>
      <c r="N3954" s="752"/>
    </row>
    <row r="3955" spans="2:14" ht="15" customHeight="1" x14ac:dyDescent="0.25">
      <c r="B3955" s="755" t="s">
        <v>416</v>
      </c>
      <c r="C3955" s="733"/>
      <c r="D3955" s="733"/>
      <c r="E3955" s="733"/>
      <c r="F3955" s="733"/>
      <c r="G3955" s="733"/>
      <c r="H3955" s="736"/>
      <c r="I3955" s="746"/>
      <c r="J3955" s="747"/>
      <c r="K3955" s="748"/>
      <c r="L3955" s="746"/>
      <c r="M3955" s="747"/>
      <c r="N3955" s="753"/>
    </row>
    <row r="3956" spans="2:14" ht="15" customHeight="1" x14ac:dyDescent="0.25">
      <c r="B3956" s="121" t="s">
        <v>400</v>
      </c>
      <c r="C3956" s="122" t="s">
        <v>401</v>
      </c>
      <c r="D3956" s="123" t="s">
        <v>402</v>
      </c>
      <c r="E3956" s="123" t="s">
        <v>403</v>
      </c>
      <c r="F3956" s="123" t="s">
        <v>404</v>
      </c>
      <c r="G3956" s="123" t="s">
        <v>405</v>
      </c>
      <c r="H3956" s="123" t="s">
        <v>406</v>
      </c>
      <c r="I3956" s="746"/>
      <c r="J3956" s="747"/>
      <c r="K3956" s="748"/>
      <c r="L3956" s="746"/>
      <c r="M3956" s="747"/>
      <c r="N3956" s="753"/>
    </row>
    <row r="3957" spans="2:14" ht="15" customHeight="1" x14ac:dyDescent="0.25">
      <c r="B3957" s="124"/>
      <c r="C3957" s="145"/>
      <c r="D3957" s="125">
        <v>3</v>
      </c>
      <c r="E3957" s="125"/>
      <c r="F3957" s="125"/>
      <c r="G3957" s="125"/>
      <c r="H3957" s="125">
        <f>D3957</f>
        <v>3</v>
      </c>
      <c r="I3957" s="746"/>
      <c r="J3957" s="747"/>
      <c r="K3957" s="748"/>
      <c r="L3957" s="746"/>
      <c r="M3957" s="747"/>
      <c r="N3957" s="753"/>
    </row>
    <row r="3958" spans="2:14" ht="15" customHeight="1" x14ac:dyDescent="0.25">
      <c r="B3958" s="124"/>
      <c r="C3958" s="145"/>
      <c r="D3958" s="125"/>
      <c r="E3958" s="125"/>
      <c r="F3958" s="125"/>
      <c r="G3958" s="125"/>
      <c r="H3958" s="125"/>
      <c r="I3958" s="746"/>
      <c r="J3958" s="747"/>
      <c r="K3958" s="748"/>
      <c r="L3958" s="746"/>
      <c r="M3958" s="747"/>
      <c r="N3958" s="753"/>
    </row>
    <row r="3959" spans="2:14" ht="15" customHeight="1" x14ac:dyDescent="0.25">
      <c r="B3959" s="165"/>
      <c r="C3959" s="145"/>
      <c r="D3959" s="125"/>
      <c r="E3959" s="125"/>
      <c r="F3959" s="125"/>
      <c r="G3959" s="125"/>
      <c r="H3959" s="125"/>
      <c r="I3959" s="746"/>
      <c r="J3959" s="747"/>
      <c r="K3959" s="748"/>
      <c r="L3959" s="746"/>
      <c r="M3959" s="747"/>
      <c r="N3959" s="753"/>
    </row>
    <row r="3960" spans="2:14" ht="15" customHeight="1" x14ac:dyDescent="0.25">
      <c r="B3960" s="165"/>
      <c r="C3960" s="145"/>
      <c r="D3960" s="125"/>
      <c r="E3960" s="125"/>
      <c r="F3960" s="125"/>
      <c r="G3960" s="125"/>
      <c r="H3960" s="125"/>
      <c r="I3960" s="746"/>
      <c r="J3960" s="747"/>
      <c r="K3960" s="748"/>
      <c r="L3960" s="746"/>
      <c r="M3960" s="747"/>
      <c r="N3960" s="753"/>
    </row>
    <row r="3961" spans="2:14" ht="15" customHeight="1" x14ac:dyDescent="0.25">
      <c r="B3961" s="165"/>
      <c r="C3961" s="145"/>
      <c r="D3961" s="125"/>
      <c r="E3961" s="125"/>
      <c r="F3961" s="125"/>
      <c r="G3961" s="125"/>
      <c r="H3961" s="125"/>
      <c r="I3961" s="746"/>
      <c r="J3961" s="747"/>
      <c r="K3961" s="748"/>
      <c r="L3961" s="746"/>
      <c r="M3961" s="747"/>
      <c r="N3961" s="753"/>
    </row>
    <row r="3962" spans="2:14" ht="15" customHeight="1" x14ac:dyDescent="0.25">
      <c r="B3962" s="165"/>
      <c r="C3962" s="145"/>
      <c r="D3962" s="125"/>
      <c r="E3962" s="125"/>
      <c r="F3962" s="125"/>
      <c r="G3962" s="125"/>
      <c r="H3962" s="125"/>
      <c r="I3962" s="746"/>
      <c r="J3962" s="747"/>
      <c r="K3962" s="748"/>
      <c r="L3962" s="746"/>
      <c r="M3962" s="747"/>
      <c r="N3962" s="753"/>
    </row>
    <row r="3963" spans="2:14" ht="15" customHeight="1" x14ac:dyDescent="0.25">
      <c r="B3963" s="165"/>
      <c r="C3963" s="145"/>
      <c r="D3963" s="125"/>
      <c r="E3963" s="125"/>
      <c r="F3963" s="125"/>
      <c r="G3963" s="125"/>
      <c r="H3963" s="125"/>
      <c r="I3963" s="746"/>
      <c r="J3963" s="747"/>
      <c r="K3963" s="748"/>
      <c r="L3963" s="746"/>
      <c r="M3963" s="747"/>
      <c r="N3963" s="753"/>
    </row>
    <row r="3964" spans="2:14" ht="15" customHeight="1" x14ac:dyDescent="0.25">
      <c r="B3964" s="124"/>
      <c r="C3964" s="145"/>
      <c r="D3964" s="125"/>
      <c r="E3964" s="125"/>
      <c r="F3964" s="125"/>
      <c r="G3964" s="125"/>
      <c r="H3964" s="125"/>
      <c r="I3964" s="746"/>
      <c r="J3964" s="747"/>
      <c r="K3964" s="748"/>
      <c r="L3964" s="746"/>
      <c r="M3964" s="747"/>
      <c r="N3964" s="753"/>
    </row>
    <row r="3965" spans="2:14" ht="15" customHeight="1" x14ac:dyDescent="0.25">
      <c r="B3965" s="124"/>
      <c r="C3965" s="125"/>
      <c r="D3965" s="125"/>
      <c r="E3965" s="125"/>
      <c r="F3965" s="125"/>
      <c r="G3965" s="125"/>
      <c r="H3965" s="125"/>
      <c r="I3965" s="746"/>
      <c r="J3965" s="747"/>
      <c r="K3965" s="748"/>
      <c r="L3965" s="746"/>
      <c r="M3965" s="747"/>
      <c r="N3965" s="753"/>
    </row>
    <row r="3966" spans="2:14" ht="15" customHeight="1" x14ac:dyDescent="0.25">
      <c r="B3966" s="127"/>
      <c r="C3966" s="125"/>
      <c r="D3966" s="125"/>
      <c r="E3966" s="125"/>
      <c r="F3966" s="125"/>
      <c r="G3966" s="125"/>
      <c r="H3966" s="125"/>
      <c r="I3966" s="749"/>
      <c r="J3966" s="750"/>
      <c r="K3966" s="751"/>
      <c r="L3966" s="749"/>
      <c r="M3966" s="750"/>
      <c r="N3966" s="754"/>
    </row>
    <row r="3967" spans="2:14" ht="15" customHeight="1" x14ac:dyDescent="0.25">
      <c r="B3967" s="225"/>
      <c r="C3967" s="128"/>
      <c r="D3967" s="128"/>
      <c r="E3967" s="128"/>
      <c r="F3967" s="128"/>
      <c r="G3967" s="128"/>
      <c r="H3967" s="128"/>
      <c r="I3967" s="128"/>
      <c r="J3967" s="128"/>
      <c r="K3967" s="128"/>
      <c r="L3967" s="118"/>
      <c r="M3967" s="118"/>
      <c r="N3967" s="210"/>
    </row>
    <row r="3968" spans="2:14" ht="15" customHeight="1" x14ac:dyDescent="0.25">
      <c r="B3968" s="209"/>
      <c r="C3968" s="118"/>
      <c r="D3968" s="118"/>
      <c r="E3968" s="118"/>
      <c r="F3968" s="118"/>
      <c r="G3968" s="118"/>
      <c r="H3968" s="118"/>
      <c r="I3968" s="118"/>
      <c r="J3968" s="118"/>
      <c r="K3968" s="118"/>
      <c r="L3968" s="118"/>
      <c r="M3968" s="118"/>
      <c r="N3968" s="210"/>
    </row>
    <row r="3969" spans="2:14" ht="15" customHeight="1" x14ac:dyDescent="0.25">
      <c r="B3969" s="209"/>
      <c r="C3969" s="118"/>
      <c r="D3969" s="118"/>
      <c r="E3969" s="118"/>
      <c r="F3969" s="118"/>
      <c r="G3969" s="118"/>
      <c r="H3969" s="118"/>
      <c r="I3969" s="118"/>
      <c r="J3969" s="118"/>
      <c r="K3969" s="118"/>
      <c r="L3969" s="118"/>
      <c r="M3969" s="118"/>
      <c r="N3969" s="210"/>
    </row>
    <row r="3970" spans="2:14" ht="15" customHeight="1" thickBot="1" x14ac:dyDescent="0.3">
      <c r="B3970" s="725" t="s">
        <v>414</v>
      </c>
      <c r="C3970" s="726"/>
      <c r="D3970" s="726"/>
      <c r="E3970" s="147"/>
      <c r="F3970" s="147"/>
      <c r="G3970" s="147"/>
      <c r="H3970" s="147"/>
      <c r="I3970" s="727"/>
      <c r="J3970" s="726"/>
      <c r="K3970" s="726"/>
      <c r="L3970" s="130"/>
      <c r="M3970" s="130"/>
      <c r="N3970" s="131"/>
    </row>
    <row r="3971" spans="2:14" ht="15" customHeight="1" thickBot="1" x14ac:dyDescent="0.3"/>
    <row r="3972" spans="2:14" ht="39" customHeight="1" x14ac:dyDescent="0.25">
      <c r="B3972" s="728"/>
      <c r="C3972" s="729"/>
      <c r="D3972" s="730" t="s">
        <v>393</v>
      </c>
      <c r="E3972" s="729"/>
      <c r="F3972" s="729"/>
      <c r="G3972" s="729"/>
      <c r="H3972" s="729"/>
      <c r="I3972" s="729"/>
      <c r="J3972" s="729"/>
      <c r="K3972" s="729"/>
      <c r="L3972" s="729"/>
      <c r="M3972" s="729"/>
      <c r="N3972" s="731"/>
    </row>
    <row r="3973" spans="2:14" ht="15" customHeight="1" x14ac:dyDescent="0.25">
      <c r="B3973" s="732" t="s">
        <v>394</v>
      </c>
      <c r="C3973" s="733"/>
      <c r="D3973" s="733"/>
      <c r="E3973" s="733"/>
      <c r="F3973" s="733"/>
      <c r="G3973" s="733"/>
      <c r="H3973" s="733"/>
      <c r="I3973" s="733"/>
      <c r="J3973" s="733"/>
      <c r="K3973" s="733"/>
      <c r="L3973" s="733"/>
      <c r="M3973" s="733"/>
      <c r="N3973" s="734"/>
    </row>
    <row r="3974" spans="2:14" ht="31.9" customHeight="1" x14ac:dyDescent="0.25">
      <c r="B3974" s="735" t="s">
        <v>395</v>
      </c>
      <c r="C3974" s="736"/>
      <c r="D3974" s="737" t="str">
        <f>VLOOKUP(B3976,Buenaventura!A9:G5221,3,FALSE)</f>
        <v>Demolición manual y/o mecánica de mesón existente en concreto o piedra, incluye retiro y disposición final en centro de acopio certificado</v>
      </c>
      <c r="E3974" s="738"/>
      <c r="F3974" s="738"/>
      <c r="G3974" s="738"/>
      <c r="H3974" s="738"/>
      <c r="I3974" s="738"/>
      <c r="J3974" s="738"/>
      <c r="K3974" s="738"/>
      <c r="L3974" s="738"/>
      <c r="M3974" s="738"/>
      <c r="N3974" s="739"/>
    </row>
    <row r="3975" spans="2:14" ht="25.15" customHeight="1" x14ac:dyDescent="0.25">
      <c r="B3975" s="740" t="s">
        <v>26</v>
      </c>
      <c r="C3975" s="741"/>
      <c r="D3975" s="119" t="s">
        <v>396</v>
      </c>
      <c r="E3975" s="742" t="s">
        <v>397</v>
      </c>
      <c r="F3975" s="733"/>
      <c r="G3975" s="733"/>
      <c r="H3975" s="736"/>
      <c r="I3975" s="742" t="s">
        <v>398</v>
      </c>
      <c r="J3975" s="733"/>
      <c r="K3975" s="736"/>
      <c r="L3975" s="742" t="s">
        <v>399</v>
      </c>
      <c r="M3975" s="733"/>
      <c r="N3975" s="734"/>
    </row>
    <row r="3976" spans="2:14" ht="15" customHeight="1" x14ac:dyDescent="0.25">
      <c r="B3976" s="283">
        <v>95</v>
      </c>
      <c r="C3976" s="284" t="str">
        <f>VLOOKUP(B3976,Buenaventura!A9:G5234,2,FALSE)</f>
        <v>PR-26</v>
      </c>
      <c r="D3976" s="285">
        <f>SUM(H3979:H3982)</f>
        <v>15</v>
      </c>
      <c r="E3976" s="743" t="str">
        <f>VLOOKUP(B3976,Buenaventura!A9:G5233,4,FALSE)</f>
        <v>ML</v>
      </c>
      <c r="F3976" s="743"/>
      <c r="G3976" s="743"/>
      <c r="H3976" s="743"/>
      <c r="I3976" s="744"/>
      <c r="J3976" s="745"/>
      <c r="K3976" s="741"/>
      <c r="L3976" s="744"/>
      <c r="M3976" s="745"/>
      <c r="N3976" s="752"/>
    </row>
    <row r="3977" spans="2:14" ht="15" customHeight="1" x14ac:dyDescent="0.25">
      <c r="B3977" s="755" t="s">
        <v>416</v>
      </c>
      <c r="C3977" s="733"/>
      <c r="D3977" s="733"/>
      <c r="E3977" s="733"/>
      <c r="F3977" s="733"/>
      <c r="G3977" s="733"/>
      <c r="H3977" s="736"/>
      <c r="I3977" s="746"/>
      <c r="J3977" s="747"/>
      <c r="K3977" s="748"/>
      <c r="L3977" s="746"/>
      <c r="M3977" s="747"/>
      <c r="N3977" s="753"/>
    </row>
    <row r="3978" spans="2:14" ht="15" customHeight="1" x14ac:dyDescent="0.25">
      <c r="B3978" s="121" t="s">
        <v>400</v>
      </c>
      <c r="C3978" s="122" t="s">
        <v>401</v>
      </c>
      <c r="D3978" s="123" t="s">
        <v>402</v>
      </c>
      <c r="E3978" s="123" t="s">
        <v>403</v>
      </c>
      <c r="F3978" s="123" t="s">
        <v>404</v>
      </c>
      <c r="G3978" s="123" t="s">
        <v>405</v>
      </c>
      <c r="H3978" s="123" t="s">
        <v>406</v>
      </c>
      <c r="I3978" s="746"/>
      <c r="J3978" s="747"/>
      <c r="K3978" s="748"/>
      <c r="L3978" s="746"/>
      <c r="M3978" s="747"/>
      <c r="N3978" s="753"/>
    </row>
    <row r="3979" spans="2:14" ht="15" customHeight="1" x14ac:dyDescent="0.25">
      <c r="B3979" s="124"/>
      <c r="C3979" s="145" t="s">
        <v>609</v>
      </c>
      <c r="D3979" s="125">
        <v>15</v>
      </c>
      <c r="E3979" s="125"/>
      <c r="F3979" s="125"/>
      <c r="G3979" s="125"/>
      <c r="H3979" s="125">
        <f>D3979</f>
        <v>15</v>
      </c>
      <c r="I3979" s="746"/>
      <c r="J3979" s="747"/>
      <c r="K3979" s="748"/>
      <c r="L3979" s="746"/>
      <c r="M3979" s="747"/>
      <c r="N3979" s="753"/>
    </row>
    <row r="3980" spans="2:14" ht="15" customHeight="1" x14ac:dyDescent="0.25">
      <c r="B3980" s="124"/>
      <c r="C3980" s="145"/>
      <c r="D3980" s="125"/>
      <c r="E3980" s="125"/>
      <c r="F3980" s="125"/>
      <c r="G3980" s="125"/>
      <c r="H3980" s="125"/>
      <c r="I3980" s="746"/>
      <c r="J3980" s="747"/>
      <c r="K3980" s="748"/>
      <c r="L3980" s="746"/>
      <c r="M3980" s="747"/>
      <c r="N3980" s="753"/>
    </row>
    <row r="3981" spans="2:14" ht="15" customHeight="1" x14ac:dyDescent="0.25">
      <c r="B3981" s="165"/>
      <c r="C3981" s="145"/>
      <c r="D3981" s="125"/>
      <c r="E3981" s="125"/>
      <c r="F3981" s="125"/>
      <c r="G3981" s="125"/>
      <c r="H3981" s="125"/>
      <c r="I3981" s="746"/>
      <c r="J3981" s="747"/>
      <c r="K3981" s="748"/>
      <c r="L3981" s="746"/>
      <c r="M3981" s="747"/>
      <c r="N3981" s="753"/>
    </row>
    <row r="3982" spans="2:14" ht="15" customHeight="1" x14ac:dyDescent="0.25">
      <c r="B3982" s="165"/>
      <c r="C3982" s="145"/>
      <c r="D3982" s="125"/>
      <c r="E3982" s="125"/>
      <c r="F3982" s="125"/>
      <c r="G3982" s="125"/>
      <c r="H3982" s="125"/>
      <c r="I3982" s="746"/>
      <c r="J3982" s="747"/>
      <c r="K3982" s="748"/>
      <c r="L3982" s="746"/>
      <c r="M3982" s="747"/>
      <c r="N3982" s="753"/>
    </row>
    <row r="3983" spans="2:14" ht="15" customHeight="1" x14ac:dyDescent="0.25">
      <c r="B3983" s="165"/>
      <c r="C3983" s="145"/>
      <c r="D3983" s="125"/>
      <c r="E3983" s="125"/>
      <c r="F3983" s="125"/>
      <c r="G3983" s="125"/>
      <c r="H3983" s="125"/>
      <c r="I3983" s="746"/>
      <c r="J3983" s="747"/>
      <c r="K3983" s="748"/>
      <c r="L3983" s="746"/>
      <c r="M3983" s="747"/>
      <c r="N3983" s="753"/>
    </row>
    <row r="3984" spans="2:14" ht="15" customHeight="1" x14ac:dyDescent="0.25">
      <c r="B3984" s="165"/>
      <c r="C3984" s="145"/>
      <c r="D3984" s="125"/>
      <c r="E3984" s="125"/>
      <c r="F3984" s="125"/>
      <c r="G3984" s="125"/>
      <c r="H3984" s="125"/>
      <c r="I3984" s="746"/>
      <c r="J3984" s="747"/>
      <c r="K3984" s="748"/>
      <c r="L3984" s="746"/>
      <c r="M3984" s="747"/>
      <c r="N3984" s="753"/>
    </row>
    <row r="3985" spans="2:14" ht="15" customHeight="1" x14ac:dyDescent="0.25">
      <c r="B3985" s="165"/>
      <c r="C3985" s="145"/>
      <c r="D3985" s="125"/>
      <c r="E3985" s="125"/>
      <c r="F3985" s="125"/>
      <c r="G3985" s="125"/>
      <c r="H3985" s="125"/>
      <c r="I3985" s="746"/>
      <c r="J3985" s="747"/>
      <c r="K3985" s="748"/>
      <c r="L3985" s="746"/>
      <c r="M3985" s="747"/>
      <c r="N3985" s="753"/>
    </row>
    <row r="3986" spans="2:14" ht="15" customHeight="1" x14ac:dyDescent="0.25">
      <c r="B3986" s="124"/>
      <c r="C3986" s="145"/>
      <c r="D3986" s="125"/>
      <c r="E3986" s="125"/>
      <c r="F3986" s="125"/>
      <c r="G3986" s="125"/>
      <c r="H3986" s="125"/>
      <c r="I3986" s="746"/>
      <c r="J3986" s="747"/>
      <c r="K3986" s="748"/>
      <c r="L3986" s="746"/>
      <c r="M3986" s="747"/>
      <c r="N3986" s="753"/>
    </row>
    <row r="3987" spans="2:14" ht="15" customHeight="1" x14ac:dyDescent="0.25">
      <c r="B3987" s="124"/>
      <c r="C3987" s="125"/>
      <c r="D3987" s="125"/>
      <c r="E3987" s="125"/>
      <c r="F3987" s="125"/>
      <c r="G3987" s="125"/>
      <c r="H3987" s="125"/>
      <c r="I3987" s="746"/>
      <c r="J3987" s="747"/>
      <c r="K3987" s="748"/>
      <c r="L3987" s="746"/>
      <c r="M3987" s="747"/>
      <c r="N3987" s="753"/>
    </row>
    <row r="3988" spans="2:14" ht="15" customHeight="1" x14ac:dyDescent="0.25">
      <c r="B3988" s="127"/>
      <c r="C3988" s="125"/>
      <c r="D3988" s="125"/>
      <c r="E3988" s="125"/>
      <c r="F3988" s="125"/>
      <c r="G3988" s="125"/>
      <c r="H3988" s="125"/>
      <c r="I3988" s="749"/>
      <c r="J3988" s="750"/>
      <c r="K3988" s="751"/>
      <c r="L3988" s="749"/>
      <c r="M3988" s="750"/>
      <c r="N3988" s="754"/>
    </row>
    <row r="3989" spans="2:14" ht="15" customHeight="1" x14ac:dyDescent="0.25">
      <c r="B3989" s="225"/>
      <c r="C3989" s="128"/>
      <c r="D3989" s="128"/>
      <c r="E3989" s="128"/>
      <c r="F3989" s="128"/>
      <c r="G3989" s="128"/>
      <c r="H3989" s="128"/>
      <c r="I3989" s="128"/>
      <c r="J3989" s="128"/>
      <c r="K3989" s="128"/>
      <c r="L3989" s="118"/>
      <c r="M3989" s="118"/>
      <c r="N3989" s="210"/>
    </row>
    <row r="3990" spans="2:14" ht="15" customHeight="1" x14ac:dyDescent="0.25">
      <c r="B3990" s="209"/>
      <c r="C3990" s="118"/>
      <c r="D3990" s="118"/>
      <c r="E3990" s="118"/>
      <c r="F3990" s="118"/>
      <c r="G3990" s="118"/>
      <c r="H3990" s="118"/>
      <c r="I3990" s="118"/>
      <c r="J3990" s="118"/>
      <c r="K3990" s="118"/>
      <c r="L3990" s="118"/>
      <c r="M3990" s="118"/>
      <c r="N3990" s="210"/>
    </row>
    <row r="3991" spans="2:14" ht="15" customHeight="1" x14ac:dyDescent="0.25">
      <c r="B3991" s="209"/>
      <c r="C3991" s="118"/>
      <c r="D3991" s="118"/>
      <c r="E3991" s="118"/>
      <c r="F3991" s="118"/>
      <c r="G3991" s="118"/>
      <c r="H3991" s="118"/>
      <c r="I3991" s="118"/>
      <c r="J3991" s="118"/>
      <c r="K3991" s="118"/>
      <c r="L3991" s="118"/>
      <c r="M3991" s="118"/>
      <c r="N3991" s="210"/>
    </row>
    <row r="3992" spans="2:14" ht="15" customHeight="1" thickBot="1" x14ac:dyDescent="0.3">
      <c r="B3992" s="725" t="s">
        <v>414</v>
      </c>
      <c r="C3992" s="726"/>
      <c r="D3992" s="726"/>
      <c r="E3992" s="147"/>
      <c r="F3992" s="147"/>
      <c r="G3992" s="147"/>
      <c r="H3992" s="147"/>
      <c r="I3992" s="727"/>
      <c r="J3992" s="726"/>
      <c r="K3992" s="726"/>
      <c r="L3992" s="130"/>
      <c r="M3992" s="130"/>
      <c r="N3992" s="131"/>
    </row>
    <row r="3993" spans="2:14" ht="15" customHeight="1" thickBot="1" x14ac:dyDescent="0.3"/>
    <row r="3994" spans="2:14" ht="40.9" customHeight="1" x14ac:dyDescent="0.25">
      <c r="B3994" s="728"/>
      <c r="C3994" s="729"/>
      <c r="D3994" s="730" t="s">
        <v>393</v>
      </c>
      <c r="E3994" s="729"/>
      <c r="F3994" s="729"/>
      <c r="G3994" s="729"/>
      <c r="H3994" s="729"/>
      <c r="I3994" s="729"/>
      <c r="J3994" s="729"/>
      <c r="K3994" s="729"/>
      <c r="L3994" s="729"/>
      <c r="M3994" s="729"/>
      <c r="N3994" s="731"/>
    </row>
    <row r="3995" spans="2:14" ht="15" customHeight="1" x14ac:dyDescent="0.25">
      <c r="B3995" s="732" t="s">
        <v>394</v>
      </c>
      <c r="C3995" s="733"/>
      <c r="D3995" s="733"/>
      <c r="E3995" s="733"/>
      <c r="F3995" s="733"/>
      <c r="G3995" s="733"/>
      <c r="H3995" s="733"/>
      <c r="I3995" s="733"/>
      <c r="J3995" s="733"/>
      <c r="K3995" s="733"/>
      <c r="L3995" s="733"/>
      <c r="M3995" s="733"/>
      <c r="N3995" s="734"/>
    </row>
    <row r="3996" spans="2:14" ht="15" customHeight="1" x14ac:dyDescent="0.25">
      <c r="B3996" s="735" t="s">
        <v>395</v>
      </c>
      <c r="C3996" s="736"/>
      <c r="D3996" s="737" t="str">
        <f>VLOOKUP(B3998,Buenaventura!A9:G5243,3,FALSE)</f>
        <v>Corte de piso en concreto con pulidora,  incluye retiro y disposición final en centro de acopio certificado</v>
      </c>
      <c r="E3996" s="738"/>
      <c r="F3996" s="738"/>
      <c r="G3996" s="738"/>
      <c r="H3996" s="738"/>
      <c r="I3996" s="738"/>
      <c r="J3996" s="738"/>
      <c r="K3996" s="738"/>
      <c r="L3996" s="738"/>
      <c r="M3996" s="738"/>
      <c r="N3996" s="739"/>
    </row>
    <row r="3997" spans="2:14" ht="25.15" customHeight="1" x14ac:dyDescent="0.25">
      <c r="B3997" s="740" t="s">
        <v>26</v>
      </c>
      <c r="C3997" s="741"/>
      <c r="D3997" s="119" t="s">
        <v>396</v>
      </c>
      <c r="E3997" s="742" t="s">
        <v>397</v>
      </c>
      <c r="F3997" s="733"/>
      <c r="G3997" s="733"/>
      <c r="H3997" s="736"/>
      <c r="I3997" s="742" t="s">
        <v>398</v>
      </c>
      <c r="J3997" s="733"/>
      <c r="K3997" s="736"/>
      <c r="L3997" s="742" t="s">
        <v>399</v>
      </c>
      <c r="M3997" s="733"/>
      <c r="N3997" s="734"/>
    </row>
    <row r="3998" spans="2:14" ht="15" customHeight="1" x14ac:dyDescent="0.25">
      <c r="B3998" s="283">
        <v>96</v>
      </c>
      <c r="C3998" s="284" t="str">
        <f>VLOOKUP(B3998,Buenaventura!A9:G5256,2,FALSE)</f>
        <v>PR-32</v>
      </c>
      <c r="D3998" s="285">
        <f>SUM(H4001:H4004)</f>
        <v>4</v>
      </c>
      <c r="E3998" s="743" t="str">
        <f>VLOOKUP(B3998,Buenaventura!A9:G5255,4,FALSE)</f>
        <v>ML</v>
      </c>
      <c r="F3998" s="743"/>
      <c r="G3998" s="743"/>
      <c r="H3998" s="743"/>
      <c r="I3998" s="744"/>
      <c r="J3998" s="745"/>
      <c r="K3998" s="741"/>
      <c r="L3998" s="744"/>
      <c r="M3998" s="745"/>
      <c r="N3998" s="752"/>
    </row>
    <row r="3999" spans="2:14" ht="15" customHeight="1" x14ac:dyDescent="0.25">
      <c r="B3999" s="755" t="s">
        <v>416</v>
      </c>
      <c r="C3999" s="733"/>
      <c r="D3999" s="733"/>
      <c r="E3999" s="733"/>
      <c r="F3999" s="733"/>
      <c r="G3999" s="733"/>
      <c r="H3999" s="736"/>
      <c r="I3999" s="746"/>
      <c r="J3999" s="747"/>
      <c r="K3999" s="748"/>
      <c r="L3999" s="746"/>
      <c r="M3999" s="747"/>
      <c r="N3999" s="753"/>
    </row>
    <row r="4000" spans="2:14" ht="15" customHeight="1" x14ac:dyDescent="0.25">
      <c r="B4000" s="121" t="s">
        <v>400</v>
      </c>
      <c r="C4000" s="122" t="s">
        <v>401</v>
      </c>
      <c r="D4000" s="123" t="s">
        <v>402</v>
      </c>
      <c r="E4000" s="123" t="s">
        <v>403</v>
      </c>
      <c r="F4000" s="123" t="s">
        <v>404</v>
      </c>
      <c r="G4000" s="123" t="s">
        <v>405</v>
      </c>
      <c r="H4000" s="123" t="s">
        <v>406</v>
      </c>
      <c r="I4000" s="746"/>
      <c r="J4000" s="747"/>
      <c r="K4000" s="748"/>
      <c r="L4000" s="746"/>
      <c r="M4000" s="747"/>
      <c r="N4000" s="753"/>
    </row>
    <row r="4001" spans="2:14" ht="15" customHeight="1" x14ac:dyDescent="0.25">
      <c r="B4001" s="124"/>
      <c r="C4001" s="145"/>
      <c r="D4001" s="125">
        <v>4</v>
      </c>
      <c r="E4001" s="125"/>
      <c r="F4001" s="125"/>
      <c r="G4001" s="125"/>
      <c r="H4001" s="125">
        <f>D4001</f>
        <v>4</v>
      </c>
      <c r="I4001" s="746"/>
      <c r="J4001" s="747"/>
      <c r="K4001" s="748"/>
      <c r="L4001" s="746"/>
      <c r="M4001" s="747"/>
      <c r="N4001" s="753"/>
    </row>
    <row r="4002" spans="2:14" ht="15" customHeight="1" x14ac:dyDescent="0.25">
      <c r="B4002" s="124"/>
      <c r="C4002" s="145"/>
      <c r="D4002" s="125"/>
      <c r="E4002" s="125"/>
      <c r="F4002" s="125"/>
      <c r="G4002" s="125"/>
      <c r="H4002" s="125"/>
      <c r="I4002" s="746"/>
      <c r="J4002" s="747"/>
      <c r="K4002" s="748"/>
      <c r="L4002" s="746"/>
      <c r="M4002" s="747"/>
      <c r="N4002" s="753"/>
    </row>
    <row r="4003" spans="2:14" ht="15" customHeight="1" x14ac:dyDescent="0.25">
      <c r="B4003" s="165"/>
      <c r="C4003" s="145"/>
      <c r="D4003" s="125"/>
      <c r="E4003" s="125"/>
      <c r="F4003" s="125"/>
      <c r="G4003" s="125"/>
      <c r="H4003" s="125"/>
      <c r="I4003" s="746"/>
      <c r="J4003" s="747"/>
      <c r="K4003" s="748"/>
      <c r="L4003" s="746"/>
      <c r="M4003" s="747"/>
      <c r="N4003" s="753"/>
    </row>
    <row r="4004" spans="2:14" ht="15" customHeight="1" x14ac:dyDescent="0.25">
      <c r="B4004" s="165"/>
      <c r="C4004" s="145"/>
      <c r="D4004" s="125"/>
      <c r="E4004" s="125"/>
      <c r="F4004" s="125"/>
      <c r="G4004" s="125"/>
      <c r="H4004" s="125"/>
      <c r="I4004" s="746"/>
      <c r="J4004" s="747"/>
      <c r="K4004" s="748"/>
      <c r="L4004" s="746"/>
      <c r="M4004" s="747"/>
      <c r="N4004" s="753"/>
    </row>
    <row r="4005" spans="2:14" ht="15" customHeight="1" x14ac:dyDescent="0.25">
      <c r="B4005" s="165"/>
      <c r="C4005" s="145"/>
      <c r="D4005" s="125"/>
      <c r="E4005" s="125"/>
      <c r="F4005" s="125"/>
      <c r="G4005" s="125"/>
      <c r="H4005" s="125"/>
      <c r="I4005" s="746"/>
      <c r="J4005" s="747"/>
      <c r="K4005" s="748"/>
      <c r="L4005" s="746"/>
      <c r="M4005" s="747"/>
      <c r="N4005" s="753"/>
    </row>
    <row r="4006" spans="2:14" ht="15" customHeight="1" x14ac:dyDescent="0.25">
      <c r="B4006" s="165"/>
      <c r="C4006" s="145"/>
      <c r="D4006" s="125"/>
      <c r="E4006" s="125"/>
      <c r="F4006" s="125"/>
      <c r="G4006" s="125"/>
      <c r="H4006" s="125"/>
      <c r="I4006" s="746"/>
      <c r="J4006" s="747"/>
      <c r="K4006" s="748"/>
      <c r="L4006" s="746"/>
      <c r="M4006" s="747"/>
      <c r="N4006" s="753"/>
    </row>
    <row r="4007" spans="2:14" ht="15" customHeight="1" x14ac:dyDescent="0.25">
      <c r="B4007" s="165"/>
      <c r="C4007" s="145"/>
      <c r="D4007" s="125"/>
      <c r="E4007" s="125"/>
      <c r="F4007" s="125"/>
      <c r="G4007" s="125"/>
      <c r="H4007" s="125"/>
      <c r="I4007" s="746"/>
      <c r="J4007" s="747"/>
      <c r="K4007" s="748"/>
      <c r="L4007" s="746"/>
      <c r="M4007" s="747"/>
      <c r="N4007" s="753"/>
    </row>
    <row r="4008" spans="2:14" ht="15" customHeight="1" x14ac:dyDescent="0.25">
      <c r="B4008" s="124"/>
      <c r="C4008" s="145"/>
      <c r="D4008" s="125"/>
      <c r="E4008" s="125"/>
      <c r="F4008" s="125"/>
      <c r="G4008" s="125"/>
      <c r="H4008" s="125"/>
      <c r="I4008" s="746"/>
      <c r="J4008" s="747"/>
      <c r="K4008" s="748"/>
      <c r="L4008" s="746"/>
      <c r="M4008" s="747"/>
      <c r="N4008" s="753"/>
    </row>
    <row r="4009" spans="2:14" ht="15" customHeight="1" x14ac:dyDescent="0.25">
      <c r="B4009" s="124"/>
      <c r="C4009" s="125"/>
      <c r="D4009" s="125"/>
      <c r="E4009" s="125"/>
      <c r="F4009" s="125"/>
      <c r="G4009" s="125"/>
      <c r="H4009" s="125"/>
      <c r="I4009" s="746"/>
      <c r="J4009" s="747"/>
      <c r="K4009" s="748"/>
      <c r="L4009" s="746"/>
      <c r="M4009" s="747"/>
      <c r="N4009" s="753"/>
    </row>
    <row r="4010" spans="2:14" ht="15" customHeight="1" x14ac:dyDescent="0.25">
      <c r="B4010" s="127"/>
      <c r="C4010" s="125"/>
      <c r="D4010" s="125"/>
      <c r="E4010" s="125"/>
      <c r="F4010" s="125"/>
      <c r="G4010" s="125"/>
      <c r="H4010" s="125"/>
      <c r="I4010" s="749"/>
      <c r="J4010" s="750"/>
      <c r="K4010" s="751"/>
      <c r="L4010" s="749"/>
      <c r="M4010" s="750"/>
      <c r="N4010" s="754"/>
    </row>
    <row r="4011" spans="2:14" ht="15" customHeight="1" x14ac:dyDescent="0.25">
      <c r="B4011" s="225"/>
      <c r="C4011" s="128"/>
      <c r="D4011" s="128"/>
      <c r="E4011" s="128"/>
      <c r="F4011" s="128"/>
      <c r="G4011" s="128"/>
      <c r="H4011" s="128"/>
      <c r="I4011" s="128"/>
      <c r="J4011" s="128"/>
      <c r="K4011" s="128"/>
      <c r="L4011" s="118"/>
      <c r="M4011" s="118"/>
      <c r="N4011" s="210"/>
    </row>
    <row r="4012" spans="2:14" ht="15" customHeight="1" x14ac:dyDescent="0.25">
      <c r="B4012" s="209"/>
      <c r="C4012" s="118"/>
      <c r="D4012" s="118"/>
      <c r="E4012" s="118"/>
      <c r="F4012" s="118"/>
      <c r="G4012" s="118"/>
      <c r="H4012" s="118"/>
      <c r="I4012" s="118"/>
      <c r="J4012" s="118"/>
      <c r="K4012" s="118"/>
      <c r="L4012" s="118"/>
      <c r="M4012" s="118"/>
      <c r="N4012" s="210"/>
    </row>
    <row r="4013" spans="2:14" ht="15" customHeight="1" x14ac:dyDescent="0.25">
      <c r="B4013" s="209"/>
      <c r="C4013" s="118"/>
      <c r="D4013" s="118"/>
      <c r="E4013" s="118"/>
      <c r="F4013" s="118"/>
      <c r="G4013" s="118"/>
      <c r="H4013" s="118"/>
      <c r="I4013" s="118"/>
      <c r="J4013" s="118"/>
      <c r="K4013" s="118"/>
      <c r="L4013" s="118"/>
      <c r="M4013" s="118"/>
      <c r="N4013" s="210"/>
    </row>
    <row r="4014" spans="2:14" ht="15" customHeight="1" thickBot="1" x14ac:dyDescent="0.3">
      <c r="B4014" s="725" t="s">
        <v>414</v>
      </c>
      <c r="C4014" s="726"/>
      <c r="D4014" s="726"/>
      <c r="E4014" s="147"/>
      <c r="F4014" s="147"/>
      <c r="G4014" s="147"/>
      <c r="H4014" s="147"/>
      <c r="I4014" s="727"/>
      <c r="J4014" s="726"/>
      <c r="K4014" s="726"/>
      <c r="L4014" s="130"/>
      <c r="M4014" s="130"/>
      <c r="N4014" s="131"/>
    </row>
    <row r="4015" spans="2:14" ht="15" customHeight="1" thickBot="1" x14ac:dyDescent="0.3"/>
    <row r="4016" spans="2:14" ht="40.15" customHeight="1" x14ac:dyDescent="0.25">
      <c r="B4016" s="728"/>
      <c r="C4016" s="729"/>
      <c r="D4016" s="730" t="s">
        <v>393</v>
      </c>
      <c r="E4016" s="729"/>
      <c r="F4016" s="729"/>
      <c r="G4016" s="729"/>
      <c r="H4016" s="729"/>
      <c r="I4016" s="729"/>
      <c r="J4016" s="729"/>
      <c r="K4016" s="729"/>
      <c r="L4016" s="729"/>
      <c r="M4016" s="729"/>
      <c r="N4016" s="731"/>
    </row>
    <row r="4017" spans="2:14" ht="15" customHeight="1" x14ac:dyDescent="0.25">
      <c r="B4017" s="732" t="s">
        <v>394</v>
      </c>
      <c r="C4017" s="733"/>
      <c r="D4017" s="733"/>
      <c r="E4017" s="733"/>
      <c r="F4017" s="733"/>
      <c r="G4017" s="733"/>
      <c r="H4017" s="733"/>
      <c r="I4017" s="733"/>
      <c r="J4017" s="733"/>
      <c r="K4017" s="733"/>
      <c r="L4017" s="733"/>
      <c r="M4017" s="733"/>
      <c r="N4017" s="734"/>
    </row>
    <row r="4018" spans="2:14" ht="24" customHeight="1" x14ac:dyDescent="0.25">
      <c r="B4018" s="735" t="s">
        <v>395</v>
      </c>
      <c r="C4018" s="736"/>
      <c r="D4018" s="737" t="str">
        <f>VLOOKUP(B4020,Buenaventura!A9:G5265,3,FALSE)</f>
        <v>Suministro e instalación de tubería sanitaria de 2" incluye todos los
elementos y accesorios para su instalación</v>
      </c>
      <c r="E4018" s="738"/>
      <c r="F4018" s="738"/>
      <c r="G4018" s="738"/>
      <c r="H4018" s="738"/>
      <c r="I4018" s="738"/>
      <c r="J4018" s="738"/>
      <c r="K4018" s="738"/>
      <c r="L4018" s="738"/>
      <c r="M4018" s="738"/>
      <c r="N4018" s="739"/>
    </row>
    <row r="4019" spans="2:14" ht="27.6" customHeight="1" x14ac:dyDescent="0.25">
      <c r="B4019" s="740" t="s">
        <v>26</v>
      </c>
      <c r="C4019" s="741"/>
      <c r="D4019" s="119" t="s">
        <v>396</v>
      </c>
      <c r="E4019" s="742" t="s">
        <v>397</v>
      </c>
      <c r="F4019" s="733"/>
      <c r="G4019" s="733"/>
      <c r="H4019" s="736"/>
      <c r="I4019" s="742" t="s">
        <v>398</v>
      </c>
      <c r="J4019" s="733"/>
      <c r="K4019" s="736"/>
      <c r="L4019" s="742" t="s">
        <v>399</v>
      </c>
      <c r="M4019" s="733"/>
      <c r="N4019" s="734"/>
    </row>
    <row r="4020" spans="2:14" ht="15" customHeight="1" x14ac:dyDescent="0.25">
      <c r="B4020" s="283">
        <v>97</v>
      </c>
      <c r="C4020" s="284" t="str">
        <f>VLOOKUP(B4020,Buenaventura!A9:G5278,2,FALSE)</f>
        <v>IH-01</v>
      </c>
      <c r="D4020" s="285">
        <f>SUM(H4023:H4026)</f>
        <v>31</v>
      </c>
      <c r="E4020" s="743" t="str">
        <f>VLOOKUP(B4020,Buenaventura!A9:G5277,4,FALSE)</f>
        <v>ML</v>
      </c>
      <c r="F4020" s="743"/>
      <c r="G4020" s="743"/>
      <c r="H4020" s="743"/>
      <c r="I4020" s="744"/>
      <c r="J4020" s="745"/>
      <c r="K4020" s="741"/>
      <c r="L4020" s="744"/>
      <c r="M4020" s="745"/>
      <c r="N4020" s="752"/>
    </row>
    <row r="4021" spans="2:14" ht="15" customHeight="1" x14ac:dyDescent="0.25">
      <c r="B4021" s="755" t="s">
        <v>416</v>
      </c>
      <c r="C4021" s="733"/>
      <c r="D4021" s="733"/>
      <c r="E4021" s="733"/>
      <c r="F4021" s="733"/>
      <c r="G4021" s="733"/>
      <c r="H4021" s="736"/>
      <c r="I4021" s="746"/>
      <c r="J4021" s="747"/>
      <c r="K4021" s="748"/>
      <c r="L4021" s="746"/>
      <c r="M4021" s="747"/>
      <c r="N4021" s="753"/>
    </row>
    <row r="4022" spans="2:14" ht="15" customHeight="1" x14ac:dyDescent="0.25">
      <c r="B4022" s="121" t="s">
        <v>400</v>
      </c>
      <c r="C4022" s="122" t="s">
        <v>401</v>
      </c>
      <c r="D4022" s="123" t="s">
        <v>402</v>
      </c>
      <c r="E4022" s="123" t="s">
        <v>403</v>
      </c>
      <c r="F4022" s="123" t="s">
        <v>404</v>
      </c>
      <c r="G4022" s="123" t="s">
        <v>405</v>
      </c>
      <c r="H4022" s="123" t="s">
        <v>406</v>
      </c>
      <c r="I4022" s="746"/>
      <c r="J4022" s="747"/>
      <c r="K4022" s="748"/>
      <c r="L4022" s="746"/>
      <c r="M4022" s="747"/>
      <c r="N4022" s="753"/>
    </row>
    <row r="4023" spans="2:14" ht="15" customHeight="1" x14ac:dyDescent="0.25">
      <c r="B4023" s="124"/>
      <c r="C4023" s="145" t="s">
        <v>608</v>
      </c>
      <c r="D4023" s="125">
        <v>4</v>
      </c>
      <c r="E4023" s="125"/>
      <c r="F4023" s="125"/>
      <c r="G4023" s="125"/>
      <c r="H4023" s="125">
        <f>D4023</f>
        <v>4</v>
      </c>
      <c r="I4023" s="746"/>
      <c r="J4023" s="747"/>
      <c r="K4023" s="748"/>
      <c r="L4023" s="746"/>
      <c r="M4023" s="747"/>
      <c r="N4023" s="753"/>
    </row>
    <row r="4024" spans="2:14" ht="15" customHeight="1" x14ac:dyDescent="0.25">
      <c r="B4024" s="124"/>
      <c r="C4024" s="145" t="s">
        <v>610</v>
      </c>
      <c r="D4024" s="125">
        <v>12</v>
      </c>
      <c r="E4024" s="125"/>
      <c r="F4024" s="125"/>
      <c r="G4024" s="125"/>
      <c r="H4024" s="125">
        <f t="shared" ref="H4024:H4025" si="78">D4024</f>
        <v>12</v>
      </c>
      <c r="I4024" s="746"/>
      <c r="J4024" s="747"/>
      <c r="K4024" s="748"/>
      <c r="L4024" s="746"/>
      <c r="M4024" s="747"/>
      <c r="N4024" s="753"/>
    </row>
    <row r="4025" spans="2:14" ht="15" customHeight="1" x14ac:dyDescent="0.25">
      <c r="B4025" s="165"/>
      <c r="C4025" s="145" t="s">
        <v>611</v>
      </c>
      <c r="D4025" s="125">
        <v>15</v>
      </c>
      <c r="E4025" s="125"/>
      <c r="F4025" s="125"/>
      <c r="G4025" s="125"/>
      <c r="H4025" s="125">
        <f t="shared" si="78"/>
        <v>15</v>
      </c>
      <c r="I4025" s="746"/>
      <c r="J4025" s="747"/>
      <c r="K4025" s="748"/>
      <c r="L4025" s="746"/>
      <c r="M4025" s="747"/>
      <c r="N4025" s="753"/>
    </row>
    <row r="4026" spans="2:14" ht="15" customHeight="1" x14ac:dyDescent="0.25">
      <c r="B4026" s="165"/>
      <c r="C4026" s="145"/>
      <c r="D4026" s="125"/>
      <c r="E4026" s="125"/>
      <c r="F4026" s="125"/>
      <c r="G4026" s="125"/>
      <c r="H4026" s="125"/>
      <c r="I4026" s="746"/>
      <c r="J4026" s="747"/>
      <c r="K4026" s="748"/>
      <c r="L4026" s="746"/>
      <c r="M4026" s="747"/>
      <c r="N4026" s="753"/>
    </row>
    <row r="4027" spans="2:14" ht="15" customHeight="1" x14ac:dyDescent="0.25">
      <c r="B4027" s="165"/>
      <c r="C4027" s="145"/>
      <c r="D4027" s="125"/>
      <c r="E4027" s="125"/>
      <c r="F4027" s="125"/>
      <c r="G4027" s="125"/>
      <c r="H4027" s="125"/>
      <c r="I4027" s="746"/>
      <c r="J4027" s="747"/>
      <c r="K4027" s="748"/>
      <c r="L4027" s="746"/>
      <c r="M4027" s="747"/>
      <c r="N4027" s="753"/>
    </row>
    <row r="4028" spans="2:14" ht="15" customHeight="1" x14ac:dyDescent="0.25">
      <c r="B4028" s="165"/>
      <c r="C4028" s="145"/>
      <c r="D4028" s="125"/>
      <c r="E4028" s="125"/>
      <c r="F4028" s="125"/>
      <c r="G4028" s="125"/>
      <c r="H4028" s="125"/>
      <c r="I4028" s="746"/>
      <c r="J4028" s="747"/>
      <c r="K4028" s="748"/>
      <c r="L4028" s="746"/>
      <c r="M4028" s="747"/>
      <c r="N4028" s="753"/>
    </row>
    <row r="4029" spans="2:14" ht="15" customHeight="1" x14ac:dyDescent="0.25">
      <c r="B4029" s="165"/>
      <c r="C4029" s="145"/>
      <c r="D4029" s="125"/>
      <c r="E4029" s="125"/>
      <c r="F4029" s="125"/>
      <c r="G4029" s="125"/>
      <c r="H4029" s="125"/>
      <c r="I4029" s="746"/>
      <c r="J4029" s="747"/>
      <c r="K4029" s="748"/>
      <c r="L4029" s="746"/>
      <c r="M4029" s="747"/>
      <c r="N4029" s="753"/>
    </row>
    <row r="4030" spans="2:14" ht="15" customHeight="1" x14ac:dyDescent="0.25">
      <c r="B4030" s="124"/>
      <c r="C4030" s="145"/>
      <c r="D4030" s="125"/>
      <c r="E4030" s="125"/>
      <c r="F4030" s="125"/>
      <c r="G4030" s="125"/>
      <c r="H4030" s="125"/>
      <c r="I4030" s="746"/>
      <c r="J4030" s="747"/>
      <c r="K4030" s="748"/>
      <c r="L4030" s="746"/>
      <c r="M4030" s="747"/>
      <c r="N4030" s="753"/>
    </row>
    <row r="4031" spans="2:14" ht="15" customHeight="1" x14ac:dyDescent="0.25">
      <c r="B4031" s="124"/>
      <c r="C4031" s="125"/>
      <c r="D4031" s="125"/>
      <c r="E4031" s="125"/>
      <c r="F4031" s="125"/>
      <c r="G4031" s="125"/>
      <c r="H4031" s="125"/>
      <c r="I4031" s="746"/>
      <c r="J4031" s="747"/>
      <c r="K4031" s="748"/>
      <c r="L4031" s="746"/>
      <c r="M4031" s="747"/>
      <c r="N4031" s="753"/>
    </row>
    <row r="4032" spans="2:14" ht="15" customHeight="1" x14ac:dyDescent="0.25">
      <c r="B4032" s="127"/>
      <c r="C4032" s="125"/>
      <c r="D4032" s="125"/>
      <c r="E4032" s="125"/>
      <c r="F4032" s="125"/>
      <c r="G4032" s="125"/>
      <c r="H4032" s="125"/>
      <c r="I4032" s="749"/>
      <c r="J4032" s="750"/>
      <c r="K4032" s="751"/>
      <c r="L4032" s="749"/>
      <c r="M4032" s="750"/>
      <c r="N4032" s="754"/>
    </row>
    <row r="4033" spans="2:14" ht="15" customHeight="1" x14ac:dyDescent="0.25">
      <c r="B4033" s="225"/>
      <c r="C4033" s="128"/>
      <c r="D4033" s="128"/>
      <c r="E4033" s="128"/>
      <c r="F4033" s="128"/>
      <c r="G4033" s="128"/>
      <c r="H4033" s="128"/>
      <c r="I4033" s="128"/>
      <c r="J4033" s="128"/>
      <c r="K4033" s="128"/>
      <c r="L4033" s="118"/>
      <c r="M4033" s="118"/>
      <c r="N4033" s="210"/>
    </row>
    <row r="4034" spans="2:14" ht="15" customHeight="1" x14ac:dyDescent="0.25">
      <c r="B4034" s="209"/>
      <c r="C4034" s="118"/>
      <c r="D4034" s="118"/>
      <c r="E4034" s="118"/>
      <c r="F4034" s="118"/>
      <c r="G4034" s="118"/>
      <c r="H4034" s="118"/>
      <c r="I4034" s="118"/>
      <c r="J4034" s="118"/>
      <c r="K4034" s="118"/>
      <c r="L4034" s="118"/>
      <c r="M4034" s="118"/>
      <c r="N4034" s="210"/>
    </row>
    <row r="4035" spans="2:14" ht="15" customHeight="1" x14ac:dyDescent="0.25">
      <c r="B4035" s="209"/>
      <c r="C4035" s="118"/>
      <c r="D4035" s="118"/>
      <c r="E4035" s="118"/>
      <c r="F4035" s="118"/>
      <c r="G4035" s="118"/>
      <c r="H4035" s="118"/>
      <c r="I4035" s="118"/>
      <c r="J4035" s="118"/>
      <c r="K4035" s="118"/>
      <c r="L4035" s="118"/>
      <c r="M4035" s="118"/>
      <c r="N4035" s="210"/>
    </row>
    <row r="4036" spans="2:14" ht="15" customHeight="1" thickBot="1" x14ac:dyDescent="0.3">
      <c r="B4036" s="725" t="s">
        <v>414</v>
      </c>
      <c r="C4036" s="726"/>
      <c r="D4036" s="726"/>
      <c r="E4036" s="147"/>
      <c r="F4036" s="147"/>
      <c r="G4036" s="147"/>
      <c r="H4036" s="147"/>
      <c r="I4036" s="727"/>
      <c r="J4036" s="726"/>
      <c r="K4036" s="726"/>
      <c r="L4036" s="130"/>
      <c r="M4036" s="130"/>
      <c r="N4036" s="131"/>
    </row>
    <row r="4037" spans="2:14" ht="15" customHeight="1" thickBot="1" x14ac:dyDescent="0.3"/>
    <row r="4038" spans="2:14" ht="42" customHeight="1" x14ac:dyDescent="0.25">
      <c r="B4038" s="728"/>
      <c r="C4038" s="729"/>
      <c r="D4038" s="730" t="s">
        <v>393</v>
      </c>
      <c r="E4038" s="729"/>
      <c r="F4038" s="729"/>
      <c r="G4038" s="729"/>
      <c r="H4038" s="729"/>
      <c r="I4038" s="729"/>
      <c r="J4038" s="729"/>
      <c r="K4038" s="729"/>
      <c r="L4038" s="729"/>
      <c r="M4038" s="729"/>
      <c r="N4038" s="731"/>
    </row>
    <row r="4039" spans="2:14" ht="15" customHeight="1" x14ac:dyDescent="0.25">
      <c r="B4039" s="732" t="s">
        <v>394</v>
      </c>
      <c r="C4039" s="733"/>
      <c r="D4039" s="733"/>
      <c r="E4039" s="733"/>
      <c r="F4039" s="733"/>
      <c r="G4039" s="733"/>
      <c r="H4039" s="733"/>
      <c r="I4039" s="733"/>
      <c r="J4039" s="733"/>
      <c r="K4039" s="733"/>
      <c r="L4039" s="733"/>
      <c r="M4039" s="733"/>
      <c r="N4039" s="734"/>
    </row>
    <row r="4040" spans="2:14" ht="35.450000000000003" customHeight="1" x14ac:dyDescent="0.25">
      <c r="B4040" s="735" t="s">
        <v>395</v>
      </c>
      <c r="C4040" s="736"/>
      <c r="D4040" s="737" t="str">
        <f>VLOOKUP(B4042,Buenaventura!A9:G5287,3,FALSE)</f>
        <v>suministro e instalación de puntos sanitario de 4"</v>
      </c>
      <c r="E4040" s="738"/>
      <c r="F4040" s="738"/>
      <c r="G4040" s="738"/>
      <c r="H4040" s="738"/>
      <c r="I4040" s="738"/>
      <c r="J4040" s="738"/>
      <c r="K4040" s="738"/>
      <c r="L4040" s="738"/>
      <c r="M4040" s="738"/>
      <c r="N4040" s="739"/>
    </row>
    <row r="4041" spans="2:14" ht="26.45" customHeight="1" x14ac:dyDescent="0.25">
      <c r="B4041" s="740" t="s">
        <v>26</v>
      </c>
      <c r="C4041" s="741"/>
      <c r="D4041" s="119" t="s">
        <v>396</v>
      </c>
      <c r="E4041" s="742" t="s">
        <v>397</v>
      </c>
      <c r="F4041" s="733"/>
      <c r="G4041" s="733"/>
      <c r="H4041" s="736"/>
      <c r="I4041" s="742" t="s">
        <v>398</v>
      </c>
      <c r="J4041" s="733"/>
      <c r="K4041" s="736"/>
      <c r="L4041" s="742" t="s">
        <v>399</v>
      </c>
      <c r="M4041" s="733"/>
      <c r="N4041" s="734"/>
    </row>
    <row r="4042" spans="2:14" ht="15" customHeight="1" x14ac:dyDescent="0.25">
      <c r="B4042" s="283">
        <v>98</v>
      </c>
      <c r="C4042" s="284" t="str">
        <f>VLOOKUP(B4042,Buenaventura!A9:G5300,2,FALSE)</f>
        <v>IH-11</v>
      </c>
      <c r="D4042" s="285">
        <f>SUM(H4045:H4048)</f>
        <v>2</v>
      </c>
      <c r="E4042" s="743" t="str">
        <f>VLOOKUP(B4042,Buenaventura!A9:G5299,4,FALSE)</f>
        <v>UND</v>
      </c>
      <c r="F4042" s="743"/>
      <c r="G4042" s="743"/>
      <c r="H4042" s="743"/>
      <c r="I4042" s="744"/>
      <c r="J4042" s="745"/>
      <c r="K4042" s="741"/>
      <c r="L4042" s="744"/>
      <c r="M4042" s="745"/>
      <c r="N4042" s="752"/>
    </row>
    <row r="4043" spans="2:14" ht="15" customHeight="1" x14ac:dyDescent="0.25">
      <c r="B4043" s="755" t="s">
        <v>416</v>
      </c>
      <c r="C4043" s="733"/>
      <c r="D4043" s="733"/>
      <c r="E4043" s="733"/>
      <c r="F4043" s="733"/>
      <c r="G4043" s="733"/>
      <c r="H4043" s="736"/>
      <c r="I4043" s="746"/>
      <c r="J4043" s="747"/>
      <c r="K4043" s="748"/>
      <c r="L4043" s="746"/>
      <c r="M4043" s="747"/>
      <c r="N4043" s="753"/>
    </row>
    <row r="4044" spans="2:14" ht="15" customHeight="1" x14ac:dyDescent="0.25">
      <c r="B4044" s="121" t="s">
        <v>400</v>
      </c>
      <c r="C4044" s="122" t="s">
        <v>401</v>
      </c>
      <c r="D4044" s="123" t="s">
        <v>402</v>
      </c>
      <c r="E4044" s="123" t="s">
        <v>403</v>
      </c>
      <c r="F4044" s="123" t="s">
        <v>404</v>
      </c>
      <c r="G4044" s="123" t="s">
        <v>405</v>
      </c>
      <c r="H4044" s="123" t="s">
        <v>406</v>
      </c>
      <c r="I4044" s="746"/>
      <c r="J4044" s="747"/>
      <c r="K4044" s="748"/>
      <c r="L4044" s="746"/>
      <c r="M4044" s="747"/>
      <c r="N4044" s="753"/>
    </row>
    <row r="4045" spans="2:14" ht="15" customHeight="1" x14ac:dyDescent="0.25">
      <c r="B4045" s="124"/>
      <c r="C4045" s="145"/>
      <c r="D4045" s="125">
        <v>2</v>
      </c>
      <c r="E4045" s="125"/>
      <c r="F4045" s="125"/>
      <c r="G4045" s="125"/>
      <c r="H4045" s="125">
        <f>D4045</f>
        <v>2</v>
      </c>
      <c r="I4045" s="746"/>
      <c r="J4045" s="747"/>
      <c r="K4045" s="748"/>
      <c r="L4045" s="746"/>
      <c r="M4045" s="747"/>
      <c r="N4045" s="753"/>
    </row>
    <row r="4046" spans="2:14" ht="15" customHeight="1" x14ac:dyDescent="0.25">
      <c r="B4046" s="124"/>
      <c r="C4046" s="145"/>
      <c r="D4046" s="125"/>
      <c r="E4046" s="125"/>
      <c r="F4046" s="125"/>
      <c r="G4046" s="125"/>
      <c r="H4046" s="125"/>
      <c r="I4046" s="746"/>
      <c r="J4046" s="747"/>
      <c r="K4046" s="748"/>
      <c r="L4046" s="746"/>
      <c r="M4046" s="747"/>
      <c r="N4046" s="753"/>
    </row>
    <row r="4047" spans="2:14" ht="15" customHeight="1" x14ac:dyDescent="0.25">
      <c r="B4047" s="165"/>
      <c r="C4047" s="145"/>
      <c r="D4047" s="125"/>
      <c r="E4047" s="125"/>
      <c r="F4047" s="125"/>
      <c r="G4047" s="125"/>
      <c r="H4047" s="125"/>
      <c r="I4047" s="746"/>
      <c r="J4047" s="747"/>
      <c r="K4047" s="748"/>
      <c r="L4047" s="746"/>
      <c r="M4047" s="747"/>
      <c r="N4047" s="753"/>
    </row>
    <row r="4048" spans="2:14" ht="15" customHeight="1" x14ac:dyDescent="0.25">
      <c r="B4048" s="165"/>
      <c r="C4048" s="145"/>
      <c r="D4048" s="125"/>
      <c r="E4048" s="125"/>
      <c r="F4048" s="125"/>
      <c r="G4048" s="125"/>
      <c r="H4048" s="125"/>
      <c r="I4048" s="746"/>
      <c r="J4048" s="747"/>
      <c r="K4048" s="748"/>
      <c r="L4048" s="746"/>
      <c r="M4048" s="747"/>
      <c r="N4048" s="753"/>
    </row>
    <row r="4049" spans="2:14" ht="15" customHeight="1" x14ac:dyDescent="0.25">
      <c r="B4049" s="165"/>
      <c r="C4049" s="145"/>
      <c r="D4049" s="125"/>
      <c r="E4049" s="125"/>
      <c r="F4049" s="125"/>
      <c r="G4049" s="125"/>
      <c r="H4049" s="125"/>
      <c r="I4049" s="746"/>
      <c r="J4049" s="747"/>
      <c r="K4049" s="748"/>
      <c r="L4049" s="746"/>
      <c r="M4049" s="747"/>
      <c r="N4049" s="753"/>
    </row>
    <row r="4050" spans="2:14" ht="15" customHeight="1" x14ac:dyDescent="0.25">
      <c r="B4050" s="165"/>
      <c r="C4050" s="145"/>
      <c r="D4050" s="125"/>
      <c r="E4050" s="125"/>
      <c r="F4050" s="125"/>
      <c r="G4050" s="125"/>
      <c r="H4050" s="125"/>
      <c r="I4050" s="746"/>
      <c r="J4050" s="747"/>
      <c r="K4050" s="748"/>
      <c r="L4050" s="746"/>
      <c r="M4050" s="747"/>
      <c r="N4050" s="753"/>
    </row>
    <row r="4051" spans="2:14" ht="15" customHeight="1" x14ac:dyDescent="0.25">
      <c r="B4051" s="165"/>
      <c r="C4051" s="145"/>
      <c r="D4051" s="125"/>
      <c r="E4051" s="125"/>
      <c r="F4051" s="125"/>
      <c r="G4051" s="125"/>
      <c r="H4051" s="125"/>
      <c r="I4051" s="746"/>
      <c r="J4051" s="747"/>
      <c r="K4051" s="748"/>
      <c r="L4051" s="746"/>
      <c r="M4051" s="747"/>
      <c r="N4051" s="753"/>
    </row>
    <row r="4052" spans="2:14" ht="15" customHeight="1" x14ac:dyDescent="0.25">
      <c r="B4052" s="124"/>
      <c r="C4052" s="145"/>
      <c r="D4052" s="125"/>
      <c r="E4052" s="125"/>
      <c r="F4052" s="125"/>
      <c r="G4052" s="125"/>
      <c r="H4052" s="125"/>
      <c r="I4052" s="746"/>
      <c r="J4052" s="747"/>
      <c r="K4052" s="748"/>
      <c r="L4052" s="746"/>
      <c r="M4052" s="747"/>
      <c r="N4052" s="753"/>
    </row>
    <row r="4053" spans="2:14" ht="15" customHeight="1" x14ac:dyDescent="0.25">
      <c r="B4053" s="124"/>
      <c r="C4053" s="125"/>
      <c r="D4053" s="125"/>
      <c r="E4053" s="125"/>
      <c r="F4053" s="125"/>
      <c r="G4053" s="125"/>
      <c r="H4053" s="125"/>
      <c r="I4053" s="746"/>
      <c r="J4053" s="747"/>
      <c r="K4053" s="748"/>
      <c r="L4053" s="746"/>
      <c r="M4053" s="747"/>
      <c r="N4053" s="753"/>
    </row>
    <row r="4054" spans="2:14" ht="15" customHeight="1" x14ac:dyDescent="0.25">
      <c r="B4054" s="127"/>
      <c r="C4054" s="125"/>
      <c r="D4054" s="125"/>
      <c r="E4054" s="125"/>
      <c r="F4054" s="125"/>
      <c r="G4054" s="125"/>
      <c r="H4054" s="125"/>
      <c r="I4054" s="749"/>
      <c r="J4054" s="750"/>
      <c r="K4054" s="751"/>
      <c r="L4054" s="749"/>
      <c r="M4054" s="750"/>
      <c r="N4054" s="754"/>
    </row>
    <row r="4055" spans="2:14" ht="15" customHeight="1" x14ac:dyDescent="0.25">
      <c r="B4055" s="225"/>
      <c r="C4055" s="128"/>
      <c r="D4055" s="128"/>
      <c r="E4055" s="128"/>
      <c r="F4055" s="128"/>
      <c r="G4055" s="128"/>
      <c r="H4055" s="128"/>
      <c r="I4055" s="128"/>
      <c r="J4055" s="128"/>
      <c r="K4055" s="128"/>
      <c r="L4055" s="118"/>
      <c r="M4055" s="118"/>
      <c r="N4055" s="210"/>
    </row>
    <row r="4056" spans="2:14" ht="15" customHeight="1" x14ac:dyDescent="0.25">
      <c r="B4056" s="209"/>
      <c r="C4056" s="118"/>
      <c r="D4056" s="118"/>
      <c r="E4056" s="118"/>
      <c r="F4056" s="118"/>
      <c r="G4056" s="118"/>
      <c r="H4056" s="118"/>
      <c r="I4056" s="118"/>
      <c r="J4056" s="118"/>
      <c r="K4056" s="118"/>
      <c r="L4056" s="118"/>
      <c r="M4056" s="118"/>
      <c r="N4056" s="210"/>
    </row>
    <row r="4057" spans="2:14" ht="15" customHeight="1" x14ac:dyDescent="0.25">
      <c r="B4057" s="209"/>
      <c r="C4057" s="118"/>
      <c r="D4057" s="118"/>
      <c r="E4057" s="118"/>
      <c r="F4057" s="118"/>
      <c r="G4057" s="118"/>
      <c r="H4057" s="118"/>
      <c r="I4057" s="118"/>
      <c r="J4057" s="118"/>
      <c r="K4057" s="118"/>
      <c r="L4057" s="118"/>
      <c r="M4057" s="118"/>
      <c r="N4057" s="210"/>
    </row>
    <row r="4058" spans="2:14" ht="15" customHeight="1" thickBot="1" x14ac:dyDescent="0.3">
      <c r="B4058" s="725" t="s">
        <v>414</v>
      </c>
      <c r="C4058" s="726"/>
      <c r="D4058" s="726"/>
      <c r="E4058" s="147"/>
      <c r="F4058" s="147"/>
      <c r="G4058" s="147"/>
      <c r="H4058" s="147"/>
      <c r="I4058" s="727"/>
      <c r="J4058" s="726"/>
      <c r="K4058" s="726"/>
      <c r="L4058" s="130"/>
      <c r="M4058" s="130"/>
      <c r="N4058" s="131"/>
    </row>
    <row r="4059" spans="2:14" ht="15" customHeight="1" thickBot="1" x14ac:dyDescent="0.3"/>
    <row r="4060" spans="2:14" ht="42.6" customHeight="1" x14ac:dyDescent="0.25">
      <c r="B4060" s="728"/>
      <c r="C4060" s="729"/>
      <c r="D4060" s="730" t="s">
        <v>393</v>
      </c>
      <c r="E4060" s="729"/>
      <c r="F4060" s="729"/>
      <c r="G4060" s="729"/>
      <c r="H4060" s="729"/>
      <c r="I4060" s="729"/>
      <c r="J4060" s="729"/>
      <c r="K4060" s="729"/>
      <c r="L4060" s="729"/>
      <c r="M4060" s="729"/>
      <c r="N4060" s="731"/>
    </row>
    <row r="4061" spans="2:14" ht="15" customHeight="1" x14ac:dyDescent="0.25">
      <c r="B4061" s="732" t="s">
        <v>394</v>
      </c>
      <c r="C4061" s="733"/>
      <c r="D4061" s="733"/>
      <c r="E4061" s="733"/>
      <c r="F4061" s="733"/>
      <c r="G4061" s="733"/>
      <c r="H4061" s="733"/>
      <c r="I4061" s="733"/>
      <c r="J4061" s="733"/>
      <c r="K4061" s="733"/>
      <c r="L4061" s="733"/>
      <c r="M4061" s="733"/>
      <c r="N4061" s="734"/>
    </row>
    <row r="4062" spans="2:14" ht="31.9" customHeight="1" x14ac:dyDescent="0.25">
      <c r="B4062" s="735" t="s">
        <v>395</v>
      </c>
      <c r="C4062" s="736"/>
      <c r="D4062" s="737" t="str">
        <f>VLOOKUP(B4064,Buenaventura!A9:G5309,3,FALSE)</f>
        <v xml:space="preserve">Suministro e instalación tubería sanitaria PVC 4",  incluye accesorios para su correcta instalación y elementos de fijación </v>
      </c>
      <c r="E4062" s="738"/>
      <c r="F4062" s="738"/>
      <c r="G4062" s="738"/>
      <c r="H4062" s="738"/>
      <c r="I4062" s="738"/>
      <c r="J4062" s="738"/>
      <c r="K4062" s="738"/>
      <c r="L4062" s="738"/>
      <c r="M4062" s="738"/>
      <c r="N4062" s="739"/>
    </row>
    <row r="4063" spans="2:14" ht="24" customHeight="1" x14ac:dyDescent="0.25">
      <c r="B4063" s="740" t="s">
        <v>26</v>
      </c>
      <c r="C4063" s="741"/>
      <c r="D4063" s="119" t="s">
        <v>396</v>
      </c>
      <c r="E4063" s="742" t="s">
        <v>397</v>
      </c>
      <c r="F4063" s="733"/>
      <c r="G4063" s="733"/>
      <c r="H4063" s="736"/>
      <c r="I4063" s="742" t="s">
        <v>398</v>
      </c>
      <c r="J4063" s="733"/>
      <c r="K4063" s="736"/>
      <c r="L4063" s="742" t="s">
        <v>399</v>
      </c>
      <c r="M4063" s="733"/>
      <c r="N4063" s="734"/>
    </row>
    <row r="4064" spans="2:14" ht="15" customHeight="1" x14ac:dyDescent="0.25">
      <c r="B4064" s="283">
        <v>99</v>
      </c>
      <c r="C4064" s="284" t="str">
        <f>VLOOKUP(B4064,Buenaventura!A9:G5322,2,FALSE)</f>
        <v>IH-03</v>
      </c>
      <c r="D4064" s="285">
        <f>SUM(H4067:H4070)</f>
        <v>3</v>
      </c>
      <c r="E4064" s="743" t="str">
        <f>VLOOKUP(B4064,Buenaventura!A9:G5321,4,FALSE)</f>
        <v>ML</v>
      </c>
      <c r="F4064" s="743"/>
      <c r="G4064" s="743"/>
      <c r="H4064" s="743"/>
      <c r="I4064" s="744"/>
      <c r="J4064" s="745"/>
      <c r="K4064" s="741"/>
      <c r="L4064" s="744"/>
      <c r="M4064" s="745"/>
      <c r="N4064" s="752"/>
    </row>
    <row r="4065" spans="2:14" ht="15" customHeight="1" x14ac:dyDescent="0.25">
      <c r="B4065" s="755" t="s">
        <v>416</v>
      </c>
      <c r="C4065" s="733"/>
      <c r="D4065" s="733"/>
      <c r="E4065" s="733"/>
      <c r="F4065" s="733"/>
      <c r="G4065" s="733"/>
      <c r="H4065" s="736"/>
      <c r="I4065" s="746"/>
      <c r="J4065" s="747"/>
      <c r="K4065" s="748"/>
      <c r="L4065" s="746"/>
      <c r="M4065" s="747"/>
      <c r="N4065" s="753"/>
    </row>
    <row r="4066" spans="2:14" ht="15" customHeight="1" x14ac:dyDescent="0.25">
      <c r="B4066" s="121" t="s">
        <v>400</v>
      </c>
      <c r="C4066" s="122" t="s">
        <v>401</v>
      </c>
      <c r="D4066" s="123" t="s">
        <v>402</v>
      </c>
      <c r="E4066" s="123" t="s">
        <v>403</v>
      </c>
      <c r="F4066" s="123" t="s">
        <v>404</v>
      </c>
      <c r="G4066" s="123" t="s">
        <v>405</v>
      </c>
      <c r="H4066" s="123" t="s">
        <v>406</v>
      </c>
      <c r="I4066" s="746"/>
      <c r="J4066" s="747"/>
      <c r="K4066" s="748"/>
      <c r="L4066" s="746"/>
      <c r="M4066" s="747"/>
      <c r="N4066" s="753"/>
    </row>
    <row r="4067" spans="2:14" ht="15" customHeight="1" x14ac:dyDescent="0.25">
      <c r="B4067" s="124"/>
      <c r="C4067" s="145"/>
      <c r="D4067" s="125">
        <v>3</v>
      </c>
      <c r="E4067" s="125"/>
      <c r="F4067" s="125"/>
      <c r="G4067" s="125"/>
      <c r="H4067" s="125">
        <f>D4067</f>
        <v>3</v>
      </c>
      <c r="I4067" s="746"/>
      <c r="J4067" s="747"/>
      <c r="K4067" s="748"/>
      <c r="L4067" s="746"/>
      <c r="M4067" s="747"/>
      <c r="N4067" s="753"/>
    </row>
    <row r="4068" spans="2:14" ht="15" customHeight="1" x14ac:dyDescent="0.25">
      <c r="B4068" s="124"/>
      <c r="C4068" s="145"/>
      <c r="D4068" s="125"/>
      <c r="E4068" s="125"/>
      <c r="F4068" s="125"/>
      <c r="G4068" s="125"/>
      <c r="H4068" s="125"/>
      <c r="I4068" s="746"/>
      <c r="J4068" s="747"/>
      <c r="K4068" s="748"/>
      <c r="L4068" s="746"/>
      <c r="M4068" s="747"/>
      <c r="N4068" s="753"/>
    </row>
    <row r="4069" spans="2:14" ht="15" customHeight="1" x14ac:dyDescent="0.25">
      <c r="B4069" s="165"/>
      <c r="C4069" s="145"/>
      <c r="D4069" s="125"/>
      <c r="E4069" s="125"/>
      <c r="F4069" s="125"/>
      <c r="G4069" s="125"/>
      <c r="H4069" s="125"/>
      <c r="I4069" s="746"/>
      <c r="J4069" s="747"/>
      <c r="K4069" s="748"/>
      <c r="L4069" s="746"/>
      <c r="M4069" s="747"/>
      <c r="N4069" s="753"/>
    </row>
    <row r="4070" spans="2:14" ht="15" customHeight="1" x14ac:dyDescent="0.25">
      <c r="B4070" s="165"/>
      <c r="C4070" s="145"/>
      <c r="D4070" s="125"/>
      <c r="E4070" s="125"/>
      <c r="F4070" s="125"/>
      <c r="G4070" s="125"/>
      <c r="H4070" s="125"/>
      <c r="I4070" s="746"/>
      <c r="J4070" s="747"/>
      <c r="K4070" s="748"/>
      <c r="L4070" s="746"/>
      <c r="M4070" s="747"/>
      <c r="N4070" s="753"/>
    </row>
    <row r="4071" spans="2:14" ht="15" customHeight="1" x14ac:dyDescent="0.25">
      <c r="B4071" s="165"/>
      <c r="C4071" s="145"/>
      <c r="D4071" s="125"/>
      <c r="E4071" s="125"/>
      <c r="F4071" s="125"/>
      <c r="G4071" s="125"/>
      <c r="H4071" s="125"/>
      <c r="I4071" s="746"/>
      <c r="J4071" s="747"/>
      <c r="K4071" s="748"/>
      <c r="L4071" s="746"/>
      <c r="M4071" s="747"/>
      <c r="N4071" s="753"/>
    </row>
    <row r="4072" spans="2:14" ht="15" customHeight="1" x14ac:dyDescent="0.25">
      <c r="B4072" s="165"/>
      <c r="C4072" s="145"/>
      <c r="D4072" s="125"/>
      <c r="E4072" s="125"/>
      <c r="F4072" s="125"/>
      <c r="G4072" s="125"/>
      <c r="H4072" s="125"/>
      <c r="I4072" s="746"/>
      <c r="J4072" s="747"/>
      <c r="K4072" s="748"/>
      <c r="L4072" s="746"/>
      <c r="M4072" s="747"/>
      <c r="N4072" s="753"/>
    </row>
    <row r="4073" spans="2:14" ht="15" customHeight="1" x14ac:dyDescent="0.25">
      <c r="B4073" s="165"/>
      <c r="C4073" s="145"/>
      <c r="D4073" s="125"/>
      <c r="E4073" s="125"/>
      <c r="F4073" s="125"/>
      <c r="G4073" s="125"/>
      <c r="H4073" s="125"/>
      <c r="I4073" s="746"/>
      <c r="J4073" s="747"/>
      <c r="K4073" s="748"/>
      <c r="L4073" s="746"/>
      <c r="M4073" s="747"/>
      <c r="N4073" s="753"/>
    </row>
    <row r="4074" spans="2:14" ht="15" customHeight="1" x14ac:dyDescent="0.25">
      <c r="B4074" s="124"/>
      <c r="C4074" s="145"/>
      <c r="D4074" s="125"/>
      <c r="E4074" s="125"/>
      <c r="F4074" s="125"/>
      <c r="G4074" s="125"/>
      <c r="H4074" s="125"/>
      <c r="I4074" s="746"/>
      <c r="J4074" s="747"/>
      <c r="K4074" s="748"/>
      <c r="L4074" s="746"/>
      <c r="M4074" s="747"/>
      <c r="N4074" s="753"/>
    </row>
    <row r="4075" spans="2:14" ht="15" customHeight="1" x14ac:dyDescent="0.25">
      <c r="B4075" s="124"/>
      <c r="C4075" s="125"/>
      <c r="D4075" s="125"/>
      <c r="E4075" s="125"/>
      <c r="F4075" s="125"/>
      <c r="G4075" s="125"/>
      <c r="H4075" s="125"/>
      <c r="I4075" s="746"/>
      <c r="J4075" s="747"/>
      <c r="K4075" s="748"/>
      <c r="L4075" s="746"/>
      <c r="M4075" s="747"/>
      <c r="N4075" s="753"/>
    </row>
    <row r="4076" spans="2:14" ht="15" customHeight="1" x14ac:dyDescent="0.25">
      <c r="B4076" s="127"/>
      <c r="C4076" s="125"/>
      <c r="D4076" s="125"/>
      <c r="E4076" s="125"/>
      <c r="F4076" s="125"/>
      <c r="G4076" s="125"/>
      <c r="H4076" s="125"/>
      <c r="I4076" s="749"/>
      <c r="J4076" s="750"/>
      <c r="K4076" s="751"/>
      <c r="L4076" s="749"/>
      <c r="M4076" s="750"/>
      <c r="N4076" s="754"/>
    </row>
    <row r="4077" spans="2:14" ht="15" customHeight="1" x14ac:dyDescent="0.25">
      <c r="B4077" s="225"/>
      <c r="C4077" s="128"/>
      <c r="D4077" s="128"/>
      <c r="E4077" s="128"/>
      <c r="F4077" s="128"/>
      <c r="G4077" s="128"/>
      <c r="H4077" s="128"/>
      <c r="I4077" s="128"/>
      <c r="J4077" s="128"/>
      <c r="K4077" s="128"/>
      <c r="L4077" s="118"/>
      <c r="M4077" s="118"/>
      <c r="N4077" s="210"/>
    </row>
    <row r="4078" spans="2:14" ht="15" customHeight="1" x14ac:dyDescent="0.25">
      <c r="B4078" s="209"/>
      <c r="C4078" s="118"/>
      <c r="D4078" s="118"/>
      <c r="E4078" s="118"/>
      <c r="F4078" s="118"/>
      <c r="G4078" s="118"/>
      <c r="H4078" s="118"/>
      <c r="I4078" s="118"/>
      <c r="J4078" s="118"/>
      <c r="K4078" s="118"/>
      <c r="L4078" s="118"/>
      <c r="M4078" s="118"/>
      <c r="N4078" s="210"/>
    </row>
    <row r="4079" spans="2:14" ht="15" customHeight="1" x14ac:dyDescent="0.25">
      <c r="B4079" s="209"/>
      <c r="C4079" s="118"/>
      <c r="D4079" s="118"/>
      <c r="E4079" s="118"/>
      <c r="F4079" s="118"/>
      <c r="G4079" s="118"/>
      <c r="H4079" s="118"/>
      <c r="I4079" s="118"/>
      <c r="J4079" s="118"/>
      <c r="K4079" s="118"/>
      <c r="L4079" s="118"/>
      <c r="M4079" s="118"/>
      <c r="N4079" s="210"/>
    </row>
    <row r="4080" spans="2:14" ht="15" customHeight="1" thickBot="1" x14ac:dyDescent="0.3">
      <c r="B4080" s="725" t="s">
        <v>414</v>
      </c>
      <c r="C4080" s="726"/>
      <c r="D4080" s="726"/>
      <c r="E4080" s="147"/>
      <c r="F4080" s="147"/>
      <c r="G4080" s="147"/>
      <c r="H4080" s="147"/>
      <c r="I4080" s="727"/>
      <c r="J4080" s="726"/>
      <c r="K4080" s="726"/>
      <c r="L4080" s="130"/>
      <c r="M4080" s="130"/>
      <c r="N4080" s="131"/>
    </row>
    <row r="4081" spans="2:14" ht="15" customHeight="1" thickBot="1" x14ac:dyDescent="0.3"/>
    <row r="4082" spans="2:14" ht="43.15" customHeight="1" x14ac:dyDescent="0.25">
      <c r="B4082" s="728"/>
      <c r="C4082" s="729"/>
      <c r="D4082" s="730" t="s">
        <v>393</v>
      </c>
      <c r="E4082" s="729"/>
      <c r="F4082" s="729"/>
      <c r="G4082" s="729"/>
      <c r="H4082" s="729"/>
      <c r="I4082" s="729"/>
      <c r="J4082" s="729"/>
      <c r="K4082" s="729"/>
      <c r="L4082" s="729"/>
      <c r="M4082" s="729"/>
      <c r="N4082" s="731"/>
    </row>
    <row r="4083" spans="2:14" ht="15" customHeight="1" x14ac:dyDescent="0.25">
      <c r="B4083" s="732" t="s">
        <v>394</v>
      </c>
      <c r="C4083" s="733"/>
      <c r="D4083" s="733"/>
      <c r="E4083" s="733"/>
      <c r="F4083" s="733"/>
      <c r="G4083" s="733"/>
      <c r="H4083" s="733"/>
      <c r="I4083" s="733"/>
      <c r="J4083" s="733"/>
      <c r="K4083" s="733"/>
      <c r="L4083" s="733"/>
      <c r="M4083" s="733"/>
      <c r="N4083" s="734"/>
    </row>
    <row r="4084" spans="2:14" ht="15" customHeight="1" x14ac:dyDescent="0.25">
      <c r="B4084" s="735" t="s">
        <v>395</v>
      </c>
      <c r="C4084" s="736"/>
      <c r="D4084" s="737" t="str">
        <f>VLOOKUP(B4086,Buenaventura!A9:G5331,3,FALSE)</f>
        <v>Suministro e instalación de sifón de SOSCO de 2" incluye todos los
elementos para su correcta instalación</v>
      </c>
      <c r="E4084" s="738"/>
      <c r="F4084" s="738"/>
      <c r="G4084" s="738"/>
      <c r="H4084" s="738"/>
      <c r="I4084" s="738"/>
      <c r="J4084" s="738"/>
      <c r="K4084" s="738"/>
      <c r="L4084" s="738"/>
      <c r="M4084" s="738"/>
      <c r="N4084" s="739"/>
    </row>
    <row r="4085" spans="2:14" ht="25.15" customHeight="1" x14ac:dyDescent="0.25">
      <c r="B4085" s="740" t="s">
        <v>26</v>
      </c>
      <c r="C4085" s="741"/>
      <c r="D4085" s="119" t="s">
        <v>396</v>
      </c>
      <c r="E4085" s="742" t="s">
        <v>397</v>
      </c>
      <c r="F4085" s="733"/>
      <c r="G4085" s="733"/>
      <c r="H4085" s="736"/>
      <c r="I4085" s="742" t="s">
        <v>398</v>
      </c>
      <c r="J4085" s="733"/>
      <c r="K4085" s="736"/>
      <c r="L4085" s="742" t="s">
        <v>399</v>
      </c>
      <c r="M4085" s="733"/>
      <c r="N4085" s="734"/>
    </row>
    <row r="4086" spans="2:14" ht="15" customHeight="1" x14ac:dyDescent="0.25">
      <c r="B4086" s="283">
        <v>100</v>
      </c>
      <c r="C4086" s="284" t="str">
        <f>VLOOKUP(B4086,Buenaventura!A9:G5344,2,FALSE)</f>
        <v>IH-21</v>
      </c>
      <c r="D4086" s="285">
        <f>SUM(H4089:H4092)</f>
        <v>21.938500000000001</v>
      </c>
      <c r="E4086" s="743" t="str">
        <f>VLOOKUP(B4086,Buenaventura!A9:G5343,4,FALSE)</f>
        <v>UND</v>
      </c>
      <c r="F4086" s="743"/>
      <c r="G4086" s="743"/>
      <c r="H4086" s="743"/>
      <c r="I4086" s="744"/>
      <c r="J4086" s="745"/>
      <c r="K4086" s="741"/>
      <c r="L4086" s="744"/>
      <c r="M4086" s="745"/>
      <c r="N4086" s="752"/>
    </row>
    <row r="4087" spans="2:14" ht="15" customHeight="1" x14ac:dyDescent="0.25">
      <c r="B4087" s="755" t="s">
        <v>416</v>
      </c>
      <c r="C4087" s="733"/>
      <c r="D4087" s="733"/>
      <c r="E4087" s="733"/>
      <c r="F4087" s="733"/>
      <c r="G4087" s="733"/>
      <c r="H4087" s="736"/>
      <c r="I4087" s="746"/>
      <c r="J4087" s="747"/>
      <c r="K4087" s="748"/>
      <c r="L4087" s="746"/>
      <c r="M4087" s="747"/>
      <c r="N4087" s="753"/>
    </row>
    <row r="4088" spans="2:14" ht="15" customHeight="1" x14ac:dyDescent="0.25">
      <c r="B4088" s="121" t="s">
        <v>400</v>
      </c>
      <c r="C4088" s="122" t="s">
        <v>401</v>
      </c>
      <c r="D4088" s="123" t="s">
        <v>402</v>
      </c>
      <c r="E4088" s="123" t="s">
        <v>403</v>
      </c>
      <c r="F4088" s="123" t="s">
        <v>404</v>
      </c>
      <c r="G4088" s="123" t="s">
        <v>405</v>
      </c>
      <c r="H4088" s="123" t="s">
        <v>406</v>
      </c>
      <c r="I4088" s="746"/>
      <c r="J4088" s="747"/>
      <c r="K4088" s="748"/>
      <c r="L4088" s="746"/>
      <c r="M4088" s="747"/>
      <c r="N4088" s="753"/>
    </row>
    <row r="4089" spans="2:14" ht="15" customHeight="1" x14ac:dyDescent="0.25">
      <c r="B4089" s="124"/>
      <c r="C4089" s="145"/>
      <c r="D4089" s="125"/>
      <c r="E4089" s="125">
        <v>4.45</v>
      </c>
      <c r="F4089" s="125">
        <v>4.93</v>
      </c>
      <c r="G4089" s="125"/>
      <c r="H4089" s="125">
        <f>E4089*F4089</f>
        <v>21.938500000000001</v>
      </c>
      <c r="I4089" s="746"/>
      <c r="J4089" s="747"/>
      <c r="K4089" s="748"/>
      <c r="L4089" s="746"/>
      <c r="M4089" s="747"/>
      <c r="N4089" s="753"/>
    </row>
    <row r="4090" spans="2:14" ht="15" customHeight="1" x14ac:dyDescent="0.25">
      <c r="B4090" s="124"/>
      <c r="C4090" s="145"/>
      <c r="D4090" s="125"/>
      <c r="E4090" s="125"/>
      <c r="F4090" s="125"/>
      <c r="G4090" s="125"/>
      <c r="H4090" s="125"/>
      <c r="I4090" s="746"/>
      <c r="J4090" s="747"/>
      <c r="K4090" s="748"/>
      <c r="L4090" s="746"/>
      <c r="M4090" s="747"/>
      <c r="N4090" s="753"/>
    </row>
    <row r="4091" spans="2:14" ht="15" customHeight="1" x14ac:dyDescent="0.25">
      <c r="B4091" s="165"/>
      <c r="C4091" s="145"/>
      <c r="D4091" s="125"/>
      <c r="E4091" s="125"/>
      <c r="F4091" s="125"/>
      <c r="G4091" s="125"/>
      <c r="H4091" s="125"/>
      <c r="I4091" s="746"/>
      <c r="J4091" s="747"/>
      <c r="K4091" s="748"/>
      <c r="L4091" s="746"/>
      <c r="M4091" s="747"/>
      <c r="N4091" s="753"/>
    </row>
    <row r="4092" spans="2:14" ht="15" customHeight="1" x14ac:dyDescent="0.25">
      <c r="B4092" s="165"/>
      <c r="C4092" s="145"/>
      <c r="D4092" s="125"/>
      <c r="E4092" s="125"/>
      <c r="F4092" s="125"/>
      <c r="G4092" s="125"/>
      <c r="H4092" s="125"/>
      <c r="I4092" s="746"/>
      <c r="J4092" s="747"/>
      <c r="K4092" s="748"/>
      <c r="L4092" s="746"/>
      <c r="M4092" s="747"/>
      <c r="N4092" s="753"/>
    </row>
    <row r="4093" spans="2:14" ht="15" customHeight="1" x14ac:dyDescent="0.25">
      <c r="B4093" s="165"/>
      <c r="C4093" s="145"/>
      <c r="D4093" s="125"/>
      <c r="E4093" s="125"/>
      <c r="F4093" s="125"/>
      <c r="G4093" s="125"/>
      <c r="H4093" s="125"/>
      <c r="I4093" s="746"/>
      <c r="J4093" s="747"/>
      <c r="K4093" s="748"/>
      <c r="L4093" s="746"/>
      <c r="M4093" s="747"/>
      <c r="N4093" s="753"/>
    </row>
    <row r="4094" spans="2:14" ht="15" customHeight="1" x14ac:dyDescent="0.25">
      <c r="B4094" s="165"/>
      <c r="C4094" s="145"/>
      <c r="D4094" s="125"/>
      <c r="E4094" s="125"/>
      <c r="F4094" s="125"/>
      <c r="G4094" s="125"/>
      <c r="H4094" s="125"/>
      <c r="I4094" s="746"/>
      <c r="J4094" s="747"/>
      <c r="K4094" s="748"/>
      <c r="L4094" s="746"/>
      <c r="M4094" s="747"/>
      <c r="N4094" s="753"/>
    </row>
    <row r="4095" spans="2:14" ht="15" customHeight="1" x14ac:dyDescent="0.25">
      <c r="B4095" s="165"/>
      <c r="C4095" s="145"/>
      <c r="D4095" s="125"/>
      <c r="E4095" s="125"/>
      <c r="F4095" s="125"/>
      <c r="G4095" s="125"/>
      <c r="H4095" s="125"/>
      <c r="I4095" s="746"/>
      <c r="J4095" s="747"/>
      <c r="K4095" s="748"/>
      <c r="L4095" s="746"/>
      <c r="M4095" s="747"/>
      <c r="N4095" s="753"/>
    </row>
    <row r="4096" spans="2:14" ht="15" customHeight="1" x14ac:dyDescent="0.25">
      <c r="B4096" s="124"/>
      <c r="C4096" s="145"/>
      <c r="D4096" s="125"/>
      <c r="E4096" s="125"/>
      <c r="F4096" s="125"/>
      <c r="G4096" s="125"/>
      <c r="H4096" s="125"/>
      <c r="I4096" s="746"/>
      <c r="J4096" s="747"/>
      <c r="K4096" s="748"/>
      <c r="L4096" s="746"/>
      <c r="M4096" s="747"/>
      <c r="N4096" s="753"/>
    </row>
    <row r="4097" spans="2:14" ht="15" customHeight="1" x14ac:dyDescent="0.25">
      <c r="B4097" s="124"/>
      <c r="C4097" s="125"/>
      <c r="D4097" s="125"/>
      <c r="E4097" s="125"/>
      <c r="F4097" s="125"/>
      <c r="G4097" s="125"/>
      <c r="H4097" s="125"/>
      <c r="I4097" s="746"/>
      <c r="J4097" s="747"/>
      <c r="K4097" s="748"/>
      <c r="L4097" s="746"/>
      <c r="M4097" s="747"/>
      <c r="N4097" s="753"/>
    </row>
    <row r="4098" spans="2:14" ht="15" customHeight="1" x14ac:dyDescent="0.25">
      <c r="B4098" s="127"/>
      <c r="C4098" s="125"/>
      <c r="D4098" s="125"/>
      <c r="E4098" s="125"/>
      <c r="F4098" s="125"/>
      <c r="G4098" s="125"/>
      <c r="H4098" s="125"/>
      <c r="I4098" s="749"/>
      <c r="J4098" s="750"/>
      <c r="K4098" s="751"/>
      <c r="L4098" s="749"/>
      <c r="M4098" s="750"/>
      <c r="N4098" s="754"/>
    </row>
    <row r="4099" spans="2:14" ht="15" customHeight="1" x14ac:dyDescent="0.25">
      <c r="B4099" s="225"/>
      <c r="C4099" s="128"/>
      <c r="D4099" s="128"/>
      <c r="E4099" s="128"/>
      <c r="F4099" s="128"/>
      <c r="G4099" s="128"/>
      <c r="H4099" s="128"/>
      <c r="I4099" s="128"/>
      <c r="J4099" s="128"/>
      <c r="K4099" s="128"/>
      <c r="L4099" s="118"/>
      <c r="M4099" s="118"/>
      <c r="N4099" s="210"/>
    </row>
    <row r="4100" spans="2:14" ht="15" customHeight="1" x14ac:dyDescent="0.25">
      <c r="B4100" s="209"/>
      <c r="C4100" s="118"/>
      <c r="D4100" s="118"/>
      <c r="E4100" s="118"/>
      <c r="F4100" s="118"/>
      <c r="G4100" s="118"/>
      <c r="H4100" s="118"/>
      <c r="I4100" s="118"/>
      <c r="J4100" s="118"/>
      <c r="K4100" s="118"/>
      <c r="L4100" s="118"/>
      <c r="M4100" s="118"/>
      <c r="N4100" s="210"/>
    </row>
    <row r="4101" spans="2:14" ht="15" customHeight="1" x14ac:dyDescent="0.25">
      <c r="B4101" s="209"/>
      <c r="C4101" s="118"/>
      <c r="D4101" s="118"/>
      <c r="E4101" s="118"/>
      <c r="F4101" s="118"/>
      <c r="G4101" s="118"/>
      <c r="H4101" s="118"/>
      <c r="I4101" s="118"/>
      <c r="J4101" s="118"/>
      <c r="K4101" s="118"/>
      <c r="L4101" s="118"/>
      <c r="M4101" s="118"/>
      <c r="N4101" s="210"/>
    </row>
    <row r="4102" spans="2:14" ht="15" customHeight="1" thickBot="1" x14ac:dyDescent="0.3">
      <c r="B4102" s="725" t="s">
        <v>414</v>
      </c>
      <c r="C4102" s="726"/>
      <c r="D4102" s="726"/>
      <c r="E4102" s="147"/>
      <c r="F4102" s="147"/>
      <c r="G4102" s="147"/>
      <c r="H4102" s="147"/>
      <c r="I4102" s="727"/>
      <c r="J4102" s="726"/>
      <c r="K4102" s="726"/>
      <c r="L4102" s="130"/>
      <c r="M4102" s="130"/>
      <c r="N4102" s="131"/>
    </row>
    <row r="4103" spans="2:14" ht="15" customHeight="1" thickBot="1" x14ac:dyDescent="0.3"/>
    <row r="4104" spans="2:14" ht="37.9" customHeight="1" x14ac:dyDescent="0.25">
      <c r="B4104" s="728"/>
      <c r="C4104" s="729"/>
      <c r="D4104" s="730" t="s">
        <v>393</v>
      </c>
      <c r="E4104" s="729"/>
      <c r="F4104" s="729"/>
      <c r="G4104" s="729"/>
      <c r="H4104" s="729"/>
      <c r="I4104" s="729"/>
      <c r="J4104" s="729"/>
      <c r="K4104" s="729"/>
      <c r="L4104" s="729"/>
      <c r="M4104" s="729"/>
      <c r="N4104" s="731"/>
    </row>
    <row r="4105" spans="2:14" ht="15" customHeight="1" x14ac:dyDescent="0.25">
      <c r="B4105" s="732" t="s">
        <v>394</v>
      </c>
      <c r="C4105" s="733"/>
      <c r="D4105" s="733"/>
      <c r="E4105" s="733"/>
      <c r="F4105" s="733"/>
      <c r="G4105" s="733"/>
      <c r="H4105" s="733"/>
      <c r="I4105" s="733"/>
      <c r="J4105" s="733"/>
      <c r="K4105" s="733"/>
      <c r="L4105" s="733"/>
      <c r="M4105" s="733"/>
      <c r="N4105" s="734"/>
    </row>
    <row r="4106" spans="2:14" ht="37.15" customHeight="1" x14ac:dyDescent="0.25">
      <c r="B4106" s="735" t="s">
        <v>395</v>
      </c>
      <c r="C4106" s="736"/>
      <c r="D4106" s="737" t="str">
        <f>VLOOKUP(B4108,Buenaventura!A9:G5353,3,FALSE)</f>
        <v>Suministro e instalación de tubería pvc sanitaria de 6", con sus respectivos accesorios y elementos de soporte, para su correcto funcionamiento</v>
      </c>
      <c r="E4106" s="738"/>
      <c r="F4106" s="738"/>
      <c r="G4106" s="738"/>
      <c r="H4106" s="738"/>
      <c r="I4106" s="738"/>
      <c r="J4106" s="738"/>
      <c r="K4106" s="738"/>
      <c r="L4106" s="738"/>
      <c r="M4106" s="738"/>
      <c r="N4106" s="739"/>
    </row>
    <row r="4107" spans="2:14" ht="25.15" customHeight="1" x14ac:dyDescent="0.25">
      <c r="B4107" s="740" t="s">
        <v>26</v>
      </c>
      <c r="C4107" s="741"/>
      <c r="D4107" s="119" t="s">
        <v>396</v>
      </c>
      <c r="E4107" s="742" t="s">
        <v>397</v>
      </c>
      <c r="F4107" s="733"/>
      <c r="G4107" s="733"/>
      <c r="H4107" s="736"/>
      <c r="I4107" s="742" t="s">
        <v>398</v>
      </c>
      <c r="J4107" s="733"/>
      <c r="K4107" s="736"/>
      <c r="L4107" s="742" t="s">
        <v>399</v>
      </c>
      <c r="M4107" s="733"/>
      <c r="N4107" s="734"/>
    </row>
    <row r="4108" spans="2:14" ht="15" customHeight="1" x14ac:dyDescent="0.25">
      <c r="B4108" s="283">
        <v>101</v>
      </c>
      <c r="C4108" s="284" t="str">
        <f>VLOOKUP(B4108,Buenaventura!A9:G5366,2,FALSE)</f>
        <v>IH-19</v>
      </c>
      <c r="D4108" s="285">
        <f>SUM(H4111:H4114)</f>
        <v>49.655999999999992</v>
      </c>
      <c r="E4108" s="743" t="str">
        <f>VLOOKUP(B4108,Buenaventura!A9:G5365,4,FALSE)</f>
        <v>ML</v>
      </c>
      <c r="F4108" s="743"/>
      <c r="G4108" s="743"/>
      <c r="H4108" s="743"/>
      <c r="I4108" s="744"/>
      <c r="J4108" s="745"/>
      <c r="K4108" s="741"/>
      <c r="L4108" s="744"/>
      <c r="M4108" s="745"/>
      <c r="N4108" s="752"/>
    </row>
    <row r="4109" spans="2:14" ht="15" customHeight="1" x14ac:dyDescent="0.25">
      <c r="B4109" s="755" t="s">
        <v>416</v>
      </c>
      <c r="C4109" s="733"/>
      <c r="D4109" s="733"/>
      <c r="E4109" s="733"/>
      <c r="F4109" s="733"/>
      <c r="G4109" s="733"/>
      <c r="H4109" s="736"/>
      <c r="I4109" s="746"/>
      <c r="J4109" s="747"/>
      <c r="K4109" s="748"/>
      <c r="L4109" s="746"/>
      <c r="M4109" s="747"/>
      <c r="N4109" s="753"/>
    </row>
    <row r="4110" spans="2:14" ht="15" customHeight="1" x14ac:dyDescent="0.25">
      <c r="B4110" s="121" t="s">
        <v>400</v>
      </c>
      <c r="C4110" s="122" t="s">
        <v>401</v>
      </c>
      <c r="D4110" s="123" t="s">
        <v>402</v>
      </c>
      <c r="E4110" s="123" t="s">
        <v>403</v>
      </c>
      <c r="F4110" s="123" t="s">
        <v>404</v>
      </c>
      <c r="G4110" s="123" t="s">
        <v>405</v>
      </c>
      <c r="H4110" s="123" t="s">
        <v>406</v>
      </c>
      <c r="I4110" s="746"/>
      <c r="J4110" s="747"/>
      <c r="K4110" s="748"/>
      <c r="L4110" s="746"/>
      <c r="M4110" s="747"/>
      <c r="N4110" s="753"/>
    </row>
    <row r="4111" spans="2:14" ht="15" customHeight="1" x14ac:dyDescent="0.25">
      <c r="B4111" s="124"/>
      <c r="C4111" s="145"/>
      <c r="D4111" s="125">
        <v>3</v>
      </c>
      <c r="E4111" s="125">
        <v>4.93</v>
      </c>
      <c r="F4111" s="125"/>
      <c r="G4111" s="125">
        <v>2.4</v>
      </c>
      <c r="H4111" s="125">
        <f>D4111*E4111*G4111</f>
        <v>35.495999999999995</v>
      </c>
      <c r="I4111" s="746"/>
      <c r="J4111" s="747"/>
      <c r="K4111" s="748"/>
      <c r="L4111" s="746"/>
      <c r="M4111" s="747"/>
      <c r="N4111" s="753"/>
    </row>
    <row r="4112" spans="2:14" ht="15" customHeight="1" x14ac:dyDescent="0.25">
      <c r="B4112" s="124"/>
      <c r="C4112" s="145"/>
      <c r="D4112" s="125">
        <v>2</v>
      </c>
      <c r="E4112" s="125">
        <v>2.15</v>
      </c>
      <c r="F4112" s="125"/>
      <c r="G4112" s="125">
        <v>2.4</v>
      </c>
      <c r="H4112" s="125">
        <f t="shared" ref="H4112:H4114" si="79">D4112*E4112*G4112</f>
        <v>10.319999999999999</v>
      </c>
      <c r="I4112" s="746"/>
      <c r="J4112" s="747"/>
      <c r="K4112" s="748"/>
      <c r="L4112" s="746"/>
      <c r="M4112" s="747"/>
      <c r="N4112" s="753"/>
    </row>
    <row r="4113" spans="2:14" ht="15" customHeight="1" x14ac:dyDescent="0.25">
      <c r="B4113" s="165"/>
      <c r="C4113" s="145"/>
      <c r="D4113" s="125">
        <v>2</v>
      </c>
      <c r="E4113" s="125">
        <v>0.8</v>
      </c>
      <c r="F4113" s="125"/>
      <c r="G4113" s="125">
        <v>2.4</v>
      </c>
      <c r="H4113" s="125">
        <f t="shared" si="79"/>
        <v>3.84</v>
      </c>
      <c r="I4113" s="746"/>
      <c r="J4113" s="747"/>
      <c r="K4113" s="748"/>
      <c r="L4113" s="746"/>
      <c r="M4113" s="747"/>
      <c r="N4113" s="753"/>
    </row>
    <row r="4114" spans="2:14" ht="15" customHeight="1" x14ac:dyDescent="0.25">
      <c r="B4114" s="165"/>
      <c r="C4114" s="145"/>
      <c r="D4114" s="125"/>
      <c r="E4114" s="125"/>
      <c r="F4114" s="125"/>
      <c r="G4114" s="125"/>
      <c r="H4114" s="125">
        <f t="shared" si="79"/>
        <v>0</v>
      </c>
      <c r="I4114" s="746"/>
      <c r="J4114" s="747"/>
      <c r="K4114" s="748"/>
      <c r="L4114" s="746"/>
      <c r="M4114" s="747"/>
      <c r="N4114" s="753"/>
    </row>
    <row r="4115" spans="2:14" ht="15" customHeight="1" x14ac:dyDescent="0.25">
      <c r="B4115" s="165"/>
      <c r="C4115" s="145"/>
      <c r="D4115" s="125"/>
      <c r="E4115" s="125"/>
      <c r="F4115" s="125"/>
      <c r="G4115" s="125"/>
      <c r="H4115" s="125"/>
      <c r="I4115" s="746"/>
      <c r="J4115" s="747"/>
      <c r="K4115" s="748"/>
      <c r="L4115" s="746"/>
      <c r="M4115" s="747"/>
      <c r="N4115" s="753"/>
    </row>
    <row r="4116" spans="2:14" ht="15" customHeight="1" x14ac:dyDescent="0.25">
      <c r="B4116" s="165"/>
      <c r="C4116" s="145"/>
      <c r="D4116" s="125"/>
      <c r="E4116" s="125"/>
      <c r="F4116" s="125"/>
      <c r="G4116" s="125"/>
      <c r="H4116" s="125"/>
      <c r="I4116" s="746"/>
      <c r="J4116" s="747"/>
      <c r="K4116" s="748"/>
      <c r="L4116" s="746"/>
      <c r="M4116" s="747"/>
      <c r="N4116" s="753"/>
    </row>
    <row r="4117" spans="2:14" ht="15" customHeight="1" x14ac:dyDescent="0.25">
      <c r="B4117" s="165"/>
      <c r="C4117" s="145"/>
      <c r="D4117" s="125"/>
      <c r="E4117" s="125"/>
      <c r="F4117" s="125"/>
      <c r="G4117" s="125"/>
      <c r="H4117" s="125"/>
      <c r="I4117" s="746"/>
      <c r="J4117" s="747"/>
      <c r="K4117" s="748"/>
      <c r="L4117" s="746"/>
      <c r="M4117" s="747"/>
      <c r="N4117" s="753"/>
    </row>
    <row r="4118" spans="2:14" ht="15" customHeight="1" x14ac:dyDescent="0.25">
      <c r="B4118" s="124"/>
      <c r="C4118" s="145"/>
      <c r="D4118" s="125"/>
      <c r="E4118" s="125"/>
      <c r="F4118" s="125"/>
      <c r="G4118" s="125"/>
      <c r="H4118" s="125"/>
      <c r="I4118" s="746"/>
      <c r="J4118" s="747"/>
      <c r="K4118" s="748"/>
      <c r="L4118" s="746"/>
      <c r="M4118" s="747"/>
      <c r="N4118" s="753"/>
    </row>
    <row r="4119" spans="2:14" ht="15" customHeight="1" x14ac:dyDescent="0.25">
      <c r="B4119" s="124"/>
      <c r="C4119" s="125"/>
      <c r="D4119" s="125"/>
      <c r="E4119" s="125"/>
      <c r="F4119" s="125"/>
      <c r="G4119" s="125"/>
      <c r="H4119" s="125"/>
      <c r="I4119" s="746"/>
      <c r="J4119" s="747"/>
      <c r="K4119" s="748"/>
      <c r="L4119" s="746"/>
      <c r="M4119" s="747"/>
      <c r="N4119" s="753"/>
    </row>
    <row r="4120" spans="2:14" ht="15" customHeight="1" x14ac:dyDescent="0.25">
      <c r="B4120" s="127"/>
      <c r="C4120" s="125"/>
      <c r="D4120" s="125"/>
      <c r="E4120" s="125"/>
      <c r="F4120" s="125"/>
      <c r="G4120" s="125"/>
      <c r="H4120" s="125"/>
      <c r="I4120" s="749"/>
      <c r="J4120" s="750"/>
      <c r="K4120" s="751"/>
      <c r="L4120" s="749"/>
      <c r="M4120" s="750"/>
      <c r="N4120" s="754"/>
    </row>
    <row r="4121" spans="2:14" ht="15" customHeight="1" x14ac:dyDescent="0.25">
      <c r="B4121" s="225"/>
      <c r="C4121" s="128"/>
      <c r="D4121" s="128"/>
      <c r="E4121" s="128"/>
      <c r="F4121" s="128"/>
      <c r="G4121" s="128"/>
      <c r="H4121" s="128"/>
      <c r="I4121" s="128"/>
      <c r="J4121" s="128"/>
      <c r="K4121" s="128"/>
      <c r="L4121" s="118"/>
      <c r="M4121" s="118"/>
      <c r="N4121" s="210"/>
    </row>
    <row r="4122" spans="2:14" ht="15" customHeight="1" x14ac:dyDescent="0.25">
      <c r="B4122" s="209"/>
      <c r="C4122" s="118"/>
      <c r="D4122" s="118"/>
      <c r="E4122" s="118"/>
      <c r="F4122" s="118"/>
      <c r="G4122" s="118"/>
      <c r="H4122" s="118"/>
      <c r="I4122" s="118"/>
      <c r="J4122" s="118"/>
      <c r="K4122" s="118"/>
      <c r="L4122" s="118"/>
      <c r="M4122" s="118"/>
      <c r="N4122" s="210"/>
    </row>
    <row r="4123" spans="2:14" ht="15" customHeight="1" x14ac:dyDescent="0.25">
      <c r="B4123" s="209"/>
      <c r="C4123" s="118"/>
      <c r="D4123" s="118"/>
      <c r="E4123" s="118"/>
      <c r="F4123" s="118"/>
      <c r="G4123" s="118"/>
      <c r="H4123" s="118"/>
      <c r="I4123" s="118"/>
      <c r="J4123" s="118"/>
      <c r="K4123" s="118"/>
      <c r="L4123" s="118"/>
      <c r="M4123" s="118"/>
      <c r="N4123" s="210"/>
    </row>
    <row r="4124" spans="2:14" ht="15" customHeight="1" thickBot="1" x14ac:dyDescent="0.3">
      <c r="B4124" s="725" t="s">
        <v>414</v>
      </c>
      <c r="C4124" s="726"/>
      <c r="D4124" s="726"/>
      <c r="E4124" s="147"/>
      <c r="F4124" s="147"/>
      <c r="G4124" s="147"/>
      <c r="H4124" s="147"/>
      <c r="I4124" s="727"/>
      <c r="J4124" s="726"/>
      <c r="K4124" s="726"/>
      <c r="L4124" s="130"/>
      <c r="M4124" s="130"/>
      <c r="N4124" s="131"/>
    </row>
    <row r="4125" spans="2:14" ht="15" customHeight="1" thickBot="1" x14ac:dyDescent="0.3"/>
    <row r="4126" spans="2:14" ht="42" customHeight="1" x14ac:dyDescent="0.25">
      <c r="B4126" s="728"/>
      <c r="C4126" s="729"/>
      <c r="D4126" s="730" t="s">
        <v>393</v>
      </c>
      <c r="E4126" s="729"/>
      <c r="F4126" s="729"/>
      <c r="G4126" s="729"/>
      <c r="H4126" s="729"/>
      <c r="I4126" s="729"/>
      <c r="J4126" s="729"/>
      <c r="K4126" s="729"/>
      <c r="L4126" s="729"/>
      <c r="M4126" s="729"/>
      <c r="N4126" s="731"/>
    </row>
    <row r="4127" spans="2:14" ht="15" customHeight="1" x14ac:dyDescent="0.25">
      <c r="B4127" s="732" t="s">
        <v>394</v>
      </c>
      <c r="C4127" s="733"/>
      <c r="D4127" s="733"/>
      <c r="E4127" s="733"/>
      <c r="F4127" s="733"/>
      <c r="G4127" s="733"/>
      <c r="H4127" s="733"/>
      <c r="I4127" s="733"/>
      <c r="J4127" s="733"/>
      <c r="K4127" s="733"/>
      <c r="L4127" s="733"/>
      <c r="M4127" s="733"/>
      <c r="N4127" s="734"/>
    </row>
    <row r="4128" spans="2:14" ht="30" customHeight="1" x14ac:dyDescent="0.25">
      <c r="B4128" s="735" t="s">
        <v>395</v>
      </c>
      <c r="C4128" s="736"/>
      <c r="D4128" s="737" t="str">
        <f>VLOOKUP(B4130,Buenaventura!A9:G5375,3,FALSE)</f>
        <v>Alistado piso 4cm mortero 1:3</v>
      </c>
      <c r="E4128" s="738"/>
      <c r="F4128" s="738"/>
      <c r="G4128" s="738"/>
      <c r="H4128" s="738"/>
      <c r="I4128" s="738"/>
      <c r="J4128" s="738"/>
      <c r="K4128" s="738"/>
      <c r="L4128" s="738"/>
      <c r="M4128" s="738"/>
      <c r="N4128" s="739"/>
    </row>
    <row r="4129" spans="2:14" ht="24.6" customHeight="1" x14ac:dyDescent="0.25">
      <c r="B4129" s="740" t="s">
        <v>26</v>
      </c>
      <c r="C4129" s="741"/>
      <c r="D4129" s="119" t="s">
        <v>396</v>
      </c>
      <c r="E4129" s="742" t="s">
        <v>397</v>
      </c>
      <c r="F4129" s="733"/>
      <c r="G4129" s="733"/>
      <c r="H4129" s="736"/>
      <c r="I4129" s="742" t="s">
        <v>398</v>
      </c>
      <c r="J4129" s="733"/>
      <c r="K4129" s="736"/>
      <c r="L4129" s="742" t="s">
        <v>399</v>
      </c>
      <c r="M4129" s="733"/>
      <c r="N4129" s="734"/>
    </row>
    <row r="4130" spans="2:14" ht="15" customHeight="1" x14ac:dyDescent="0.25">
      <c r="B4130" s="283">
        <v>102</v>
      </c>
      <c r="C4130" s="284" t="str">
        <f>VLOOKUP(B4130,Buenaventura!A9:G5388,2,FALSE)</f>
        <v>DI-22</v>
      </c>
      <c r="D4130" s="285">
        <f>SUM(H4133:H4136)</f>
        <v>21.938500000000001</v>
      </c>
      <c r="E4130" s="743" t="str">
        <f>VLOOKUP(B4130,Buenaventura!A9:G5387,4,FALSE)</f>
        <v>M2</v>
      </c>
      <c r="F4130" s="743"/>
      <c r="G4130" s="743"/>
      <c r="H4130" s="743"/>
      <c r="I4130" s="744"/>
      <c r="J4130" s="745"/>
      <c r="K4130" s="741"/>
      <c r="L4130" s="744"/>
      <c r="M4130" s="745"/>
      <c r="N4130" s="752"/>
    </row>
    <row r="4131" spans="2:14" ht="15" customHeight="1" x14ac:dyDescent="0.25">
      <c r="B4131" s="755" t="s">
        <v>416</v>
      </c>
      <c r="C4131" s="733"/>
      <c r="D4131" s="733"/>
      <c r="E4131" s="733"/>
      <c r="F4131" s="733"/>
      <c r="G4131" s="733"/>
      <c r="H4131" s="736"/>
      <c r="I4131" s="746"/>
      <c r="J4131" s="747"/>
      <c r="K4131" s="748"/>
      <c r="L4131" s="746"/>
      <c r="M4131" s="747"/>
      <c r="N4131" s="753"/>
    </row>
    <row r="4132" spans="2:14" ht="15" customHeight="1" x14ac:dyDescent="0.25">
      <c r="B4132" s="121" t="s">
        <v>400</v>
      </c>
      <c r="C4132" s="122" t="s">
        <v>401</v>
      </c>
      <c r="D4132" s="123" t="s">
        <v>402</v>
      </c>
      <c r="E4132" s="123" t="s">
        <v>403</v>
      </c>
      <c r="F4132" s="123" t="s">
        <v>404</v>
      </c>
      <c r="G4132" s="123" t="s">
        <v>405</v>
      </c>
      <c r="H4132" s="123" t="s">
        <v>406</v>
      </c>
      <c r="I4132" s="746"/>
      <c r="J4132" s="747"/>
      <c r="K4132" s="748"/>
      <c r="L4132" s="746"/>
      <c r="M4132" s="747"/>
      <c r="N4132" s="753"/>
    </row>
    <row r="4133" spans="2:14" ht="15" customHeight="1" x14ac:dyDescent="0.25">
      <c r="B4133" s="124"/>
      <c r="C4133" s="145"/>
      <c r="D4133" s="125"/>
      <c r="E4133" s="125">
        <v>4.45</v>
      </c>
      <c r="F4133" s="125">
        <v>4.93</v>
      </c>
      <c r="G4133" s="125"/>
      <c r="H4133" s="125">
        <f>E4133*F4133</f>
        <v>21.938500000000001</v>
      </c>
      <c r="I4133" s="746"/>
      <c r="J4133" s="747"/>
      <c r="K4133" s="748"/>
      <c r="L4133" s="746"/>
      <c r="M4133" s="747"/>
      <c r="N4133" s="753"/>
    </row>
    <row r="4134" spans="2:14" ht="15" customHeight="1" x14ac:dyDescent="0.25">
      <c r="B4134" s="124"/>
      <c r="C4134" s="145"/>
      <c r="D4134" s="125"/>
      <c r="E4134" s="125"/>
      <c r="F4134" s="125"/>
      <c r="G4134" s="125"/>
      <c r="H4134" s="125"/>
      <c r="I4134" s="746"/>
      <c r="J4134" s="747"/>
      <c r="K4134" s="748"/>
      <c r="L4134" s="746"/>
      <c r="M4134" s="747"/>
      <c r="N4134" s="753"/>
    </row>
    <row r="4135" spans="2:14" ht="15" customHeight="1" x14ac:dyDescent="0.25">
      <c r="B4135" s="165"/>
      <c r="C4135" s="145"/>
      <c r="D4135" s="125"/>
      <c r="E4135" s="125"/>
      <c r="F4135" s="125"/>
      <c r="G4135" s="125"/>
      <c r="H4135" s="125"/>
      <c r="I4135" s="746"/>
      <c r="J4135" s="747"/>
      <c r="K4135" s="748"/>
      <c r="L4135" s="746"/>
      <c r="M4135" s="747"/>
      <c r="N4135" s="753"/>
    </row>
    <row r="4136" spans="2:14" ht="15" customHeight="1" x14ac:dyDescent="0.25">
      <c r="B4136" s="165"/>
      <c r="C4136" s="145"/>
      <c r="D4136" s="125"/>
      <c r="E4136" s="125"/>
      <c r="F4136" s="125"/>
      <c r="G4136" s="125"/>
      <c r="H4136" s="125"/>
      <c r="I4136" s="746"/>
      <c r="J4136" s="747"/>
      <c r="K4136" s="748"/>
      <c r="L4136" s="746"/>
      <c r="M4136" s="747"/>
      <c r="N4136" s="753"/>
    </row>
    <row r="4137" spans="2:14" ht="15" customHeight="1" x14ac:dyDescent="0.25">
      <c r="B4137" s="165"/>
      <c r="C4137" s="145"/>
      <c r="D4137" s="125"/>
      <c r="E4137" s="125"/>
      <c r="F4137" s="125"/>
      <c r="G4137" s="125"/>
      <c r="H4137" s="125"/>
      <c r="I4137" s="746"/>
      <c r="J4137" s="747"/>
      <c r="K4137" s="748"/>
      <c r="L4137" s="746"/>
      <c r="M4137" s="747"/>
      <c r="N4137" s="753"/>
    </row>
    <row r="4138" spans="2:14" ht="15" customHeight="1" x14ac:dyDescent="0.25">
      <c r="B4138" s="165"/>
      <c r="C4138" s="145"/>
      <c r="D4138" s="125"/>
      <c r="E4138" s="125"/>
      <c r="F4138" s="125"/>
      <c r="G4138" s="125"/>
      <c r="H4138" s="125"/>
      <c r="I4138" s="746"/>
      <c r="J4138" s="747"/>
      <c r="K4138" s="748"/>
      <c r="L4138" s="746"/>
      <c r="M4138" s="747"/>
      <c r="N4138" s="753"/>
    </row>
    <row r="4139" spans="2:14" ht="15" customHeight="1" x14ac:dyDescent="0.25">
      <c r="B4139" s="165"/>
      <c r="C4139" s="145"/>
      <c r="D4139" s="125"/>
      <c r="E4139" s="125"/>
      <c r="F4139" s="125"/>
      <c r="G4139" s="125"/>
      <c r="H4139" s="125"/>
      <c r="I4139" s="746"/>
      <c r="J4139" s="747"/>
      <c r="K4139" s="748"/>
      <c r="L4139" s="746"/>
      <c r="M4139" s="747"/>
      <c r="N4139" s="753"/>
    </row>
    <row r="4140" spans="2:14" ht="15" customHeight="1" x14ac:dyDescent="0.25">
      <c r="B4140" s="124"/>
      <c r="C4140" s="145"/>
      <c r="D4140" s="125"/>
      <c r="E4140" s="125"/>
      <c r="F4140" s="125"/>
      <c r="G4140" s="125"/>
      <c r="H4140" s="125"/>
      <c r="I4140" s="746"/>
      <c r="J4140" s="747"/>
      <c r="K4140" s="748"/>
      <c r="L4140" s="746"/>
      <c r="M4140" s="747"/>
      <c r="N4140" s="753"/>
    </row>
    <row r="4141" spans="2:14" ht="15" customHeight="1" x14ac:dyDescent="0.25">
      <c r="B4141" s="124"/>
      <c r="C4141" s="125"/>
      <c r="D4141" s="125"/>
      <c r="E4141" s="125"/>
      <c r="F4141" s="125"/>
      <c r="G4141" s="125"/>
      <c r="H4141" s="125"/>
      <c r="I4141" s="746"/>
      <c r="J4141" s="747"/>
      <c r="K4141" s="748"/>
      <c r="L4141" s="746"/>
      <c r="M4141" s="747"/>
      <c r="N4141" s="753"/>
    </row>
    <row r="4142" spans="2:14" ht="15" customHeight="1" x14ac:dyDescent="0.25">
      <c r="B4142" s="127"/>
      <c r="C4142" s="125"/>
      <c r="D4142" s="125"/>
      <c r="E4142" s="125"/>
      <c r="F4142" s="125"/>
      <c r="G4142" s="125"/>
      <c r="H4142" s="125"/>
      <c r="I4142" s="749"/>
      <c r="J4142" s="750"/>
      <c r="K4142" s="751"/>
      <c r="L4142" s="749"/>
      <c r="M4142" s="750"/>
      <c r="N4142" s="754"/>
    </row>
    <row r="4143" spans="2:14" ht="15" customHeight="1" x14ac:dyDescent="0.25">
      <c r="B4143" s="225"/>
      <c r="C4143" s="128"/>
      <c r="D4143" s="128"/>
      <c r="E4143" s="128"/>
      <c r="F4143" s="128"/>
      <c r="G4143" s="128"/>
      <c r="H4143" s="128"/>
      <c r="I4143" s="128"/>
      <c r="J4143" s="128"/>
      <c r="K4143" s="128"/>
      <c r="L4143" s="118"/>
      <c r="M4143" s="118"/>
      <c r="N4143" s="210"/>
    </row>
    <row r="4144" spans="2:14" ht="15" customHeight="1" x14ac:dyDescent="0.25">
      <c r="B4144" s="209"/>
      <c r="C4144" s="118"/>
      <c r="D4144" s="118"/>
      <c r="E4144" s="118"/>
      <c r="F4144" s="118"/>
      <c r="G4144" s="118"/>
      <c r="H4144" s="118"/>
      <c r="I4144" s="118"/>
      <c r="J4144" s="118"/>
      <c r="K4144" s="118"/>
      <c r="L4144" s="118"/>
      <c r="M4144" s="118"/>
      <c r="N4144" s="210"/>
    </row>
    <row r="4145" spans="2:14" ht="15" customHeight="1" x14ac:dyDescent="0.25">
      <c r="B4145" s="209"/>
      <c r="C4145" s="118"/>
      <c r="D4145" s="118"/>
      <c r="E4145" s="118"/>
      <c r="F4145" s="118"/>
      <c r="G4145" s="118"/>
      <c r="H4145" s="118"/>
      <c r="I4145" s="118"/>
      <c r="J4145" s="118"/>
      <c r="K4145" s="118"/>
      <c r="L4145" s="118"/>
      <c r="M4145" s="118"/>
      <c r="N4145" s="210"/>
    </row>
    <row r="4146" spans="2:14" ht="15" customHeight="1" thickBot="1" x14ac:dyDescent="0.3">
      <c r="B4146" s="725" t="s">
        <v>414</v>
      </c>
      <c r="C4146" s="726"/>
      <c r="D4146" s="726"/>
      <c r="E4146" s="147"/>
      <c r="F4146" s="147"/>
      <c r="G4146" s="147"/>
      <c r="H4146" s="147"/>
      <c r="I4146" s="727"/>
      <c r="J4146" s="726"/>
      <c r="K4146" s="726"/>
      <c r="L4146" s="130"/>
      <c r="M4146" s="130"/>
      <c r="N4146" s="131"/>
    </row>
    <row r="4147" spans="2:14" ht="15" customHeight="1" thickBot="1" x14ac:dyDescent="0.3"/>
    <row r="4148" spans="2:14" ht="42" customHeight="1" x14ac:dyDescent="0.25">
      <c r="B4148" s="728"/>
      <c r="C4148" s="729"/>
      <c r="D4148" s="730" t="s">
        <v>393</v>
      </c>
      <c r="E4148" s="729"/>
      <c r="F4148" s="729"/>
      <c r="G4148" s="729"/>
      <c r="H4148" s="729"/>
      <c r="I4148" s="729"/>
      <c r="J4148" s="729"/>
      <c r="K4148" s="729"/>
      <c r="L4148" s="729"/>
      <c r="M4148" s="729"/>
      <c r="N4148" s="731"/>
    </row>
    <row r="4149" spans="2:14" ht="15" customHeight="1" x14ac:dyDescent="0.25">
      <c r="B4149" s="732" t="s">
        <v>394</v>
      </c>
      <c r="C4149" s="733"/>
      <c r="D4149" s="733"/>
      <c r="E4149" s="733"/>
      <c r="F4149" s="733"/>
      <c r="G4149" s="733"/>
      <c r="H4149" s="733"/>
      <c r="I4149" s="733"/>
      <c r="J4149" s="733"/>
      <c r="K4149" s="733"/>
      <c r="L4149" s="733"/>
      <c r="M4149" s="733"/>
      <c r="N4149" s="734"/>
    </row>
    <row r="4150" spans="2:14" ht="24.6" customHeight="1" x14ac:dyDescent="0.25">
      <c r="B4150" s="735" t="s">
        <v>395</v>
      </c>
      <c r="C4150" s="736"/>
      <c r="D4150" s="737" t="str">
        <f>VLOOKUP(B4152,Buenaventura!A9:G5397,3,FALSE)</f>
        <v>Suministro e instalación enchape formato 0,60 X 0,30 para pared, color a
definir por la Entidad</v>
      </c>
      <c r="E4150" s="738"/>
      <c r="F4150" s="738"/>
      <c r="G4150" s="738"/>
      <c r="H4150" s="738"/>
      <c r="I4150" s="738"/>
      <c r="J4150" s="738"/>
      <c r="K4150" s="738"/>
      <c r="L4150" s="738"/>
      <c r="M4150" s="738"/>
      <c r="N4150" s="739"/>
    </row>
    <row r="4151" spans="2:14" ht="23.45" customHeight="1" x14ac:dyDescent="0.25">
      <c r="B4151" s="740" t="s">
        <v>26</v>
      </c>
      <c r="C4151" s="741"/>
      <c r="D4151" s="119" t="s">
        <v>396</v>
      </c>
      <c r="E4151" s="742" t="s">
        <v>397</v>
      </c>
      <c r="F4151" s="733"/>
      <c r="G4151" s="733"/>
      <c r="H4151" s="736"/>
      <c r="I4151" s="742" t="s">
        <v>398</v>
      </c>
      <c r="J4151" s="733"/>
      <c r="K4151" s="736"/>
      <c r="L4151" s="742" t="s">
        <v>399</v>
      </c>
      <c r="M4151" s="733"/>
      <c r="N4151" s="734"/>
    </row>
    <row r="4152" spans="2:14" ht="15" customHeight="1" x14ac:dyDescent="0.25">
      <c r="B4152" s="283">
        <v>103</v>
      </c>
      <c r="C4152" s="284" t="str">
        <f>VLOOKUP(B4152,Buenaventura!A9:G5410,2,FALSE)</f>
        <v>AC-10</v>
      </c>
      <c r="D4152" s="285">
        <f>SUM(H4155:H4158)</f>
        <v>2</v>
      </c>
      <c r="E4152" s="743" t="str">
        <f>VLOOKUP(B4152,Buenaventura!A9:G5409,4,FALSE)</f>
        <v>M2</v>
      </c>
      <c r="F4152" s="743"/>
      <c r="G4152" s="743"/>
      <c r="H4152" s="743"/>
      <c r="I4152" s="744"/>
      <c r="J4152" s="745"/>
      <c r="K4152" s="741"/>
      <c r="L4152" s="744"/>
      <c r="M4152" s="745"/>
      <c r="N4152" s="752"/>
    </row>
    <row r="4153" spans="2:14" ht="15" customHeight="1" x14ac:dyDescent="0.25">
      <c r="B4153" s="755" t="s">
        <v>416</v>
      </c>
      <c r="C4153" s="733"/>
      <c r="D4153" s="733"/>
      <c r="E4153" s="733"/>
      <c r="F4153" s="733"/>
      <c r="G4153" s="733"/>
      <c r="H4153" s="736"/>
      <c r="I4153" s="746"/>
      <c r="J4153" s="747"/>
      <c r="K4153" s="748"/>
      <c r="L4153" s="746"/>
      <c r="M4153" s="747"/>
      <c r="N4153" s="753"/>
    </row>
    <row r="4154" spans="2:14" ht="15" customHeight="1" x14ac:dyDescent="0.25">
      <c r="B4154" s="121" t="s">
        <v>400</v>
      </c>
      <c r="C4154" s="122" t="s">
        <v>401</v>
      </c>
      <c r="D4154" s="123" t="s">
        <v>402</v>
      </c>
      <c r="E4154" s="123" t="s">
        <v>403</v>
      </c>
      <c r="F4154" s="123" t="s">
        <v>404</v>
      </c>
      <c r="G4154" s="123" t="s">
        <v>405</v>
      </c>
      <c r="H4154" s="123" t="s">
        <v>406</v>
      </c>
      <c r="I4154" s="746"/>
      <c r="J4154" s="747"/>
      <c r="K4154" s="748"/>
      <c r="L4154" s="746"/>
      <c r="M4154" s="747"/>
      <c r="N4154" s="753"/>
    </row>
    <row r="4155" spans="2:14" ht="15" customHeight="1" x14ac:dyDescent="0.25">
      <c r="B4155" s="124"/>
      <c r="C4155" s="145"/>
      <c r="D4155" s="125">
        <v>2</v>
      </c>
      <c r="E4155" s="125"/>
      <c r="F4155" s="125"/>
      <c r="G4155" s="125"/>
      <c r="H4155" s="125">
        <f>D4155</f>
        <v>2</v>
      </c>
      <c r="I4155" s="746"/>
      <c r="J4155" s="747"/>
      <c r="K4155" s="748"/>
      <c r="L4155" s="746"/>
      <c r="M4155" s="747"/>
      <c r="N4155" s="753"/>
    </row>
    <row r="4156" spans="2:14" ht="15" customHeight="1" x14ac:dyDescent="0.25">
      <c r="B4156" s="124"/>
      <c r="C4156" s="145"/>
      <c r="D4156" s="125"/>
      <c r="E4156" s="125"/>
      <c r="F4156" s="125"/>
      <c r="G4156" s="125"/>
      <c r="H4156" s="125"/>
      <c r="I4156" s="746"/>
      <c r="J4156" s="747"/>
      <c r="K4156" s="748"/>
      <c r="L4156" s="746"/>
      <c r="M4156" s="747"/>
      <c r="N4156" s="753"/>
    </row>
    <row r="4157" spans="2:14" ht="15" customHeight="1" x14ac:dyDescent="0.25">
      <c r="B4157" s="165"/>
      <c r="C4157" s="145"/>
      <c r="D4157" s="125"/>
      <c r="E4157" s="125"/>
      <c r="F4157" s="125"/>
      <c r="G4157" s="125"/>
      <c r="H4157" s="125"/>
      <c r="I4157" s="746"/>
      <c r="J4157" s="747"/>
      <c r="K4157" s="748"/>
      <c r="L4157" s="746"/>
      <c r="M4157" s="747"/>
      <c r="N4157" s="753"/>
    </row>
    <row r="4158" spans="2:14" ht="15" customHeight="1" x14ac:dyDescent="0.25">
      <c r="B4158" s="165"/>
      <c r="C4158" s="145"/>
      <c r="D4158" s="125"/>
      <c r="E4158" s="125"/>
      <c r="F4158" s="125"/>
      <c r="G4158" s="125"/>
      <c r="H4158" s="125"/>
      <c r="I4158" s="746"/>
      <c r="J4158" s="747"/>
      <c r="K4158" s="748"/>
      <c r="L4158" s="746"/>
      <c r="M4158" s="747"/>
      <c r="N4158" s="753"/>
    </row>
    <row r="4159" spans="2:14" ht="15" customHeight="1" x14ac:dyDescent="0.25">
      <c r="B4159" s="165"/>
      <c r="C4159" s="145"/>
      <c r="D4159" s="125"/>
      <c r="E4159" s="125"/>
      <c r="F4159" s="125"/>
      <c r="G4159" s="125"/>
      <c r="H4159" s="125"/>
      <c r="I4159" s="746"/>
      <c r="J4159" s="747"/>
      <c r="K4159" s="748"/>
      <c r="L4159" s="746"/>
      <c r="M4159" s="747"/>
      <c r="N4159" s="753"/>
    </row>
    <row r="4160" spans="2:14" ht="15" customHeight="1" x14ac:dyDescent="0.25">
      <c r="B4160" s="165"/>
      <c r="C4160" s="145"/>
      <c r="D4160" s="125"/>
      <c r="E4160" s="125"/>
      <c r="F4160" s="125"/>
      <c r="G4160" s="125"/>
      <c r="H4160" s="125"/>
      <c r="I4160" s="746"/>
      <c r="J4160" s="747"/>
      <c r="K4160" s="748"/>
      <c r="L4160" s="746"/>
      <c r="M4160" s="747"/>
      <c r="N4160" s="753"/>
    </row>
    <row r="4161" spans="2:14" ht="15" customHeight="1" x14ac:dyDescent="0.25">
      <c r="B4161" s="165"/>
      <c r="C4161" s="145"/>
      <c r="D4161" s="125"/>
      <c r="E4161" s="125"/>
      <c r="F4161" s="125"/>
      <c r="G4161" s="125"/>
      <c r="H4161" s="125"/>
      <c r="I4161" s="746"/>
      <c r="J4161" s="747"/>
      <c r="K4161" s="748"/>
      <c r="L4161" s="746"/>
      <c r="M4161" s="747"/>
      <c r="N4161" s="753"/>
    </row>
    <row r="4162" spans="2:14" ht="15" customHeight="1" x14ac:dyDescent="0.25">
      <c r="B4162" s="124"/>
      <c r="C4162" s="145"/>
      <c r="D4162" s="125"/>
      <c r="E4162" s="125"/>
      <c r="F4162" s="125"/>
      <c r="G4162" s="125"/>
      <c r="H4162" s="125"/>
      <c r="I4162" s="746"/>
      <c r="J4162" s="747"/>
      <c r="K4162" s="748"/>
      <c r="L4162" s="746"/>
      <c r="M4162" s="747"/>
      <c r="N4162" s="753"/>
    </row>
    <row r="4163" spans="2:14" ht="15" customHeight="1" x14ac:dyDescent="0.25">
      <c r="B4163" s="124"/>
      <c r="C4163" s="125"/>
      <c r="D4163" s="125"/>
      <c r="E4163" s="125"/>
      <c r="F4163" s="125"/>
      <c r="G4163" s="125"/>
      <c r="H4163" s="125"/>
      <c r="I4163" s="746"/>
      <c r="J4163" s="747"/>
      <c r="K4163" s="748"/>
      <c r="L4163" s="746"/>
      <c r="M4163" s="747"/>
      <c r="N4163" s="753"/>
    </row>
    <row r="4164" spans="2:14" ht="15" customHeight="1" x14ac:dyDescent="0.25">
      <c r="B4164" s="127"/>
      <c r="C4164" s="125"/>
      <c r="D4164" s="125"/>
      <c r="E4164" s="125"/>
      <c r="F4164" s="125"/>
      <c r="G4164" s="125"/>
      <c r="H4164" s="125"/>
      <c r="I4164" s="749"/>
      <c r="J4164" s="750"/>
      <c r="K4164" s="751"/>
      <c r="L4164" s="749"/>
      <c r="M4164" s="750"/>
      <c r="N4164" s="754"/>
    </row>
    <row r="4165" spans="2:14" ht="15" customHeight="1" x14ac:dyDescent="0.25">
      <c r="B4165" s="225"/>
      <c r="C4165" s="128"/>
      <c r="D4165" s="128"/>
      <c r="E4165" s="128"/>
      <c r="F4165" s="128"/>
      <c r="G4165" s="128"/>
      <c r="H4165" s="128"/>
      <c r="I4165" s="128"/>
      <c r="J4165" s="128"/>
      <c r="K4165" s="128"/>
      <c r="L4165" s="118"/>
      <c r="M4165" s="118"/>
      <c r="N4165" s="210"/>
    </row>
    <row r="4166" spans="2:14" ht="15" customHeight="1" x14ac:dyDescent="0.25">
      <c r="B4166" s="209"/>
      <c r="C4166" s="118"/>
      <c r="D4166" s="118"/>
      <c r="E4166" s="118"/>
      <c r="F4166" s="118"/>
      <c r="G4166" s="118"/>
      <c r="H4166" s="118"/>
      <c r="I4166" s="118"/>
      <c r="J4166" s="118"/>
      <c r="K4166" s="118"/>
      <c r="L4166" s="118"/>
      <c r="M4166" s="118"/>
      <c r="N4166" s="210"/>
    </row>
    <row r="4167" spans="2:14" ht="15" customHeight="1" x14ac:dyDescent="0.25">
      <c r="B4167" s="209"/>
      <c r="C4167" s="118"/>
      <c r="D4167" s="118"/>
      <c r="E4167" s="118"/>
      <c r="F4167" s="118"/>
      <c r="G4167" s="118"/>
      <c r="H4167" s="118"/>
      <c r="I4167" s="118"/>
      <c r="J4167" s="118"/>
      <c r="K4167" s="118"/>
      <c r="L4167" s="118"/>
      <c r="M4167" s="118"/>
      <c r="N4167" s="210"/>
    </row>
    <row r="4168" spans="2:14" ht="15" customHeight="1" thickBot="1" x14ac:dyDescent="0.3">
      <c r="B4168" s="725" t="s">
        <v>414</v>
      </c>
      <c r="C4168" s="726"/>
      <c r="D4168" s="726"/>
      <c r="E4168" s="147"/>
      <c r="F4168" s="147"/>
      <c r="G4168" s="147"/>
      <c r="H4168" s="147"/>
      <c r="I4168" s="727"/>
      <c r="J4168" s="726"/>
      <c r="K4168" s="726"/>
      <c r="L4168" s="130"/>
      <c r="M4168" s="130"/>
      <c r="N4168" s="131"/>
    </row>
    <row r="4169" spans="2:14" ht="15" customHeight="1" thickBot="1" x14ac:dyDescent="0.3"/>
    <row r="4170" spans="2:14" ht="35.450000000000003" customHeight="1" x14ac:dyDescent="0.25">
      <c r="B4170" s="728"/>
      <c r="C4170" s="729"/>
      <c r="D4170" s="730" t="s">
        <v>393</v>
      </c>
      <c r="E4170" s="729"/>
      <c r="F4170" s="729"/>
      <c r="G4170" s="729"/>
      <c r="H4170" s="729"/>
      <c r="I4170" s="729"/>
      <c r="J4170" s="729"/>
      <c r="K4170" s="729"/>
      <c r="L4170" s="729"/>
      <c r="M4170" s="729"/>
      <c r="N4170" s="731"/>
    </row>
    <row r="4171" spans="2:14" ht="15" customHeight="1" x14ac:dyDescent="0.25">
      <c r="B4171" s="732" t="s">
        <v>394</v>
      </c>
      <c r="C4171" s="733"/>
      <c r="D4171" s="733"/>
      <c r="E4171" s="733"/>
      <c r="F4171" s="733"/>
      <c r="G4171" s="733"/>
      <c r="H4171" s="733"/>
      <c r="I4171" s="733"/>
      <c r="J4171" s="733"/>
      <c r="K4171" s="733"/>
      <c r="L4171" s="733"/>
      <c r="M4171" s="733"/>
      <c r="N4171" s="734"/>
    </row>
    <row r="4172" spans="2:14" ht="21" customHeight="1" x14ac:dyDescent="0.25">
      <c r="B4172" s="735" t="s">
        <v>395</v>
      </c>
      <c r="C4172" s="736"/>
      <c r="D4172" s="737" t="str">
        <f>VLOOKUP(B4174,Buenaventura!A9:G5419,3,FALSE)</f>
        <v>Suministro e instalación enchape piso formato 0,40 X 0,40, color a definir por
la Entidad</v>
      </c>
      <c r="E4172" s="738"/>
      <c r="F4172" s="738"/>
      <c r="G4172" s="738"/>
      <c r="H4172" s="738"/>
      <c r="I4172" s="738"/>
      <c r="J4172" s="738"/>
      <c r="K4172" s="738"/>
      <c r="L4172" s="738"/>
      <c r="M4172" s="738"/>
      <c r="N4172" s="739"/>
    </row>
    <row r="4173" spans="2:14" ht="25.9" customHeight="1" x14ac:dyDescent="0.25">
      <c r="B4173" s="740" t="s">
        <v>26</v>
      </c>
      <c r="C4173" s="741"/>
      <c r="D4173" s="119" t="s">
        <v>396</v>
      </c>
      <c r="E4173" s="742" t="s">
        <v>397</v>
      </c>
      <c r="F4173" s="733"/>
      <c r="G4173" s="733"/>
      <c r="H4173" s="736"/>
      <c r="I4173" s="742" t="s">
        <v>398</v>
      </c>
      <c r="J4173" s="733"/>
      <c r="K4173" s="736"/>
      <c r="L4173" s="742" t="s">
        <v>399</v>
      </c>
      <c r="M4173" s="733"/>
      <c r="N4173" s="734"/>
    </row>
    <row r="4174" spans="2:14" ht="15" customHeight="1" x14ac:dyDescent="0.25">
      <c r="B4174" s="283">
        <v>104</v>
      </c>
      <c r="C4174" s="284" t="str">
        <f>VLOOKUP(B4174,Buenaventura!A9:G5432,2,FALSE)</f>
        <v>AC-11</v>
      </c>
      <c r="D4174" s="285">
        <f>SUM(H4177:H4180)</f>
        <v>4</v>
      </c>
      <c r="E4174" s="743" t="str">
        <f>VLOOKUP(B4174,Buenaventura!A9:G5431,4,FALSE)</f>
        <v>M2</v>
      </c>
      <c r="F4174" s="743"/>
      <c r="G4174" s="743"/>
      <c r="H4174" s="743"/>
      <c r="I4174" s="744"/>
      <c r="J4174" s="745"/>
      <c r="K4174" s="741"/>
      <c r="L4174" s="744"/>
      <c r="M4174" s="745"/>
      <c r="N4174" s="752"/>
    </row>
    <row r="4175" spans="2:14" ht="15" customHeight="1" x14ac:dyDescent="0.25">
      <c r="B4175" s="755" t="s">
        <v>416</v>
      </c>
      <c r="C4175" s="733"/>
      <c r="D4175" s="733"/>
      <c r="E4175" s="733"/>
      <c r="F4175" s="733"/>
      <c r="G4175" s="733"/>
      <c r="H4175" s="736"/>
      <c r="I4175" s="746"/>
      <c r="J4175" s="747"/>
      <c r="K4175" s="748"/>
      <c r="L4175" s="746"/>
      <c r="M4175" s="747"/>
      <c r="N4175" s="753"/>
    </row>
    <row r="4176" spans="2:14" ht="15" customHeight="1" x14ac:dyDescent="0.25">
      <c r="B4176" s="121" t="s">
        <v>400</v>
      </c>
      <c r="C4176" s="122" t="s">
        <v>401</v>
      </c>
      <c r="D4176" s="123" t="s">
        <v>402</v>
      </c>
      <c r="E4176" s="123" t="s">
        <v>403</v>
      </c>
      <c r="F4176" s="123" t="s">
        <v>404</v>
      </c>
      <c r="G4176" s="123" t="s">
        <v>405</v>
      </c>
      <c r="H4176" s="123" t="s">
        <v>406</v>
      </c>
      <c r="I4176" s="746"/>
      <c r="J4176" s="747"/>
      <c r="K4176" s="748"/>
      <c r="L4176" s="746"/>
      <c r="M4176" s="747"/>
      <c r="N4176" s="753"/>
    </row>
    <row r="4177" spans="2:14" ht="15" customHeight="1" x14ac:dyDescent="0.25">
      <c r="B4177" s="124"/>
      <c r="C4177" s="145"/>
      <c r="D4177" s="125">
        <v>4</v>
      </c>
      <c r="E4177" s="125"/>
      <c r="F4177" s="125"/>
      <c r="G4177" s="125"/>
      <c r="H4177" s="125">
        <f>D4177</f>
        <v>4</v>
      </c>
      <c r="I4177" s="746"/>
      <c r="J4177" s="747"/>
      <c r="K4177" s="748"/>
      <c r="L4177" s="746"/>
      <c r="M4177" s="747"/>
      <c r="N4177" s="753"/>
    </row>
    <row r="4178" spans="2:14" ht="15" customHeight="1" x14ac:dyDescent="0.25">
      <c r="B4178" s="124"/>
      <c r="C4178" s="145"/>
      <c r="D4178" s="125"/>
      <c r="E4178" s="125"/>
      <c r="F4178" s="125"/>
      <c r="G4178" s="125"/>
      <c r="H4178" s="125"/>
      <c r="I4178" s="746"/>
      <c r="J4178" s="747"/>
      <c r="K4178" s="748"/>
      <c r="L4178" s="746"/>
      <c r="M4178" s="747"/>
      <c r="N4178" s="753"/>
    </row>
    <row r="4179" spans="2:14" ht="15" customHeight="1" x14ac:dyDescent="0.25">
      <c r="B4179" s="165"/>
      <c r="C4179" s="145"/>
      <c r="D4179" s="125"/>
      <c r="E4179" s="125"/>
      <c r="F4179" s="125"/>
      <c r="G4179" s="125"/>
      <c r="H4179" s="125"/>
      <c r="I4179" s="746"/>
      <c r="J4179" s="747"/>
      <c r="K4179" s="748"/>
      <c r="L4179" s="746"/>
      <c r="M4179" s="747"/>
      <c r="N4179" s="753"/>
    </row>
    <row r="4180" spans="2:14" ht="15" customHeight="1" x14ac:dyDescent="0.25">
      <c r="B4180" s="165"/>
      <c r="C4180" s="145"/>
      <c r="D4180" s="125"/>
      <c r="E4180" s="125"/>
      <c r="F4180" s="125"/>
      <c r="G4180" s="125"/>
      <c r="H4180" s="125"/>
      <c r="I4180" s="746"/>
      <c r="J4180" s="747"/>
      <c r="K4180" s="748"/>
      <c r="L4180" s="746"/>
      <c r="M4180" s="747"/>
      <c r="N4180" s="753"/>
    </row>
    <row r="4181" spans="2:14" ht="15" customHeight="1" x14ac:dyDescent="0.25">
      <c r="B4181" s="165"/>
      <c r="C4181" s="145"/>
      <c r="D4181" s="125"/>
      <c r="E4181" s="125"/>
      <c r="F4181" s="125"/>
      <c r="G4181" s="125"/>
      <c r="H4181" s="125"/>
      <c r="I4181" s="746"/>
      <c r="J4181" s="747"/>
      <c r="K4181" s="748"/>
      <c r="L4181" s="746"/>
      <c r="M4181" s="747"/>
      <c r="N4181" s="753"/>
    </row>
    <row r="4182" spans="2:14" ht="15" customHeight="1" x14ac:dyDescent="0.25">
      <c r="B4182" s="165"/>
      <c r="C4182" s="145"/>
      <c r="D4182" s="125"/>
      <c r="E4182" s="125"/>
      <c r="F4182" s="125"/>
      <c r="G4182" s="125"/>
      <c r="H4182" s="125"/>
      <c r="I4182" s="746"/>
      <c r="J4182" s="747"/>
      <c r="K4182" s="748"/>
      <c r="L4182" s="746"/>
      <c r="M4182" s="747"/>
      <c r="N4182" s="753"/>
    </row>
    <row r="4183" spans="2:14" ht="15" customHeight="1" x14ac:dyDescent="0.25">
      <c r="B4183" s="165"/>
      <c r="C4183" s="145"/>
      <c r="D4183" s="125"/>
      <c r="E4183" s="125"/>
      <c r="F4183" s="125"/>
      <c r="G4183" s="125"/>
      <c r="H4183" s="125"/>
      <c r="I4183" s="746"/>
      <c r="J4183" s="747"/>
      <c r="K4183" s="748"/>
      <c r="L4183" s="746"/>
      <c r="M4183" s="747"/>
      <c r="N4183" s="753"/>
    </row>
    <row r="4184" spans="2:14" ht="15" customHeight="1" x14ac:dyDescent="0.25">
      <c r="B4184" s="124"/>
      <c r="C4184" s="145"/>
      <c r="D4184" s="125"/>
      <c r="E4184" s="125"/>
      <c r="F4184" s="125"/>
      <c r="G4184" s="125"/>
      <c r="H4184" s="125"/>
      <c r="I4184" s="746"/>
      <c r="J4184" s="747"/>
      <c r="K4184" s="748"/>
      <c r="L4184" s="746"/>
      <c r="M4184" s="747"/>
      <c r="N4184" s="753"/>
    </row>
    <row r="4185" spans="2:14" ht="15" customHeight="1" x14ac:dyDescent="0.25">
      <c r="B4185" s="124"/>
      <c r="C4185" s="125"/>
      <c r="D4185" s="125"/>
      <c r="E4185" s="125"/>
      <c r="F4185" s="125"/>
      <c r="G4185" s="125"/>
      <c r="H4185" s="125"/>
      <c r="I4185" s="746"/>
      <c r="J4185" s="747"/>
      <c r="K4185" s="748"/>
      <c r="L4185" s="746"/>
      <c r="M4185" s="747"/>
      <c r="N4185" s="753"/>
    </row>
    <row r="4186" spans="2:14" ht="15" customHeight="1" x14ac:dyDescent="0.25">
      <c r="B4186" s="127"/>
      <c r="C4186" s="125"/>
      <c r="D4186" s="125"/>
      <c r="E4186" s="125"/>
      <c r="F4186" s="125"/>
      <c r="G4186" s="125"/>
      <c r="H4186" s="125"/>
      <c r="I4186" s="749"/>
      <c r="J4186" s="750"/>
      <c r="K4186" s="751"/>
      <c r="L4186" s="749"/>
      <c r="M4186" s="750"/>
      <c r="N4186" s="754"/>
    </row>
    <row r="4187" spans="2:14" ht="15" customHeight="1" x14ac:dyDescent="0.25">
      <c r="B4187" s="225"/>
      <c r="C4187" s="128"/>
      <c r="D4187" s="128"/>
      <c r="E4187" s="128"/>
      <c r="F4187" s="128"/>
      <c r="G4187" s="128"/>
      <c r="H4187" s="128"/>
      <c r="I4187" s="128"/>
      <c r="J4187" s="128"/>
      <c r="K4187" s="128"/>
      <c r="L4187" s="118"/>
      <c r="M4187" s="118"/>
      <c r="N4187" s="210"/>
    </row>
    <row r="4188" spans="2:14" ht="15" customHeight="1" x14ac:dyDescent="0.25">
      <c r="B4188" s="209"/>
      <c r="C4188" s="118"/>
      <c r="D4188" s="118"/>
      <c r="E4188" s="118"/>
      <c r="F4188" s="118"/>
      <c r="G4188" s="118"/>
      <c r="H4188" s="118"/>
      <c r="I4188" s="118"/>
      <c r="J4188" s="118"/>
      <c r="K4188" s="118"/>
      <c r="L4188" s="118"/>
      <c r="M4188" s="118"/>
      <c r="N4188" s="210"/>
    </row>
    <row r="4189" spans="2:14" ht="15" customHeight="1" x14ac:dyDescent="0.25">
      <c r="B4189" s="209"/>
      <c r="C4189" s="118"/>
      <c r="D4189" s="118"/>
      <c r="E4189" s="118"/>
      <c r="F4189" s="118"/>
      <c r="G4189" s="118"/>
      <c r="H4189" s="118"/>
      <c r="I4189" s="118"/>
      <c r="J4189" s="118"/>
      <c r="K4189" s="118"/>
      <c r="L4189" s="118"/>
      <c r="M4189" s="118"/>
      <c r="N4189" s="210"/>
    </row>
    <row r="4190" spans="2:14" ht="15" customHeight="1" thickBot="1" x14ac:dyDescent="0.3">
      <c r="B4190" s="725" t="s">
        <v>414</v>
      </c>
      <c r="C4190" s="726"/>
      <c r="D4190" s="726"/>
      <c r="E4190" s="147"/>
      <c r="F4190" s="147"/>
      <c r="G4190" s="147"/>
      <c r="H4190" s="147"/>
      <c r="I4190" s="727"/>
      <c r="J4190" s="726"/>
      <c r="K4190" s="726"/>
      <c r="L4190" s="130"/>
      <c r="M4190" s="130"/>
      <c r="N4190" s="131"/>
    </row>
    <row r="4191" spans="2:14" ht="15" customHeight="1" thickBot="1" x14ac:dyDescent="0.3"/>
    <row r="4192" spans="2:14" ht="45.6" customHeight="1" x14ac:dyDescent="0.25">
      <c r="B4192" s="728"/>
      <c r="C4192" s="729"/>
      <c r="D4192" s="730" t="s">
        <v>393</v>
      </c>
      <c r="E4192" s="729"/>
      <c r="F4192" s="729"/>
      <c r="G4192" s="729"/>
      <c r="H4192" s="729"/>
      <c r="I4192" s="729"/>
      <c r="J4192" s="729"/>
      <c r="K4192" s="729"/>
      <c r="L4192" s="729"/>
      <c r="M4192" s="729"/>
      <c r="N4192" s="731"/>
    </row>
    <row r="4193" spans="2:14" ht="15" customHeight="1" x14ac:dyDescent="0.25">
      <c r="B4193" s="732" t="s">
        <v>394</v>
      </c>
      <c r="C4193" s="733"/>
      <c r="D4193" s="733"/>
      <c r="E4193" s="733"/>
      <c r="F4193" s="733"/>
      <c r="G4193" s="733"/>
      <c r="H4193" s="733"/>
      <c r="I4193" s="733"/>
      <c r="J4193" s="733"/>
      <c r="K4193" s="733"/>
      <c r="L4193" s="733"/>
      <c r="M4193" s="733"/>
      <c r="N4193" s="734"/>
    </row>
    <row r="4194" spans="2:14" ht="30" customHeight="1" x14ac:dyDescent="0.25">
      <c r="B4194" s="735" t="s">
        <v>395</v>
      </c>
      <c r="C4194" s="736"/>
      <c r="D4194" s="737" t="str">
        <f>VLOOKUP(B4196,Buenaventura!A9:G5441,3,FALSE)</f>
        <v>Suministro e instalación de tapa registro de 15x15</v>
      </c>
      <c r="E4194" s="738"/>
      <c r="F4194" s="738"/>
      <c r="G4194" s="738"/>
      <c r="H4194" s="738"/>
      <c r="I4194" s="738"/>
      <c r="J4194" s="738"/>
      <c r="K4194" s="738"/>
      <c r="L4194" s="738"/>
      <c r="M4194" s="738"/>
      <c r="N4194" s="739"/>
    </row>
    <row r="4195" spans="2:14" ht="25.9" customHeight="1" x14ac:dyDescent="0.25">
      <c r="B4195" s="740" t="s">
        <v>26</v>
      </c>
      <c r="C4195" s="741"/>
      <c r="D4195" s="119" t="s">
        <v>396</v>
      </c>
      <c r="E4195" s="742" t="s">
        <v>397</v>
      </c>
      <c r="F4195" s="733"/>
      <c r="G4195" s="733"/>
      <c r="H4195" s="736"/>
      <c r="I4195" s="742" t="s">
        <v>398</v>
      </c>
      <c r="J4195" s="733"/>
      <c r="K4195" s="736"/>
      <c r="L4195" s="742" t="s">
        <v>399</v>
      </c>
      <c r="M4195" s="733"/>
      <c r="N4195" s="734"/>
    </row>
    <row r="4196" spans="2:14" ht="15" customHeight="1" x14ac:dyDescent="0.25">
      <c r="B4196" s="283">
        <v>105</v>
      </c>
      <c r="C4196" s="284" t="str">
        <f>VLOOKUP(B4196,Buenaventura!A9:G5454,2,FALSE)</f>
        <v>IH-24</v>
      </c>
      <c r="D4196" s="285">
        <f>SUM(H4199:H4202)</f>
        <v>4</v>
      </c>
      <c r="E4196" s="743" t="str">
        <f>VLOOKUP(B4196,Buenaventura!A9:G5453,4,FALSE)</f>
        <v>UND</v>
      </c>
      <c r="F4196" s="743"/>
      <c r="G4196" s="743"/>
      <c r="H4196" s="743"/>
      <c r="I4196" s="744"/>
      <c r="J4196" s="745"/>
      <c r="K4196" s="741"/>
      <c r="L4196" s="744"/>
      <c r="M4196" s="745"/>
      <c r="N4196" s="752"/>
    </row>
    <row r="4197" spans="2:14" ht="15" customHeight="1" x14ac:dyDescent="0.25">
      <c r="B4197" s="755" t="s">
        <v>416</v>
      </c>
      <c r="C4197" s="733"/>
      <c r="D4197" s="733"/>
      <c r="E4197" s="733"/>
      <c r="F4197" s="733"/>
      <c r="G4197" s="733"/>
      <c r="H4197" s="736"/>
      <c r="I4197" s="746"/>
      <c r="J4197" s="747"/>
      <c r="K4197" s="748"/>
      <c r="L4197" s="746"/>
      <c r="M4197" s="747"/>
      <c r="N4197" s="753"/>
    </row>
    <row r="4198" spans="2:14" ht="15" customHeight="1" x14ac:dyDescent="0.25">
      <c r="B4198" s="121" t="s">
        <v>400</v>
      </c>
      <c r="C4198" s="122" t="s">
        <v>401</v>
      </c>
      <c r="D4198" s="123" t="s">
        <v>402</v>
      </c>
      <c r="E4198" s="123" t="s">
        <v>403</v>
      </c>
      <c r="F4198" s="123" t="s">
        <v>404</v>
      </c>
      <c r="G4198" s="123" t="s">
        <v>405</v>
      </c>
      <c r="H4198" s="123" t="s">
        <v>406</v>
      </c>
      <c r="I4198" s="746"/>
      <c r="J4198" s="747"/>
      <c r="K4198" s="748"/>
      <c r="L4198" s="746"/>
      <c r="M4198" s="747"/>
      <c r="N4198" s="753"/>
    </row>
    <row r="4199" spans="2:14" ht="15" customHeight="1" x14ac:dyDescent="0.25">
      <c r="B4199" s="124"/>
      <c r="C4199" s="145"/>
      <c r="D4199" s="125">
        <v>4</v>
      </c>
      <c r="E4199" s="125"/>
      <c r="F4199" s="125"/>
      <c r="G4199" s="125"/>
      <c r="H4199" s="125">
        <f>D4199</f>
        <v>4</v>
      </c>
      <c r="I4199" s="746"/>
      <c r="J4199" s="747"/>
      <c r="K4199" s="748"/>
      <c r="L4199" s="746"/>
      <c r="M4199" s="747"/>
      <c r="N4199" s="753"/>
    </row>
    <row r="4200" spans="2:14" ht="15" customHeight="1" x14ac:dyDescent="0.25">
      <c r="B4200" s="124"/>
      <c r="C4200" s="145"/>
      <c r="D4200" s="125"/>
      <c r="E4200" s="125"/>
      <c r="F4200" s="125"/>
      <c r="G4200" s="125"/>
      <c r="H4200" s="125"/>
      <c r="I4200" s="746"/>
      <c r="J4200" s="747"/>
      <c r="K4200" s="748"/>
      <c r="L4200" s="746"/>
      <c r="M4200" s="747"/>
      <c r="N4200" s="753"/>
    </row>
    <row r="4201" spans="2:14" ht="15" customHeight="1" x14ac:dyDescent="0.25">
      <c r="B4201" s="165"/>
      <c r="C4201" s="145"/>
      <c r="D4201" s="125"/>
      <c r="E4201" s="125"/>
      <c r="F4201" s="125"/>
      <c r="G4201" s="125"/>
      <c r="H4201" s="125"/>
      <c r="I4201" s="746"/>
      <c r="J4201" s="747"/>
      <c r="K4201" s="748"/>
      <c r="L4201" s="746"/>
      <c r="M4201" s="747"/>
      <c r="N4201" s="753"/>
    </row>
    <row r="4202" spans="2:14" ht="15" customHeight="1" x14ac:dyDescent="0.25">
      <c r="B4202" s="165"/>
      <c r="C4202" s="145"/>
      <c r="D4202" s="125"/>
      <c r="E4202" s="125"/>
      <c r="F4202" s="125"/>
      <c r="G4202" s="125"/>
      <c r="H4202" s="125"/>
      <c r="I4202" s="746"/>
      <c r="J4202" s="747"/>
      <c r="K4202" s="748"/>
      <c r="L4202" s="746"/>
      <c r="M4202" s="747"/>
      <c r="N4202" s="753"/>
    </row>
    <row r="4203" spans="2:14" ht="15" customHeight="1" x14ac:dyDescent="0.25">
      <c r="B4203" s="165"/>
      <c r="C4203" s="145"/>
      <c r="D4203" s="125"/>
      <c r="E4203" s="125"/>
      <c r="F4203" s="125"/>
      <c r="G4203" s="125"/>
      <c r="H4203" s="125"/>
      <c r="I4203" s="746"/>
      <c r="J4203" s="747"/>
      <c r="K4203" s="748"/>
      <c r="L4203" s="746"/>
      <c r="M4203" s="747"/>
      <c r="N4203" s="753"/>
    </row>
    <row r="4204" spans="2:14" ht="15" customHeight="1" x14ac:dyDescent="0.25">
      <c r="B4204" s="165"/>
      <c r="C4204" s="145"/>
      <c r="D4204" s="125"/>
      <c r="E4204" s="125"/>
      <c r="F4204" s="125"/>
      <c r="G4204" s="125"/>
      <c r="H4204" s="125"/>
      <c r="I4204" s="746"/>
      <c r="J4204" s="747"/>
      <c r="K4204" s="748"/>
      <c r="L4204" s="746"/>
      <c r="M4204" s="747"/>
      <c r="N4204" s="753"/>
    </row>
    <row r="4205" spans="2:14" ht="15" customHeight="1" x14ac:dyDescent="0.25">
      <c r="B4205" s="165"/>
      <c r="C4205" s="145"/>
      <c r="D4205" s="125"/>
      <c r="E4205" s="125"/>
      <c r="F4205" s="125"/>
      <c r="G4205" s="125"/>
      <c r="H4205" s="125"/>
      <c r="I4205" s="746"/>
      <c r="J4205" s="747"/>
      <c r="K4205" s="748"/>
      <c r="L4205" s="746"/>
      <c r="M4205" s="747"/>
      <c r="N4205" s="753"/>
    </row>
    <row r="4206" spans="2:14" ht="15" customHeight="1" x14ac:dyDescent="0.25">
      <c r="B4206" s="124"/>
      <c r="C4206" s="145"/>
      <c r="D4206" s="125"/>
      <c r="E4206" s="125"/>
      <c r="F4206" s="125"/>
      <c r="G4206" s="125"/>
      <c r="H4206" s="125"/>
      <c r="I4206" s="746"/>
      <c r="J4206" s="747"/>
      <c r="K4206" s="748"/>
      <c r="L4206" s="746"/>
      <c r="M4206" s="747"/>
      <c r="N4206" s="753"/>
    </row>
    <row r="4207" spans="2:14" ht="15" customHeight="1" x14ac:dyDescent="0.25">
      <c r="B4207" s="124"/>
      <c r="C4207" s="125"/>
      <c r="D4207" s="125"/>
      <c r="E4207" s="125"/>
      <c r="F4207" s="125"/>
      <c r="G4207" s="125"/>
      <c r="H4207" s="125"/>
      <c r="I4207" s="746"/>
      <c r="J4207" s="747"/>
      <c r="K4207" s="748"/>
      <c r="L4207" s="746"/>
      <c r="M4207" s="747"/>
      <c r="N4207" s="753"/>
    </row>
    <row r="4208" spans="2:14" ht="15" customHeight="1" x14ac:dyDescent="0.25">
      <c r="B4208" s="127"/>
      <c r="C4208" s="125"/>
      <c r="D4208" s="125"/>
      <c r="E4208" s="125"/>
      <c r="F4208" s="125"/>
      <c r="G4208" s="125"/>
      <c r="H4208" s="125"/>
      <c r="I4208" s="749"/>
      <c r="J4208" s="750"/>
      <c r="K4208" s="751"/>
      <c r="L4208" s="749"/>
      <c r="M4208" s="750"/>
      <c r="N4208" s="754"/>
    </row>
    <row r="4209" spans="2:14" ht="15" customHeight="1" x14ac:dyDescent="0.25">
      <c r="B4209" s="225"/>
      <c r="C4209" s="128"/>
      <c r="D4209" s="128"/>
      <c r="E4209" s="128"/>
      <c r="F4209" s="128"/>
      <c r="G4209" s="128"/>
      <c r="H4209" s="128"/>
      <c r="I4209" s="128"/>
      <c r="J4209" s="128"/>
      <c r="K4209" s="128"/>
      <c r="L4209" s="118"/>
      <c r="M4209" s="118"/>
      <c r="N4209" s="210"/>
    </row>
    <row r="4210" spans="2:14" ht="15" customHeight="1" x14ac:dyDescent="0.25">
      <c r="B4210" s="209"/>
      <c r="C4210" s="118"/>
      <c r="D4210" s="118"/>
      <c r="E4210" s="118"/>
      <c r="F4210" s="118"/>
      <c r="G4210" s="118"/>
      <c r="H4210" s="118"/>
      <c r="I4210" s="118"/>
      <c r="J4210" s="118"/>
      <c r="K4210" s="118"/>
      <c r="L4210" s="118"/>
      <c r="M4210" s="118"/>
      <c r="N4210" s="210"/>
    </row>
    <row r="4211" spans="2:14" ht="15" customHeight="1" x14ac:dyDescent="0.25">
      <c r="B4211" s="209"/>
      <c r="C4211" s="118"/>
      <c r="D4211" s="118"/>
      <c r="E4211" s="118"/>
      <c r="F4211" s="118"/>
      <c r="G4211" s="118"/>
      <c r="H4211" s="118"/>
      <c r="I4211" s="118"/>
      <c r="J4211" s="118"/>
      <c r="K4211" s="118"/>
      <c r="L4211" s="118"/>
      <c r="M4211" s="118"/>
      <c r="N4211" s="210"/>
    </row>
    <row r="4212" spans="2:14" ht="15" customHeight="1" thickBot="1" x14ac:dyDescent="0.3">
      <c r="B4212" s="725" t="s">
        <v>414</v>
      </c>
      <c r="C4212" s="726"/>
      <c r="D4212" s="726"/>
      <c r="E4212" s="147"/>
      <c r="F4212" s="147"/>
      <c r="G4212" s="147"/>
      <c r="H4212" s="147"/>
      <c r="I4212" s="727"/>
      <c r="J4212" s="726"/>
      <c r="K4212" s="726"/>
      <c r="L4212" s="130"/>
      <c r="M4212" s="130"/>
      <c r="N4212" s="131"/>
    </row>
    <row r="4213" spans="2:14" ht="15" customHeight="1" thickBot="1" x14ac:dyDescent="0.3"/>
    <row r="4214" spans="2:14" ht="40.15" customHeight="1" x14ac:dyDescent="0.25">
      <c r="B4214" s="728"/>
      <c r="C4214" s="729"/>
      <c r="D4214" s="730" t="s">
        <v>393</v>
      </c>
      <c r="E4214" s="729"/>
      <c r="F4214" s="729"/>
      <c r="G4214" s="729"/>
      <c r="H4214" s="729"/>
      <c r="I4214" s="729"/>
      <c r="J4214" s="729"/>
      <c r="K4214" s="729"/>
      <c r="L4214" s="729"/>
      <c r="M4214" s="729"/>
      <c r="N4214" s="731"/>
    </row>
    <row r="4215" spans="2:14" ht="15" customHeight="1" x14ac:dyDescent="0.25">
      <c r="B4215" s="732" t="s">
        <v>394</v>
      </c>
      <c r="C4215" s="733"/>
      <c r="D4215" s="733"/>
      <c r="E4215" s="733"/>
      <c r="F4215" s="733"/>
      <c r="G4215" s="733"/>
      <c r="H4215" s="733"/>
      <c r="I4215" s="733"/>
      <c r="J4215" s="733"/>
      <c r="K4215" s="733"/>
      <c r="L4215" s="733"/>
      <c r="M4215" s="733"/>
      <c r="N4215" s="734"/>
    </row>
    <row r="4216" spans="2:14" ht="15" customHeight="1" x14ac:dyDescent="0.25">
      <c r="B4216" s="735" t="s">
        <v>395</v>
      </c>
      <c r="C4216" s="736"/>
      <c r="D4216" s="737" t="str">
        <f>VLOOKUP(B4218,Buenaventura!A9:G5463,3,FALSE)</f>
        <v>Desmonte y reinstalación de puerta en aluminio, incluye todos los elementos necesarios para su correcta instalación</v>
      </c>
      <c r="E4216" s="738"/>
      <c r="F4216" s="738"/>
      <c r="G4216" s="738"/>
      <c r="H4216" s="738"/>
      <c r="I4216" s="738"/>
      <c r="J4216" s="738"/>
      <c r="K4216" s="738"/>
      <c r="L4216" s="738"/>
      <c r="M4216" s="738"/>
      <c r="N4216" s="739"/>
    </row>
    <row r="4217" spans="2:14" ht="28.9" customHeight="1" x14ac:dyDescent="0.25">
      <c r="B4217" s="740" t="s">
        <v>26</v>
      </c>
      <c r="C4217" s="741"/>
      <c r="D4217" s="119" t="s">
        <v>396</v>
      </c>
      <c r="E4217" s="742" t="s">
        <v>397</v>
      </c>
      <c r="F4217" s="733"/>
      <c r="G4217" s="733"/>
      <c r="H4217" s="736"/>
      <c r="I4217" s="742" t="s">
        <v>398</v>
      </c>
      <c r="J4217" s="733"/>
      <c r="K4217" s="736"/>
      <c r="L4217" s="742" t="s">
        <v>399</v>
      </c>
      <c r="M4217" s="733"/>
      <c r="N4217" s="734"/>
    </row>
    <row r="4218" spans="2:14" ht="15" customHeight="1" x14ac:dyDescent="0.25">
      <c r="B4218" s="283">
        <v>106</v>
      </c>
      <c r="C4218" s="284" t="str">
        <f>VLOOKUP(B4218,Buenaventura!A9:G5476,2,FALSE)</f>
        <v>VA-35</v>
      </c>
      <c r="D4218" s="285">
        <f>SUM(H4221:H4224)</f>
        <v>4</v>
      </c>
      <c r="E4218" s="743" t="str">
        <f>VLOOKUP(B4218,Buenaventura!A9:G5475,4,FALSE)</f>
        <v>UND</v>
      </c>
      <c r="F4218" s="743"/>
      <c r="G4218" s="743"/>
      <c r="H4218" s="743"/>
      <c r="I4218" s="744"/>
      <c r="J4218" s="745"/>
      <c r="K4218" s="741"/>
      <c r="L4218" s="744"/>
      <c r="M4218" s="745"/>
      <c r="N4218" s="752"/>
    </row>
    <row r="4219" spans="2:14" ht="15" customHeight="1" x14ac:dyDescent="0.25">
      <c r="B4219" s="755" t="s">
        <v>416</v>
      </c>
      <c r="C4219" s="733"/>
      <c r="D4219" s="733"/>
      <c r="E4219" s="733"/>
      <c r="F4219" s="733"/>
      <c r="G4219" s="733"/>
      <c r="H4219" s="736"/>
      <c r="I4219" s="746"/>
      <c r="J4219" s="747"/>
      <c r="K4219" s="748"/>
      <c r="L4219" s="746"/>
      <c r="M4219" s="747"/>
      <c r="N4219" s="753"/>
    </row>
    <row r="4220" spans="2:14" ht="15" customHeight="1" x14ac:dyDescent="0.25">
      <c r="B4220" s="121" t="s">
        <v>400</v>
      </c>
      <c r="C4220" s="122" t="s">
        <v>401</v>
      </c>
      <c r="D4220" s="123" t="s">
        <v>402</v>
      </c>
      <c r="E4220" s="123" t="s">
        <v>403</v>
      </c>
      <c r="F4220" s="123" t="s">
        <v>404</v>
      </c>
      <c r="G4220" s="123" t="s">
        <v>405</v>
      </c>
      <c r="H4220" s="123" t="s">
        <v>406</v>
      </c>
      <c r="I4220" s="746"/>
      <c r="J4220" s="747"/>
      <c r="K4220" s="748"/>
      <c r="L4220" s="746"/>
      <c r="M4220" s="747"/>
      <c r="N4220" s="753"/>
    </row>
    <row r="4221" spans="2:14" ht="15" customHeight="1" x14ac:dyDescent="0.25">
      <c r="B4221" s="124"/>
      <c r="C4221" s="145"/>
      <c r="D4221" s="125">
        <v>4</v>
      </c>
      <c r="E4221" s="125"/>
      <c r="F4221" s="125"/>
      <c r="G4221" s="125"/>
      <c r="H4221" s="125">
        <f>D4221</f>
        <v>4</v>
      </c>
      <c r="I4221" s="746"/>
      <c r="J4221" s="747"/>
      <c r="K4221" s="748"/>
      <c r="L4221" s="746"/>
      <c r="M4221" s="747"/>
      <c r="N4221" s="753"/>
    </row>
    <row r="4222" spans="2:14" ht="15" customHeight="1" x14ac:dyDescent="0.25">
      <c r="B4222" s="124"/>
      <c r="C4222" s="145"/>
      <c r="D4222" s="125"/>
      <c r="E4222" s="125"/>
      <c r="F4222" s="125"/>
      <c r="G4222" s="125"/>
      <c r="H4222" s="125"/>
      <c r="I4222" s="746"/>
      <c r="J4222" s="747"/>
      <c r="K4222" s="748"/>
      <c r="L4222" s="746"/>
      <c r="M4222" s="747"/>
      <c r="N4222" s="753"/>
    </row>
    <row r="4223" spans="2:14" ht="15" customHeight="1" x14ac:dyDescent="0.25">
      <c r="B4223" s="165"/>
      <c r="C4223" s="145"/>
      <c r="D4223" s="125"/>
      <c r="E4223" s="125"/>
      <c r="F4223" s="125"/>
      <c r="G4223" s="125"/>
      <c r="H4223" s="125"/>
      <c r="I4223" s="746"/>
      <c r="J4223" s="747"/>
      <c r="K4223" s="748"/>
      <c r="L4223" s="746"/>
      <c r="M4223" s="747"/>
      <c r="N4223" s="753"/>
    </row>
    <row r="4224" spans="2:14" ht="15" customHeight="1" x14ac:dyDescent="0.25">
      <c r="B4224" s="165"/>
      <c r="C4224" s="145"/>
      <c r="D4224" s="125"/>
      <c r="E4224" s="125"/>
      <c r="F4224" s="125"/>
      <c r="G4224" s="125"/>
      <c r="H4224" s="125"/>
      <c r="I4224" s="746"/>
      <c r="J4224" s="747"/>
      <c r="K4224" s="748"/>
      <c r="L4224" s="746"/>
      <c r="M4224" s="747"/>
      <c r="N4224" s="753"/>
    </row>
    <row r="4225" spans="2:14" ht="15" customHeight="1" x14ac:dyDescent="0.25">
      <c r="B4225" s="165"/>
      <c r="C4225" s="145"/>
      <c r="D4225" s="125"/>
      <c r="E4225" s="125"/>
      <c r="F4225" s="125"/>
      <c r="G4225" s="125"/>
      <c r="H4225" s="125"/>
      <c r="I4225" s="746"/>
      <c r="J4225" s="747"/>
      <c r="K4225" s="748"/>
      <c r="L4225" s="746"/>
      <c r="M4225" s="747"/>
      <c r="N4225" s="753"/>
    </row>
    <row r="4226" spans="2:14" ht="15" customHeight="1" x14ac:dyDescent="0.25">
      <c r="B4226" s="165"/>
      <c r="C4226" s="145"/>
      <c r="D4226" s="125"/>
      <c r="E4226" s="125"/>
      <c r="F4226" s="125"/>
      <c r="G4226" s="125"/>
      <c r="H4226" s="125"/>
      <c r="I4226" s="746"/>
      <c r="J4226" s="747"/>
      <c r="K4226" s="748"/>
      <c r="L4226" s="746"/>
      <c r="M4226" s="747"/>
      <c r="N4226" s="753"/>
    </row>
    <row r="4227" spans="2:14" ht="15" customHeight="1" x14ac:dyDescent="0.25">
      <c r="B4227" s="165"/>
      <c r="C4227" s="145"/>
      <c r="D4227" s="125"/>
      <c r="E4227" s="125"/>
      <c r="F4227" s="125"/>
      <c r="G4227" s="125"/>
      <c r="H4227" s="125"/>
      <c r="I4227" s="746"/>
      <c r="J4227" s="747"/>
      <c r="K4227" s="748"/>
      <c r="L4227" s="746"/>
      <c r="M4227" s="747"/>
      <c r="N4227" s="753"/>
    </row>
    <row r="4228" spans="2:14" ht="15" customHeight="1" x14ac:dyDescent="0.25">
      <c r="B4228" s="124"/>
      <c r="C4228" s="145"/>
      <c r="D4228" s="125"/>
      <c r="E4228" s="125"/>
      <c r="F4228" s="125"/>
      <c r="G4228" s="125"/>
      <c r="H4228" s="125"/>
      <c r="I4228" s="746"/>
      <c r="J4228" s="747"/>
      <c r="K4228" s="748"/>
      <c r="L4228" s="746"/>
      <c r="M4228" s="747"/>
      <c r="N4228" s="753"/>
    </row>
    <row r="4229" spans="2:14" ht="15" customHeight="1" x14ac:dyDescent="0.25">
      <c r="B4229" s="124"/>
      <c r="C4229" s="125"/>
      <c r="D4229" s="125"/>
      <c r="E4229" s="125"/>
      <c r="F4229" s="125"/>
      <c r="G4229" s="125"/>
      <c r="H4229" s="125"/>
      <c r="I4229" s="746"/>
      <c r="J4229" s="747"/>
      <c r="K4229" s="748"/>
      <c r="L4229" s="746"/>
      <c r="M4229" s="747"/>
      <c r="N4229" s="753"/>
    </row>
    <row r="4230" spans="2:14" ht="15" customHeight="1" x14ac:dyDescent="0.25">
      <c r="B4230" s="127"/>
      <c r="C4230" s="125"/>
      <c r="D4230" s="125"/>
      <c r="E4230" s="125"/>
      <c r="F4230" s="125"/>
      <c r="G4230" s="125"/>
      <c r="H4230" s="125"/>
      <c r="I4230" s="749"/>
      <c r="J4230" s="750"/>
      <c r="K4230" s="751"/>
      <c r="L4230" s="749"/>
      <c r="M4230" s="750"/>
      <c r="N4230" s="754"/>
    </row>
    <row r="4231" spans="2:14" ht="15" customHeight="1" x14ac:dyDescent="0.25">
      <c r="B4231" s="225"/>
      <c r="C4231" s="128"/>
      <c r="D4231" s="128"/>
      <c r="E4231" s="128"/>
      <c r="F4231" s="128"/>
      <c r="G4231" s="128"/>
      <c r="H4231" s="128"/>
      <c r="I4231" s="128"/>
      <c r="J4231" s="128"/>
      <c r="K4231" s="128"/>
      <c r="L4231" s="118"/>
      <c r="M4231" s="118"/>
      <c r="N4231" s="210"/>
    </row>
    <row r="4232" spans="2:14" ht="15" customHeight="1" x14ac:dyDescent="0.25">
      <c r="B4232" s="209"/>
      <c r="C4232" s="118"/>
      <c r="D4232" s="118"/>
      <c r="E4232" s="118"/>
      <c r="F4232" s="118"/>
      <c r="G4232" s="118"/>
      <c r="H4232" s="118"/>
      <c r="I4232" s="118"/>
      <c r="J4232" s="118"/>
      <c r="K4232" s="118"/>
      <c r="L4232" s="118"/>
      <c r="M4232" s="118"/>
      <c r="N4232" s="210"/>
    </row>
    <row r="4233" spans="2:14" ht="15" customHeight="1" x14ac:dyDescent="0.25">
      <c r="B4233" s="209"/>
      <c r="C4233" s="118"/>
      <c r="D4233" s="118"/>
      <c r="E4233" s="118"/>
      <c r="F4233" s="118"/>
      <c r="G4233" s="118"/>
      <c r="H4233" s="118"/>
      <c r="I4233" s="118"/>
      <c r="J4233" s="118"/>
      <c r="K4233" s="118"/>
      <c r="L4233" s="118"/>
      <c r="M4233" s="118"/>
      <c r="N4233" s="210"/>
    </row>
    <row r="4234" spans="2:14" ht="15" customHeight="1" thickBot="1" x14ac:dyDescent="0.3">
      <c r="B4234" s="725" t="s">
        <v>414</v>
      </c>
      <c r="C4234" s="726"/>
      <c r="D4234" s="726"/>
      <c r="E4234" s="147"/>
      <c r="F4234" s="147"/>
      <c r="G4234" s="147"/>
      <c r="H4234" s="147"/>
      <c r="I4234" s="727"/>
      <c r="J4234" s="726"/>
      <c r="K4234" s="726"/>
      <c r="L4234" s="130"/>
      <c r="M4234" s="130"/>
      <c r="N4234" s="131"/>
    </row>
    <row r="4235" spans="2:14" ht="15" customHeight="1" thickBot="1" x14ac:dyDescent="0.3"/>
    <row r="4236" spans="2:14" ht="38.450000000000003" customHeight="1" x14ac:dyDescent="0.25">
      <c r="B4236" s="728"/>
      <c r="C4236" s="729"/>
      <c r="D4236" s="730" t="s">
        <v>393</v>
      </c>
      <c r="E4236" s="729"/>
      <c r="F4236" s="729"/>
      <c r="G4236" s="729"/>
      <c r="H4236" s="729"/>
      <c r="I4236" s="729"/>
      <c r="J4236" s="729"/>
      <c r="K4236" s="729"/>
      <c r="L4236" s="729"/>
      <c r="M4236" s="729"/>
      <c r="N4236" s="731"/>
    </row>
    <row r="4237" spans="2:14" ht="15" customHeight="1" x14ac:dyDescent="0.25">
      <c r="B4237" s="732" t="s">
        <v>394</v>
      </c>
      <c r="C4237" s="733"/>
      <c r="D4237" s="733"/>
      <c r="E4237" s="733"/>
      <c r="F4237" s="733"/>
      <c r="G4237" s="733"/>
      <c r="H4237" s="733"/>
      <c r="I4237" s="733"/>
      <c r="J4237" s="733"/>
      <c r="K4237" s="733"/>
      <c r="L4237" s="733"/>
      <c r="M4237" s="733"/>
      <c r="N4237" s="734"/>
    </row>
    <row r="4238" spans="2:14" ht="15" customHeight="1" x14ac:dyDescent="0.25">
      <c r="B4238" s="735" t="s">
        <v>395</v>
      </c>
      <c r="C4238" s="736"/>
      <c r="D4238" s="737" t="str">
        <f>VLOOKUP(B4240,Buenaventura!A9:G5485,3,FALSE)</f>
        <v>Suministro e instalación de lavamanos de incrustar, porcelana blanca redondo u ovalado, certificado, incluye sifón.</v>
      </c>
      <c r="E4238" s="738"/>
      <c r="F4238" s="738"/>
      <c r="G4238" s="738"/>
      <c r="H4238" s="738"/>
      <c r="I4238" s="738"/>
      <c r="J4238" s="738"/>
      <c r="K4238" s="738"/>
      <c r="L4238" s="738"/>
      <c r="M4238" s="738"/>
      <c r="N4238" s="739"/>
    </row>
    <row r="4239" spans="2:14" ht="27" customHeight="1" x14ac:dyDescent="0.25">
      <c r="B4239" s="740" t="s">
        <v>26</v>
      </c>
      <c r="C4239" s="741"/>
      <c r="D4239" s="119" t="s">
        <v>396</v>
      </c>
      <c r="E4239" s="742" t="s">
        <v>397</v>
      </c>
      <c r="F4239" s="733"/>
      <c r="G4239" s="733"/>
      <c r="H4239" s="736"/>
      <c r="I4239" s="742" t="s">
        <v>398</v>
      </c>
      <c r="J4239" s="733"/>
      <c r="K4239" s="736"/>
      <c r="L4239" s="742" t="s">
        <v>399</v>
      </c>
      <c r="M4239" s="733"/>
      <c r="N4239" s="734"/>
    </row>
    <row r="4240" spans="2:14" ht="15" customHeight="1" x14ac:dyDescent="0.25">
      <c r="B4240" s="283">
        <v>107</v>
      </c>
      <c r="C4240" s="284" t="str">
        <f>VLOOKUP(B4240,Buenaventura!A9:G5498,2,FALSE)</f>
        <v>AP-09</v>
      </c>
      <c r="D4240" s="285">
        <f>SUM(H4243:H4246)</f>
        <v>4</v>
      </c>
      <c r="E4240" s="743" t="str">
        <f>VLOOKUP(B4240,Buenaventura!A9:G5497,4,FALSE)</f>
        <v>UND</v>
      </c>
      <c r="F4240" s="743"/>
      <c r="G4240" s="743"/>
      <c r="H4240" s="743"/>
      <c r="I4240" s="744"/>
      <c r="J4240" s="745"/>
      <c r="K4240" s="741"/>
      <c r="L4240" s="744"/>
      <c r="M4240" s="745"/>
      <c r="N4240" s="752"/>
    </row>
    <row r="4241" spans="2:14" ht="15" customHeight="1" x14ac:dyDescent="0.25">
      <c r="B4241" s="755" t="s">
        <v>416</v>
      </c>
      <c r="C4241" s="733"/>
      <c r="D4241" s="733"/>
      <c r="E4241" s="733"/>
      <c r="F4241" s="733"/>
      <c r="G4241" s="733"/>
      <c r="H4241" s="736"/>
      <c r="I4241" s="746"/>
      <c r="J4241" s="747"/>
      <c r="K4241" s="748"/>
      <c r="L4241" s="746"/>
      <c r="M4241" s="747"/>
      <c r="N4241" s="753"/>
    </row>
    <row r="4242" spans="2:14" ht="15" customHeight="1" x14ac:dyDescent="0.25">
      <c r="B4242" s="121" t="s">
        <v>400</v>
      </c>
      <c r="C4242" s="122" t="s">
        <v>401</v>
      </c>
      <c r="D4242" s="123" t="s">
        <v>402</v>
      </c>
      <c r="E4242" s="123" t="s">
        <v>403</v>
      </c>
      <c r="F4242" s="123" t="s">
        <v>404</v>
      </c>
      <c r="G4242" s="123" t="s">
        <v>405</v>
      </c>
      <c r="H4242" s="123" t="s">
        <v>406</v>
      </c>
      <c r="I4242" s="746"/>
      <c r="J4242" s="747"/>
      <c r="K4242" s="748"/>
      <c r="L4242" s="746"/>
      <c r="M4242" s="747"/>
      <c r="N4242" s="753"/>
    </row>
    <row r="4243" spans="2:14" ht="15" customHeight="1" x14ac:dyDescent="0.25">
      <c r="B4243" s="124"/>
      <c r="C4243" s="145"/>
      <c r="D4243" s="125">
        <v>4</v>
      </c>
      <c r="E4243" s="125"/>
      <c r="F4243" s="125"/>
      <c r="G4243" s="125"/>
      <c r="H4243" s="125">
        <f>D4243</f>
        <v>4</v>
      </c>
      <c r="I4243" s="746"/>
      <c r="J4243" s="747"/>
      <c r="K4243" s="748"/>
      <c r="L4243" s="746"/>
      <c r="M4243" s="747"/>
      <c r="N4243" s="753"/>
    </row>
    <row r="4244" spans="2:14" ht="15" customHeight="1" x14ac:dyDescent="0.25">
      <c r="B4244" s="124"/>
      <c r="C4244" s="145"/>
      <c r="D4244" s="125"/>
      <c r="E4244" s="125"/>
      <c r="F4244" s="125"/>
      <c r="G4244" s="125"/>
      <c r="H4244" s="125"/>
      <c r="I4244" s="746"/>
      <c r="J4244" s="747"/>
      <c r="K4244" s="748"/>
      <c r="L4244" s="746"/>
      <c r="M4244" s="747"/>
      <c r="N4244" s="753"/>
    </row>
    <row r="4245" spans="2:14" ht="15" customHeight="1" x14ac:dyDescent="0.25">
      <c r="B4245" s="165"/>
      <c r="C4245" s="145"/>
      <c r="D4245" s="125"/>
      <c r="E4245" s="125"/>
      <c r="F4245" s="125"/>
      <c r="G4245" s="125"/>
      <c r="H4245" s="125"/>
      <c r="I4245" s="746"/>
      <c r="J4245" s="747"/>
      <c r="K4245" s="748"/>
      <c r="L4245" s="746"/>
      <c r="M4245" s="747"/>
      <c r="N4245" s="753"/>
    </row>
    <row r="4246" spans="2:14" ht="15" customHeight="1" x14ac:dyDescent="0.25">
      <c r="B4246" s="165"/>
      <c r="C4246" s="145"/>
      <c r="D4246" s="125"/>
      <c r="E4246" s="125"/>
      <c r="F4246" s="125"/>
      <c r="G4246" s="125"/>
      <c r="H4246" s="125"/>
      <c r="I4246" s="746"/>
      <c r="J4246" s="747"/>
      <c r="K4246" s="748"/>
      <c r="L4246" s="746"/>
      <c r="M4246" s="747"/>
      <c r="N4246" s="753"/>
    </row>
    <row r="4247" spans="2:14" ht="15" customHeight="1" x14ac:dyDescent="0.25">
      <c r="B4247" s="165"/>
      <c r="C4247" s="145"/>
      <c r="D4247" s="125"/>
      <c r="E4247" s="125"/>
      <c r="F4247" s="125"/>
      <c r="G4247" s="125"/>
      <c r="H4247" s="125"/>
      <c r="I4247" s="746"/>
      <c r="J4247" s="747"/>
      <c r="K4247" s="748"/>
      <c r="L4247" s="746"/>
      <c r="M4247" s="747"/>
      <c r="N4247" s="753"/>
    </row>
    <row r="4248" spans="2:14" ht="15" customHeight="1" x14ac:dyDescent="0.25">
      <c r="B4248" s="165"/>
      <c r="C4248" s="145"/>
      <c r="D4248" s="125"/>
      <c r="E4248" s="125"/>
      <c r="F4248" s="125"/>
      <c r="G4248" s="125"/>
      <c r="H4248" s="125"/>
      <c r="I4248" s="746"/>
      <c r="J4248" s="747"/>
      <c r="K4248" s="748"/>
      <c r="L4248" s="746"/>
      <c r="M4248" s="747"/>
      <c r="N4248" s="753"/>
    </row>
    <row r="4249" spans="2:14" ht="15" customHeight="1" x14ac:dyDescent="0.25">
      <c r="B4249" s="165"/>
      <c r="C4249" s="145"/>
      <c r="D4249" s="125"/>
      <c r="E4249" s="125"/>
      <c r="F4249" s="125"/>
      <c r="G4249" s="125"/>
      <c r="H4249" s="125"/>
      <c r="I4249" s="746"/>
      <c r="J4249" s="747"/>
      <c r="K4249" s="748"/>
      <c r="L4249" s="746"/>
      <c r="M4249" s="747"/>
      <c r="N4249" s="753"/>
    </row>
    <row r="4250" spans="2:14" ht="15" customHeight="1" x14ac:dyDescent="0.25">
      <c r="B4250" s="124"/>
      <c r="C4250" s="145"/>
      <c r="D4250" s="125"/>
      <c r="E4250" s="125"/>
      <c r="F4250" s="125"/>
      <c r="G4250" s="125"/>
      <c r="H4250" s="125"/>
      <c r="I4250" s="746"/>
      <c r="J4250" s="747"/>
      <c r="K4250" s="748"/>
      <c r="L4250" s="746"/>
      <c r="M4250" s="747"/>
      <c r="N4250" s="753"/>
    </row>
    <row r="4251" spans="2:14" ht="15" customHeight="1" x14ac:dyDescent="0.25">
      <c r="B4251" s="124"/>
      <c r="C4251" s="125"/>
      <c r="D4251" s="125"/>
      <c r="E4251" s="125"/>
      <c r="F4251" s="125"/>
      <c r="G4251" s="125"/>
      <c r="H4251" s="125"/>
      <c r="I4251" s="746"/>
      <c r="J4251" s="747"/>
      <c r="K4251" s="748"/>
      <c r="L4251" s="746"/>
      <c r="M4251" s="747"/>
      <c r="N4251" s="753"/>
    </row>
    <row r="4252" spans="2:14" ht="15" customHeight="1" x14ac:dyDescent="0.25">
      <c r="B4252" s="127"/>
      <c r="C4252" s="125"/>
      <c r="D4252" s="125"/>
      <c r="E4252" s="125"/>
      <c r="F4252" s="125"/>
      <c r="G4252" s="125"/>
      <c r="H4252" s="125"/>
      <c r="I4252" s="749"/>
      <c r="J4252" s="750"/>
      <c r="K4252" s="751"/>
      <c r="L4252" s="749"/>
      <c r="M4252" s="750"/>
      <c r="N4252" s="754"/>
    </row>
    <row r="4253" spans="2:14" ht="15" customHeight="1" x14ac:dyDescent="0.25">
      <c r="B4253" s="225"/>
      <c r="C4253" s="128"/>
      <c r="D4253" s="128"/>
      <c r="E4253" s="128"/>
      <c r="F4253" s="128"/>
      <c r="G4253" s="128"/>
      <c r="H4253" s="128"/>
      <c r="I4253" s="128"/>
      <c r="J4253" s="128"/>
      <c r="K4253" s="128"/>
      <c r="L4253" s="118"/>
      <c r="M4253" s="118"/>
      <c r="N4253" s="210"/>
    </row>
    <row r="4254" spans="2:14" ht="15" customHeight="1" x14ac:dyDescent="0.25">
      <c r="B4254" s="209"/>
      <c r="C4254" s="118"/>
      <c r="D4254" s="118"/>
      <c r="E4254" s="118"/>
      <c r="F4254" s="118"/>
      <c r="G4254" s="118"/>
      <c r="H4254" s="118"/>
      <c r="I4254" s="118"/>
      <c r="J4254" s="118"/>
      <c r="K4254" s="118"/>
      <c r="L4254" s="118"/>
      <c r="M4254" s="118"/>
      <c r="N4254" s="210"/>
    </row>
    <row r="4255" spans="2:14" ht="15" customHeight="1" x14ac:dyDescent="0.25">
      <c r="B4255" s="209"/>
      <c r="C4255" s="118"/>
      <c r="D4255" s="118"/>
      <c r="E4255" s="118"/>
      <c r="F4255" s="118"/>
      <c r="G4255" s="118"/>
      <c r="H4255" s="118"/>
      <c r="I4255" s="118"/>
      <c r="J4255" s="118"/>
      <c r="K4255" s="118"/>
      <c r="L4255" s="118"/>
      <c r="M4255" s="118"/>
      <c r="N4255" s="210"/>
    </row>
    <row r="4256" spans="2:14" ht="15" customHeight="1" thickBot="1" x14ac:dyDescent="0.3">
      <c r="B4256" s="725" t="s">
        <v>414</v>
      </c>
      <c r="C4256" s="726"/>
      <c r="D4256" s="726"/>
      <c r="E4256" s="147"/>
      <c r="F4256" s="147"/>
      <c r="G4256" s="147"/>
      <c r="H4256" s="147"/>
      <c r="I4256" s="727"/>
      <c r="J4256" s="726"/>
      <c r="K4256" s="726"/>
      <c r="L4256" s="130"/>
      <c r="M4256" s="130"/>
      <c r="N4256" s="131"/>
    </row>
    <row r="4257" spans="2:14" ht="15" customHeight="1" thickBot="1" x14ac:dyDescent="0.3"/>
    <row r="4258" spans="2:14" ht="41.45" customHeight="1" x14ac:dyDescent="0.25">
      <c r="B4258" s="728"/>
      <c r="C4258" s="729"/>
      <c r="D4258" s="730" t="s">
        <v>393</v>
      </c>
      <c r="E4258" s="729"/>
      <c r="F4258" s="729"/>
      <c r="G4258" s="729"/>
      <c r="H4258" s="729"/>
      <c r="I4258" s="729"/>
      <c r="J4258" s="729"/>
      <c r="K4258" s="729"/>
      <c r="L4258" s="729"/>
      <c r="M4258" s="729"/>
      <c r="N4258" s="731"/>
    </row>
    <row r="4259" spans="2:14" ht="15" customHeight="1" x14ac:dyDescent="0.25">
      <c r="B4259" s="732" t="s">
        <v>394</v>
      </c>
      <c r="C4259" s="733"/>
      <c r="D4259" s="733"/>
      <c r="E4259" s="733"/>
      <c r="F4259" s="733"/>
      <c r="G4259" s="733"/>
      <c r="H4259" s="733"/>
      <c r="I4259" s="733"/>
      <c r="J4259" s="733"/>
      <c r="K4259" s="733"/>
      <c r="L4259" s="733"/>
      <c r="M4259" s="733"/>
      <c r="N4259" s="734"/>
    </row>
    <row r="4260" spans="2:14" ht="15" customHeight="1" x14ac:dyDescent="0.25">
      <c r="B4260" s="735" t="s">
        <v>395</v>
      </c>
      <c r="C4260" s="736"/>
      <c r="D4260" s="737" t="str">
        <f>VLOOKUP(B4262,Buenaventura!A9:G5507,3,FALSE)</f>
        <v>Suministro e instalación de Grifería de Push para lavamanos</v>
      </c>
      <c r="E4260" s="738"/>
      <c r="F4260" s="738"/>
      <c r="G4260" s="738"/>
      <c r="H4260" s="738"/>
      <c r="I4260" s="738"/>
      <c r="J4260" s="738"/>
      <c r="K4260" s="738"/>
      <c r="L4260" s="738"/>
      <c r="M4260" s="738"/>
      <c r="N4260" s="739"/>
    </row>
    <row r="4261" spans="2:14" ht="30" customHeight="1" x14ac:dyDescent="0.25">
      <c r="B4261" s="740" t="s">
        <v>26</v>
      </c>
      <c r="C4261" s="741"/>
      <c r="D4261" s="119" t="s">
        <v>396</v>
      </c>
      <c r="E4261" s="742" t="s">
        <v>397</v>
      </c>
      <c r="F4261" s="733"/>
      <c r="G4261" s="733"/>
      <c r="H4261" s="736"/>
      <c r="I4261" s="742" t="s">
        <v>398</v>
      </c>
      <c r="J4261" s="733"/>
      <c r="K4261" s="736"/>
      <c r="L4261" s="742" t="s">
        <v>399</v>
      </c>
      <c r="M4261" s="733"/>
      <c r="N4261" s="734"/>
    </row>
    <row r="4262" spans="2:14" ht="15" customHeight="1" x14ac:dyDescent="0.25">
      <c r="B4262" s="283">
        <v>108</v>
      </c>
      <c r="C4262" s="284" t="str">
        <f>VLOOKUP(B4262,Buenaventura!A9:G5520,2,FALSE)</f>
        <v>AP-04</v>
      </c>
      <c r="D4262" s="285">
        <f>SUM(H4265:H4268)</f>
        <v>4</v>
      </c>
      <c r="E4262" s="743" t="str">
        <f>VLOOKUP(B4262,Buenaventura!A9:G5519,4,FALSE)</f>
        <v>UND</v>
      </c>
      <c r="F4262" s="743"/>
      <c r="G4262" s="743"/>
      <c r="H4262" s="743"/>
      <c r="I4262" s="744"/>
      <c r="J4262" s="745"/>
      <c r="K4262" s="741"/>
      <c r="L4262" s="744"/>
      <c r="M4262" s="745"/>
      <c r="N4262" s="752"/>
    </row>
    <row r="4263" spans="2:14" ht="15" customHeight="1" x14ac:dyDescent="0.25">
      <c r="B4263" s="755" t="s">
        <v>416</v>
      </c>
      <c r="C4263" s="733"/>
      <c r="D4263" s="733"/>
      <c r="E4263" s="733"/>
      <c r="F4263" s="733"/>
      <c r="G4263" s="733"/>
      <c r="H4263" s="736"/>
      <c r="I4263" s="746"/>
      <c r="J4263" s="747"/>
      <c r="K4263" s="748"/>
      <c r="L4263" s="746"/>
      <c r="M4263" s="747"/>
      <c r="N4263" s="753"/>
    </row>
    <row r="4264" spans="2:14" ht="15" customHeight="1" x14ac:dyDescent="0.25">
      <c r="B4264" s="121" t="s">
        <v>400</v>
      </c>
      <c r="C4264" s="122" t="s">
        <v>401</v>
      </c>
      <c r="D4264" s="123" t="s">
        <v>402</v>
      </c>
      <c r="E4264" s="123" t="s">
        <v>403</v>
      </c>
      <c r="F4264" s="123" t="s">
        <v>404</v>
      </c>
      <c r="G4264" s="123" t="s">
        <v>405</v>
      </c>
      <c r="H4264" s="123" t="s">
        <v>406</v>
      </c>
      <c r="I4264" s="746"/>
      <c r="J4264" s="747"/>
      <c r="K4264" s="748"/>
      <c r="L4264" s="746"/>
      <c r="M4264" s="747"/>
      <c r="N4264" s="753"/>
    </row>
    <row r="4265" spans="2:14" ht="15" customHeight="1" x14ac:dyDescent="0.25">
      <c r="B4265" s="124"/>
      <c r="C4265" s="145"/>
      <c r="D4265" s="125">
        <v>4</v>
      </c>
      <c r="E4265" s="125"/>
      <c r="F4265" s="125"/>
      <c r="G4265" s="125"/>
      <c r="H4265" s="125">
        <f>D4265</f>
        <v>4</v>
      </c>
      <c r="I4265" s="746"/>
      <c r="J4265" s="747"/>
      <c r="K4265" s="748"/>
      <c r="L4265" s="746"/>
      <c r="M4265" s="747"/>
      <c r="N4265" s="753"/>
    </row>
    <row r="4266" spans="2:14" ht="15" customHeight="1" x14ac:dyDescent="0.25">
      <c r="B4266" s="124"/>
      <c r="C4266" s="145"/>
      <c r="D4266" s="125"/>
      <c r="E4266" s="125"/>
      <c r="F4266" s="125"/>
      <c r="G4266" s="125"/>
      <c r="H4266" s="125"/>
      <c r="I4266" s="746"/>
      <c r="J4266" s="747"/>
      <c r="K4266" s="748"/>
      <c r="L4266" s="746"/>
      <c r="M4266" s="747"/>
      <c r="N4266" s="753"/>
    </row>
    <row r="4267" spans="2:14" ht="15" customHeight="1" x14ac:dyDescent="0.25">
      <c r="B4267" s="165"/>
      <c r="C4267" s="145"/>
      <c r="D4267" s="125"/>
      <c r="E4267" s="125"/>
      <c r="F4267" s="125"/>
      <c r="G4267" s="125"/>
      <c r="H4267" s="125"/>
      <c r="I4267" s="746"/>
      <c r="J4267" s="747"/>
      <c r="K4267" s="748"/>
      <c r="L4267" s="746"/>
      <c r="M4267" s="747"/>
      <c r="N4267" s="753"/>
    </row>
    <row r="4268" spans="2:14" ht="15" customHeight="1" x14ac:dyDescent="0.25">
      <c r="B4268" s="165"/>
      <c r="C4268" s="145"/>
      <c r="D4268" s="125"/>
      <c r="E4268" s="125"/>
      <c r="F4268" s="125"/>
      <c r="G4268" s="125"/>
      <c r="H4268" s="125"/>
      <c r="I4268" s="746"/>
      <c r="J4268" s="747"/>
      <c r="K4268" s="748"/>
      <c r="L4268" s="746"/>
      <c r="M4268" s="747"/>
      <c r="N4268" s="753"/>
    </row>
    <row r="4269" spans="2:14" ht="15" customHeight="1" x14ac:dyDescent="0.25">
      <c r="B4269" s="165"/>
      <c r="C4269" s="145"/>
      <c r="D4269" s="125"/>
      <c r="E4269" s="125"/>
      <c r="F4269" s="125"/>
      <c r="G4269" s="125"/>
      <c r="H4269" s="125"/>
      <c r="I4269" s="746"/>
      <c r="J4269" s="747"/>
      <c r="K4269" s="748"/>
      <c r="L4269" s="746"/>
      <c r="M4269" s="747"/>
      <c r="N4269" s="753"/>
    </row>
    <row r="4270" spans="2:14" ht="15" customHeight="1" x14ac:dyDescent="0.25">
      <c r="B4270" s="165"/>
      <c r="C4270" s="145"/>
      <c r="D4270" s="125"/>
      <c r="E4270" s="125"/>
      <c r="F4270" s="125"/>
      <c r="G4270" s="125"/>
      <c r="H4270" s="125"/>
      <c r="I4270" s="746"/>
      <c r="J4270" s="747"/>
      <c r="K4270" s="748"/>
      <c r="L4270" s="746"/>
      <c r="M4270" s="747"/>
      <c r="N4270" s="753"/>
    </row>
    <row r="4271" spans="2:14" ht="15" customHeight="1" x14ac:dyDescent="0.25">
      <c r="B4271" s="165"/>
      <c r="C4271" s="145"/>
      <c r="D4271" s="125"/>
      <c r="E4271" s="125"/>
      <c r="F4271" s="125"/>
      <c r="G4271" s="125"/>
      <c r="H4271" s="125"/>
      <c r="I4271" s="746"/>
      <c r="J4271" s="747"/>
      <c r="K4271" s="748"/>
      <c r="L4271" s="746"/>
      <c r="M4271" s="747"/>
      <c r="N4271" s="753"/>
    </row>
    <row r="4272" spans="2:14" ht="15" customHeight="1" x14ac:dyDescent="0.25">
      <c r="B4272" s="124"/>
      <c r="C4272" s="145"/>
      <c r="D4272" s="125"/>
      <c r="E4272" s="125"/>
      <c r="F4272" s="125"/>
      <c r="G4272" s="125"/>
      <c r="H4272" s="125"/>
      <c r="I4272" s="746"/>
      <c r="J4272" s="747"/>
      <c r="K4272" s="748"/>
      <c r="L4272" s="746"/>
      <c r="M4272" s="747"/>
      <c r="N4272" s="753"/>
    </row>
    <row r="4273" spans="2:14" ht="15" customHeight="1" x14ac:dyDescent="0.25">
      <c r="B4273" s="124"/>
      <c r="C4273" s="125"/>
      <c r="D4273" s="125"/>
      <c r="E4273" s="125"/>
      <c r="F4273" s="125"/>
      <c r="G4273" s="125"/>
      <c r="H4273" s="125"/>
      <c r="I4273" s="746"/>
      <c r="J4273" s="747"/>
      <c r="K4273" s="748"/>
      <c r="L4273" s="746"/>
      <c r="M4273" s="747"/>
      <c r="N4273" s="753"/>
    </row>
    <row r="4274" spans="2:14" ht="15" customHeight="1" x14ac:dyDescent="0.25">
      <c r="B4274" s="127"/>
      <c r="C4274" s="125"/>
      <c r="D4274" s="125"/>
      <c r="E4274" s="125"/>
      <c r="F4274" s="125"/>
      <c r="G4274" s="125"/>
      <c r="H4274" s="125"/>
      <c r="I4274" s="749"/>
      <c r="J4274" s="750"/>
      <c r="K4274" s="751"/>
      <c r="L4274" s="749"/>
      <c r="M4274" s="750"/>
      <c r="N4274" s="754"/>
    </row>
    <row r="4275" spans="2:14" ht="15" customHeight="1" x14ac:dyDescent="0.25">
      <c r="B4275" s="225"/>
      <c r="C4275" s="128"/>
      <c r="D4275" s="128"/>
      <c r="E4275" s="128"/>
      <c r="F4275" s="128"/>
      <c r="G4275" s="128"/>
      <c r="H4275" s="128"/>
      <c r="I4275" s="128"/>
      <c r="J4275" s="128"/>
      <c r="K4275" s="128"/>
      <c r="L4275" s="118"/>
      <c r="M4275" s="118"/>
      <c r="N4275" s="210"/>
    </row>
    <row r="4276" spans="2:14" ht="15" customHeight="1" x14ac:dyDescent="0.25">
      <c r="B4276" s="209"/>
      <c r="C4276" s="118"/>
      <c r="D4276" s="118"/>
      <c r="E4276" s="118"/>
      <c r="F4276" s="118"/>
      <c r="G4276" s="118"/>
      <c r="H4276" s="118"/>
      <c r="I4276" s="118"/>
      <c r="J4276" s="118"/>
      <c r="K4276" s="118"/>
      <c r="L4276" s="118"/>
      <c r="M4276" s="118"/>
      <c r="N4276" s="210"/>
    </row>
    <row r="4277" spans="2:14" ht="15" customHeight="1" x14ac:dyDescent="0.25">
      <c r="B4277" s="209"/>
      <c r="C4277" s="118"/>
      <c r="D4277" s="118"/>
      <c r="E4277" s="118"/>
      <c r="F4277" s="118"/>
      <c r="G4277" s="118"/>
      <c r="H4277" s="118"/>
      <c r="I4277" s="118"/>
      <c r="J4277" s="118"/>
      <c r="K4277" s="118"/>
      <c r="L4277" s="118"/>
      <c r="M4277" s="118"/>
      <c r="N4277" s="210"/>
    </row>
    <row r="4278" spans="2:14" ht="15" customHeight="1" thickBot="1" x14ac:dyDescent="0.3">
      <c r="B4278" s="725" t="s">
        <v>414</v>
      </c>
      <c r="C4278" s="726"/>
      <c r="D4278" s="726"/>
      <c r="E4278" s="147"/>
      <c r="F4278" s="147"/>
      <c r="G4278" s="147"/>
      <c r="H4278" s="147"/>
      <c r="I4278" s="727"/>
      <c r="J4278" s="726"/>
      <c r="K4278" s="726"/>
      <c r="L4278" s="130"/>
      <c r="M4278" s="130"/>
      <c r="N4278" s="131"/>
    </row>
    <row r="4279" spans="2:14" ht="15" customHeight="1" thickBot="1" x14ac:dyDescent="0.3"/>
    <row r="4280" spans="2:14" ht="42.6" customHeight="1" x14ac:dyDescent="0.25">
      <c r="B4280" s="728"/>
      <c r="C4280" s="729"/>
      <c r="D4280" s="730" t="s">
        <v>393</v>
      </c>
      <c r="E4280" s="729"/>
      <c r="F4280" s="729"/>
      <c r="G4280" s="729"/>
      <c r="H4280" s="729"/>
      <c r="I4280" s="729"/>
      <c r="J4280" s="729"/>
      <c r="K4280" s="729"/>
      <c r="L4280" s="729"/>
      <c r="M4280" s="729"/>
      <c r="N4280" s="731"/>
    </row>
    <row r="4281" spans="2:14" ht="15" customHeight="1" x14ac:dyDescent="0.25">
      <c r="B4281" s="732" t="s">
        <v>394</v>
      </c>
      <c r="C4281" s="733"/>
      <c r="D4281" s="733"/>
      <c r="E4281" s="733"/>
      <c r="F4281" s="733"/>
      <c r="G4281" s="733"/>
      <c r="H4281" s="733"/>
      <c r="I4281" s="733"/>
      <c r="J4281" s="733"/>
      <c r="K4281" s="733"/>
      <c r="L4281" s="733"/>
      <c r="M4281" s="733"/>
      <c r="N4281" s="734"/>
    </row>
    <row r="4282" spans="2:14" ht="38.450000000000003" customHeight="1" x14ac:dyDescent="0.25">
      <c r="B4282" s="735" t="s">
        <v>395</v>
      </c>
      <c r="C4282" s="736"/>
      <c r="D4282" s="737" t="str">
        <f>VLOOKUP(B4284,Buenaventura!A9:G5529,3,FALSE)</f>
        <v>Suministro e instalación de sanitario 4.8 lts</v>
      </c>
      <c r="E4282" s="738"/>
      <c r="F4282" s="738"/>
      <c r="G4282" s="738"/>
      <c r="H4282" s="738"/>
      <c r="I4282" s="738"/>
      <c r="J4282" s="738"/>
      <c r="K4282" s="738"/>
      <c r="L4282" s="738"/>
      <c r="M4282" s="738"/>
      <c r="N4282" s="739"/>
    </row>
    <row r="4283" spans="2:14" ht="29.45" customHeight="1" x14ac:dyDescent="0.25">
      <c r="B4283" s="740" t="s">
        <v>26</v>
      </c>
      <c r="C4283" s="741"/>
      <c r="D4283" s="119" t="s">
        <v>396</v>
      </c>
      <c r="E4283" s="742" t="s">
        <v>397</v>
      </c>
      <c r="F4283" s="733"/>
      <c r="G4283" s="733"/>
      <c r="H4283" s="736"/>
      <c r="I4283" s="742" t="s">
        <v>398</v>
      </c>
      <c r="J4283" s="733"/>
      <c r="K4283" s="736"/>
      <c r="L4283" s="742" t="s">
        <v>399</v>
      </c>
      <c r="M4283" s="733"/>
      <c r="N4283" s="734"/>
    </row>
    <row r="4284" spans="2:14" ht="15" customHeight="1" x14ac:dyDescent="0.25">
      <c r="B4284" s="283">
        <v>109</v>
      </c>
      <c r="C4284" s="284" t="str">
        <f>VLOOKUP(B4284,Buenaventura!A9:G5542,2,FALSE)</f>
        <v>AP-02</v>
      </c>
      <c r="D4284" s="285">
        <f>SUM(H4287:H4290)</f>
        <v>4</v>
      </c>
      <c r="E4284" s="743" t="str">
        <f>VLOOKUP(B4284,Buenaventura!A9:G5541,4,FALSE)</f>
        <v>UND</v>
      </c>
      <c r="F4284" s="743"/>
      <c r="G4284" s="743"/>
      <c r="H4284" s="743"/>
      <c r="I4284" s="744"/>
      <c r="J4284" s="745"/>
      <c r="K4284" s="741"/>
      <c r="L4284" s="744"/>
      <c r="M4284" s="745"/>
      <c r="N4284" s="752"/>
    </row>
    <row r="4285" spans="2:14" ht="15" customHeight="1" x14ac:dyDescent="0.25">
      <c r="B4285" s="755" t="s">
        <v>416</v>
      </c>
      <c r="C4285" s="733"/>
      <c r="D4285" s="733"/>
      <c r="E4285" s="733"/>
      <c r="F4285" s="733"/>
      <c r="G4285" s="733"/>
      <c r="H4285" s="736"/>
      <c r="I4285" s="746"/>
      <c r="J4285" s="747"/>
      <c r="K4285" s="748"/>
      <c r="L4285" s="746"/>
      <c r="M4285" s="747"/>
      <c r="N4285" s="753"/>
    </row>
    <row r="4286" spans="2:14" ht="15" customHeight="1" x14ac:dyDescent="0.25">
      <c r="B4286" s="121" t="s">
        <v>400</v>
      </c>
      <c r="C4286" s="122" t="s">
        <v>401</v>
      </c>
      <c r="D4286" s="123" t="s">
        <v>402</v>
      </c>
      <c r="E4286" s="123" t="s">
        <v>403</v>
      </c>
      <c r="F4286" s="123" t="s">
        <v>404</v>
      </c>
      <c r="G4286" s="123" t="s">
        <v>405</v>
      </c>
      <c r="H4286" s="123" t="s">
        <v>406</v>
      </c>
      <c r="I4286" s="746"/>
      <c r="J4286" s="747"/>
      <c r="K4286" s="748"/>
      <c r="L4286" s="746"/>
      <c r="M4286" s="747"/>
      <c r="N4286" s="753"/>
    </row>
    <row r="4287" spans="2:14" ht="15" customHeight="1" x14ac:dyDescent="0.25">
      <c r="B4287" s="124"/>
      <c r="C4287" s="145"/>
      <c r="D4287" s="125">
        <v>2</v>
      </c>
      <c r="E4287" s="125"/>
      <c r="F4287" s="125">
        <v>2</v>
      </c>
      <c r="G4287" s="125"/>
      <c r="H4287" s="125">
        <f>D4287*F4287</f>
        <v>4</v>
      </c>
      <c r="I4287" s="746"/>
      <c r="J4287" s="747"/>
      <c r="K4287" s="748"/>
      <c r="L4287" s="746"/>
      <c r="M4287" s="747"/>
      <c r="N4287" s="753"/>
    </row>
    <row r="4288" spans="2:14" ht="15" customHeight="1" x14ac:dyDescent="0.25">
      <c r="B4288" s="124"/>
      <c r="C4288" s="145"/>
      <c r="D4288" s="125"/>
      <c r="E4288" s="125"/>
      <c r="F4288" s="125"/>
      <c r="G4288" s="125"/>
      <c r="H4288" s="125"/>
      <c r="I4288" s="746"/>
      <c r="J4288" s="747"/>
      <c r="K4288" s="748"/>
      <c r="L4288" s="746"/>
      <c r="M4288" s="747"/>
      <c r="N4288" s="753"/>
    </row>
    <row r="4289" spans="2:14" ht="15" customHeight="1" x14ac:dyDescent="0.25">
      <c r="B4289" s="165"/>
      <c r="C4289" s="145"/>
      <c r="D4289" s="125"/>
      <c r="E4289" s="125"/>
      <c r="F4289" s="125"/>
      <c r="G4289" s="125"/>
      <c r="H4289" s="125"/>
      <c r="I4289" s="746"/>
      <c r="J4289" s="747"/>
      <c r="K4289" s="748"/>
      <c r="L4289" s="746"/>
      <c r="M4289" s="747"/>
      <c r="N4289" s="753"/>
    </row>
    <row r="4290" spans="2:14" ht="15" customHeight="1" x14ac:dyDescent="0.25">
      <c r="B4290" s="165"/>
      <c r="C4290" s="145"/>
      <c r="D4290" s="125"/>
      <c r="E4290" s="125"/>
      <c r="F4290" s="125"/>
      <c r="G4290" s="125"/>
      <c r="H4290" s="125"/>
      <c r="I4290" s="746"/>
      <c r="J4290" s="747"/>
      <c r="K4290" s="748"/>
      <c r="L4290" s="746"/>
      <c r="M4290" s="747"/>
      <c r="N4290" s="753"/>
    </row>
    <row r="4291" spans="2:14" ht="15" customHeight="1" x14ac:dyDescent="0.25">
      <c r="B4291" s="165"/>
      <c r="C4291" s="145"/>
      <c r="D4291" s="125"/>
      <c r="E4291" s="125"/>
      <c r="F4291" s="125"/>
      <c r="G4291" s="125"/>
      <c r="H4291" s="125"/>
      <c r="I4291" s="746"/>
      <c r="J4291" s="747"/>
      <c r="K4291" s="748"/>
      <c r="L4291" s="746"/>
      <c r="M4291" s="747"/>
      <c r="N4291" s="753"/>
    </row>
    <row r="4292" spans="2:14" ht="15" customHeight="1" x14ac:dyDescent="0.25">
      <c r="B4292" s="165"/>
      <c r="C4292" s="145"/>
      <c r="D4292" s="125"/>
      <c r="E4292" s="125"/>
      <c r="F4292" s="125"/>
      <c r="G4292" s="125"/>
      <c r="H4292" s="125"/>
      <c r="I4292" s="746"/>
      <c r="J4292" s="747"/>
      <c r="K4292" s="748"/>
      <c r="L4292" s="746"/>
      <c r="M4292" s="747"/>
      <c r="N4292" s="753"/>
    </row>
    <row r="4293" spans="2:14" ht="15" customHeight="1" x14ac:dyDescent="0.25">
      <c r="B4293" s="165"/>
      <c r="C4293" s="145"/>
      <c r="D4293" s="125"/>
      <c r="E4293" s="125"/>
      <c r="F4293" s="125"/>
      <c r="G4293" s="125"/>
      <c r="H4293" s="125"/>
      <c r="I4293" s="746"/>
      <c r="J4293" s="747"/>
      <c r="K4293" s="748"/>
      <c r="L4293" s="746"/>
      <c r="M4293" s="747"/>
      <c r="N4293" s="753"/>
    </row>
    <row r="4294" spans="2:14" ht="15" customHeight="1" x14ac:dyDescent="0.25">
      <c r="B4294" s="124"/>
      <c r="C4294" s="145"/>
      <c r="D4294" s="125"/>
      <c r="E4294" s="125"/>
      <c r="F4294" s="125"/>
      <c r="G4294" s="125"/>
      <c r="H4294" s="125"/>
      <c r="I4294" s="746"/>
      <c r="J4294" s="747"/>
      <c r="K4294" s="748"/>
      <c r="L4294" s="746"/>
      <c r="M4294" s="747"/>
      <c r="N4294" s="753"/>
    </row>
    <row r="4295" spans="2:14" ht="15" customHeight="1" x14ac:dyDescent="0.25">
      <c r="B4295" s="124"/>
      <c r="C4295" s="125"/>
      <c r="D4295" s="125"/>
      <c r="E4295" s="125"/>
      <c r="F4295" s="125"/>
      <c r="G4295" s="125"/>
      <c r="H4295" s="125"/>
      <c r="I4295" s="746"/>
      <c r="J4295" s="747"/>
      <c r="K4295" s="748"/>
      <c r="L4295" s="746"/>
      <c r="M4295" s="747"/>
      <c r="N4295" s="753"/>
    </row>
    <row r="4296" spans="2:14" ht="15" customHeight="1" x14ac:dyDescent="0.25">
      <c r="B4296" s="127"/>
      <c r="C4296" s="125"/>
      <c r="D4296" s="125"/>
      <c r="E4296" s="125"/>
      <c r="F4296" s="125"/>
      <c r="G4296" s="125"/>
      <c r="H4296" s="125"/>
      <c r="I4296" s="749"/>
      <c r="J4296" s="750"/>
      <c r="K4296" s="751"/>
      <c r="L4296" s="749"/>
      <c r="M4296" s="750"/>
      <c r="N4296" s="754"/>
    </row>
    <row r="4297" spans="2:14" ht="15" customHeight="1" x14ac:dyDescent="0.25">
      <c r="B4297" s="225"/>
      <c r="C4297" s="128"/>
      <c r="D4297" s="128"/>
      <c r="E4297" s="128"/>
      <c r="F4297" s="128"/>
      <c r="G4297" s="128"/>
      <c r="H4297" s="128"/>
      <c r="I4297" s="128"/>
      <c r="J4297" s="128"/>
      <c r="K4297" s="128"/>
      <c r="L4297" s="118"/>
      <c r="M4297" s="118"/>
      <c r="N4297" s="210"/>
    </row>
    <row r="4298" spans="2:14" ht="15" customHeight="1" x14ac:dyDescent="0.25">
      <c r="B4298" s="209"/>
      <c r="C4298" s="118"/>
      <c r="D4298" s="118"/>
      <c r="E4298" s="118"/>
      <c r="F4298" s="118"/>
      <c r="G4298" s="118"/>
      <c r="H4298" s="118"/>
      <c r="I4298" s="118"/>
      <c r="J4298" s="118"/>
      <c r="K4298" s="118"/>
      <c r="L4298" s="118"/>
      <c r="M4298" s="118"/>
      <c r="N4298" s="210"/>
    </row>
    <row r="4299" spans="2:14" ht="15" customHeight="1" x14ac:dyDescent="0.25">
      <c r="B4299" s="209"/>
      <c r="C4299" s="118"/>
      <c r="D4299" s="118"/>
      <c r="E4299" s="118"/>
      <c r="F4299" s="118"/>
      <c r="G4299" s="118"/>
      <c r="H4299" s="118"/>
      <c r="I4299" s="118"/>
      <c r="J4299" s="118"/>
      <c r="K4299" s="118"/>
      <c r="L4299" s="118"/>
      <c r="M4299" s="118"/>
      <c r="N4299" s="210"/>
    </row>
    <row r="4300" spans="2:14" ht="15" customHeight="1" thickBot="1" x14ac:dyDescent="0.3">
      <c r="B4300" s="725" t="s">
        <v>414</v>
      </c>
      <c r="C4300" s="726"/>
      <c r="D4300" s="726"/>
      <c r="E4300" s="147"/>
      <c r="F4300" s="147"/>
      <c r="G4300" s="147"/>
      <c r="H4300" s="147"/>
      <c r="I4300" s="727"/>
      <c r="J4300" s="726"/>
      <c r="K4300" s="726"/>
      <c r="L4300" s="130"/>
      <c r="M4300" s="130"/>
      <c r="N4300" s="131"/>
    </row>
    <row r="4301" spans="2:14" ht="15" customHeight="1" thickBot="1" x14ac:dyDescent="0.3"/>
    <row r="4302" spans="2:14" ht="35.450000000000003" customHeight="1" x14ac:dyDescent="0.25">
      <c r="B4302" s="728"/>
      <c r="C4302" s="729"/>
      <c r="D4302" s="730" t="s">
        <v>393</v>
      </c>
      <c r="E4302" s="729"/>
      <c r="F4302" s="729"/>
      <c r="G4302" s="729"/>
      <c r="H4302" s="729"/>
      <c r="I4302" s="729"/>
      <c r="J4302" s="729"/>
      <c r="K4302" s="729"/>
      <c r="L4302" s="729"/>
      <c r="M4302" s="729"/>
      <c r="N4302" s="731"/>
    </row>
    <row r="4303" spans="2:14" ht="15" customHeight="1" x14ac:dyDescent="0.25">
      <c r="B4303" s="732" t="s">
        <v>394</v>
      </c>
      <c r="C4303" s="733"/>
      <c r="D4303" s="733"/>
      <c r="E4303" s="733"/>
      <c r="F4303" s="733"/>
      <c r="G4303" s="733"/>
      <c r="H4303" s="733"/>
      <c r="I4303" s="733"/>
      <c r="J4303" s="733"/>
      <c r="K4303" s="733"/>
      <c r="L4303" s="733"/>
      <c r="M4303" s="733"/>
      <c r="N4303" s="734"/>
    </row>
    <row r="4304" spans="2:14" ht="25.15" customHeight="1" x14ac:dyDescent="0.25">
      <c r="B4304" s="735" t="s">
        <v>395</v>
      </c>
      <c r="C4304" s="736"/>
      <c r="D4304" s="737" t="str">
        <f>VLOOKUP(B4306,Buenaventura!A9:G5551,3,FALSE)</f>
        <v>Suministro e instalación de Acople con Válvula de Regulación, para sanitario</v>
      </c>
      <c r="E4304" s="738"/>
      <c r="F4304" s="738"/>
      <c r="G4304" s="738"/>
      <c r="H4304" s="738"/>
      <c r="I4304" s="738"/>
      <c r="J4304" s="738"/>
      <c r="K4304" s="738"/>
      <c r="L4304" s="738"/>
      <c r="M4304" s="738"/>
      <c r="N4304" s="739"/>
    </row>
    <row r="4305" spans="2:14" ht="26.45" customHeight="1" x14ac:dyDescent="0.25">
      <c r="B4305" s="740" t="s">
        <v>26</v>
      </c>
      <c r="C4305" s="741"/>
      <c r="D4305" s="119" t="s">
        <v>396</v>
      </c>
      <c r="E4305" s="742" t="s">
        <v>397</v>
      </c>
      <c r="F4305" s="733"/>
      <c r="G4305" s="733"/>
      <c r="H4305" s="736"/>
      <c r="I4305" s="742" t="s">
        <v>398</v>
      </c>
      <c r="J4305" s="733"/>
      <c r="K4305" s="736"/>
      <c r="L4305" s="742" t="s">
        <v>399</v>
      </c>
      <c r="M4305" s="733"/>
      <c r="N4305" s="734"/>
    </row>
    <row r="4306" spans="2:14" ht="15" customHeight="1" x14ac:dyDescent="0.25">
      <c r="B4306" s="283">
        <v>110</v>
      </c>
      <c r="C4306" s="284" t="str">
        <f>VLOOKUP(B4306,Buenaventura!A9:G5564,2,FALSE)</f>
        <v>IH-16</v>
      </c>
      <c r="D4306" s="285">
        <f>SUM(H4309:H4312)</f>
        <v>5.2</v>
      </c>
      <c r="E4306" s="743" t="str">
        <f>VLOOKUP(B4306,Buenaventura!A9:G5563,4,FALSE)</f>
        <v>UND</v>
      </c>
      <c r="F4306" s="743"/>
      <c r="G4306" s="743"/>
      <c r="H4306" s="743"/>
      <c r="I4306" s="744"/>
      <c r="J4306" s="745"/>
      <c r="K4306" s="741"/>
      <c r="L4306" s="744"/>
      <c r="M4306" s="745"/>
      <c r="N4306" s="752"/>
    </row>
    <row r="4307" spans="2:14" ht="15" customHeight="1" x14ac:dyDescent="0.25">
      <c r="B4307" s="755" t="s">
        <v>416</v>
      </c>
      <c r="C4307" s="733"/>
      <c r="D4307" s="733"/>
      <c r="E4307" s="733"/>
      <c r="F4307" s="733"/>
      <c r="G4307" s="733"/>
      <c r="H4307" s="736"/>
      <c r="I4307" s="746"/>
      <c r="J4307" s="747"/>
      <c r="K4307" s="748"/>
      <c r="L4307" s="746"/>
      <c r="M4307" s="747"/>
      <c r="N4307" s="753"/>
    </row>
    <row r="4308" spans="2:14" ht="15" customHeight="1" x14ac:dyDescent="0.25">
      <c r="B4308" s="121" t="s">
        <v>400</v>
      </c>
      <c r="C4308" s="122" t="s">
        <v>401</v>
      </c>
      <c r="D4308" s="123" t="s">
        <v>402</v>
      </c>
      <c r="E4308" s="123" t="s">
        <v>403</v>
      </c>
      <c r="F4308" s="123" t="s">
        <v>404</v>
      </c>
      <c r="G4308" s="123" t="s">
        <v>405</v>
      </c>
      <c r="H4308" s="123" t="s">
        <v>406</v>
      </c>
      <c r="I4308" s="746"/>
      <c r="J4308" s="747"/>
      <c r="K4308" s="748"/>
      <c r="L4308" s="746"/>
      <c r="M4308" s="747"/>
      <c r="N4308" s="753"/>
    </row>
    <row r="4309" spans="2:14" ht="15" customHeight="1" x14ac:dyDescent="0.25">
      <c r="B4309" s="124"/>
      <c r="C4309" s="145"/>
      <c r="D4309" s="125">
        <v>2</v>
      </c>
      <c r="E4309" s="125">
        <v>2</v>
      </c>
      <c r="F4309" s="125">
        <v>1.3</v>
      </c>
      <c r="G4309" s="125"/>
      <c r="H4309" s="125">
        <f>D4309*E4309*F4309</f>
        <v>5.2</v>
      </c>
      <c r="I4309" s="746"/>
      <c r="J4309" s="747"/>
      <c r="K4309" s="748"/>
      <c r="L4309" s="746"/>
      <c r="M4309" s="747"/>
      <c r="N4309" s="753"/>
    </row>
    <row r="4310" spans="2:14" ht="15" customHeight="1" x14ac:dyDescent="0.25">
      <c r="B4310" s="124"/>
      <c r="C4310" s="145"/>
      <c r="D4310" s="125"/>
      <c r="E4310" s="125"/>
      <c r="F4310" s="125"/>
      <c r="G4310" s="125"/>
      <c r="H4310" s="125"/>
      <c r="I4310" s="746"/>
      <c r="J4310" s="747"/>
      <c r="K4310" s="748"/>
      <c r="L4310" s="746"/>
      <c r="M4310" s="747"/>
      <c r="N4310" s="753"/>
    </row>
    <row r="4311" spans="2:14" ht="15" customHeight="1" x14ac:dyDescent="0.25">
      <c r="B4311" s="165"/>
      <c r="C4311" s="145"/>
      <c r="D4311" s="125"/>
      <c r="E4311" s="125"/>
      <c r="F4311" s="125"/>
      <c r="G4311" s="125"/>
      <c r="H4311" s="125"/>
      <c r="I4311" s="746"/>
      <c r="J4311" s="747"/>
      <c r="K4311" s="748"/>
      <c r="L4311" s="746"/>
      <c r="M4311" s="747"/>
      <c r="N4311" s="753"/>
    </row>
    <row r="4312" spans="2:14" ht="15" customHeight="1" x14ac:dyDescent="0.25">
      <c r="B4312" s="165"/>
      <c r="C4312" s="145"/>
      <c r="D4312" s="125"/>
      <c r="E4312" s="125"/>
      <c r="F4312" s="125"/>
      <c r="G4312" s="125"/>
      <c r="H4312" s="125"/>
      <c r="I4312" s="746"/>
      <c r="J4312" s="747"/>
      <c r="K4312" s="748"/>
      <c r="L4312" s="746"/>
      <c r="M4312" s="747"/>
      <c r="N4312" s="753"/>
    </row>
    <row r="4313" spans="2:14" ht="15" customHeight="1" x14ac:dyDescent="0.25">
      <c r="B4313" s="165"/>
      <c r="C4313" s="145"/>
      <c r="D4313" s="125"/>
      <c r="E4313" s="125"/>
      <c r="F4313" s="125"/>
      <c r="G4313" s="125"/>
      <c r="H4313" s="125"/>
      <c r="I4313" s="746"/>
      <c r="J4313" s="747"/>
      <c r="K4313" s="748"/>
      <c r="L4313" s="746"/>
      <c r="M4313" s="747"/>
      <c r="N4313" s="753"/>
    </row>
    <row r="4314" spans="2:14" ht="15" customHeight="1" x14ac:dyDescent="0.25">
      <c r="B4314" s="165"/>
      <c r="C4314" s="145"/>
      <c r="D4314" s="125"/>
      <c r="E4314" s="125"/>
      <c r="F4314" s="125"/>
      <c r="G4314" s="125"/>
      <c r="H4314" s="125"/>
      <c r="I4314" s="746"/>
      <c r="J4314" s="747"/>
      <c r="K4314" s="748"/>
      <c r="L4314" s="746"/>
      <c r="M4314" s="747"/>
      <c r="N4314" s="753"/>
    </row>
    <row r="4315" spans="2:14" ht="15" customHeight="1" x14ac:dyDescent="0.25">
      <c r="B4315" s="165"/>
      <c r="C4315" s="145"/>
      <c r="D4315" s="125"/>
      <c r="E4315" s="125"/>
      <c r="F4315" s="125"/>
      <c r="G4315" s="125"/>
      <c r="H4315" s="125"/>
      <c r="I4315" s="746"/>
      <c r="J4315" s="747"/>
      <c r="K4315" s="748"/>
      <c r="L4315" s="746"/>
      <c r="M4315" s="747"/>
      <c r="N4315" s="753"/>
    </row>
    <row r="4316" spans="2:14" ht="15" customHeight="1" x14ac:dyDescent="0.25">
      <c r="B4316" s="124"/>
      <c r="C4316" s="145"/>
      <c r="D4316" s="125"/>
      <c r="E4316" s="125"/>
      <c r="F4316" s="125"/>
      <c r="G4316" s="125"/>
      <c r="H4316" s="125"/>
      <c r="I4316" s="746"/>
      <c r="J4316" s="747"/>
      <c r="K4316" s="748"/>
      <c r="L4316" s="746"/>
      <c r="M4316" s="747"/>
      <c r="N4316" s="753"/>
    </row>
    <row r="4317" spans="2:14" ht="15" customHeight="1" x14ac:dyDescent="0.25">
      <c r="B4317" s="124"/>
      <c r="C4317" s="125"/>
      <c r="D4317" s="125"/>
      <c r="E4317" s="125"/>
      <c r="F4317" s="125"/>
      <c r="G4317" s="125"/>
      <c r="H4317" s="125"/>
      <c r="I4317" s="746"/>
      <c r="J4317" s="747"/>
      <c r="K4317" s="748"/>
      <c r="L4317" s="746"/>
      <c r="M4317" s="747"/>
      <c r="N4317" s="753"/>
    </row>
    <row r="4318" spans="2:14" ht="15" customHeight="1" x14ac:dyDescent="0.25">
      <c r="B4318" s="127"/>
      <c r="C4318" s="125"/>
      <c r="D4318" s="125"/>
      <c r="E4318" s="125"/>
      <c r="F4318" s="125"/>
      <c r="G4318" s="125"/>
      <c r="H4318" s="125"/>
      <c r="I4318" s="749"/>
      <c r="J4318" s="750"/>
      <c r="K4318" s="751"/>
      <c r="L4318" s="749"/>
      <c r="M4318" s="750"/>
      <c r="N4318" s="754"/>
    </row>
    <row r="4319" spans="2:14" ht="15" customHeight="1" x14ac:dyDescent="0.25">
      <c r="B4319" s="225"/>
      <c r="C4319" s="128"/>
      <c r="D4319" s="128"/>
      <c r="E4319" s="128"/>
      <c r="F4319" s="128"/>
      <c r="G4319" s="128"/>
      <c r="H4319" s="128"/>
      <c r="I4319" s="128"/>
      <c r="J4319" s="128"/>
      <c r="K4319" s="128"/>
      <c r="L4319" s="118"/>
      <c r="M4319" s="118"/>
      <c r="N4319" s="210"/>
    </row>
    <row r="4320" spans="2:14" ht="15" customHeight="1" x14ac:dyDescent="0.25">
      <c r="B4320" s="209"/>
      <c r="C4320" s="118"/>
      <c r="D4320" s="118"/>
      <c r="E4320" s="118"/>
      <c r="F4320" s="118"/>
      <c r="G4320" s="118"/>
      <c r="H4320" s="118"/>
      <c r="I4320" s="118"/>
      <c r="J4320" s="118"/>
      <c r="K4320" s="118"/>
      <c r="L4320" s="118"/>
      <c r="M4320" s="118"/>
      <c r="N4320" s="210"/>
    </row>
    <row r="4321" spans="2:14" ht="15" customHeight="1" x14ac:dyDescent="0.25">
      <c r="B4321" s="209"/>
      <c r="C4321" s="118"/>
      <c r="D4321" s="118"/>
      <c r="E4321" s="118"/>
      <c r="F4321" s="118"/>
      <c r="G4321" s="118"/>
      <c r="H4321" s="118"/>
      <c r="I4321" s="118"/>
      <c r="J4321" s="118"/>
      <c r="K4321" s="118"/>
      <c r="L4321" s="118"/>
      <c r="M4321" s="118"/>
      <c r="N4321" s="210"/>
    </row>
    <row r="4322" spans="2:14" ht="15" customHeight="1" thickBot="1" x14ac:dyDescent="0.3">
      <c r="B4322" s="725" t="s">
        <v>414</v>
      </c>
      <c r="C4322" s="726"/>
      <c r="D4322" s="726"/>
      <c r="E4322" s="147"/>
      <c r="F4322" s="147"/>
      <c r="G4322" s="147"/>
      <c r="H4322" s="147"/>
      <c r="I4322" s="727"/>
      <c r="J4322" s="726"/>
      <c r="K4322" s="726"/>
      <c r="L4322" s="130"/>
      <c r="M4322" s="130"/>
      <c r="N4322" s="131"/>
    </row>
    <row r="4323" spans="2:14" ht="15" customHeight="1" thickBot="1" x14ac:dyDescent="0.3"/>
    <row r="4324" spans="2:14" ht="36" customHeight="1" x14ac:dyDescent="0.25">
      <c r="B4324" s="728"/>
      <c r="C4324" s="729"/>
      <c r="D4324" s="730" t="s">
        <v>393</v>
      </c>
      <c r="E4324" s="729"/>
      <c r="F4324" s="729"/>
      <c r="G4324" s="729"/>
      <c r="H4324" s="729"/>
      <c r="I4324" s="729"/>
      <c r="J4324" s="729"/>
      <c r="K4324" s="729"/>
      <c r="L4324" s="729"/>
      <c r="M4324" s="729"/>
      <c r="N4324" s="731"/>
    </row>
    <row r="4325" spans="2:14" ht="15" customHeight="1" x14ac:dyDescent="0.25">
      <c r="B4325" s="732" t="s">
        <v>394</v>
      </c>
      <c r="C4325" s="733"/>
      <c r="D4325" s="733"/>
      <c r="E4325" s="733"/>
      <c r="F4325" s="733"/>
      <c r="G4325" s="733"/>
      <c r="H4325" s="733"/>
      <c r="I4325" s="733"/>
      <c r="J4325" s="733"/>
      <c r="K4325" s="733"/>
      <c r="L4325" s="733"/>
      <c r="M4325" s="733"/>
      <c r="N4325" s="734"/>
    </row>
    <row r="4326" spans="2:14" ht="33" customHeight="1" x14ac:dyDescent="0.25">
      <c r="B4326" s="735" t="s">
        <v>395</v>
      </c>
      <c r="C4326" s="736"/>
      <c r="D4326" s="737" t="str">
        <f>VLOOKUP(B4328,Buenaventura!A9:G5573,3,FALSE)</f>
        <v>Suministro e instalación de mesón para lavamanos en mármol, e= 20 mm, ancho de 55 cms, incluye estructura metálica y soporte al muro o similar que garantice estabilidad, babero de 15 cms y salpicadero de 10 cms.</v>
      </c>
      <c r="E4326" s="738"/>
      <c r="F4326" s="738"/>
      <c r="G4326" s="738"/>
      <c r="H4326" s="738"/>
      <c r="I4326" s="738"/>
      <c r="J4326" s="738"/>
      <c r="K4326" s="738"/>
      <c r="L4326" s="738"/>
      <c r="M4326" s="738"/>
      <c r="N4326" s="739"/>
    </row>
    <row r="4327" spans="2:14" ht="30" customHeight="1" x14ac:dyDescent="0.25">
      <c r="B4327" s="740" t="s">
        <v>26</v>
      </c>
      <c r="C4327" s="741"/>
      <c r="D4327" s="119" t="s">
        <v>396</v>
      </c>
      <c r="E4327" s="742" t="s">
        <v>397</v>
      </c>
      <c r="F4327" s="733"/>
      <c r="G4327" s="733"/>
      <c r="H4327" s="736"/>
      <c r="I4327" s="742" t="s">
        <v>398</v>
      </c>
      <c r="J4327" s="733"/>
      <c r="K4327" s="736"/>
      <c r="L4327" s="742" t="s">
        <v>399</v>
      </c>
      <c r="M4327" s="733"/>
      <c r="N4327" s="734"/>
    </row>
    <row r="4328" spans="2:14" ht="15" customHeight="1" x14ac:dyDescent="0.25">
      <c r="B4328" s="283">
        <v>111</v>
      </c>
      <c r="C4328" s="284" t="str">
        <f>VLOOKUP(B4328,Buenaventura!A9:G5586,2,FALSE)</f>
        <v>VA-14</v>
      </c>
      <c r="D4328" s="285">
        <f>SUM(H4331:H4334)</f>
        <v>2</v>
      </c>
      <c r="E4328" s="743" t="str">
        <f>VLOOKUP(B4328,Buenaventura!A9:G5585,4,FALSE)</f>
        <v>ML</v>
      </c>
      <c r="F4328" s="743"/>
      <c r="G4328" s="743"/>
      <c r="H4328" s="743"/>
      <c r="I4328" s="744"/>
      <c r="J4328" s="745"/>
      <c r="K4328" s="741"/>
      <c r="L4328" s="744"/>
      <c r="M4328" s="745"/>
      <c r="N4328" s="752"/>
    </row>
    <row r="4329" spans="2:14" ht="15" customHeight="1" x14ac:dyDescent="0.25">
      <c r="B4329" s="755" t="s">
        <v>416</v>
      </c>
      <c r="C4329" s="733"/>
      <c r="D4329" s="733"/>
      <c r="E4329" s="733"/>
      <c r="F4329" s="733"/>
      <c r="G4329" s="733"/>
      <c r="H4329" s="736"/>
      <c r="I4329" s="746"/>
      <c r="J4329" s="747"/>
      <c r="K4329" s="748"/>
      <c r="L4329" s="746"/>
      <c r="M4329" s="747"/>
      <c r="N4329" s="753"/>
    </row>
    <row r="4330" spans="2:14" ht="15" customHeight="1" x14ac:dyDescent="0.25">
      <c r="B4330" s="121" t="s">
        <v>400</v>
      </c>
      <c r="C4330" s="122" t="s">
        <v>401</v>
      </c>
      <c r="D4330" s="123" t="s">
        <v>402</v>
      </c>
      <c r="E4330" s="123" t="s">
        <v>403</v>
      </c>
      <c r="F4330" s="123" t="s">
        <v>404</v>
      </c>
      <c r="G4330" s="123" t="s">
        <v>405</v>
      </c>
      <c r="H4330" s="123" t="s">
        <v>406</v>
      </c>
      <c r="I4330" s="746"/>
      <c r="J4330" s="747"/>
      <c r="K4330" s="748"/>
      <c r="L4330" s="746"/>
      <c r="M4330" s="747"/>
      <c r="N4330" s="753"/>
    </row>
    <row r="4331" spans="2:14" ht="15" customHeight="1" x14ac:dyDescent="0.25">
      <c r="B4331" s="124"/>
      <c r="C4331" s="145" t="s">
        <v>612</v>
      </c>
      <c r="D4331" s="125">
        <v>2</v>
      </c>
      <c r="E4331" s="125"/>
      <c r="F4331" s="125"/>
      <c r="G4331" s="125"/>
      <c r="H4331" s="125">
        <f>D4331</f>
        <v>2</v>
      </c>
      <c r="I4331" s="746"/>
      <c r="J4331" s="747"/>
      <c r="K4331" s="748"/>
      <c r="L4331" s="746"/>
      <c r="M4331" s="747"/>
      <c r="N4331" s="753"/>
    </row>
    <row r="4332" spans="2:14" ht="15" customHeight="1" x14ac:dyDescent="0.25">
      <c r="B4332" s="124"/>
      <c r="C4332" s="145"/>
      <c r="D4332" s="125"/>
      <c r="E4332" s="125"/>
      <c r="F4332" s="125"/>
      <c r="G4332" s="125"/>
      <c r="H4332" s="125"/>
      <c r="I4332" s="746"/>
      <c r="J4332" s="747"/>
      <c r="K4332" s="748"/>
      <c r="L4332" s="746"/>
      <c r="M4332" s="747"/>
      <c r="N4332" s="753"/>
    </row>
    <row r="4333" spans="2:14" ht="15" customHeight="1" x14ac:dyDescent="0.25">
      <c r="B4333" s="165"/>
      <c r="C4333" s="145"/>
      <c r="D4333" s="125"/>
      <c r="E4333" s="125"/>
      <c r="F4333" s="125"/>
      <c r="G4333" s="125"/>
      <c r="H4333" s="125"/>
      <c r="I4333" s="746"/>
      <c r="J4333" s="747"/>
      <c r="K4333" s="748"/>
      <c r="L4333" s="746"/>
      <c r="M4333" s="747"/>
      <c r="N4333" s="753"/>
    </row>
    <row r="4334" spans="2:14" ht="15" customHeight="1" x14ac:dyDescent="0.25">
      <c r="B4334" s="165"/>
      <c r="C4334" s="145"/>
      <c r="D4334" s="125"/>
      <c r="E4334" s="125"/>
      <c r="F4334" s="125"/>
      <c r="G4334" s="125"/>
      <c r="H4334" s="125"/>
      <c r="I4334" s="746"/>
      <c r="J4334" s="747"/>
      <c r="K4334" s="748"/>
      <c r="L4334" s="746"/>
      <c r="M4334" s="747"/>
      <c r="N4334" s="753"/>
    </row>
    <row r="4335" spans="2:14" ht="15" customHeight="1" x14ac:dyDescent="0.25">
      <c r="B4335" s="165"/>
      <c r="C4335" s="145"/>
      <c r="D4335" s="125"/>
      <c r="E4335" s="125"/>
      <c r="F4335" s="125"/>
      <c r="G4335" s="125"/>
      <c r="H4335" s="125"/>
      <c r="I4335" s="746"/>
      <c r="J4335" s="747"/>
      <c r="K4335" s="748"/>
      <c r="L4335" s="746"/>
      <c r="M4335" s="747"/>
      <c r="N4335" s="753"/>
    </row>
    <row r="4336" spans="2:14" ht="15" customHeight="1" x14ac:dyDescent="0.25">
      <c r="B4336" s="165"/>
      <c r="C4336" s="145"/>
      <c r="D4336" s="125"/>
      <c r="E4336" s="125"/>
      <c r="F4336" s="125"/>
      <c r="G4336" s="125"/>
      <c r="H4336" s="125"/>
      <c r="I4336" s="746"/>
      <c r="J4336" s="747"/>
      <c r="K4336" s="748"/>
      <c r="L4336" s="746"/>
      <c r="M4336" s="747"/>
      <c r="N4336" s="753"/>
    </row>
    <row r="4337" spans="2:14" ht="15" customHeight="1" x14ac:dyDescent="0.25">
      <c r="B4337" s="165"/>
      <c r="C4337" s="145"/>
      <c r="D4337" s="125"/>
      <c r="E4337" s="125"/>
      <c r="F4337" s="125"/>
      <c r="G4337" s="125"/>
      <c r="H4337" s="125"/>
      <c r="I4337" s="746"/>
      <c r="J4337" s="747"/>
      <c r="K4337" s="748"/>
      <c r="L4337" s="746"/>
      <c r="M4337" s="747"/>
      <c r="N4337" s="753"/>
    </row>
    <row r="4338" spans="2:14" ht="15" customHeight="1" x14ac:dyDescent="0.25">
      <c r="B4338" s="124"/>
      <c r="C4338" s="145"/>
      <c r="D4338" s="125"/>
      <c r="E4338" s="125"/>
      <c r="F4338" s="125"/>
      <c r="G4338" s="125"/>
      <c r="H4338" s="125"/>
      <c r="I4338" s="746"/>
      <c r="J4338" s="747"/>
      <c r="K4338" s="748"/>
      <c r="L4338" s="746"/>
      <c r="M4338" s="747"/>
      <c r="N4338" s="753"/>
    </row>
    <row r="4339" spans="2:14" ht="15" customHeight="1" x14ac:dyDescent="0.25">
      <c r="B4339" s="124"/>
      <c r="C4339" s="125"/>
      <c r="D4339" s="125"/>
      <c r="E4339" s="125"/>
      <c r="F4339" s="125"/>
      <c r="G4339" s="125"/>
      <c r="H4339" s="125"/>
      <c r="I4339" s="746"/>
      <c r="J4339" s="747"/>
      <c r="K4339" s="748"/>
      <c r="L4339" s="746"/>
      <c r="M4339" s="747"/>
      <c r="N4339" s="753"/>
    </row>
    <row r="4340" spans="2:14" ht="15" customHeight="1" x14ac:dyDescent="0.25">
      <c r="B4340" s="127"/>
      <c r="C4340" s="125"/>
      <c r="D4340" s="125"/>
      <c r="E4340" s="125"/>
      <c r="F4340" s="125"/>
      <c r="G4340" s="125"/>
      <c r="H4340" s="125"/>
      <c r="I4340" s="749"/>
      <c r="J4340" s="750"/>
      <c r="K4340" s="751"/>
      <c r="L4340" s="749"/>
      <c r="M4340" s="750"/>
      <c r="N4340" s="754"/>
    </row>
    <row r="4341" spans="2:14" ht="15" customHeight="1" x14ac:dyDescent="0.25">
      <c r="B4341" s="225"/>
      <c r="C4341" s="128"/>
      <c r="D4341" s="128"/>
      <c r="E4341" s="128"/>
      <c r="F4341" s="128"/>
      <c r="G4341" s="128"/>
      <c r="H4341" s="128"/>
      <c r="I4341" s="128"/>
      <c r="J4341" s="128"/>
      <c r="K4341" s="128"/>
      <c r="L4341" s="118"/>
      <c r="M4341" s="118"/>
      <c r="N4341" s="210"/>
    </row>
    <row r="4342" spans="2:14" ht="15" customHeight="1" x14ac:dyDescent="0.25">
      <c r="B4342" s="209"/>
      <c r="C4342" s="118"/>
      <c r="D4342" s="118"/>
      <c r="E4342" s="118"/>
      <c r="F4342" s="118"/>
      <c r="G4342" s="118"/>
      <c r="H4342" s="118"/>
      <c r="I4342" s="118"/>
      <c r="J4342" s="118"/>
      <c r="K4342" s="118"/>
      <c r="L4342" s="118"/>
      <c r="M4342" s="118"/>
      <c r="N4342" s="210"/>
    </row>
    <row r="4343" spans="2:14" ht="15" customHeight="1" x14ac:dyDescent="0.25">
      <c r="B4343" s="209"/>
      <c r="C4343" s="118"/>
      <c r="D4343" s="118"/>
      <c r="E4343" s="118"/>
      <c r="F4343" s="118"/>
      <c r="G4343" s="118"/>
      <c r="H4343" s="118"/>
      <c r="I4343" s="118"/>
      <c r="J4343" s="118"/>
      <c r="K4343" s="118"/>
      <c r="L4343" s="118"/>
      <c r="M4343" s="118"/>
      <c r="N4343" s="210"/>
    </row>
    <row r="4344" spans="2:14" ht="15" customHeight="1" thickBot="1" x14ac:dyDescent="0.3">
      <c r="B4344" s="725" t="s">
        <v>414</v>
      </c>
      <c r="C4344" s="726"/>
      <c r="D4344" s="726"/>
      <c r="E4344" s="147"/>
      <c r="F4344" s="147"/>
      <c r="G4344" s="147"/>
      <c r="H4344" s="147"/>
      <c r="I4344" s="727"/>
      <c r="J4344" s="726"/>
      <c r="K4344" s="726"/>
      <c r="L4344" s="130"/>
      <c r="M4344" s="130"/>
      <c r="N4344" s="131"/>
    </row>
    <row r="4345" spans="2:14" ht="15" customHeight="1" thickBot="1" x14ac:dyDescent="0.3"/>
    <row r="4346" spans="2:14" ht="36.6" customHeight="1" x14ac:dyDescent="0.25">
      <c r="B4346" s="728"/>
      <c r="C4346" s="729"/>
      <c r="D4346" s="730" t="s">
        <v>393</v>
      </c>
      <c r="E4346" s="729"/>
      <c r="F4346" s="729"/>
      <c r="G4346" s="729"/>
      <c r="H4346" s="729"/>
      <c r="I4346" s="729"/>
      <c r="J4346" s="729"/>
      <c r="K4346" s="729"/>
      <c r="L4346" s="729"/>
      <c r="M4346" s="729"/>
      <c r="N4346" s="731"/>
    </row>
    <row r="4347" spans="2:14" ht="15" customHeight="1" x14ac:dyDescent="0.25">
      <c r="B4347" s="732" t="s">
        <v>394</v>
      </c>
      <c r="C4347" s="733"/>
      <c r="D4347" s="733"/>
      <c r="E4347" s="733"/>
      <c r="F4347" s="733"/>
      <c r="G4347" s="733"/>
      <c r="H4347" s="733"/>
      <c r="I4347" s="733"/>
      <c r="J4347" s="733"/>
      <c r="K4347" s="733"/>
      <c r="L4347" s="733"/>
      <c r="M4347" s="733"/>
      <c r="N4347" s="734"/>
    </row>
    <row r="4348" spans="2:14" ht="56.25" customHeight="1" x14ac:dyDescent="0.25">
      <c r="B4348" s="735" t="s">
        <v>395</v>
      </c>
      <c r="C4348" s="736"/>
      <c r="D4348" s="737" t="str">
        <f>VLOOKUP(B4350,Buenaventura!A6:G5595,3,FALSE)</f>
        <v>Suministro e instalación de espejo de 4 mm biselado de 2 cm flotante incluye
base en aluminio</v>
      </c>
      <c r="E4348" s="738"/>
      <c r="F4348" s="738"/>
      <c r="G4348" s="738"/>
      <c r="H4348" s="738"/>
      <c r="I4348" s="738"/>
      <c r="J4348" s="738"/>
      <c r="K4348" s="738"/>
      <c r="L4348" s="738"/>
      <c r="M4348" s="738"/>
      <c r="N4348" s="739"/>
    </row>
    <row r="4349" spans="2:14" ht="27.6" customHeight="1" x14ac:dyDescent="0.25">
      <c r="B4349" s="740" t="s">
        <v>26</v>
      </c>
      <c r="C4349" s="741"/>
      <c r="D4349" s="119" t="s">
        <v>396</v>
      </c>
      <c r="E4349" s="742" t="s">
        <v>397</v>
      </c>
      <c r="F4349" s="733"/>
      <c r="G4349" s="733"/>
      <c r="H4349" s="736"/>
      <c r="I4349" s="742" t="s">
        <v>398</v>
      </c>
      <c r="J4349" s="733"/>
      <c r="K4349" s="736"/>
      <c r="L4349" s="742" t="s">
        <v>399</v>
      </c>
      <c r="M4349" s="733"/>
      <c r="N4349" s="734"/>
    </row>
    <row r="4350" spans="2:14" ht="15" customHeight="1" x14ac:dyDescent="0.25">
      <c r="B4350" s="283">
        <v>112</v>
      </c>
      <c r="C4350" s="284" t="str">
        <f>VLOOKUP(B4350,Buenaventura!A9:G5608,2,FALSE)</f>
        <v>AC-36</v>
      </c>
      <c r="D4350" s="285">
        <f>SUM(H4353:H4356)</f>
        <v>2</v>
      </c>
      <c r="E4350" s="743" t="str">
        <f>VLOOKUP(B4350,Buenaventura!A9:G5607,4,FALSE)</f>
        <v>M2</v>
      </c>
      <c r="F4350" s="743"/>
      <c r="G4350" s="743"/>
      <c r="H4350" s="743"/>
      <c r="I4350" s="744"/>
      <c r="J4350" s="745"/>
      <c r="K4350" s="741"/>
      <c r="L4350" s="744"/>
      <c r="M4350" s="745"/>
      <c r="N4350" s="752"/>
    </row>
    <row r="4351" spans="2:14" ht="15" customHeight="1" x14ac:dyDescent="0.25">
      <c r="B4351" s="755" t="s">
        <v>416</v>
      </c>
      <c r="C4351" s="733"/>
      <c r="D4351" s="733"/>
      <c r="E4351" s="733"/>
      <c r="F4351" s="733"/>
      <c r="G4351" s="733"/>
      <c r="H4351" s="736"/>
      <c r="I4351" s="746"/>
      <c r="J4351" s="747"/>
      <c r="K4351" s="748"/>
      <c r="L4351" s="746"/>
      <c r="M4351" s="747"/>
      <c r="N4351" s="753"/>
    </row>
    <row r="4352" spans="2:14" ht="15" customHeight="1" x14ac:dyDescent="0.25">
      <c r="B4352" s="121" t="s">
        <v>400</v>
      </c>
      <c r="C4352" s="122" t="s">
        <v>401</v>
      </c>
      <c r="D4352" s="123" t="s">
        <v>402</v>
      </c>
      <c r="E4352" s="123" t="s">
        <v>403</v>
      </c>
      <c r="F4352" s="123" t="s">
        <v>404</v>
      </c>
      <c r="G4352" s="123" t="s">
        <v>405</v>
      </c>
      <c r="H4352" s="123" t="s">
        <v>406</v>
      </c>
      <c r="I4352" s="746"/>
      <c r="J4352" s="747"/>
      <c r="K4352" s="748"/>
      <c r="L4352" s="746"/>
      <c r="M4352" s="747"/>
      <c r="N4352" s="753"/>
    </row>
    <row r="4353" spans="2:14" ht="15" customHeight="1" x14ac:dyDescent="0.25">
      <c r="B4353" s="124"/>
      <c r="C4353" s="145"/>
      <c r="D4353" s="125">
        <v>2</v>
      </c>
      <c r="E4353" s="125"/>
      <c r="F4353" s="125"/>
      <c r="G4353" s="125"/>
      <c r="H4353" s="125">
        <f>D4353</f>
        <v>2</v>
      </c>
      <c r="I4353" s="746"/>
      <c r="J4353" s="747"/>
      <c r="K4353" s="748"/>
      <c r="L4353" s="746"/>
      <c r="M4353" s="747"/>
      <c r="N4353" s="753"/>
    </row>
    <row r="4354" spans="2:14" ht="15" customHeight="1" x14ac:dyDescent="0.25">
      <c r="B4354" s="124"/>
      <c r="C4354" s="145"/>
      <c r="D4354" s="125"/>
      <c r="E4354" s="125"/>
      <c r="F4354" s="125"/>
      <c r="G4354" s="125"/>
      <c r="H4354" s="125"/>
      <c r="I4354" s="746"/>
      <c r="J4354" s="747"/>
      <c r="K4354" s="748"/>
      <c r="L4354" s="746"/>
      <c r="M4354" s="747"/>
      <c r="N4354" s="753"/>
    </row>
    <row r="4355" spans="2:14" ht="15" customHeight="1" x14ac:dyDescent="0.25">
      <c r="B4355" s="165"/>
      <c r="C4355" s="145"/>
      <c r="D4355" s="125"/>
      <c r="E4355" s="125"/>
      <c r="F4355" s="125"/>
      <c r="G4355" s="125"/>
      <c r="H4355" s="125"/>
      <c r="I4355" s="746"/>
      <c r="J4355" s="747"/>
      <c r="K4355" s="748"/>
      <c r="L4355" s="746"/>
      <c r="M4355" s="747"/>
      <c r="N4355" s="753"/>
    </row>
    <row r="4356" spans="2:14" ht="15" customHeight="1" x14ac:dyDescent="0.25">
      <c r="B4356" s="165"/>
      <c r="C4356" s="145"/>
      <c r="D4356" s="125"/>
      <c r="E4356" s="125"/>
      <c r="F4356" s="125"/>
      <c r="G4356" s="125"/>
      <c r="H4356" s="125"/>
      <c r="I4356" s="746"/>
      <c r="J4356" s="747"/>
      <c r="K4356" s="748"/>
      <c r="L4356" s="746"/>
      <c r="M4356" s="747"/>
      <c r="N4356" s="753"/>
    </row>
    <row r="4357" spans="2:14" ht="15" customHeight="1" x14ac:dyDescent="0.25">
      <c r="B4357" s="165"/>
      <c r="C4357" s="145"/>
      <c r="D4357" s="125"/>
      <c r="E4357" s="125"/>
      <c r="F4357" s="125"/>
      <c r="G4357" s="125"/>
      <c r="H4357" s="125"/>
      <c r="I4357" s="746"/>
      <c r="J4357" s="747"/>
      <c r="K4357" s="748"/>
      <c r="L4357" s="746"/>
      <c r="M4357" s="747"/>
      <c r="N4357" s="753"/>
    </row>
    <row r="4358" spans="2:14" ht="15" customHeight="1" x14ac:dyDescent="0.25">
      <c r="B4358" s="165"/>
      <c r="C4358" s="145"/>
      <c r="D4358" s="125"/>
      <c r="E4358" s="125"/>
      <c r="F4358" s="125"/>
      <c r="G4358" s="125"/>
      <c r="H4358" s="125"/>
      <c r="I4358" s="746"/>
      <c r="J4358" s="747"/>
      <c r="K4358" s="748"/>
      <c r="L4358" s="746"/>
      <c r="M4358" s="747"/>
      <c r="N4358" s="753"/>
    </row>
    <row r="4359" spans="2:14" ht="15" customHeight="1" x14ac:dyDescent="0.25">
      <c r="B4359" s="165"/>
      <c r="C4359" s="145"/>
      <c r="D4359" s="125"/>
      <c r="E4359" s="125"/>
      <c r="F4359" s="125"/>
      <c r="G4359" s="125"/>
      <c r="H4359" s="125"/>
      <c r="I4359" s="746"/>
      <c r="J4359" s="747"/>
      <c r="K4359" s="748"/>
      <c r="L4359" s="746"/>
      <c r="M4359" s="747"/>
      <c r="N4359" s="753"/>
    </row>
    <row r="4360" spans="2:14" ht="15" customHeight="1" x14ac:dyDescent="0.25">
      <c r="B4360" s="124"/>
      <c r="C4360" s="145"/>
      <c r="D4360" s="125"/>
      <c r="E4360" s="125"/>
      <c r="F4360" s="125"/>
      <c r="G4360" s="125"/>
      <c r="H4360" s="125"/>
      <c r="I4360" s="746"/>
      <c r="J4360" s="747"/>
      <c r="K4360" s="748"/>
      <c r="L4360" s="746"/>
      <c r="M4360" s="747"/>
      <c r="N4360" s="753"/>
    </row>
    <row r="4361" spans="2:14" ht="15" customHeight="1" x14ac:dyDescent="0.25">
      <c r="B4361" s="124"/>
      <c r="C4361" s="125"/>
      <c r="D4361" s="125"/>
      <c r="E4361" s="125"/>
      <c r="F4361" s="125"/>
      <c r="G4361" s="125"/>
      <c r="H4361" s="125"/>
      <c r="I4361" s="746"/>
      <c r="J4361" s="747"/>
      <c r="K4361" s="748"/>
      <c r="L4361" s="746"/>
      <c r="M4361" s="747"/>
      <c r="N4361" s="753"/>
    </row>
    <row r="4362" spans="2:14" ht="15" customHeight="1" x14ac:dyDescent="0.25">
      <c r="B4362" s="127"/>
      <c r="C4362" s="125"/>
      <c r="D4362" s="125"/>
      <c r="E4362" s="125"/>
      <c r="F4362" s="125"/>
      <c r="G4362" s="125"/>
      <c r="H4362" s="125"/>
      <c r="I4362" s="749"/>
      <c r="J4362" s="750"/>
      <c r="K4362" s="751"/>
      <c r="L4362" s="749"/>
      <c r="M4362" s="750"/>
      <c r="N4362" s="754"/>
    </row>
    <row r="4363" spans="2:14" ht="15" customHeight="1" x14ac:dyDescent="0.25">
      <c r="B4363" s="225"/>
      <c r="C4363" s="128"/>
      <c r="D4363" s="128"/>
      <c r="E4363" s="128"/>
      <c r="F4363" s="128"/>
      <c r="G4363" s="128"/>
      <c r="H4363" s="128"/>
      <c r="I4363" s="128"/>
      <c r="J4363" s="128"/>
      <c r="K4363" s="128"/>
      <c r="L4363" s="118"/>
      <c r="M4363" s="118"/>
      <c r="N4363" s="210"/>
    </row>
    <row r="4364" spans="2:14" ht="15" customHeight="1" x14ac:dyDescent="0.25">
      <c r="B4364" s="209"/>
      <c r="C4364" s="118"/>
      <c r="D4364" s="118"/>
      <c r="E4364" s="118"/>
      <c r="F4364" s="118"/>
      <c r="G4364" s="118"/>
      <c r="H4364" s="118"/>
      <c r="I4364" s="118"/>
      <c r="J4364" s="118"/>
      <c r="K4364" s="118"/>
      <c r="L4364" s="118"/>
      <c r="M4364" s="118"/>
      <c r="N4364" s="210"/>
    </row>
    <row r="4365" spans="2:14" ht="15" customHeight="1" x14ac:dyDescent="0.25">
      <c r="B4365" s="209"/>
      <c r="C4365" s="118"/>
      <c r="D4365" s="118"/>
      <c r="E4365" s="118"/>
      <c r="F4365" s="118"/>
      <c r="G4365" s="118"/>
      <c r="H4365" s="118"/>
      <c r="I4365" s="118"/>
      <c r="J4365" s="118"/>
      <c r="K4365" s="118"/>
      <c r="L4365" s="118"/>
      <c r="M4365" s="118"/>
      <c r="N4365" s="210"/>
    </row>
    <row r="4366" spans="2:14" ht="15" customHeight="1" thickBot="1" x14ac:dyDescent="0.3">
      <c r="B4366" s="725" t="s">
        <v>414</v>
      </c>
      <c r="C4366" s="726"/>
      <c r="D4366" s="726"/>
      <c r="E4366" s="147"/>
      <c r="F4366" s="147"/>
      <c r="G4366" s="147"/>
      <c r="H4366" s="147"/>
      <c r="I4366" s="727"/>
      <c r="J4366" s="726"/>
      <c r="K4366" s="726"/>
      <c r="L4366" s="130"/>
      <c r="M4366" s="130"/>
      <c r="N4366" s="131"/>
    </row>
    <row r="4367" spans="2:14" ht="15" customHeight="1" thickBot="1" x14ac:dyDescent="0.3"/>
    <row r="4368" spans="2:14" ht="41.45" customHeight="1" x14ac:dyDescent="0.25">
      <c r="B4368" s="728"/>
      <c r="C4368" s="729"/>
      <c r="D4368" s="730" t="s">
        <v>393</v>
      </c>
      <c r="E4368" s="729"/>
      <c r="F4368" s="729"/>
      <c r="G4368" s="729"/>
      <c r="H4368" s="729"/>
      <c r="I4368" s="729"/>
      <c r="J4368" s="729"/>
      <c r="K4368" s="729"/>
      <c r="L4368" s="729"/>
      <c r="M4368" s="729"/>
      <c r="N4368" s="731"/>
    </row>
    <row r="4369" spans="2:14" ht="15" customHeight="1" x14ac:dyDescent="0.25">
      <c r="B4369" s="732" t="s">
        <v>394</v>
      </c>
      <c r="C4369" s="733"/>
      <c r="D4369" s="733"/>
      <c r="E4369" s="733"/>
      <c r="F4369" s="733"/>
      <c r="G4369" s="733"/>
      <c r="H4369" s="733"/>
      <c r="I4369" s="733"/>
      <c r="J4369" s="733"/>
      <c r="K4369" s="733"/>
      <c r="L4369" s="733"/>
      <c r="M4369" s="733"/>
      <c r="N4369" s="734"/>
    </row>
    <row r="4370" spans="2:14" ht="39" customHeight="1" x14ac:dyDescent="0.25">
      <c r="B4370" s="735" t="s">
        <v>395</v>
      </c>
      <c r="C4370" s="736"/>
      <c r="D4370" s="737" t="str">
        <f>VLOOKUP(B4372,Buenaventura!A9:G5617,3,FALSE)</f>
        <v>Suministro e instalación puerta entamborada cuyas medidas oscilan entre de 80 cms -90cm de ancho, altura 200cm, incluye marco y chapa</v>
      </c>
      <c r="E4370" s="738"/>
      <c r="F4370" s="738"/>
      <c r="G4370" s="738"/>
      <c r="H4370" s="738"/>
      <c r="I4370" s="738"/>
      <c r="J4370" s="738"/>
      <c r="K4370" s="738"/>
      <c r="L4370" s="738"/>
      <c r="M4370" s="738"/>
      <c r="N4370" s="739"/>
    </row>
    <row r="4371" spans="2:14" ht="30.6" customHeight="1" x14ac:dyDescent="0.25">
      <c r="B4371" s="740" t="s">
        <v>26</v>
      </c>
      <c r="C4371" s="741"/>
      <c r="D4371" s="119" t="s">
        <v>396</v>
      </c>
      <c r="E4371" s="742" t="s">
        <v>397</v>
      </c>
      <c r="F4371" s="733"/>
      <c r="G4371" s="733"/>
      <c r="H4371" s="736"/>
      <c r="I4371" s="742" t="s">
        <v>398</v>
      </c>
      <c r="J4371" s="733"/>
      <c r="K4371" s="736"/>
      <c r="L4371" s="742" t="s">
        <v>399</v>
      </c>
      <c r="M4371" s="733"/>
      <c r="N4371" s="734"/>
    </row>
    <row r="4372" spans="2:14" ht="15" customHeight="1" x14ac:dyDescent="0.25">
      <c r="B4372" s="283">
        <v>113</v>
      </c>
      <c r="C4372" s="284" t="str">
        <f>VLOOKUP(B4372,Buenaventura!A9:G5630,2,FALSE)</f>
        <v>CA-01</v>
      </c>
      <c r="D4372" s="285">
        <f>SUM(H4375:H4378)</f>
        <v>1</v>
      </c>
      <c r="E4372" s="743" t="str">
        <f>VLOOKUP(B4372,Buenaventura!A9:G5629,4,FALSE)</f>
        <v>UND</v>
      </c>
      <c r="F4372" s="743"/>
      <c r="G4372" s="743"/>
      <c r="H4372" s="743"/>
      <c r="I4372" s="744"/>
      <c r="J4372" s="745"/>
      <c r="K4372" s="741"/>
      <c r="L4372" s="744"/>
      <c r="M4372" s="745"/>
      <c r="N4372" s="752"/>
    </row>
    <row r="4373" spans="2:14" ht="15" customHeight="1" x14ac:dyDescent="0.25">
      <c r="B4373" s="755" t="s">
        <v>416</v>
      </c>
      <c r="C4373" s="733"/>
      <c r="D4373" s="733"/>
      <c r="E4373" s="733"/>
      <c r="F4373" s="733"/>
      <c r="G4373" s="733"/>
      <c r="H4373" s="736"/>
      <c r="I4373" s="746"/>
      <c r="J4373" s="747"/>
      <c r="K4373" s="748"/>
      <c r="L4373" s="746"/>
      <c r="M4373" s="747"/>
      <c r="N4373" s="753"/>
    </row>
    <row r="4374" spans="2:14" ht="15" customHeight="1" x14ac:dyDescent="0.25">
      <c r="B4374" s="121" t="s">
        <v>400</v>
      </c>
      <c r="C4374" s="122" t="s">
        <v>401</v>
      </c>
      <c r="D4374" s="123" t="s">
        <v>402</v>
      </c>
      <c r="E4374" s="123" t="s">
        <v>403</v>
      </c>
      <c r="F4374" s="123" t="s">
        <v>404</v>
      </c>
      <c r="G4374" s="123" t="s">
        <v>405</v>
      </c>
      <c r="H4374" s="123" t="s">
        <v>406</v>
      </c>
      <c r="I4374" s="746"/>
      <c r="J4374" s="747"/>
      <c r="K4374" s="748"/>
      <c r="L4374" s="746"/>
      <c r="M4374" s="747"/>
      <c r="N4374" s="753"/>
    </row>
    <row r="4375" spans="2:14" ht="15" customHeight="1" x14ac:dyDescent="0.25">
      <c r="B4375" s="124"/>
      <c r="C4375" s="145"/>
      <c r="D4375" s="125">
        <v>1</v>
      </c>
      <c r="E4375" s="125"/>
      <c r="F4375" s="125"/>
      <c r="G4375" s="125"/>
      <c r="H4375" s="125">
        <f>D4375</f>
        <v>1</v>
      </c>
      <c r="I4375" s="746"/>
      <c r="J4375" s="747"/>
      <c r="K4375" s="748"/>
      <c r="L4375" s="746"/>
      <c r="M4375" s="747"/>
      <c r="N4375" s="753"/>
    </row>
    <row r="4376" spans="2:14" ht="15" customHeight="1" x14ac:dyDescent="0.25">
      <c r="B4376" s="124"/>
      <c r="C4376" s="145"/>
      <c r="D4376" s="125"/>
      <c r="E4376" s="125"/>
      <c r="F4376" s="125"/>
      <c r="G4376" s="125"/>
      <c r="H4376" s="125"/>
      <c r="I4376" s="746"/>
      <c r="J4376" s="747"/>
      <c r="K4376" s="748"/>
      <c r="L4376" s="746"/>
      <c r="M4376" s="747"/>
      <c r="N4376" s="753"/>
    </row>
    <row r="4377" spans="2:14" ht="15" customHeight="1" x14ac:dyDescent="0.25">
      <c r="B4377" s="165"/>
      <c r="C4377" s="145"/>
      <c r="D4377" s="125"/>
      <c r="E4377" s="125"/>
      <c r="F4377" s="125"/>
      <c r="G4377" s="125"/>
      <c r="H4377" s="125"/>
      <c r="I4377" s="746"/>
      <c r="J4377" s="747"/>
      <c r="K4377" s="748"/>
      <c r="L4377" s="746"/>
      <c r="M4377" s="747"/>
      <c r="N4377" s="753"/>
    </row>
    <row r="4378" spans="2:14" ht="15" customHeight="1" x14ac:dyDescent="0.25">
      <c r="B4378" s="165"/>
      <c r="C4378" s="145"/>
      <c r="D4378" s="125"/>
      <c r="E4378" s="125"/>
      <c r="F4378" s="125"/>
      <c r="G4378" s="125"/>
      <c r="H4378" s="125"/>
      <c r="I4378" s="746"/>
      <c r="J4378" s="747"/>
      <c r="K4378" s="748"/>
      <c r="L4378" s="746"/>
      <c r="M4378" s="747"/>
      <c r="N4378" s="753"/>
    </row>
    <row r="4379" spans="2:14" ht="15" customHeight="1" x14ac:dyDescent="0.25">
      <c r="B4379" s="165"/>
      <c r="C4379" s="145"/>
      <c r="D4379" s="125"/>
      <c r="E4379" s="125"/>
      <c r="F4379" s="125"/>
      <c r="G4379" s="125"/>
      <c r="H4379" s="125"/>
      <c r="I4379" s="746"/>
      <c r="J4379" s="747"/>
      <c r="K4379" s="748"/>
      <c r="L4379" s="746"/>
      <c r="M4379" s="747"/>
      <c r="N4379" s="753"/>
    </row>
    <row r="4380" spans="2:14" ht="15" customHeight="1" x14ac:dyDescent="0.25">
      <c r="B4380" s="165"/>
      <c r="C4380" s="145"/>
      <c r="D4380" s="125"/>
      <c r="E4380" s="125"/>
      <c r="F4380" s="125"/>
      <c r="G4380" s="125"/>
      <c r="H4380" s="125"/>
      <c r="I4380" s="746"/>
      <c r="J4380" s="747"/>
      <c r="K4380" s="748"/>
      <c r="L4380" s="746"/>
      <c r="M4380" s="747"/>
      <c r="N4380" s="753"/>
    </row>
    <row r="4381" spans="2:14" ht="15" customHeight="1" x14ac:dyDescent="0.25">
      <c r="B4381" s="165"/>
      <c r="C4381" s="145"/>
      <c r="D4381" s="125"/>
      <c r="E4381" s="125"/>
      <c r="F4381" s="125"/>
      <c r="G4381" s="125"/>
      <c r="H4381" s="125"/>
      <c r="I4381" s="746"/>
      <c r="J4381" s="747"/>
      <c r="K4381" s="748"/>
      <c r="L4381" s="746"/>
      <c r="M4381" s="747"/>
      <c r="N4381" s="753"/>
    </row>
    <row r="4382" spans="2:14" ht="15" customHeight="1" x14ac:dyDescent="0.25">
      <c r="B4382" s="124"/>
      <c r="C4382" s="145"/>
      <c r="D4382" s="125"/>
      <c r="E4382" s="125"/>
      <c r="F4382" s="125"/>
      <c r="G4382" s="125"/>
      <c r="H4382" s="125"/>
      <c r="I4382" s="746"/>
      <c r="J4382" s="747"/>
      <c r="K4382" s="748"/>
      <c r="L4382" s="746"/>
      <c r="M4382" s="747"/>
      <c r="N4382" s="753"/>
    </row>
    <row r="4383" spans="2:14" ht="15" customHeight="1" x14ac:dyDescent="0.25">
      <c r="B4383" s="124"/>
      <c r="C4383" s="125"/>
      <c r="D4383" s="125"/>
      <c r="E4383" s="125"/>
      <c r="F4383" s="125"/>
      <c r="G4383" s="125"/>
      <c r="H4383" s="125"/>
      <c r="I4383" s="746"/>
      <c r="J4383" s="747"/>
      <c r="K4383" s="748"/>
      <c r="L4383" s="746"/>
      <c r="M4383" s="747"/>
      <c r="N4383" s="753"/>
    </row>
    <row r="4384" spans="2:14" ht="15" customHeight="1" x14ac:dyDescent="0.25">
      <c r="B4384" s="127"/>
      <c r="C4384" s="125"/>
      <c r="D4384" s="125"/>
      <c r="E4384" s="125"/>
      <c r="F4384" s="125"/>
      <c r="G4384" s="125"/>
      <c r="H4384" s="125"/>
      <c r="I4384" s="749"/>
      <c r="J4384" s="750"/>
      <c r="K4384" s="751"/>
      <c r="L4384" s="749"/>
      <c r="M4384" s="750"/>
      <c r="N4384" s="754"/>
    </row>
    <row r="4385" spans="2:14" ht="15" customHeight="1" x14ac:dyDescent="0.25">
      <c r="B4385" s="225"/>
      <c r="C4385" s="128"/>
      <c r="D4385" s="128"/>
      <c r="E4385" s="128"/>
      <c r="F4385" s="128"/>
      <c r="G4385" s="128"/>
      <c r="H4385" s="128"/>
      <c r="I4385" s="128"/>
      <c r="J4385" s="128"/>
      <c r="K4385" s="128"/>
      <c r="L4385" s="118"/>
      <c r="M4385" s="118"/>
      <c r="N4385" s="210"/>
    </row>
    <row r="4386" spans="2:14" ht="15" customHeight="1" x14ac:dyDescent="0.25">
      <c r="B4386" s="209"/>
      <c r="C4386" s="118"/>
      <c r="D4386" s="118"/>
      <c r="E4386" s="118"/>
      <c r="F4386" s="118"/>
      <c r="G4386" s="118"/>
      <c r="H4386" s="118"/>
      <c r="I4386" s="118"/>
      <c r="J4386" s="118"/>
      <c r="K4386" s="118"/>
      <c r="L4386" s="118"/>
      <c r="M4386" s="118"/>
      <c r="N4386" s="210"/>
    </row>
    <row r="4387" spans="2:14" ht="15" customHeight="1" x14ac:dyDescent="0.25">
      <c r="B4387" s="209"/>
      <c r="C4387" s="118"/>
      <c r="D4387" s="118"/>
      <c r="E4387" s="118"/>
      <c r="F4387" s="118"/>
      <c r="G4387" s="118"/>
      <c r="H4387" s="118"/>
      <c r="I4387" s="118"/>
      <c r="J4387" s="118"/>
      <c r="K4387" s="118"/>
      <c r="L4387" s="118"/>
      <c r="M4387" s="118"/>
      <c r="N4387" s="210"/>
    </row>
    <row r="4388" spans="2:14" ht="15" customHeight="1" thickBot="1" x14ac:dyDescent="0.3">
      <c r="B4388" s="725" t="s">
        <v>414</v>
      </c>
      <c r="C4388" s="726"/>
      <c r="D4388" s="726"/>
      <c r="E4388" s="147"/>
      <c r="F4388" s="147"/>
      <c r="G4388" s="147"/>
      <c r="H4388" s="147"/>
      <c r="I4388" s="727"/>
      <c r="J4388" s="726"/>
      <c r="K4388" s="726"/>
      <c r="L4388" s="130"/>
      <c r="M4388" s="130"/>
      <c r="N4388" s="131"/>
    </row>
    <row r="4389" spans="2:14" ht="15" customHeight="1" thickBot="1" x14ac:dyDescent="0.3"/>
    <row r="4390" spans="2:14" ht="35.450000000000003" customHeight="1" x14ac:dyDescent="0.25">
      <c r="B4390" s="728"/>
      <c r="C4390" s="729"/>
      <c r="D4390" s="730" t="s">
        <v>393</v>
      </c>
      <c r="E4390" s="729"/>
      <c r="F4390" s="729"/>
      <c r="G4390" s="729"/>
      <c r="H4390" s="729"/>
      <c r="I4390" s="729"/>
      <c r="J4390" s="729"/>
      <c r="K4390" s="729"/>
      <c r="L4390" s="729"/>
      <c r="M4390" s="729"/>
      <c r="N4390" s="731"/>
    </row>
    <row r="4391" spans="2:14" ht="15" customHeight="1" x14ac:dyDescent="0.25">
      <c r="B4391" s="732" t="s">
        <v>394</v>
      </c>
      <c r="C4391" s="733"/>
      <c r="D4391" s="733"/>
      <c r="E4391" s="733"/>
      <c r="F4391" s="733"/>
      <c r="G4391" s="733"/>
      <c r="H4391" s="733"/>
      <c r="I4391" s="733"/>
      <c r="J4391" s="733"/>
      <c r="K4391" s="733"/>
      <c r="L4391" s="733"/>
      <c r="M4391" s="733"/>
      <c r="N4391" s="734"/>
    </row>
    <row r="4392" spans="2:14" ht="30" customHeight="1" x14ac:dyDescent="0.25">
      <c r="B4392" s="735" t="s">
        <v>395</v>
      </c>
      <c r="C4392" s="736"/>
      <c r="D4392" s="737" t="str">
        <f>VLOOKUP(B4394,Buenaventura!A9:G5639,3,FALSE)</f>
        <v xml:space="preserve">Suministro e instalación de división en aluminio para baños   cuyas medidas estan entre 1.21m y 1,50 m x 2 mts, fabricados en tubular t77 (2.5x2.5), paneles f06 de 7.06 cm, platina de ensamble ai5, ángulo 1/2, y demás accesorios para su correcta instalación.
</v>
      </c>
      <c r="E4392" s="738"/>
      <c r="F4392" s="738"/>
      <c r="G4392" s="738"/>
      <c r="H4392" s="738"/>
      <c r="I4392" s="738"/>
      <c r="J4392" s="738"/>
      <c r="K4392" s="738"/>
      <c r="L4392" s="738"/>
      <c r="M4392" s="738"/>
      <c r="N4392" s="739"/>
    </row>
    <row r="4393" spans="2:14" ht="29.45" customHeight="1" x14ac:dyDescent="0.25">
      <c r="B4393" s="740" t="s">
        <v>26</v>
      </c>
      <c r="C4393" s="741"/>
      <c r="D4393" s="119" t="s">
        <v>396</v>
      </c>
      <c r="E4393" s="742" t="s">
        <v>397</v>
      </c>
      <c r="F4393" s="733"/>
      <c r="G4393" s="733"/>
      <c r="H4393" s="736"/>
      <c r="I4393" s="742" t="s">
        <v>398</v>
      </c>
      <c r="J4393" s="733"/>
      <c r="K4393" s="736"/>
      <c r="L4393" s="742" t="s">
        <v>399</v>
      </c>
      <c r="M4393" s="733"/>
      <c r="N4393" s="734"/>
    </row>
    <row r="4394" spans="2:14" ht="15" customHeight="1" x14ac:dyDescent="0.25">
      <c r="B4394" s="283">
        <v>114</v>
      </c>
      <c r="C4394" s="284" t="str">
        <f>VLOOKUP(B4394,Buenaventura!A9:G5652,2,FALSE)</f>
        <v>CA-37</v>
      </c>
      <c r="D4394" s="285">
        <f>SUM(H4397:H4400)</f>
        <v>2</v>
      </c>
      <c r="E4394" s="743" t="str">
        <f>VLOOKUP(B4394,Buenaventura!A9:G5651,4,FALSE)</f>
        <v>UND</v>
      </c>
      <c r="F4394" s="743"/>
      <c r="G4394" s="743"/>
      <c r="H4394" s="743"/>
      <c r="I4394" s="744"/>
      <c r="J4394" s="745"/>
      <c r="K4394" s="741"/>
      <c r="L4394" s="744"/>
      <c r="M4394" s="745"/>
      <c r="N4394" s="752"/>
    </row>
    <row r="4395" spans="2:14" ht="15" customHeight="1" x14ac:dyDescent="0.25">
      <c r="B4395" s="755" t="s">
        <v>416</v>
      </c>
      <c r="C4395" s="733"/>
      <c r="D4395" s="733"/>
      <c r="E4395" s="733"/>
      <c r="F4395" s="733"/>
      <c r="G4395" s="733"/>
      <c r="H4395" s="736"/>
      <c r="I4395" s="746"/>
      <c r="J4395" s="747"/>
      <c r="K4395" s="748"/>
      <c r="L4395" s="746"/>
      <c r="M4395" s="747"/>
      <c r="N4395" s="753"/>
    </row>
    <row r="4396" spans="2:14" ht="15" customHeight="1" x14ac:dyDescent="0.25">
      <c r="B4396" s="121" t="s">
        <v>400</v>
      </c>
      <c r="C4396" s="122" t="s">
        <v>401</v>
      </c>
      <c r="D4396" s="123" t="s">
        <v>402</v>
      </c>
      <c r="E4396" s="123" t="s">
        <v>403</v>
      </c>
      <c r="F4396" s="123" t="s">
        <v>404</v>
      </c>
      <c r="G4396" s="123" t="s">
        <v>405</v>
      </c>
      <c r="H4396" s="123" t="s">
        <v>406</v>
      </c>
      <c r="I4396" s="746"/>
      <c r="J4396" s="747"/>
      <c r="K4396" s="748"/>
      <c r="L4396" s="746"/>
      <c r="M4396" s="747"/>
      <c r="N4396" s="753"/>
    </row>
    <row r="4397" spans="2:14" ht="15" customHeight="1" x14ac:dyDescent="0.25">
      <c r="B4397" s="124"/>
      <c r="C4397" s="145"/>
      <c r="D4397" s="125">
        <v>2</v>
      </c>
      <c r="E4397" s="125"/>
      <c r="F4397" s="125"/>
      <c r="G4397" s="125"/>
      <c r="H4397" s="125">
        <f>D4397</f>
        <v>2</v>
      </c>
      <c r="I4397" s="746"/>
      <c r="J4397" s="747"/>
      <c r="K4397" s="748"/>
      <c r="L4397" s="746"/>
      <c r="M4397" s="747"/>
      <c r="N4397" s="753"/>
    </row>
    <row r="4398" spans="2:14" ht="15" customHeight="1" x14ac:dyDescent="0.25">
      <c r="B4398" s="124"/>
      <c r="C4398" s="145"/>
      <c r="D4398" s="125"/>
      <c r="E4398" s="125"/>
      <c r="F4398" s="125"/>
      <c r="G4398" s="125"/>
      <c r="H4398" s="125"/>
      <c r="I4398" s="746"/>
      <c r="J4398" s="747"/>
      <c r="K4398" s="748"/>
      <c r="L4398" s="746"/>
      <c r="M4398" s="747"/>
      <c r="N4398" s="753"/>
    </row>
    <row r="4399" spans="2:14" ht="15" customHeight="1" x14ac:dyDescent="0.25">
      <c r="B4399" s="165"/>
      <c r="C4399" s="145"/>
      <c r="D4399" s="125"/>
      <c r="E4399" s="125"/>
      <c r="F4399" s="125"/>
      <c r="G4399" s="125"/>
      <c r="H4399" s="125"/>
      <c r="I4399" s="746"/>
      <c r="J4399" s="747"/>
      <c r="K4399" s="748"/>
      <c r="L4399" s="746"/>
      <c r="M4399" s="747"/>
      <c r="N4399" s="753"/>
    </row>
    <row r="4400" spans="2:14" ht="15" customHeight="1" x14ac:dyDescent="0.25">
      <c r="B4400" s="165"/>
      <c r="C4400" s="145"/>
      <c r="D4400" s="125"/>
      <c r="E4400" s="125"/>
      <c r="F4400" s="125"/>
      <c r="G4400" s="125"/>
      <c r="H4400" s="125"/>
      <c r="I4400" s="746"/>
      <c r="J4400" s="747"/>
      <c r="K4400" s="748"/>
      <c r="L4400" s="746"/>
      <c r="M4400" s="747"/>
      <c r="N4400" s="753"/>
    </row>
    <row r="4401" spans="2:14" ht="15" customHeight="1" x14ac:dyDescent="0.25">
      <c r="B4401" s="165"/>
      <c r="C4401" s="145"/>
      <c r="D4401" s="125"/>
      <c r="E4401" s="125"/>
      <c r="F4401" s="125"/>
      <c r="G4401" s="125"/>
      <c r="H4401" s="125"/>
      <c r="I4401" s="746"/>
      <c r="J4401" s="747"/>
      <c r="K4401" s="748"/>
      <c r="L4401" s="746"/>
      <c r="M4401" s="747"/>
      <c r="N4401" s="753"/>
    </row>
    <row r="4402" spans="2:14" ht="15" customHeight="1" x14ac:dyDescent="0.25">
      <c r="B4402" s="165"/>
      <c r="C4402" s="145"/>
      <c r="D4402" s="125"/>
      <c r="E4402" s="125"/>
      <c r="F4402" s="125"/>
      <c r="G4402" s="125"/>
      <c r="H4402" s="125"/>
      <c r="I4402" s="746"/>
      <c r="J4402" s="747"/>
      <c r="K4402" s="748"/>
      <c r="L4402" s="746"/>
      <c r="M4402" s="747"/>
      <c r="N4402" s="753"/>
    </row>
    <row r="4403" spans="2:14" ht="15" customHeight="1" x14ac:dyDescent="0.25">
      <c r="B4403" s="165"/>
      <c r="C4403" s="145"/>
      <c r="D4403" s="125"/>
      <c r="E4403" s="125"/>
      <c r="F4403" s="125"/>
      <c r="G4403" s="125"/>
      <c r="H4403" s="125"/>
      <c r="I4403" s="746"/>
      <c r="J4403" s="747"/>
      <c r="K4403" s="748"/>
      <c r="L4403" s="746"/>
      <c r="M4403" s="747"/>
      <c r="N4403" s="753"/>
    </row>
    <row r="4404" spans="2:14" ht="15" customHeight="1" x14ac:dyDescent="0.25">
      <c r="B4404" s="124"/>
      <c r="C4404" s="145"/>
      <c r="D4404" s="125"/>
      <c r="E4404" s="125"/>
      <c r="F4404" s="125"/>
      <c r="G4404" s="125"/>
      <c r="H4404" s="125"/>
      <c r="I4404" s="746"/>
      <c r="J4404" s="747"/>
      <c r="K4404" s="748"/>
      <c r="L4404" s="746"/>
      <c r="M4404" s="747"/>
      <c r="N4404" s="753"/>
    </row>
    <row r="4405" spans="2:14" ht="15" customHeight="1" x14ac:dyDescent="0.25">
      <c r="B4405" s="124"/>
      <c r="C4405" s="125"/>
      <c r="D4405" s="125"/>
      <c r="E4405" s="125"/>
      <c r="F4405" s="125"/>
      <c r="G4405" s="125"/>
      <c r="H4405" s="125"/>
      <c r="I4405" s="746"/>
      <c r="J4405" s="747"/>
      <c r="K4405" s="748"/>
      <c r="L4405" s="746"/>
      <c r="M4405" s="747"/>
      <c r="N4405" s="753"/>
    </row>
    <row r="4406" spans="2:14" ht="15" customHeight="1" x14ac:dyDescent="0.25">
      <c r="B4406" s="127"/>
      <c r="C4406" s="125"/>
      <c r="D4406" s="125"/>
      <c r="E4406" s="125"/>
      <c r="F4406" s="125"/>
      <c r="G4406" s="125"/>
      <c r="H4406" s="125"/>
      <c r="I4406" s="749"/>
      <c r="J4406" s="750"/>
      <c r="K4406" s="751"/>
      <c r="L4406" s="749"/>
      <c r="M4406" s="750"/>
      <c r="N4406" s="754"/>
    </row>
    <row r="4407" spans="2:14" ht="15" customHeight="1" x14ac:dyDescent="0.25">
      <c r="B4407" s="225"/>
      <c r="C4407" s="128"/>
      <c r="D4407" s="128"/>
      <c r="E4407" s="128"/>
      <c r="F4407" s="128"/>
      <c r="G4407" s="128"/>
      <c r="H4407" s="128"/>
      <c r="I4407" s="128"/>
      <c r="J4407" s="128"/>
      <c r="K4407" s="128"/>
      <c r="L4407" s="118"/>
      <c r="M4407" s="118"/>
      <c r="N4407" s="210"/>
    </row>
    <row r="4408" spans="2:14" ht="15" customHeight="1" x14ac:dyDescent="0.25">
      <c r="B4408" s="209"/>
      <c r="C4408" s="118"/>
      <c r="D4408" s="118"/>
      <c r="E4408" s="118"/>
      <c r="F4408" s="118"/>
      <c r="G4408" s="118"/>
      <c r="H4408" s="118"/>
      <c r="I4408" s="118"/>
      <c r="J4408" s="118"/>
      <c r="K4408" s="118"/>
      <c r="L4408" s="118"/>
      <c r="M4408" s="118"/>
      <c r="N4408" s="210"/>
    </row>
    <row r="4409" spans="2:14" ht="15" customHeight="1" x14ac:dyDescent="0.25">
      <c r="B4409" s="209"/>
      <c r="C4409" s="118"/>
      <c r="D4409" s="118"/>
      <c r="E4409" s="118"/>
      <c r="F4409" s="118"/>
      <c r="G4409" s="118"/>
      <c r="H4409" s="118"/>
      <c r="I4409" s="118"/>
      <c r="J4409" s="118"/>
      <c r="K4409" s="118"/>
      <c r="L4409" s="118"/>
      <c r="M4409" s="118"/>
      <c r="N4409" s="210"/>
    </row>
    <row r="4410" spans="2:14" ht="15" customHeight="1" thickBot="1" x14ac:dyDescent="0.3">
      <c r="B4410" s="725" t="s">
        <v>414</v>
      </c>
      <c r="C4410" s="726"/>
      <c r="D4410" s="726"/>
      <c r="E4410" s="147"/>
      <c r="F4410" s="147"/>
      <c r="G4410" s="147"/>
      <c r="H4410" s="147"/>
      <c r="I4410" s="727"/>
      <c r="J4410" s="726"/>
      <c r="K4410" s="726"/>
      <c r="L4410" s="130"/>
      <c r="M4410" s="130"/>
      <c r="N4410" s="131"/>
    </row>
    <row r="4411" spans="2:14" ht="15" customHeight="1" thickBot="1" x14ac:dyDescent="0.3"/>
    <row r="4412" spans="2:14" ht="38.450000000000003" customHeight="1" x14ac:dyDescent="0.25">
      <c r="B4412" s="728"/>
      <c r="C4412" s="729"/>
      <c r="D4412" s="730" t="s">
        <v>393</v>
      </c>
      <c r="E4412" s="729"/>
      <c r="F4412" s="729"/>
      <c r="G4412" s="729"/>
      <c r="H4412" s="729"/>
      <c r="I4412" s="729"/>
      <c r="J4412" s="729"/>
      <c r="K4412" s="729"/>
      <c r="L4412" s="729"/>
      <c r="M4412" s="729"/>
      <c r="N4412" s="731"/>
    </row>
    <row r="4413" spans="2:14" ht="15" customHeight="1" x14ac:dyDescent="0.25">
      <c r="B4413" s="732" t="s">
        <v>394</v>
      </c>
      <c r="C4413" s="733"/>
      <c r="D4413" s="733"/>
      <c r="E4413" s="733"/>
      <c r="F4413" s="733"/>
      <c r="G4413" s="733"/>
      <c r="H4413" s="733"/>
      <c r="I4413" s="733"/>
      <c r="J4413" s="733"/>
      <c r="K4413" s="733"/>
      <c r="L4413" s="733"/>
      <c r="M4413" s="733"/>
      <c r="N4413" s="734"/>
    </row>
    <row r="4414" spans="2:14" ht="34.15" customHeight="1" x14ac:dyDescent="0.25">
      <c r="B4414" s="735" t="s">
        <v>395</v>
      </c>
      <c r="C4414" s="736"/>
      <c r="D4414" s="737" t="str">
        <f>VLOOKUP(B4416,Buenaventura!A9:G5661,3,FALSE)</f>
        <v xml:space="preserve">suministro e instalación de puerta de 0.80x2mts con pasador y manija, fabricados en tubular t77 (2.5x2.5), paneles f06 de 7.06 cm, platina de ensamble ai5, ángulo 1/2,  y demás accesorios para su correcta instalación.
</v>
      </c>
      <c r="E4414" s="738"/>
      <c r="F4414" s="738"/>
      <c r="G4414" s="738"/>
      <c r="H4414" s="738"/>
      <c r="I4414" s="738"/>
      <c r="J4414" s="738"/>
      <c r="K4414" s="738"/>
      <c r="L4414" s="738"/>
      <c r="M4414" s="738"/>
      <c r="N4414" s="739"/>
    </row>
    <row r="4415" spans="2:14" ht="15" customHeight="1" x14ac:dyDescent="0.25">
      <c r="B4415" s="740" t="s">
        <v>26</v>
      </c>
      <c r="C4415" s="741"/>
      <c r="D4415" s="119" t="s">
        <v>396</v>
      </c>
      <c r="E4415" s="742" t="s">
        <v>397</v>
      </c>
      <c r="F4415" s="733"/>
      <c r="G4415" s="733"/>
      <c r="H4415" s="736"/>
      <c r="I4415" s="742" t="s">
        <v>398</v>
      </c>
      <c r="J4415" s="733"/>
      <c r="K4415" s="736"/>
      <c r="L4415" s="742" t="s">
        <v>399</v>
      </c>
      <c r="M4415" s="733"/>
      <c r="N4415" s="734"/>
    </row>
    <row r="4416" spans="2:14" ht="15" customHeight="1" x14ac:dyDescent="0.25">
      <c r="B4416" s="283">
        <v>115</v>
      </c>
      <c r="C4416" s="284" t="str">
        <f>VLOOKUP(B4416,Buenaventura!A9:G5674,2,FALSE)</f>
        <v>CA-32</v>
      </c>
      <c r="D4416" s="285">
        <f>SUM(H4419:H4422)</f>
        <v>2</v>
      </c>
      <c r="E4416" s="743" t="str">
        <f>VLOOKUP(B4416,Buenaventura!A9:G5673,4,FALSE)</f>
        <v>UND</v>
      </c>
      <c r="F4416" s="743"/>
      <c r="G4416" s="743"/>
      <c r="H4416" s="743"/>
      <c r="I4416" s="744"/>
      <c r="J4416" s="745"/>
      <c r="K4416" s="741"/>
      <c r="L4416" s="744"/>
      <c r="M4416" s="745"/>
      <c r="N4416" s="752"/>
    </row>
    <row r="4417" spans="2:14" ht="15" customHeight="1" x14ac:dyDescent="0.25">
      <c r="B4417" s="755" t="s">
        <v>416</v>
      </c>
      <c r="C4417" s="733"/>
      <c r="D4417" s="733"/>
      <c r="E4417" s="733"/>
      <c r="F4417" s="733"/>
      <c r="G4417" s="733"/>
      <c r="H4417" s="736"/>
      <c r="I4417" s="746"/>
      <c r="J4417" s="747"/>
      <c r="K4417" s="748"/>
      <c r="L4417" s="746"/>
      <c r="M4417" s="747"/>
      <c r="N4417" s="753"/>
    </row>
    <row r="4418" spans="2:14" ht="15" customHeight="1" x14ac:dyDescent="0.25">
      <c r="B4418" s="121" t="s">
        <v>400</v>
      </c>
      <c r="C4418" s="122" t="s">
        <v>401</v>
      </c>
      <c r="D4418" s="123" t="s">
        <v>402</v>
      </c>
      <c r="E4418" s="123" t="s">
        <v>403</v>
      </c>
      <c r="F4418" s="123" t="s">
        <v>404</v>
      </c>
      <c r="G4418" s="123" t="s">
        <v>405</v>
      </c>
      <c r="H4418" s="123" t="s">
        <v>406</v>
      </c>
      <c r="I4418" s="746"/>
      <c r="J4418" s="747"/>
      <c r="K4418" s="748"/>
      <c r="L4418" s="746"/>
      <c r="M4418" s="747"/>
      <c r="N4418" s="753"/>
    </row>
    <row r="4419" spans="2:14" ht="15" customHeight="1" x14ac:dyDescent="0.25">
      <c r="B4419" s="124"/>
      <c r="C4419" s="145"/>
      <c r="D4419" s="125">
        <v>2</v>
      </c>
      <c r="E4419" s="125"/>
      <c r="F4419" s="125"/>
      <c r="G4419" s="125"/>
      <c r="H4419" s="125">
        <f>D4419</f>
        <v>2</v>
      </c>
      <c r="I4419" s="746"/>
      <c r="J4419" s="747"/>
      <c r="K4419" s="748"/>
      <c r="L4419" s="746"/>
      <c r="M4419" s="747"/>
      <c r="N4419" s="753"/>
    </row>
    <row r="4420" spans="2:14" ht="15" customHeight="1" x14ac:dyDescent="0.25">
      <c r="B4420" s="124"/>
      <c r="C4420" s="145"/>
      <c r="D4420" s="125"/>
      <c r="E4420" s="125"/>
      <c r="F4420" s="125"/>
      <c r="G4420" s="125"/>
      <c r="H4420" s="125"/>
      <c r="I4420" s="746"/>
      <c r="J4420" s="747"/>
      <c r="K4420" s="748"/>
      <c r="L4420" s="746"/>
      <c r="M4420" s="747"/>
      <c r="N4420" s="753"/>
    </row>
    <row r="4421" spans="2:14" ht="15" customHeight="1" x14ac:dyDescent="0.25">
      <c r="B4421" s="165"/>
      <c r="C4421" s="145"/>
      <c r="D4421" s="125"/>
      <c r="E4421" s="125"/>
      <c r="F4421" s="125"/>
      <c r="G4421" s="125"/>
      <c r="H4421" s="125"/>
      <c r="I4421" s="746"/>
      <c r="J4421" s="747"/>
      <c r="K4421" s="748"/>
      <c r="L4421" s="746"/>
      <c r="M4421" s="747"/>
      <c r="N4421" s="753"/>
    </row>
    <row r="4422" spans="2:14" ht="15" customHeight="1" x14ac:dyDescent="0.25">
      <c r="B4422" s="165"/>
      <c r="C4422" s="145"/>
      <c r="D4422" s="125"/>
      <c r="E4422" s="125"/>
      <c r="F4422" s="125"/>
      <c r="G4422" s="125"/>
      <c r="H4422" s="125"/>
      <c r="I4422" s="746"/>
      <c r="J4422" s="747"/>
      <c r="K4422" s="748"/>
      <c r="L4422" s="746"/>
      <c r="M4422" s="747"/>
      <c r="N4422" s="753"/>
    </row>
    <row r="4423" spans="2:14" ht="15" customHeight="1" x14ac:dyDescent="0.25">
      <c r="B4423" s="165"/>
      <c r="C4423" s="145"/>
      <c r="D4423" s="125"/>
      <c r="E4423" s="125"/>
      <c r="F4423" s="125"/>
      <c r="G4423" s="125"/>
      <c r="H4423" s="125"/>
      <c r="I4423" s="746"/>
      <c r="J4423" s="747"/>
      <c r="K4423" s="748"/>
      <c r="L4423" s="746"/>
      <c r="M4423" s="747"/>
      <c r="N4423" s="753"/>
    </row>
    <row r="4424" spans="2:14" ht="15" customHeight="1" x14ac:dyDescent="0.25">
      <c r="B4424" s="165"/>
      <c r="C4424" s="145"/>
      <c r="D4424" s="125"/>
      <c r="E4424" s="125"/>
      <c r="F4424" s="125"/>
      <c r="G4424" s="125"/>
      <c r="H4424" s="125"/>
      <c r="I4424" s="746"/>
      <c r="J4424" s="747"/>
      <c r="K4424" s="748"/>
      <c r="L4424" s="746"/>
      <c r="M4424" s="747"/>
      <c r="N4424" s="753"/>
    </row>
    <row r="4425" spans="2:14" ht="15" customHeight="1" x14ac:dyDescent="0.25">
      <c r="B4425" s="165"/>
      <c r="C4425" s="145"/>
      <c r="D4425" s="125"/>
      <c r="E4425" s="125"/>
      <c r="F4425" s="125"/>
      <c r="G4425" s="125"/>
      <c r="H4425" s="125"/>
      <c r="I4425" s="746"/>
      <c r="J4425" s="747"/>
      <c r="K4425" s="748"/>
      <c r="L4425" s="746"/>
      <c r="M4425" s="747"/>
      <c r="N4425" s="753"/>
    </row>
    <row r="4426" spans="2:14" ht="15" customHeight="1" x14ac:dyDescent="0.25">
      <c r="B4426" s="124"/>
      <c r="C4426" s="145"/>
      <c r="D4426" s="125"/>
      <c r="E4426" s="125"/>
      <c r="F4426" s="125"/>
      <c r="G4426" s="125"/>
      <c r="H4426" s="125"/>
      <c r="I4426" s="746"/>
      <c r="J4426" s="747"/>
      <c r="K4426" s="748"/>
      <c r="L4426" s="746"/>
      <c r="M4426" s="747"/>
      <c r="N4426" s="753"/>
    </row>
    <row r="4427" spans="2:14" ht="15" customHeight="1" x14ac:dyDescent="0.25">
      <c r="B4427" s="124"/>
      <c r="C4427" s="125"/>
      <c r="D4427" s="125"/>
      <c r="E4427" s="125"/>
      <c r="F4427" s="125"/>
      <c r="G4427" s="125"/>
      <c r="H4427" s="125"/>
      <c r="I4427" s="746"/>
      <c r="J4427" s="747"/>
      <c r="K4427" s="748"/>
      <c r="L4427" s="746"/>
      <c r="M4427" s="747"/>
      <c r="N4427" s="753"/>
    </row>
    <row r="4428" spans="2:14" ht="15" customHeight="1" x14ac:dyDescent="0.25">
      <c r="B4428" s="127"/>
      <c r="C4428" s="125"/>
      <c r="D4428" s="125"/>
      <c r="E4428" s="125"/>
      <c r="F4428" s="125"/>
      <c r="G4428" s="125"/>
      <c r="H4428" s="125"/>
      <c r="I4428" s="749"/>
      <c r="J4428" s="750"/>
      <c r="K4428" s="751"/>
      <c r="L4428" s="749"/>
      <c r="M4428" s="750"/>
      <c r="N4428" s="754"/>
    </row>
    <row r="4429" spans="2:14" ht="15" customHeight="1" x14ac:dyDescent="0.25">
      <c r="B4429" s="225"/>
      <c r="C4429" s="128"/>
      <c r="D4429" s="128"/>
      <c r="E4429" s="128"/>
      <c r="F4429" s="128"/>
      <c r="G4429" s="128"/>
      <c r="H4429" s="128"/>
      <c r="I4429" s="128"/>
      <c r="J4429" s="128"/>
      <c r="K4429" s="128"/>
      <c r="L4429" s="118"/>
      <c r="M4429" s="118"/>
      <c r="N4429" s="210"/>
    </row>
    <row r="4430" spans="2:14" ht="15" customHeight="1" x14ac:dyDescent="0.25">
      <c r="B4430" s="209"/>
      <c r="C4430" s="118"/>
      <c r="D4430" s="118"/>
      <c r="E4430" s="118"/>
      <c r="F4430" s="118"/>
      <c r="G4430" s="118"/>
      <c r="H4430" s="118"/>
      <c r="I4430" s="118"/>
      <c r="J4430" s="118"/>
      <c r="K4430" s="118"/>
      <c r="L4430" s="118"/>
      <c r="M4430" s="118"/>
      <c r="N4430" s="210"/>
    </row>
    <row r="4431" spans="2:14" ht="15" customHeight="1" x14ac:dyDescent="0.25">
      <c r="B4431" s="209"/>
      <c r="C4431" s="118"/>
      <c r="D4431" s="118"/>
      <c r="E4431" s="118"/>
      <c r="F4431" s="118"/>
      <c r="G4431" s="118"/>
      <c r="H4431" s="118"/>
      <c r="I4431" s="118"/>
      <c r="J4431" s="118"/>
      <c r="K4431" s="118"/>
      <c r="L4431" s="118"/>
      <c r="M4431" s="118"/>
      <c r="N4431" s="210"/>
    </row>
    <row r="4432" spans="2:14" ht="15" customHeight="1" thickBot="1" x14ac:dyDescent="0.3">
      <c r="B4432" s="725" t="s">
        <v>414</v>
      </c>
      <c r="C4432" s="726"/>
      <c r="D4432" s="726"/>
      <c r="E4432" s="147"/>
      <c r="F4432" s="147"/>
      <c r="G4432" s="147"/>
      <c r="H4432" s="147"/>
      <c r="I4432" s="727"/>
      <c r="J4432" s="726"/>
      <c r="K4432" s="726"/>
      <c r="L4432" s="130"/>
      <c r="M4432" s="130"/>
      <c r="N4432" s="131"/>
    </row>
    <row r="4433" spans="2:14" ht="15" customHeight="1" thickBot="1" x14ac:dyDescent="0.3"/>
    <row r="4434" spans="2:14" ht="50.45" customHeight="1" x14ac:dyDescent="0.25">
      <c r="B4434" s="728"/>
      <c r="C4434" s="729"/>
      <c r="D4434" s="730" t="s">
        <v>393</v>
      </c>
      <c r="E4434" s="729"/>
      <c r="F4434" s="729"/>
      <c r="G4434" s="729"/>
      <c r="H4434" s="729"/>
      <c r="I4434" s="729"/>
      <c r="J4434" s="729"/>
      <c r="K4434" s="729"/>
      <c r="L4434" s="729"/>
      <c r="M4434" s="729"/>
      <c r="N4434" s="731"/>
    </row>
    <row r="4435" spans="2:14" ht="15" customHeight="1" x14ac:dyDescent="0.25">
      <c r="B4435" s="732" t="s">
        <v>394</v>
      </c>
      <c r="C4435" s="733"/>
      <c r="D4435" s="733"/>
      <c r="E4435" s="733"/>
      <c r="F4435" s="733"/>
      <c r="G4435" s="733"/>
      <c r="H4435" s="733"/>
      <c r="I4435" s="733"/>
      <c r="J4435" s="733"/>
      <c r="K4435" s="733"/>
      <c r="L4435" s="733"/>
      <c r="M4435" s="733"/>
      <c r="N4435" s="734"/>
    </row>
    <row r="4436" spans="2:14" ht="38.450000000000003" customHeight="1" x14ac:dyDescent="0.25">
      <c r="B4436" s="735" t="s">
        <v>395</v>
      </c>
      <c r="C4436" s="736"/>
      <c r="D4436" s="737" t="str">
        <f>VLOOKUP(B4438,Buenaventura!A9:G5683,3,FALSE)</f>
        <v>Suministro e instalación de orinal institucional color blanco incluye grifería sistema push en bronce para Orinal, desagues y accesorios para su correcta instalación</v>
      </c>
      <c r="E4436" s="738"/>
      <c r="F4436" s="738"/>
      <c r="G4436" s="738"/>
      <c r="H4436" s="738"/>
      <c r="I4436" s="738"/>
      <c r="J4436" s="738"/>
      <c r="K4436" s="738"/>
      <c r="L4436" s="738"/>
      <c r="M4436" s="738"/>
      <c r="N4436" s="739"/>
    </row>
    <row r="4437" spans="2:14" ht="30.6" customHeight="1" x14ac:dyDescent="0.25">
      <c r="B4437" s="740" t="s">
        <v>26</v>
      </c>
      <c r="C4437" s="741"/>
      <c r="D4437" s="119" t="s">
        <v>396</v>
      </c>
      <c r="E4437" s="742" t="s">
        <v>397</v>
      </c>
      <c r="F4437" s="733"/>
      <c r="G4437" s="733"/>
      <c r="H4437" s="736"/>
      <c r="I4437" s="742" t="s">
        <v>398</v>
      </c>
      <c r="J4437" s="733"/>
      <c r="K4437" s="736"/>
      <c r="L4437" s="742" t="s">
        <v>399</v>
      </c>
      <c r="M4437" s="733"/>
      <c r="N4437" s="734"/>
    </row>
    <row r="4438" spans="2:14" ht="15" customHeight="1" x14ac:dyDescent="0.25">
      <c r="B4438" s="283">
        <v>116</v>
      </c>
      <c r="C4438" s="284" t="str">
        <f>VLOOKUP(B4438,Buenaventura!A9:G5696,2,FALSE)</f>
        <v>AP-01</v>
      </c>
      <c r="D4438" s="285">
        <f>SUM(H4441:H4444)</f>
        <v>4</v>
      </c>
      <c r="E4438" s="743" t="str">
        <f>VLOOKUP(B4438,Buenaventura!A9:G5695,4,FALSE)</f>
        <v>UND</v>
      </c>
      <c r="F4438" s="743"/>
      <c r="G4438" s="743"/>
      <c r="H4438" s="743"/>
      <c r="I4438" s="744"/>
      <c r="J4438" s="745"/>
      <c r="K4438" s="741"/>
      <c r="L4438" s="744"/>
      <c r="M4438" s="745"/>
      <c r="N4438" s="752"/>
    </row>
    <row r="4439" spans="2:14" ht="15" customHeight="1" x14ac:dyDescent="0.25">
      <c r="B4439" s="755" t="s">
        <v>416</v>
      </c>
      <c r="C4439" s="733"/>
      <c r="D4439" s="733"/>
      <c r="E4439" s="733"/>
      <c r="F4439" s="733"/>
      <c r="G4439" s="733"/>
      <c r="H4439" s="736"/>
      <c r="I4439" s="746"/>
      <c r="J4439" s="747"/>
      <c r="K4439" s="748"/>
      <c r="L4439" s="746"/>
      <c r="M4439" s="747"/>
      <c r="N4439" s="753"/>
    </row>
    <row r="4440" spans="2:14" ht="15" customHeight="1" x14ac:dyDescent="0.25">
      <c r="B4440" s="121" t="s">
        <v>400</v>
      </c>
      <c r="C4440" s="122" t="s">
        <v>401</v>
      </c>
      <c r="D4440" s="123" t="s">
        <v>402</v>
      </c>
      <c r="E4440" s="123" t="s">
        <v>403</v>
      </c>
      <c r="F4440" s="123" t="s">
        <v>404</v>
      </c>
      <c r="G4440" s="123" t="s">
        <v>405</v>
      </c>
      <c r="H4440" s="123" t="s">
        <v>406</v>
      </c>
      <c r="I4440" s="746"/>
      <c r="J4440" s="747"/>
      <c r="K4440" s="748"/>
      <c r="L4440" s="746"/>
      <c r="M4440" s="747"/>
      <c r="N4440" s="753"/>
    </row>
    <row r="4441" spans="2:14" ht="15" customHeight="1" x14ac:dyDescent="0.25">
      <c r="B4441" s="124"/>
      <c r="C4441" s="145"/>
      <c r="D4441" s="125">
        <v>4</v>
      </c>
      <c r="E4441" s="125"/>
      <c r="F4441" s="125"/>
      <c r="G4441" s="125"/>
      <c r="H4441" s="125">
        <f>D4441</f>
        <v>4</v>
      </c>
      <c r="I4441" s="746"/>
      <c r="J4441" s="747"/>
      <c r="K4441" s="748"/>
      <c r="L4441" s="746"/>
      <c r="M4441" s="747"/>
      <c r="N4441" s="753"/>
    </row>
    <row r="4442" spans="2:14" ht="15" customHeight="1" x14ac:dyDescent="0.25">
      <c r="B4442" s="124"/>
      <c r="C4442" s="145"/>
      <c r="D4442" s="125"/>
      <c r="E4442" s="125"/>
      <c r="F4442" s="125"/>
      <c r="G4442" s="125"/>
      <c r="H4442" s="125"/>
      <c r="I4442" s="746"/>
      <c r="J4442" s="747"/>
      <c r="K4442" s="748"/>
      <c r="L4442" s="746"/>
      <c r="M4442" s="747"/>
      <c r="N4442" s="753"/>
    </row>
    <row r="4443" spans="2:14" ht="15" customHeight="1" x14ac:dyDescent="0.25">
      <c r="B4443" s="165"/>
      <c r="C4443" s="145"/>
      <c r="D4443" s="125"/>
      <c r="E4443" s="125"/>
      <c r="F4443" s="125"/>
      <c r="G4443" s="125"/>
      <c r="H4443" s="125"/>
      <c r="I4443" s="746"/>
      <c r="J4443" s="747"/>
      <c r="K4443" s="748"/>
      <c r="L4443" s="746"/>
      <c r="M4443" s="747"/>
      <c r="N4443" s="753"/>
    </row>
    <row r="4444" spans="2:14" ht="15" customHeight="1" x14ac:dyDescent="0.25">
      <c r="B4444" s="165"/>
      <c r="C4444" s="145"/>
      <c r="D4444" s="125"/>
      <c r="E4444" s="125"/>
      <c r="F4444" s="125"/>
      <c r="G4444" s="125"/>
      <c r="H4444" s="125"/>
      <c r="I4444" s="746"/>
      <c r="J4444" s="747"/>
      <c r="K4444" s="748"/>
      <c r="L4444" s="746"/>
      <c r="M4444" s="747"/>
      <c r="N4444" s="753"/>
    </row>
    <row r="4445" spans="2:14" ht="15" customHeight="1" x14ac:dyDescent="0.25">
      <c r="B4445" s="165"/>
      <c r="C4445" s="145"/>
      <c r="D4445" s="125"/>
      <c r="E4445" s="125"/>
      <c r="F4445" s="125"/>
      <c r="G4445" s="125"/>
      <c r="H4445" s="125"/>
      <c r="I4445" s="746"/>
      <c r="J4445" s="747"/>
      <c r="K4445" s="748"/>
      <c r="L4445" s="746"/>
      <c r="M4445" s="747"/>
      <c r="N4445" s="753"/>
    </row>
    <row r="4446" spans="2:14" ht="15" customHeight="1" x14ac:dyDescent="0.25">
      <c r="B4446" s="165"/>
      <c r="C4446" s="145"/>
      <c r="D4446" s="125"/>
      <c r="E4446" s="125"/>
      <c r="F4446" s="125"/>
      <c r="G4446" s="125"/>
      <c r="H4446" s="125"/>
      <c r="I4446" s="746"/>
      <c r="J4446" s="747"/>
      <c r="K4446" s="748"/>
      <c r="L4446" s="746"/>
      <c r="M4446" s="747"/>
      <c r="N4446" s="753"/>
    </row>
    <row r="4447" spans="2:14" ht="15" customHeight="1" x14ac:dyDescent="0.25">
      <c r="B4447" s="165"/>
      <c r="C4447" s="145"/>
      <c r="D4447" s="125"/>
      <c r="E4447" s="125"/>
      <c r="F4447" s="125"/>
      <c r="G4447" s="125"/>
      <c r="H4447" s="125"/>
      <c r="I4447" s="746"/>
      <c r="J4447" s="747"/>
      <c r="K4447" s="748"/>
      <c r="L4447" s="746"/>
      <c r="M4447" s="747"/>
      <c r="N4447" s="753"/>
    </row>
    <row r="4448" spans="2:14" ht="15" customHeight="1" x14ac:dyDescent="0.25">
      <c r="B4448" s="124"/>
      <c r="C4448" s="145"/>
      <c r="D4448" s="125"/>
      <c r="E4448" s="125"/>
      <c r="F4448" s="125"/>
      <c r="G4448" s="125"/>
      <c r="H4448" s="125"/>
      <c r="I4448" s="746"/>
      <c r="J4448" s="747"/>
      <c r="K4448" s="748"/>
      <c r="L4448" s="746"/>
      <c r="M4448" s="747"/>
      <c r="N4448" s="753"/>
    </row>
    <row r="4449" spans="2:14" ht="15" customHeight="1" x14ac:dyDescent="0.25">
      <c r="B4449" s="124"/>
      <c r="C4449" s="125"/>
      <c r="D4449" s="125"/>
      <c r="E4449" s="125"/>
      <c r="F4449" s="125"/>
      <c r="G4449" s="125"/>
      <c r="H4449" s="125"/>
      <c r="I4449" s="746"/>
      <c r="J4449" s="747"/>
      <c r="K4449" s="748"/>
      <c r="L4449" s="746"/>
      <c r="M4449" s="747"/>
      <c r="N4449" s="753"/>
    </row>
    <row r="4450" spans="2:14" ht="15" customHeight="1" x14ac:dyDescent="0.25">
      <c r="B4450" s="127"/>
      <c r="C4450" s="125"/>
      <c r="D4450" s="125"/>
      <c r="E4450" s="125"/>
      <c r="F4450" s="125"/>
      <c r="G4450" s="125"/>
      <c r="H4450" s="125"/>
      <c r="I4450" s="749"/>
      <c r="J4450" s="750"/>
      <c r="K4450" s="751"/>
      <c r="L4450" s="749"/>
      <c r="M4450" s="750"/>
      <c r="N4450" s="754"/>
    </row>
    <row r="4451" spans="2:14" ht="15" customHeight="1" x14ac:dyDescent="0.25">
      <c r="B4451" s="225"/>
      <c r="C4451" s="128"/>
      <c r="D4451" s="128"/>
      <c r="E4451" s="128"/>
      <c r="F4451" s="128"/>
      <c r="G4451" s="128"/>
      <c r="H4451" s="128"/>
      <c r="I4451" s="128"/>
      <c r="J4451" s="128"/>
      <c r="K4451" s="128"/>
      <c r="L4451" s="118"/>
      <c r="M4451" s="118"/>
      <c r="N4451" s="210"/>
    </row>
    <row r="4452" spans="2:14" ht="15" customHeight="1" x14ac:dyDescent="0.25">
      <c r="B4452" s="209"/>
      <c r="C4452" s="118"/>
      <c r="D4452" s="118"/>
      <c r="E4452" s="118"/>
      <c r="F4452" s="118"/>
      <c r="G4452" s="118"/>
      <c r="H4452" s="118"/>
      <c r="I4452" s="118"/>
      <c r="J4452" s="118"/>
      <c r="K4452" s="118"/>
      <c r="L4452" s="118"/>
      <c r="M4452" s="118"/>
      <c r="N4452" s="210"/>
    </row>
    <row r="4453" spans="2:14" ht="15" customHeight="1" x14ac:dyDescent="0.25">
      <c r="B4453" s="209"/>
      <c r="C4453" s="118"/>
      <c r="D4453" s="118"/>
      <c r="E4453" s="118"/>
      <c r="F4453" s="118"/>
      <c r="G4453" s="118"/>
      <c r="H4453" s="118"/>
      <c r="I4453" s="118"/>
      <c r="J4453" s="118"/>
      <c r="K4453" s="118"/>
      <c r="L4453" s="118"/>
      <c r="M4453" s="118"/>
      <c r="N4453" s="210"/>
    </row>
    <row r="4454" spans="2:14" ht="15" customHeight="1" thickBot="1" x14ac:dyDescent="0.3">
      <c r="B4454" s="725" t="s">
        <v>414</v>
      </c>
      <c r="C4454" s="726"/>
      <c r="D4454" s="726"/>
      <c r="E4454" s="147"/>
      <c r="F4454" s="147"/>
      <c r="G4454" s="147"/>
      <c r="H4454" s="147"/>
      <c r="I4454" s="727"/>
      <c r="J4454" s="726"/>
      <c r="K4454" s="726"/>
      <c r="L4454" s="130"/>
      <c r="M4454" s="130"/>
      <c r="N4454" s="131"/>
    </row>
    <row r="4455" spans="2:14" ht="15" customHeight="1" thickBot="1" x14ac:dyDescent="0.3"/>
    <row r="4456" spans="2:14" ht="38.450000000000003" customHeight="1" x14ac:dyDescent="0.25">
      <c r="B4456" s="728"/>
      <c r="C4456" s="729"/>
      <c r="D4456" s="730" t="s">
        <v>393</v>
      </c>
      <c r="E4456" s="729"/>
      <c r="F4456" s="729"/>
      <c r="G4456" s="729"/>
      <c r="H4456" s="729"/>
      <c r="I4456" s="729"/>
      <c r="J4456" s="729"/>
      <c r="K4456" s="729"/>
      <c r="L4456" s="729"/>
      <c r="M4456" s="729"/>
      <c r="N4456" s="731"/>
    </row>
    <row r="4457" spans="2:14" ht="15" customHeight="1" x14ac:dyDescent="0.25">
      <c r="B4457" s="732" t="s">
        <v>394</v>
      </c>
      <c r="C4457" s="733"/>
      <c r="D4457" s="733"/>
      <c r="E4457" s="733"/>
      <c r="F4457" s="733"/>
      <c r="G4457" s="733"/>
      <c r="H4457" s="733"/>
      <c r="I4457" s="733"/>
      <c r="J4457" s="733"/>
      <c r="K4457" s="733"/>
      <c r="L4457" s="733"/>
      <c r="M4457" s="733"/>
      <c r="N4457" s="734"/>
    </row>
    <row r="4458" spans="2:14" ht="36" customHeight="1" x14ac:dyDescent="0.25">
      <c r="B4458" s="735" t="s">
        <v>395</v>
      </c>
      <c r="C4458" s="736"/>
      <c r="D4458" s="737" t="str">
        <f>VLOOKUP(B4460,Buenaventura!A9:G5705,3,FALSE)</f>
        <v>suministro e instalación de división en aluminio para orinal de 0,45 x1 mts, fabricados en tubular t77 (2.5x2.5), paneles f06 de 7.06 cm, platina de ensamble ai5, ángulo 1/2,  y demás accesorios para su correcta instalación.</v>
      </c>
      <c r="E4458" s="738"/>
      <c r="F4458" s="738"/>
      <c r="G4458" s="738"/>
      <c r="H4458" s="738"/>
      <c r="I4458" s="738"/>
      <c r="J4458" s="738"/>
      <c r="K4458" s="738"/>
      <c r="L4458" s="738"/>
      <c r="M4458" s="738"/>
      <c r="N4458" s="739"/>
    </row>
    <row r="4459" spans="2:14" ht="34.9" customHeight="1" x14ac:dyDescent="0.25">
      <c r="B4459" s="740" t="s">
        <v>26</v>
      </c>
      <c r="C4459" s="741"/>
      <c r="D4459" s="119" t="s">
        <v>396</v>
      </c>
      <c r="E4459" s="742" t="s">
        <v>397</v>
      </c>
      <c r="F4459" s="733"/>
      <c r="G4459" s="733"/>
      <c r="H4459" s="736"/>
      <c r="I4459" s="742" t="s">
        <v>398</v>
      </c>
      <c r="J4459" s="733"/>
      <c r="K4459" s="736"/>
      <c r="L4459" s="742" t="s">
        <v>399</v>
      </c>
      <c r="M4459" s="733"/>
      <c r="N4459" s="734"/>
    </row>
    <row r="4460" spans="2:14" ht="15" customHeight="1" x14ac:dyDescent="0.25">
      <c r="B4460" s="283">
        <v>117</v>
      </c>
      <c r="C4460" s="284" t="str">
        <f>VLOOKUP(B4460,Buenaventura!A9:G5718,2,FALSE)</f>
        <v>CA-24</v>
      </c>
      <c r="D4460" s="285">
        <f>SUM(H4463:H4466)</f>
        <v>4</v>
      </c>
      <c r="E4460" s="743" t="str">
        <f>VLOOKUP(B4460,Buenaventura!A9:G5717,4,FALSE)</f>
        <v>UND</v>
      </c>
      <c r="F4460" s="743"/>
      <c r="G4460" s="743"/>
      <c r="H4460" s="743"/>
      <c r="I4460" s="744"/>
      <c r="J4460" s="745"/>
      <c r="K4460" s="741"/>
      <c r="L4460" s="744"/>
      <c r="M4460" s="745"/>
      <c r="N4460" s="752"/>
    </row>
    <row r="4461" spans="2:14" ht="15" customHeight="1" x14ac:dyDescent="0.25">
      <c r="B4461" s="755" t="s">
        <v>416</v>
      </c>
      <c r="C4461" s="733"/>
      <c r="D4461" s="733"/>
      <c r="E4461" s="733"/>
      <c r="F4461" s="733"/>
      <c r="G4461" s="733"/>
      <c r="H4461" s="736"/>
      <c r="I4461" s="746"/>
      <c r="J4461" s="747"/>
      <c r="K4461" s="748"/>
      <c r="L4461" s="746"/>
      <c r="M4461" s="747"/>
      <c r="N4461" s="753"/>
    </row>
    <row r="4462" spans="2:14" ht="15" customHeight="1" x14ac:dyDescent="0.25">
      <c r="B4462" s="121" t="s">
        <v>400</v>
      </c>
      <c r="C4462" s="122" t="s">
        <v>401</v>
      </c>
      <c r="D4462" s="123" t="s">
        <v>402</v>
      </c>
      <c r="E4462" s="123" t="s">
        <v>403</v>
      </c>
      <c r="F4462" s="123" t="s">
        <v>404</v>
      </c>
      <c r="G4462" s="123" t="s">
        <v>405</v>
      </c>
      <c r="H4462" s="123" t="s">
        <v>406</v>
      </c>
      <c r="I4462" s="746"/>
      <c r="J4462" s="747"/>
      <c r="K4462" s="748"/>
      <c r="L4462" s="746"/>
      <c r="M4462" s="747"/>
      <c r="N4462" s="753"/>
    </row>
    <row r="4463" spans="2:14" ht="15" customHeight="1" x14ac:dyDescent="0.25">
      <c r="B4463" s="124"/>
      <c r="C4463" s="145"/>
      <c r="D4463" s="125">
        <v>4</v>
      </c>
      <c r="E4463" s="125"/>
      <c r="F4463" s="125"/>
      <c r="G4463" s="125"/>
      <c r="H4463" s="125">
        <f>D4463</f>
        <v>4</v>
      </c>
      <c r="I4463" s="746"/>
      <c r="J4463" s="747"/>
      <c r="K4463" s="748"/>
      <c r="L4463" s="746"/>
      <c r="M4463" s="747"/>
      <c r="N4463" s="753"/>
    </row>
    <row r="4464" spans="2:14" ht="15" customHeight="1" x14ac:dyDescent="0.25">
      <c r="B4464" s="124"/>
      <c r="C4464" s="145"/>
      <c r="D4464" s="125"/>
      <c r="E4464" s="125"/>
      <c r="F4464" s="125"/>
      <c r="G4464" s="125"/>
      <c r="H4464" s="125"/>
      <c r="I4464" s="746"/>
      <c r="J4464" s="747"/>
      <c r="K4464" s="748"/>
      <c r="L4464" s="746"/>
      <c r="M4464" s="747"/>
      <c r="N4464" s="753"/>
    </row>
    <row r="4465" spans="2:14" ht="15" customHeight="1" x14ac:dyDescent="0.25">
      <c r="B4465" s="165"/>
      <c r="C4465" s="145"/>
      <c r="D4465" s="125"/>
      <c r="E4465" s="125"/>
      <c r="F4465" s="125"/>
      <c r="G4465" s="125"/>
      <c r="H4465" s="125"/>
      <c r="I4465" s="746"/>
      <c r="J4465" s="747"/>
      <c r="K4465" s="748"/>
      <c r="L4465" s="746"/>
      <c r="M4465" s="747"/>
      <c r="N4465" s="753"/>
    </row>
    <row r="4466" spans="2:14" ht="15" customHeight="1" x14ac:dyDescent="0.25">
      <c r="B4466" s="165"/>
      <c r="C4466" s="145"/>
      <c r="D4466" s="125"/>
      <c r="E4466" s="125"/>
      <c r="F4466" s="125"/>
      <c r="G4466" s="125"/>
      <c r="H4466" s="125"/>
      <c r="I4466" s="746"/>
      <c r="J4466" s="747"/>
      <c r="K4466" s="748"/>
      <c r="L4466" s="746"/>
      <c r="M4466" s="747"/>
      <c r="N4466" s="753"/>
    </row>
    <row r="4467" spans="2:14" ht="15" customHeight="1" x14ac:dyDescent="0.25">
      <c r="B4467" s="165"/>
      <c r="C4467" s="145"/>
      <c r="D4467" s="125"/>
      <c r="E4467" s="125"/>
      <c r="F4467" s="125"/>
      <c r="G4467" s="125"/>
      <c r="H4467" s="125"/>
      <c r="I4467" s="746"/>
      <c r="J4467" s="747"/>
      <c r="K4467" s="748"/>
      <c r="L4467" s="746"/>
      <c r="M4467" s="747"/>
      <c r="N4467" s="753"/>
    </row>
    <row r="4468" spans="2:14" ht="15" customHeight="1" x14ac:dyDescent="0.25">
      <c r="B4468" s="165"/>
      <c r="C4468" s="145"/>
      <c r="D4468" s="125"/>
      <c r="E4468" s="125"/>
      <c r="F4468" s="125"/>
      <c r="G4468" s="125"/>
      <c r="H4468" s="125"/>
      <c r="I4468" s="746"/>
      <c r="J4468" s="747"/>
      <c r="K4468" s="748"/>
      <c r="L4468" s="746"/>
      <c r="M4468" s="747"/>
      <c r="N4468" s="753"/>
    </row>
    <row r="4469" spans="2:14" ht="15" customHeight="1" x14ac:dyDescent="0.25">
      <c r="B4469" s="165"/>
      <c r="C4469" s="145"/>
      <c r="D4469" s="125"/>
      <c r="E4469" s="125"/>
      <c r="F4469" s="125"/>
      <c r="G4469" s="125"/>
      <c r="H4469" s="125"/>
      <c r="I4469" s="746"/>
      <c r="J4469" s="747"/>
      <c r="K4469" s="748"/>
      <c r="L4469" s="746"/>
      <c r="M4469" s="747"/>
      <c r="N4469" s="753"/>
    </row>
    <row r="4470" spans="2:14" ht="15" customHeight="1" x14ac:dyDescent="0.25">
      <c r="B4470" s="124"/>
      <c r="C4470" s="145"/>
      <c r="D4470" s="125"/>
      <c r="E4470" s="125"/>
      <c r="F4470" s="125"/>
      <c r="G4470" s="125"/>
      <c r="H4470" s="125"/>
      <c r="I4470" s="746"/>
      <c r="J4470" s="747"/>
      <c r="K4470" s="748"/>
      <c r="L4470" s="746"/>
      <c r="M4470" s="747"/>
      <c r="N4470" s="753"/>
    </row>
    <row r="4471" spans="2:14" ht="15" customHeight="1" x14ac:dyDescent="0.25">
      <c r="B4471" s="124"/>
      <c r="C4471" s="125"/>
      <c r="D4471" s="125"/>
      <c r="E4471" s="125"/>
      <c r="F4471" s="125"/>
      <c r="G4471" s="125"/>
      <c r="H4471" s="125"/>
      <c r="I4471" s="746"/>
      <c r="J4471" s="747"/>
      <c r="K4471" s="748"/>
      <c r="L4471" s="746"/>
      <c r="M4471" s="747"/>
      <c r="N4471" s="753"/>
    </row>
    <row r="4472" spans="2:14" ht="15" customHeight="1" x14ac:dyDescent="0.25">
      <c r="B4472" s="127"/>
      <c r="C4472" s="125"/>
      <c r="D4472" s="125"/>
      <c r="E4472" s="125"/>
      <c r="F4472" s="125"/>
      <c r="G4472" s="125"/>
      <c r="H4472" s="125"/>
      <c r="I4472" s="749"/>
      <c r="J4472" s="750"/>
      <c r="K4472" s="751"/>
      <c r="L4472" s="749"/>
      <c r="M4472" s="750"/>
      <c r="N4472" s="754"/>
    </row>
    <row r="4473" spans="2:14" ht="15" customHeight="1" x14ac:dyDescent="0.25">
      <c r="B4473" s="225"/>
      <c r="C4473" s="128"/>
      <c r="D4473" s="128"/>
      <c r="E4473" s="128"/>
      <c r="F4473" s="128"/>
      <c r="G4473" s="128"/>
      <c r="H4473" s="128"/>
      <c r="I4473" s="128"/>
      <c r="J4473" s="128"/>
      <c r="K4473" s="128"/>
      <c r="L4473" s="118"/>
      <c r="M4473" s="118"/>
      <c r="N4473" s="210"/>
    </row>
    <row r="4474" spans="2:14" ht="15" customHeight="1" x14ac:dyDescent="0.25">
      <c r="B4474" s="209"/>
      <c r="C4474" s="118"/>
      <c r="D4474" s="118"/>
      <c r="E4474" s="118"/>
      <c r="F4474" s="118"/>
      <c r="G4474" s="118"/>
      <c r="H4474" s="118"/>
      <c r="I4474" s="118"/>
      <c r="J4474" s="118"/>
      <c r="K4474" s="118"/>
      <c r="L4474" s="118"/>
      <c r="M4474" s="118"/>
      <c r="N4474" s="210"/>
    </row>
    <row r="4475" spans="2:14" ht="15" customHeight="1" x14ac:dyDescent="0.25">
      <c r="B4475" s="209"/>
      <c r="C4475" s="118"/>
      <c r="D4475" s="118"/>
      <c r="E4475" s="118"/>
      <c r="F4475" s="118"/>
      <c r="G4475" s="118"/>
      <c r="H4475" s="118"/>
      <c r="I4475" s="118"/>
      <c r="J4475" s="118"/>
      <c r="K4475" s="118"/>
      <c r="L4475" s="118"/>
      <c r="M4475" s="118"/>
      <c r="N4475" s="210"/>
    </row>
    <row r="4476" spans="2:14" ht="15" customHeight="1" thickBot="1" x14ac:dyDescent="0.3">
      <c r="B4476" s="725" t="s">
        <v>414</v>
      </c>
      <c r="C4476" s="726"/>
      <c r="D4476" s="726"/>
      <c r="E4476" s="147"/>
      <c r="F4476" s="147"/>
      <c r="G4476" s="147"/>
      <c r="H4476" s="147"/>
      <c r="I4476" s="727"/>
      <c r="J4476" s="726"/>
      <c r="K4476" s="726"/>
      <c r="L4476" s="130"/>
      <c r="M4476" s="130"/>
      <c r="N4476" s="131"/>
    </row>
    <row r="4477" spans="2:14" ht="15" customHeight="1" thickBot="1" x14ac:dyDescent="0.3"/>
    <row r="4478" spans="2:14" ht="34.9" customHeight="1" x14ac:dyDescent="0.25">
      <c r="B4478" s="728"/>
      <c r="C4478" s="729"/>
      <c r="D4478" s="730" t="s">
        <v>393</v>
      </c>
      <c r="E4478" s="729"/>
      <c r="F4478" s="729"/>
      <c r="G4478" s="729"/>
      <c r="H4478" s="729"/>
      <c r="I4478" s="729"/>
      <c r="J4478" s="729"/>
      <c r="K4478" s="729"/>
      <c r="L4478" s="729"/>
      <c r="M4478" s="729"/>
      <c r="N4478" s="731"/>
    </row>
    <row r="4479" spans="2:14" ht="15" customHeight="1" x14ac:dyDescent="0.25">
      <c r="B4479" s="732" t="s">
        <v>394</v>
      </c>
      <c r="C4479" s="733"/>
      <c r="D4479" s="733"/>
      <c r="E4479" s="733"/>
      <c r="F4479" s="733"/>
      <c r="G4479" s="733"/>
      <c r="H4479" s="733"/>
      <c r="I4479" s="733"/>
      <c r="J4479" s="733"/>
      <c r="K4479" s="733"/>
      <c r="L4479" s="733"/>
      <c r="M4479" s="733"/>
      <c r="N4479" s="734"/>
    </row>
    <row r="4480" spans="2:14" ht="46.9" customHeight="1" x14ac:dyDescent="0.25">
      <c r="B4480" s="735" t="s">
        <v>395</v>
      </c>
      <c r="C4480" s="736"/>
      <c r="D4480" s="737" t="str">
        <f>VLOOKUP(B4482,Buenaventura!A9:G5727,3,FALSE)</f>
        <v>suministro e instalación de puerta entre 0,65 y 0,80 mts x2mts con pasador y manija, fabricados en tubular t77 (2.5x2.5), paneles f06 de 7.06 cm, platina de ensamble ai5, ángulo 1/2,  y demás accesorios para su correcta instalación.</v>
      </c>
      <c r="E4480" s="738"/>
      <c r="F4480" s="738"/>
      <c r="G4480" s="738"/>
      <c r="H4480" s="738"/>
      <c r="I4480" s="738"/>
      <c r="J4480" s="738"/>
      <c r="K4480" s="738"/>
      <c r="L4480" s="738"/>
      <c r="M4480" s="738"/>
      <c r="N4480" s="739"/>
    </row>
    <row r="4481" spans="2:14" ht="31.15" customHeight="1" x14ac:dyDescent="0.25">
      <c r="B4481" s="740" t="s">
        <v>26</v>
      </c>
      <c r="C4481" s="741"/>
      <c r="D4481" s="119" t="s">
        <v>396</v>
      </c>
      <c r="E4481" s="742" t="s">
        <v>397</v>
      </c>
      <c r="F4481" s="733"/>
      <c r="G4481" s="733"/>
      <c r="H4481" s="736"/>
      <c r="I4481" s="742" t="s">
        <v>398</v>
      </c>
      <c r="J4481" s="733"/>
      <c r="K4481" s="736"/>
      <c r="L4481" s="742" t="s">
        <v>399</v>
      </c>
      <c r="M4481" s="733"/>
      <c r="N4481" s="734"/>
    </row>
    <row r="4482" spans="2:14" ht="15" customHeight="1" x14ac:dyDescent="0.25">
      <c r="B4482" s="283">
        <v>118</v>
      </c>
      <c r="C4482" s="284" t="str">
        <f>VLOOKUP(B4482,Buenaventura!A9:G5740,2,FALSE)</f>
        <v>CA-32</v>
      </c>
      <c r="D4482" s="285">
        <f>SUM(H4485:H4488)</f>
        <v>2</v>
      </c>
      <c r="E4482" s="743" t="str">
        <f>VLOOKUP(B4482,Buenaventura!A9:G5739,4,FALSE)</f>
        <v>UND</v>
      </c>
      <c r="F4482" s="743"/>
      <c r="G4482" s="743"/>
      <c r="H4482" s="743"/>
      <c r="I4482" s="744"/>
      <c r="J4482" s="745"/>
      <c r="K4482" s="741"/>
      <c r="L4482" s="744"/>
      <c r="M4482" s="745"/>
      <c r="N4482" s="752"/>
    </row>
    <row r="4483" spans="2:14" ht="15" customHeight="1" x14ac:dyDescent="0.25">
      <c r="B4483" s="755" t="s">
        <v>416</v>
      </c>
      <c r="C4483" s="733"/>
      <c r="D4483" s="733"/>
      <c r="E4483" s="733"/>
      <c r="F4483" s="733"/>
      <c r="G4483" s="733"/>
      <c r="H4483" s="736"/>
      <c r="I4483" s="746"/>
      <c r="J4483" s="747"/>
      <c r="K4483" s="748"/>
      <c r="L4483" s="746"/>
      <c r="M4483" s="747"/>
      <c r="N4483" s="753"/>
    </row>
    <row r="4484" spans="2:14" ht="15" customHeight="1" x14ac:dyDescent="0.25">
      <c r="B4484" s="121" t="s">
        <v>400</v>
      </c>
      <c r="C4484" s="122" t="s">
        <v>401</v>
      </c>
      <c r="D4484" s="123" t="s">
        <v>402</v>
      </c>
      <c r="E4484" s="123" t="s">
        <v>403</v>
      </c>
      <c r="F4484" s="123" t="s">
        <v>404</v>
      </c>
      <c r="G4484" s="123" t="s">
        <v>405</v>
      </c>
      <c r="H4484" s="123" t="s">
        <v>406</v>
      </c>
      <c r="I4484" s="746"/>
      <c r="J4484" s="747"/>
      <c r="K4484" s="748"/>
      <c r="L4484" s="746"/>
      <c r="M4484" s="747"/>
      <c r="N4484" s="753"/>
    </row>
    <row r="4485" spans="2:14" ht="15" customHeight="1" x14ac:dyDescent="0.25">
      <c r="B4485" s="124"/>
      <c r="C4485" s="145"/>
      <c r="D4485" s="125">
        <v>2</v>
      </c>
      <c r="E4485" s="125"/>
      <c r="F4485" s="125"/>
      <c r="G4485" s="125"/>
      <c r="H4485" s="125">
        <f>D4485</f>
        <v>2</v>
      </c>
      <c r="I4485" s="746"/>
      <c r="J4485" s="747"/>
      <c r="K4485" s="748"/>
      <c r="L4485" s="746"/>
      <c r="M4485" s="747"/>
      <c r="N4485" s="753"/>
    </row>
    <row r="4486" spans="2:14" ht="15" customHeight="1" x14ac:dyDescent="0.25">
      <c r="B4486" s="124"/>
      <c r="C4486" s="145"/>
      <c r="D4486" s="125"/>
      <c r="E4486" s="125"/>
      <c r="F4486" s="125"/>
      <c r="G4486" s="125"/>
      <c r="H4486" s="125"/>
      <c r="I4486" s="746"/>
      <c r="J4486" s="747"/>
      <c r="K4486" s="748"/>
      <c r="L4486" s="746"/>
      <c r="M4486" s="747"/>
      <c r="N4486" s="753"/>
    </row>
    <row r="4487" spans="2:14" ht="15" customHeight="1" x14ac:dyDescent="0.25">
      <c r="B4487" s="165"/>
      <c r="C4487" s="145"/>
      <c r="D4487" s="125"/>
      <c r="E4487" s="125"/>
      <c r="F4487" s="125"/>
      <c r="G4487" s="125"/>
      <c r="H4487" s="125"/>
      <c r="I4487" s="746"/>
      <c r="J4487" s="747"/>
      <c r="K4487" s="748"/>
      <c r="L4487" s="746"/>
      <c r="M4487" s="747"/>
      <c r="N4487" s="753"/>
    </row>
    <row r="4488" spans="2:14" ht="15" customHeight="1" x14ac:dyDescent="0.25">
      <c r="B4488" s="165"/>
      <c r="C4488" s="145"/>
      <c r="D4488" s="125"/>
      <c r="E4488" s="125"/>
      <c r="F4488" s="125"/>
      <c r="G4488" s="125"/>
      <c r="H4488" s="125"/>
      <c r="I4488" s="746"/>
      <c r="J4488" s="747"/>
      <c r="K4488" s="748"/>
      <c r="L4488" s="746"/>
      <c r="M4488" s="747"/>
      <c r="N4488" s="753"/>
    </row>
    <row r="4489" spans="2:14" ht="15" customHeight="1" x14ac:dyDescent="0.25">
      <c r="B4489" s="165"/>
      <c r="C4489" s="145"/>
      <c r="D4489" s="125"/>
      <c r="E4489" s="125"/>
      <c r="F4489" s="125"/>
      <c r="G4489" s="125"/>
      <c r="H4489" s="125"/>
      <c r="I4489" s="746"/>
      <c r="J4489" s="747"/>
      <c r="K4489" s="748"/>
      <c r="L4489" s="746"/>
      <c r="M4489" s="747"/>
      <c r="N4489" s="753"/>
    </row>
    <row r="4490" spans="2:14" ht="15" customHeight="1" x14ac:dyDescent="0.25">
      <c r="B4490" s="165"/>
      <c r="C4490" s="145"/>
      <c r="D4490" s="125"/>
      <c r="E4490" s="125"/>
      <c r="F4490" s="125"/>
      <c r="G4490" s="125"/>
      <c r="H4490" s="125"/>
      <c r="I4490" s="746"/>
      <c r="J4490" s="747"/>
      <c r="K4490" s="748"/>
      <c r="L4490" s="746"/>
      <c r="M4490" s="747"/>
      <c r="N4490" s="753"/>
    </row>
    <row r="4491" spans="2:14" ht="15" customHeight="1" x14ac:dyDescent="0.25">
      <c r="B4491" s="165"/>
      <c r="C4491" s="145"/>
      <c r="D4491" s="125"/>
      <c r="E4491" s="125"/>
      <c r="F4491" s="125"/>
      <c r="G4491" s="125"/>
      <c r="H4491" s="125"/>
      <c r="I4491" s="746"/>
      <c r="J4491" s="747"/>
      <c r="K4491" s="748"/>
      <c r="L4491" s="746"/>
      <c r="M4491" s="747"/>
      <c r="N4491" s="753"/>
    </row>
    <row r="4492" spans="2:14" ht="15" customHeight="1" x14ac:dyDescent="0.25">
      <c r="B4492" s="124"/>
      <c r="C4492" s="145"/>
      <c r="D4492" s="125"/>
      <c r="E4492" s="125"/>
      <c r="F4492" s="125"/>
      <c r="G4492" s="125"/>
      <c r="H4492" s="125"/>
      <c r="I4492" s="746"/>
      <c r="J4492" s="747"/>
      <c r="K4492" s="748"/>
      <c r="L4492" s="746"/>
      <c r="M4492" s="747"/>
      <c r="N4492" s="753"/>
    </row>
    <row r="4493" spans="2:14" ht="15" customHeight="1" x14ac:dyDescent="0.25">
      <c r="B4493" s="124"/>
      <c r="C4493" s="125"/>
      <c r="D4493" s="125"/>
      <c r="E4493" s="125"/>
      <c r="F4493" s="125"/>
      <c r="G4493" s="125"/>
      <c r="H4493" s="125"/>
      <c r="I4493" s="746"/>
      <c r="J4493" s="747"/>
      <c r="K4493" s="748"/>
      <c r="L4493" s="746"/>
      <c r="M4493" s="747"/>
      <c r="N4493" s="753"/>
    </row>
    <row r="4494" spans="2:14" ht="15" customHeight="1" x14ac:dyDescent="0.25">
      <c r="B4494" s="127"/>
      <c r="C4494" s="125"/>
      <c r="D4494" s="125"/>
      <c r="E4494" s="125"/>
      <c r="F4494" s="125"/>
      <c r="G4494" s="125"/>
      <c r="H4494" s="125"/>
      <c r="I4494" s="749"/>
      <c r="J4494" s="750"/>
      <c r="K4494" s="751"/>
      <c r="L4494" s="749"/>
      <c r="M4494" s="750"/>
      <c r="N4494" s="754"/>
    </row>
    <row r="4495" spans="2:14" ht="15" customHeight="1" x14ac:dyDescent="0.25">
      <c r="B4495" s="225"/>
      <c r="C4495" s="128"/>
      <c r="D4495" s="128"/>
      <c r="E4495" s="128"/>
      <c r="F4495" s="128"/>
      <c r="G4495" s="128"/>
      <c r="H4495" s="128"/>
      <c r="I4495" s="128"/>
      <c r="J4495" s="128"/>
      <c r="K4495" s="128"/>
      <c r="L4495" s="118"/>
      <c r="M4495" s="118"/>
      <c r="N4495" s="210"/>
    </row>
    <row r="4496" spans="2:14" ht="15" customHeight="1" x14ac:dyDescent="0.25">
      <c r="B4496" s="209"/>
      <c r="C4496" s="118"/>
      <c r="D4496" s="118"/>
      <c r="E4496" s="118"/>
      <c r="F4496" s="118"/>
      <c r="G4496" s="118"/>
      <c r="H4496" s="118"/>
      <c r="I4496" s="118"/>
      <c r="J4496" s="118"/>
      <c r="K4496" s="118"/>
      <c r="L4496" s="118"/>
      <c r="M4496" s="118"/>
      <c r="N4496" s="210"/>
    </row>
    <row r="4497" spans="2:14" ht="15" customHeight="1" x14ac:dyDescent="0.25">
      <c r="B4497" s="209"/>
      <c r="C4497" s="118"/>
      <c r="D4497" s="118"/>
      <c r="E4497" s="118"/>
      <c r="F4497" s="118"/>
      <c r="G4497" s="118"/>
      <c r="H4497" s="118"/>
      <c r="I4497" s="118"/>
      <c r="J4497" s="118"/>
      <c r="K4497" s="118"/>
      <c r="L4497" s="118"/>
      <c r="M4497" s="118"/>
      <c r="N4497" s="210"/>
    </row>
    <row r="4498" spans="2:14" ht="15" customHeight="1" thickBot="1" x14ac:dyDescent="0.3">
      <c r="B4498" s="725" t="s">
        <v>414</v>
      </c>
      <c r="C4498" s="726"/>
      <c r="D4498" s="726"/>
      <c r="E4498" s="147"/>
      <c r="F4498" s="147"/>
      <c r="G4498" s="147"/>
      <c r="H4498" s="147"/>
      <c r="I4498" s="727"/>
      <c r="J4498" s="726"/>
      <c r="K4498" s="726"/>
      <c r="L4498" s="130"/>
      <c r="M4498" s="130"/>
      <c r="N4498" s="131"/>
    </row>
    <row r="4499" spans="2:14" ht="15" customHeight="1" thickBot="1" x14ac:dyDescent="0.3"/>
    <row r="4500" spans="2:14" ht="40.9" customHeight="1" x14ac:dyDescent="0.25">
      <c r="B4500" s="728"/>
      <c r="C4500" s="729"/>
      <c r="D4500" s="730" t="s">
        <v>393</v>
      </c>
      <c r="E4500" s="729"/>
      <c r="F4500" s="729"/>
      <c r="G4500" s="729"/>
      <c r="H4500" s="729"/>
      <c r="I4500" s="729"/>
      <c r="J4500" s="729"/>
      <c r="K4500" s="729"/>
      <c r="L4500" s="729"/>
      <c r="M4500" s="729"/>
      <c r="N4500" s="731"/>
    </row>
    <row r="4501" spans="2:14" ht="15" customHeight="1" x14ac:dyDescent="0.25">
      <c r="B4501" s="732" t="s">
        <v>394</v>
      </c>
      <c r="C4501" s="733"/>
      <c r="D4501" s="733"/>
      <c r="E4501" s="733"/>
      <c r="F4501" s="733"/>
      <c r="G4501" s="733"/>
      <c r="H4501" s="733"/>
      <c r="I4501" s="733"/>
      <c r="J4501" s="733"/>
      <c r="K4501" s="733"/>
      <c r="L4501" s="733"/>
      <c r="M4501" s="733"/>
      <c r="N4501" s="734"/>
    </row>
    <row r="4502" spans="2:14" ht="33" customHeight="1" x14ac:dyDescent="0.25">
      <c r="B4502" s="735" t="s">
        <v>395</v>
      </c>
      <c r="C4502" s="736"/>
      <c r="D4502" s="737" t="str">
        <f>VLOOKUP(B4504,Buenaventura!A9:G5749,3,FALSE)</f>
        <v>suministro e instalación de división en aluminio para baños de 0,20 a 0,50 x2 mts,   fabricados en tubular t77 (2.5x2.5), paneles f06 de 7.06 cm, platina de ensamble ai5, ángulo 1/2,  y demás accesorios para su correcta instalación.</v>
      </c>
      <c r="E4502" s="738"/>
      <c r="F4502" s="738"/>
      <c r="G4502" s="738"/>
      <c r="H4502" s="738"/>
      <c r="I4502" s="738"/>
      <c r="J4502" s="738"/>
      <c r="K4502" s="738"/>
      <c r="L4502" s="738"/>
      <c r="M4502" s="738"/>
      <c r="N4502" s="739"/>
    </row>
    <row r="4503" spans="2:14" ht="22.9" customHeight="1" x14ac:dyDescent="0.25">
      <c r="B4503" s="740" t="s">
        <v>26</v>
      </c>
      <c r="C4503" s="741"/>
      <c r="D4503" s="119" t="s">
        <v>396</v>
      </c>
      <c r="E4503" s="742" t="s">
        <v>397</v>
      </c>
      <c r="F4503" s="733"/>
      <c r="G4503" s="733"/>
      <c r="H4503" s="736"/>
      <c r="I4503" s="742" t="s">
        <v>398</v>
      </c>
      <c r="J4503" s="733"/>
      <c r="K4503" s="736"/>
      <c r="L4503" s="742" t="s">
        <v>399</v>
      </c>
      <c r="M4503" s="733"/>
      <c r="N4503" s="734"/>
    </row>
    <row r="4504" spans="2:14" ht="15" customHeight="1" x14ac:dyDescent="0.25">
      <c r="B4504" s="283">
        <v>119</v>
      </c>
      <c r="C4504" s="284" t="str">
        <f>VLOOKUP(B4504,Buenaventura!A9:G5762,2,FALSE)</f>
        <v>CA-29</v>
      </c>
      <c r="D4504" s="285">
        <f>SUM(H4507:H4510)</f>
        <v>1</v>
      </c>
      <c r="E4504" s="743" t="str">
        <f>VLOOKUP(B4504,Buenaventura!A9:G5761,4,FALSE)</f>
        <v>UND</v>
      </c>
      <c r="F4504" s="743"/>
      <c r="G4504" s="743"/>
      <c r="H4504" s="743"/>
      <c r="I4504" s="744"/>
      <c r="J4504" s="745"/>
      <c r="K4504" s="741"/>
      <c r="L4504" s="744"/>
      <c r="M4504" s="745"/>
      <c r="N4504" s="752"/>
    </row>
    <row r="4505" spans="2:14" ht="15" customHeight="1" x14ac:dyDescent="0.25">
      <c r="B4505" s="755" t="s">
        <v>416</v>
      </c>
      <c r="C4505" s="733"/>
      <c r="D4505" s="733"/>
      <c r="E4505" s="733"/>
      <c r="F4505" s="733"/>
      <c r="G4505" s="733"/>
      <c r="H4505" s="736"/>
      <c r="I4505" s="746"/>
      <c r="J4505" s="747"/>
      <c r="K4505" s="748"/>
      <c r="L4505" s="746"/>
      <c r="M4505" s="747"/>
      <c r="N4505" s="753"/>
    </row>
    <row r="4506" spans="2:14" ht="15" customHeight="1" x14ac:dyDescent="0.25">
      <c r="B4506" s="121" t="s">
        <v>400</v>
      </c>
      <c r="C4506" s="122" t="s">
        <v>401</v>
      </c>
      <c r="D4506" s="123" t="s">
        <v>402</v>
      </c>
      <c r="E4506" s="123" t="s">
        <v>403</v>
      </c>
      <c r="F4506" s="123" t="s">
        <v>404</v>
      </c>
      <c r="G4506" s="123" t="s">
        <v>405</v>
      </c>
      <c r="H4506" s="123" t="s">
        <v>406</v>
      </c>
      <c r="I4506" s="746"/>
      <c r="J4506" s="747"/>
      <c r="K4506" s="748"/>
      <c r="L4506" s="746"/>
      <c r="M4506" s="747"/>
      <c r="N4506" s="753"/>
    </row>
    <row r="4507" spans="2:14" ht="15" customHeight="1" x14ac:dyDescent="0.25">
      <c r="B4507" s="124"/>
      <c r="C4507" s="145"/>
      <c r="D4507" s="125">
        <v>1</v>
      </c>
      <c r="E4507" s="125"/>
      <c r="F4507" s="125"/>
      <c r="G4507" s="125"/>
      <c r="H4507" s="125">
        <f>D4507</f>
        <v>1</v>
      </c>
      <c r="I4507" s="746"/>
      <c r="J4507" s="747"/>
      <c r="K4507" s="748"/>
      <c r="L4507" s="746"/>
      <c r="M4507" s="747"/>
      <c r="N4507" s="753"/>
    </row>
    <row r="4508" spans="2:14" ht="15" customHeight="1" x14ac:dyDescent="0.25">
      <c r="B4508" s="124"/>
      <c r="C4508" s="145"/>
      <c r="D4508" s="125"/>
      <c r="E4508" s="125"/>
      <c r="F4508" s="125"/>
      <c r="G4508" s="125"/>
      <c r="H4508" s="125"/>
      <c r="I4508" s="746"/>
      <c r="J4508" s="747"/>
      <c r="K4508" s="748"/>
      <c r="L4508" s="746"/>
      <c r="M4508" s="747"/>
      <c r="N4508" s="753"/>
    </row>
    <row r="4509" spans="2:14" ht="15" customHeight="1" x14ac:dyDescent="0.25">
      <c r="B4509" s="165"/>
      <c r="C4509" s="145"/>
      <c r="D4509" s="125"/>
      <c r="E4509" s="125"/>
      <c r="F4509" s="125"/>
      <c r="G4509" s="125"/>
      <c r="H4509" s="125"/>
      <c r="I4509" s="746"/>
      <c r="J4509" s="747"/>
      <c r="K4509" s="748"/>
      <c r="L4509" s="746"/>
      <c r="M4509" s="747"/>
      <c r="N4509" s="753"/>
    </row>
    <row r="4510" spans="2:14" ht="15" customHeight="1" x14ac:dyDescent="0.25">
      <c r="B4510" s="165"/>
      <c r="C4510" s="145"/>
      <c r="D4510" s="125"/>
      <c r="E4510" s="125"/>
      <c r="F4510" s="125"/>
      <c r="G4510" s="125"/>
      <c r="H4510" s="125"/>
      <c r="I4510" s="746"/>
      <c r="J4510" s="747"/>
      <c r="K4510" s="748"/>
      <c r="L4510" s="746"/>
      <c r="M4510" s="747"/>
      <c r="N4510" s="753"/>
    </row>
    <row r="4511" spans="2:14" ht="15" customHeight="1" x14ac:dyDescent="0.25">
      <c r="B4511" s="165"/>
      <c r="C4511" s="145"/>
      <c r="D4511" s="125"/>
      <c r="E4511" s="125"/>
      <c r="F4511" s="125"/>
      <c r="G4511" s="125"/>
      <c r="H4511" s="125"/>
      <c r="I4511" s="746"/>
      <c r="J4511" s="747"/>
      <c r="K4511" s="748"/>
      <c r="L4511" s="746"/>
      <c r="M4511" s="747"/>
      <c r="N4511" s="753"/>
    </row>
    <row r="4512" spans="2:14" ht="15" customHeight="1" x14ac:dyDescent="0.25">
      <c r="B4512" s="165"/>
      <c r="C4512" s="145"/>
      <c r="D4512" s="125"/>
      <c r="E4512" s="125"/>
      <c r="F4512" s="125"/>
      <c r="G4512" s="125"/>
      <c r="H4512" s="125"/>
      <c r="I4512" s="746"/>
      <c r="J4512" s="747"/>
      <c r="K4512" s="748"/>
      <c r="L4512" s="746"/>
      <c r="M4512" s="747"/>
      <c r="N4512" s="753"/>
    </row>
    <row r="4513" spans="2:14" ht="15" customHeight="1" x14ac:dyDescent="0.25">
      <c r="B4513" s="165"/>
      <c r="C4513" s="145"/>
      <c r="D4513" s="125"/>
      <c r="E4513" s="125"/>
      <c r="F4513" s="125"/>
      <c r="G4513" s="125"/>
      <c r="H4513" s="125"/>
      <c r="I4513" s="746"/>
      <c r="J4513" s="747"/>
      <c r="K4513" s="748"/>
      <c r="L4513" s="746"/>
      <c r="M4513" s="747"/>
      <c r="N4513" s="753"/>
    </row>
    <row r="4514" spans="2:14" ht="15" customHeight="1" x14ac:dyDescent="0.25">
      <c r="B4514" s="124"/>
      <c r="C4514" s="145"/>
      <c r="D4514" s="125"/>
      <c r="E4514" s="125"/>
      <c r="F4514" s="125"/>
      <c r="G4514" s="125"/>
      <c r="H4514" s="125"/>
      <c r="I4514" s="746"/>
      <c r="J4514" s="747"/>
      <c r="K4514" s="748"/>
      <c r="L4514" s="746"/>
      <c r="M4514" s="747"/>
      <c r="N4514" s="753"/>
    </row>
    <row r="4515" spans="2:14" ht="15" customHeight="1" x14ac:dyDescent="0.25">
      <c r="B4515" s="124"/>
      <c r="C4515" s="125"/>
      <c r="D4515" s="125"/>
      <c r="E4515" s="125"/>
      <c r="F4515" s="125"/>
      <c r="G4515" s="125"/>
      <c r="H4515" s="125"/>
      <c r="I4515" s="746"/>
      <c r="J4515" s="747"/>
      <c r="K4515" s="748"/>
      <c r="L4515" s="746"/>
      <c r="M4515" s="747"/>
      <c r="N4515" s="753"/>
    </row>
    <row r="4516" spans="2:14" ht="15" customHeight="1" x14ac:dyDescent="0.25">
      <c r="B4516" s="127"/>
      <c r="C4516" s="125"/>
      <c r="D4516" s="125"/>
      <c r="E4516" s="125"/>
      <c r="F4516" s="125"/>
      <c r="G4516" s="125"/>
      <c r="H4516" s="125"/>
      <c r="I4516" s="749"/>
      <c r="J4516" s="750"/>
      <c r="K4516" s="751"/>
      <c r="L4516" s="749"/>
      <c r="M4516" s="750"/>
      <c r="N4516" s="754"/>
    </row>
    <row r="4517" spans="2:14" ht="15" customHeight="1" x14ac:dyDescent="0.25">
      <c r="B4517" s="225"/>
      <c r="C4517" s="128"/>
      <c r="D4517" s="128"/>
      <c r="E4517" s="128"/>
      <c r="F4517" s="128"/>
      <c r="G4517" s="128"/>
      <c r="H4517" s="128"/>
      <c r="I4517" s="128"/>
      <c r="J4517" s="128"/>
      <c r="K4517" s="128"/>
      <c r="L4517" s="118"/>
      <c r="M4517" s="118"/>
      <c r="N4517" s="210"/>
    </row>
    <row r="4518" spans="2:14" ht="15" customHeight="1" x14ac:dyDescent="0.25">
      <c r="B4518" s="209"/>
      <c r="C4518" s="118"/>
      <c r="D4518" s="118"/>
      <c r="E4518" s="118"/>
      <c r="F4518" s="118"/>
      <c r="G4518" s="118"/>
      <c r="H4518" s="118"/>
      <c r="I4518" s="118"/>
      <c r="J4518" s="118"/>
      <c r="K4518" s="118"/>
      <c r="L4518" s="118"/>
      <c r="M4518" s="118"/>
      <c r="N4518" s="210"/>
    </row>
    <row r="4519" spans="2:14" ht="15" customHeight="1" x14ac:dyDescent="0.25">
      <c r="B4519" s="209"/>
      <c r="C4519" s="118"/>
      <c r="D4519" s="118"/>
      <c r="E4519" s="118"/>
      <c r="F4519" s="118"/>
      <c r="G4519" s="118"/>
      <c r="H4519" s="118"/>
      <c r="I4519" s="118"/>
      <c r="J4519" s="118"/>
      <c r="K4519" s="118"/>
      <c r="L4519" s="118"/>
      <c r="M4519" s="118"/>
      <c r="N4519" s="210"/>
    </row>
    <row r="4520" spans="2:14" ht="15" customHeight="1" thickBot="1" x14ac:dyDescent="0.3">
      <c r="B4520" s="725" t="s">
        <v>414</v>
      </c>
      <c r="C4520" s="726"/>
      <c r="D4520" s="726"/>
      <c r="E4520" s="147"/>
      <c r="F4520" s="147"/>
      <c r="G4520" s="147"/>
      <c r="H4520" s="147"/>
      <c r="I4520" s="727"/>
      <c r="J4520" s="726"/>
      <c r="K4520" s="726"/>
      <c r="L4520" s="130"/>
      <c r="M4520" s="130"/>
      <c r="N4520" s="131"/>
    </row>
    <row r="4521" spans="2:14" ht="15" customHeight="1" thickBot="1" x14ac:dyDescent="0.3"/>
    <row r="4522" spans="2:14" ht="42.6" customHeight="1" x14ac:dyDescent="0.25">
      <c r="B4522" s="728"/>
      <c r="C4522" s="729"/>
      <c r="D4522" s="730" t="s">
        <v>393</v>
      </c>
      <c r="E4522" s="729"/>
      <c r="F4522" s="729"/>
      <c r="G4522" s="729"/>
      <c r="H4522" s="729"/>
      <c r="I4522" s="729"/>
      <c r="J4522" s="729"/>
      <c r="K4522" s="729"/>
      <c r="L4522" s="729"/>
      <c r="M4522" s="729"/>
      <c r="N4522" s="731"/>
    </row>
    <row r="4523" spans="2:14" ht="15" customHeight="1" x14ac:dyDescent="0.25">
      <c r="B4523" s="732" t="s">
        <v>394</v>
      </c>
      <c r="C4523" s="733"/>
      <c r="D4523" s="733"/>
      <c r="E4523" s="733"/>
      <c r="F4523" s="733"/>
      <c r="G4523" s="733"/>
      <c r="H4523" s="733"/>
      <c r="I4523" s="733"/>
      <c r="J4523" s="733"/>
      <c r="K4523" s="733"/>
      <c r="L4523" s="733"/>
      <c r="M4523" s="733"/>
      <c r="N4523" s="734"/>
    </row>
    <row r="4524" spans="2:14" ht="39.75" customHeight="1" x14ac:dyDescent="0.25">
      <c r="B4524" s="735" t="s">
        <v>395</v>
      </c>
      <c r="C4524" s="736"/>
      <c r="D4524" s="737" t="str">
        <f>VLOOKUP(B4526,Buenaventura!A9:G5771,3,FALSE)</f>
        <v>Mantenimiento y adecuación de caja de inspeccion (tamaño maximo 0,80m x0,80), incluye limpieza, reparación, ajuste y puesta en correcto funcionamiento de la caja de inspección existente, garantizando su operatividad, estanqueidad y condiciones adecuadas de acceso.</v>
      </c>
      <c r="E4524" s="738"/>
      <c r="F4524" s="738"/>
      <c r="G4524" s="738"/>
      <c r="H4524" s="738"/>
      <c r="I4524" s="738"/>
      <c r="J4524" s="738"/>
      <c r="K4524" s="738"/>
      <c r="L4524" s="738"/>
      <c r="M4524" s="738"/>
      <c r="N4524" s="739"/>
    </row>
    <row r="4525" spans="2:14" ht="33" customHeight="1" x14ac:dyDescent="0.25">
      <c r="B4525" s="740" t="s">
        <v>26</v>
      </c>
      <c r="C4525" s="741"/>
      <c r="D4525" s="119" t="s">
        <v>396</v>
      </c>
      <c r="E4525" s="742" t="s">
        <v>397</v>
      </c>
      <c r="F4525" s="733"/>
      <c r="G4525" s="733"/>
      <c r="H4525" s="736"/>
      <c r="I4525" s="742" t="s">
        <v>398</v>
      </c>
      <c r="J4525" s="733"/>
      <c r="K4525" s="736"/>
      <c r="L4525" s="742" t="s">
        <v>399</v>
      </c>
      <c r="M4525" s="733"/>
      <c r="N4525" s="734"/>
    </row>
    <row r="4526" spans="2:14" ht="15" customHeight="1" x14ac:dyDescent="0.25">
      <c r="B4526" s="283">
        <v>120</v>
      </c>
      <c r="C4526" s="284" t="str">
        <f>VLOOKUP(B4526,Buenaventura!A9:G5784,2,FALSE)</f>
        <v>DI-13</v>
      </c>
      <c r="D4526" s="285">
        <f>SUM(H4529:H4532)</f>
        <v>1</v>
      </c>
      <c r="E4526" s="743" t="str">
        <f>VLOOKUP(B4526,Buenaventura!A9:G5783,4,FALSE)</f>
        <v>UND</v>
      </c>
      <c r="F4526" s="743"/>
      <c r="G4526" s="743"/>
      <c r="H4526" s="743"/>
      <c r="I4526" s="744"/>
      <c r="J4526" s="745"/>
      <c r="K4526" s="741"/>
      <c r="L4526" s="744"/>
      <c r="M4526" s="745"/>
      <c r="N4526" s="752"/>
    </row>
    <row r="4527" spans="2:14" ht="15" customHeight="1" x14ac:dyDescent="0.25">
      <c r="B4527" s="755" t="s">
        <v>416</v>
      </c>
      <c r="C4527" s="733"/>
      <c r="D4527" s="733"/>
      <c r="E4527" s="733"/>
      <c r="F4527" s="733"/>
      <c r="G4527" s="733"/>
      <c r="H4527" s="736"/>
      <c r="I4527" s="746"/>
      <c r="J4527" s="747"/>
      <c r="K4527" s="748"/>
      <c r="L4527" s="746"/>
      <c r="M4527" s="747"/>
      <c r="N4527" s="753"/>
    </row>
    <row r="4528" spans="2:14" ht="15" customHeight="1" x14ac:dyDescent="0.25">
      <c r="B4528" s="121" t="s">
        <v>400</v>
      </c>
      <c r="C4528" s="122" t="s">
        <v>401</v>
      </c>
      <c r="D4528" s="123" t="s">
        <v>402</v>
      </c>
      <c r="E4528" s="123" t="s">
        <v>403</v>
      </c>
      <c r="F4528" s="123" t="s">
        <v>404</v>
      </c>
      <c r="G4528" s="123" t="s">
        <v>405</v>
      </c>
      <c r="H4528" s="123" t="s">
        <v>406</v>
      </c>
      <c r="I4528" s="746"/>
      <c r="J4528" s="747"/>
      <c r="K4528" s="748"/>
      <c r="L4528" s="746"/>
      <c r="M4528" s="747"/>
      <c r="N4528" s="753"/>
    </row>
    <row r="4529" spans="2:14" ht="15" customHeight="1" x14ac:dyDescent="0.25">
      <c r="B4529" s="124"/>
      <c r="C4529" s="145"/>
      <c r="D4529" s="125">
        <v>1</v>
      </c>
      <c r="E4529" s="125"/>
      <c r="F4529" s="125"/>
      <c r="G4529" s="125"/>
      <c r="H4529" s="125">
        <f>D4529</f>
        <v>1</v>
      </c>
      <c r="I4529" s="746"/>
      <c r="J4529" s="747"/>
      <c r="K4529" s="748"/>
      <c r="L4529" s="746"/>
      <c r="M4529" s="747"/>
      <c r="N4529" s="753"/>
    </row>
    <row r="4530" spans="2:14" ht="15" customHeight="1" x14ac:dyDescent="0.25">
      <c r="B4530" s="124"/>
      <c r="C4530" s="145"/>
      <c r="D4530" s="125"/>
      <c r="E4530" s="125"/>
      <c r="F4530" s="125"/>
      <c r="G4530" s="125"/>
      <c r="H4530" s="125"/>
      <c r="I4530" s="746"/>
      <c r="J4530" s="747"/>
      <c r="K4530" s="748"/>
      <c r="L4530" s="746"/>
      <c r="M4530" s="747"/>
      <c r="N4530" s="753"/>
    </row>
    <row r="4531" spans="2:14" ht="15" customHeight="1" x14ac:dyDescent="0.25">
      <c r="B4531" s="165"/>
      <c r="C4531" s="145"/>
      <c r="D4531" s="125"/>
      <c r="E4531" s="125"/>
      <c r="F4531" s="125"/>
      <c r="G4531" s="125"/>
      <c r="H4531" s="125"/>
      <c r="I4531" s="746"/>
      <c r="J4531" s="747"/>
      <c r="K4531" s="748"/>
      <c r="L4531" s="746"/>
      <c r="M4531" s="747"/>
      <c r="N4531" s="753"/>
    </row>
    <row r="4532" spans="2:14" ht="15" customHeight="1" x14ac:dyDescent="0.25">
      <c r="B4532" s="165"/>
      <c r="C4532" s="145"/>
      <c r="D4532" s="125"/>
      <c r="E4532" s="125"/>
      <c r="F4532" s="125"/>
      <c r="G4532" s="125"/>
      <c r="H4532" s="125"/>
      <c r="I4532" s="746"/>
      <c r="J4532" s="747"/>
      <c r="K4532" s="748"/>
      <c r="L4532" s="746"/>
      <c r="M4532" s="747"/>
      <c r="N4532" s="753"/>
    </row>
    <row r="4533" spans="2:14" ht="15" customHeight="1" x14ac:dyDescent="0.25">
      <c r="B4533" s="165"/>
      <c r="C4533" s="145"/>
      <c r="D4533" s="125"/>
      <c r="E4533" s="125"/>
      <c r="F4533" s="125"/>
      <c r="G4533" s="125"/>
      <c r="H4533" s="125"/>
      <c r="I4533" s="746"/>
      <c r="J4533" s="747"/>
      <c r="K4533" s="748"/>
      <c r="L4533" s="746"/>
      <c r="M4533" s="747"/>
      <c r="N4533" s="753"/>
    </row>
    <row r="4534" spans="2:14" ht="15" customHeight="1" x14ac:dyDescent="0.25">
      <c r="B4534" s="165"/>
      <c r="C4534" s="145"/>
      <c r="D4534" s="125"/>
      <c r="E4534" s="125"/>
      <c r="F4534" s="125"/>
      <c r="G4534" s="125"/>
      <c r="H4534" s="125"/>
      <c r="I4534" s="746"/>
      <c r="J4534" s="747"/>
      <c r="K4534" s="748"/>
      <c r="L4534" s="746"/>
      <c r="M4534" s="747"/>
      <c r="N4534" s="753"/>
    </row>
    <row r="4535" spans="2:14" ht="15" customHeight="1" x14ac:dyDescent="0.25">
      <c r="B4535" s="165"/>
      <c r="C4535" s="145"/>
      <c r="D4535" s="125"/>
      <c r="E4535" s="125"/>
      <c r="F4535" s="125"/>
      <c r="G4535" s="125"/>
      <c r="H4535" s="125"/>
      <c r="I4535" s="746"/>
      <c r="J4535" s="747"/>
      <c r="K4535" s="748"/>
      <c r="L4535" s="746"/>
      <c r="M4535" s="747"/>
      <c r="N4535" s="753"/>
    </row>
    <row r="4536" spans="2:14" ht="15" customHeight="1" x14ac:dyDescent="0.25">
      <c r="B4536" s="124"/>
      <c r="C4536" s="145"/>
      <c r="D4536" s="125"/>
      <c r="E4536" s="125"/>
      <c r="F4536" s="125"/>
      <c r="G4536" s="125"/>
      <c r="H4536" s="125"/>
      <c r="I4536" s="746"/>
      <c r="J4536" s="747"/>
      <c r="K4536" s="748"/>
      <c r="L4536" s="746"/>
      <c r="M4536" s="747"/>
      <c r="N4536" s="753"/>
    </row>
    <row r="4537" spans="2:14" ht="15" customHeight="1" x14ac:dyDescent="0.25">
      <c r="B4537" s="124"/>
      <c r="C4537" s="125"/>
      <c r="D4537" s="125"/>
      <c r="E4537" s="125"/>
      <c r="F4537" s="125"/>
      <c r="G4537" s="125"/>
      <c r="H4537" s="125"/>
      <c r="I4537" s="746"/>
      <c r="J4537" s="747"/>
      <c r="K4537" s="748"/>
      <c r="L4537" s="746"/>
      <c r="M4537" s="747"/>
      <c r="N4537" s="753"/>
    </row>
    <row r="4538" spans="2:14" ht="15" customHeight="1" x14ac:dyDescent="0.25">
      <c r="B4538" s="127"/>
      <c r="C4538" s="125"/>
      <c r="D4538" s="125"/>
      <c r="E4538" s="125"/>
      <c r="F4538" s="125"/>
      <c r="G4538" s="125"/>
      <c r="H4538" s="125"/>
      <c r="I4538" s="749"/>
      <c r="J4538" s="750"/>
      <c r="K4538" s="751"/>
      <c r="L4538" s="749"/>
      <c r="M4538" s="750"/>
      <c r="N4538" s="754"/>
    </row>
    <row r="4539" spans="2:14" ht="15" customHeight="1" x14ac:dyDescent="0.25">
      <c r="B4539" s="225"/>
      <c r="C4539" s="128"/>
      <c r="D4539" s="128"/>
      <c r="E4539" s="128"/>
      <c r="F4539" s="128"/>
      <c r="G4539" s="128"/>
      <c r="H4539" s="128"/>
      <c r="I4539" s="128"/>
      <c r="J4539" s="128"/>
      <c r="K4539" s="128"/>
      <c r="L4539" s="118"/>
      <c r="M4539" s="118"/>
      <c r="N4539" s="210"/>
    </row>
    <row r="4540" spans="2:14" ht="15" customHeight="1" x14ac:dyDescent="0.25">
      <c r="B4540" s="209"/>
      <c r="C4540" s="118"/>
      <c r="D4540" s="118"/>
      <c r="E4540" s="118"/>
      <c r="F4540" s="118"/>
      <c r="G4540" s="118"/>
      <c r="H4540" s="118"/>
      <c r="I4540" s="118"/>
      <c r="J4540" s="118"/>
      <c r="K4540" s="118"/>
      <c r="L4540" s="118"/>
      <c r="M4540" s="118"/>
      <c r="N4540" s="210"/>
    </row>
    <row r="4541" spans="2:14" ht="15" customHeight="1" x14ac:dyDescent="0.25">
      <c r="B4541" s="209"/>
      <c r="C4541" s="118"/>
      <c r="D4541" s="118"/>
      <c r="E4541" s="118"/>
      <c r="F4541" s="118"/>
      <c r="G4541" s="118"/>
      <c r="H4541" s="118"/>
      <c r="I4541" s="118"/>
      <c r="J4541" s="118"/>
      <c r="K4541" s="118"/>
      <c r="L4541" s="118"/>
      <c r="M4541" s="118"/>
      <c r="N4541" s="210"/>
    </row>
    <row r="4542" spans="2:14" ht="15" customHeight="1" thickBot="1" x14ac:dyDescent="0.3">
      <c r="B4542" s="725" t="s">
        <v>414</v>
      </c>
      <c r="C4542" s="726"/>
      <c r="D4542" s="726"/>
      <c r="E4542" s="147"/>
      <c r="F4542" s="147"/>
      <c r="G4542" s="147"/>
      <c r="H4542" s="147"/>
      <c r="I4542" s="727"/>
      <c r="J4542" s="726"/>
      <c r="K4542" s="726"/>
      <c r="L4542" s="130"/>
      <c r="M4542" s="130"/>
      <c r="N4542" s="131"/>
    </row>
    <row r="4543" spans="2:14" ht="15" customHeight="1" thickBot="1" x14ac:dyDescent="0.3">
      <c r="B4543" s="364"/>
      <c r="C4543" s="365"/>
      <c r="D4543" s="365"/>
      <c r="E4543" s="364"/>
      <c r="F4543" s="364"/>
      <c r="G4543" s="364"/>
      <c r="H4543" s="364"/>
      <c r="I4543" s="364"/>
      <c r="J4543" s="365"/>
      <c r="K4543" s="365"/>
      <c r="L4543" s="232"/>
      <c r="M4543" s="232"/>
      <c r="N4543" s="232"/>
    </row>
    <row r="4544" spans="2:14" ht="33.75" customHeight="1" x14ac:dyDescent="0.25">
      <c r="B4544" s="728"/>
      <c r="C4544" s="729"/>
      <c r="D4544" s="730" t="s">
        <v>393</v>
      </c>
      <c r="E4544" s="729"/>
      <c r="F4544" s="729"/>
      <c r="G4544" s="729"/>
      <c r="H4544" s="729"/>
      <c r="I4544" s="729"/>
      <c r="J4544" s="729"/>
      <c r="K4544" s="729"/>
      <c r="L4544" s="729"/>
      <c r="M4544" s="729"/>
      <c r="N4544" s="731"/>
    </row>
    <row r="4545" spans="2:14" ht="15" customHeight="1" x14ac:dyDescent="0.25">
      <c r="B4545" s="732" t="s">
        <v>394</v>
      </c>
      <c r="C4545" s="733"/>
      <c r="D4545" s="733"/>
      <c r="E4545" s="733"/>
      <c r="F4545" s="733"/>
      <c r="G4545" s="733"/>
      <c r="H4545" s="733"/>
      <c r="I4545" s="733"/>
      <c r="J4545" s="733"/>
      <c r="K4545" s="733"/>
      <c r="L4545" s="733"/>
      <c r="M4545" s="733"/>
      <c r="N4545" s="734"/>
    </row>
    <row r="4546" spans="2:14" ht="30" customHeight="1" x14ac:dyDescent="0.25">
      <c r="B4546" s="735" t="s">
        <v>395</v>
      </c>
      <c r="C4546" s="736"/>
      <c r="D4546" s="737" t="e">
        <f>VLOOKUP(B4548,Buenaventura!A31:G5793,3,FALSE)</f>
        <v>#N/A</v>
      </c>
      <c r="E4546" s="738"/>
      <c r="F4546" s="738"/>
      <c r="G4546" s="738"/>
      <c r="H4546" s="738"/>
      <c r="I4546" s="738"/>
      <c r="J4546" s="738"/>
      <c r="K4546" s="738"/>
      <c r="L4546" s="738"/>
      <c r="M4546" s="738"/>
      <c r="N4546" s="739"/>
    </row>
    <row r="4547" spans="2:14" ht="15" customHeight="1" x14ac:dyDescent="0.25">
      <c r="B4547" s="740" t="s">
        <v>26</v>
      </c>
      <c r="C4547" s="741"/>
      <c r="D4547" s="119" t="s">
        <v>396</v>
      </c>
      <c r="E4547" s="742" t="s">
        <v>397</v>
      </c>
      <c r="F4547" s="733"/>
      <c r="G4547" s="733"/>
      <c r="H4547" s="736"/>
      <c r="I4547" s="742" t="s">
        <v>398</v>
      </c>
      <c r="J4547" s="733"/>
      <c r="K4547" s="736"/>
      <c r="L4547" s="742" t="s">
        <v>399</v>
      </c>
      <c r="M4547" s="733"/>
      <c r="N4547" s="734"/>
    </row>
    <row r="4548" spans="2:14" ht="15" customHeight="1" x14ac:dyDescent="0.25">
      <c r="B4548" s="283"/>
      <c r="C4548" s="284" t="e">
        <f>VLOOKUP(B4548,Buenaventura!A31:G5806,2,FALSE)</f>
        <v>#N/A</v>
      </c>
      <c r="D4548" s="285">
        <f>SUM(H4551:H4554)</f>
        <v>1</v>
      </c>
      <c r="E4548" s="743" t="e">
        <f>VLOOKUP(B4548,Buenaventura!A31:G5805,4,FALSE)</f>
        <v>#N/A</v>
      </c>
      <c r="F4548" s="743"/>
      <c r="G4548" s="743"/>
      <c r="H4548" s="743"/>
      <c r="I4548" s="744"/>
      <c r="J4548" s="745"/>
      <c r="K4548" s="741"/>
      <c r="L4548" s="744"/>
      <c r="M4548" s="745"/>
      <c r="N4548" s="752"/>
    </row>
    <row r="4549" spans="2:14" ht="15" customHeight="1" x14ac:dyDescent="0.25">
      <c r="B4549" s="755" t="s">
        <v>416</v>
      </c>
      <c r="C4549" s="733"/>
      <c r="D4549" s="733"/>
      <c r="E4549" s="733"/>
      <c r="F4549" s="733"/>
      <c r="G4549" s="733"/>
      <c r="H4549" s="736"/>
      <c r="I4549" s="746"/>
      <c r="J4549" s="747"/>
      <c r="K4549" s="748"/>
      <c r="L4549" s="746"/>
      <c r="M4549" s="747"/>
      <c r="N4549" s="753"/>
    </row>
    <row r="4550" spans="2:14" ht="15" customHeight="1" x14ac:dyDescent="0.25">
      <c r="B4550" s="121" t="s">
        <v>400</v>
      </c>
      <c r="C4550" s="122" t="s">
        <v>401</v>
      </c>
      <c r="D4550" s="123" t="s">
        <v>402</v>
      </c>
      <c r="E4550" s="123" t="s">
        <v>403</v>
      </c>
      <c r="F4550" s="123" t="s">
        <v>404</v>
      </c>
      <c r="G4550" s="123" t="s">
        <v>405</v>
      </c>
      <c r="H4550" s="123" t="s">
        <v>406</v>
      </c>
      <c r="I4550" s="746"/>
      <c r="J4550" s="747"/>
      <c r="K4550" s="748"/>
      <c r="L4550" s="746"/>
      <c r="M4550" s="747"/>
      <c r="N4550" s="753"/>
    </row>
    <row r="4551" spans="2:14" ht="15" customHeight="1" x14ac:dyDescent="0.25">
      <c r="B4551" s="124"/>
      <c r="C4551" s="145"/>
      <c r="D4551" s="125">
        <v>1</v>
      </c>
      <c r="E4551" s="125"/>
      <c r="F4551" s="125"/>
      <c r="G4551" s="125"/>
      <c r="H4551" s="125">
        <f>D4551</f>
        <v>1</v>
      </c>
      <c r="I4551" s="746"/>
      <c r="J4551" s="747"/>
      <c r="K4551" s="748"/>
      <c r="L4551" s="746"/>
      <c r="M4551" s="747"/>
      <c r="N4551" s="753"/>
    </row>
    <row r="4552" spans="2:14" ht="15" customHeight="1" x14ac:dyDescent="0.25">
      <c r="B4552" s="124"/>
      <c r="C4552" s="145"/>
      <c r="D4552" s="125"/>
      <c r="E4552" s="125"/>
      <c r="F4552" s="125"/>
      <c r="G4552" s="125"/>
      <c r="H4552" s="125"/>
      <c r="I4552" s="746"/>
      <c r="J4552" s="747"/>
      <c r="K4552" s="748"/>
      <c r="L4552" s="746"/>
      <c r="M4552" s="747"/>
      <c r="N4552" s="753"/>
    </row>
    <row r="4553" spans="2:14" ht="15" customHeight="1" x14ac:dyDescent="0.25">
      <c r="B4553" s="165"/>
      <c r="C4553" s="145"/>
      <c r="D4553" s="125"/>
      <c r="E4553" s="125"/>
      <c r="F4553" s="125"/>
      <c r="G4553" s="125"/>
      <c r="H4553" s="125"/>
      <c r="I4553" s="746"/>
      <c r="J4553" s="747"/>
      <c r="K4553" s="748"/>
      <c r="L4553" s="746"/>
      <c r="M4553" s="747"/>
      <c r="N4553" s="753"/>
    </row>
    <row r="4554" spans="2:14" ht="15" customHeight="1" x14ac:dyDescent="0.25">
      <c r="B4554" s="165"/>
      <c r="C4554" s="145"/>
      <c r="D4554" s="125"/>
      <c r="E4554" s="125"/>
      <c r="F4554" s="125"/>
      <c r="G4554" s="125"/>
      <c r="H4554" s="125"/>
      <c r="I4554" s="746"/>
      <c r="J4554" s="747"/>
      <c r="K4554" s="748"/>
      <c r="L4554" s="746"/>
      <c r="M4554" s="747"/>
      <c r="N4554" s="753"/>
    </row>
    <row r="4555" spans="2:14" ht="15" customHeight="1" x14ac:dyDescent="0.25">
      <c r="B4555" s="165"/>
      <c r="C4555" s="145"/>
      <c r="D4555" s="125"/>
      <c r="E4555" s="125"/>
      <c r="F4555" s="125"/>
      <c r="G4555" s="125"/>
      <c r="H4555" s="125"/>
      <c r="I4555" s="746"/>
      <c r="J4555" s="747"/>
      <c r="K4555" s="748"/>
      <c r="L4555" s="746"/>
      <c r="M4555" s="747"/>
      <c r="N4555" s="753"/>
    </row>
    <row r="4556" spans="2:14" ht="15" customHeight="1" x14ac:dyDescent="0.25">
      <c r="B4556" s="165"/>
      <c r="C4556" s="145"/>
      <c r="D4556" s="125"/>
      <c r="E4556" s="125"/>
      <c r="F4556" s="125"/>
      <c r="G4556" s="125"/>
      <c r="H4556" s="125"/>
      <c r="I4556" s="746"/>
      <c r="J4556" s="747"/>
      <c r="K4556" s="748"/>
      <c r="L4556" s="746"/>
      <c r="M4556" s="747"/>
      <c r="N4556" s="753"/>
    </row>
    <row r="4557" spans="2:14" ht="15" customHeight="1" x14ac:dyDescent="0.25">
      <c r="B4557" s="165"/>
      <c r="C4557" s="145"/>
      <c r="D4557" s="125"/>
      <c r="E4557" s="125"/>
      <c r="F4557" s="125"/>
      <c r="G4557" s="125"/>
      <c r="H4557" s="125"/>
      <c r="I4557" s="746"/>
      <c r="J4557" s="747"/>
      <c r="K4557" s="748"/>
      <c r="L4557" s="746"/>
      <c r="M4557" s="747"/>
      <c r="N4557" s="753"/>
    </row>
    <row r="4558" spans="2:14" ht="15" customHeight="1" x14ac:dyDescent="0.25">
      <c r="B4558" s="124"/>
      <c r="C4558" s="145"/>
      <c r="D4558" s="125"/>
      <c r="E4558" s="125"/>
      <c r="F4558" s="125"/>
      <c r="G4558" s="125"/>
      <c r="H4558" s="125"/>
      <c r="I4558" s="746"/>
      <c r="J4558" s="747"/>
      <c r="K4558" s="748"/>
      <c r="L4558" s="746"/>
      <c r="M4558" s="747"/>
      <c r="N4558" s="753"/>
    </row>
    <row r="4559" spans="2:14" ht="15" customHeight="1" x14ac:dyDescent="0.25">
      <c r="B4559" s="124"/>
      <c r="C4559" s="125"/>
      <c r="D4559" s="125"/>
      <c r="E4559" s="125"/>
      <c r="F4559" s="125"/>
      <c r="G4559" s="125"/>
      <c r="H4559" s="125"/>
      <c r="I4559" s="746"/>
      <c r="J4559" s="747"/>
      <c r="K4559" s="748"/>
      <c r="L4559" s="746"/>
      <c r="M4559" s="747"/>
      <c r="N4559" s="753"/>
    </row>
    <row r="4560" spans="2:14" ht="15" customHeight="1" x14ac:dyDescent="0.25">
      <c r="B4560" s="127"/>
      <c r="C4560" s="125"/>
      <c r="D4560" s="125"/>
      <c r="E4560" s="125"/>
      <c r="F4560" s="125"/>
      <c r="G4560" s="125"/>
      <c r="H4560" s="125"/>
      <c r="I4560" s="749"/>
      <c r="J4560" s="750"/>
      <c r="K4560" s="751"/>
      <c r="L4560" s="749"/>
      <c r="M4560" s="750"/>
      <c r="N4560" s="754"/>
    </row>
    <row r="4561" spans="2:14" ht="15" customHeight="1" x14ac:dyDescent="0.25">
      <c r="B4561" s="225"/>
      <c r="C4561" s="128"/>
      <c r="D4561" s="128"/>
      <c r="E4561" s="128"/>
      <c r="F4561" s="128"/>
      <c r="G4561" s="128"/>
      <c r="H4561" s="128"/>
      <c r="I4561" s="128"/>
      <c r="J4561" s="128"/>
      <c r="K4561" s="128"/>
      <c r="L4561" s="118"/>
      <c r="M4561" s="118"/>
      <c r="N4561" s="210"/>
    </row>
    <row r="4562" spans="2:14" ht="15" customHeight="1" x14ac:dyDescent="0.25">
      <c r="B4562" s="209"/>
      <c r="C4562" s="118"/>
      <c r="D4562" s="118"/>
      <c r="E4562" s="118"/>
      <c r="F4562" s="118"/>
      <c r="G4562" s="118"/>
      <c r="H4562" s="118"/>
      <c r="I4562" s="118"/>
      <c r="J4562" s="118"/>
      <c r="K4562" s="118"/>
      <c r="L4562" s="118"/>
      <c r="M4562" s="118"/>
      <c r="N4562" s="210"/>
    </row>
    <row r="4563" spans="2:14" ht="15" customHeight="1" x14ac:dyDescent="0.25">
      <c r="B4563" s="209"/>
      <c r="C4563" s="118"/>
      <c r="D4563" s="118"/>
      <c r="E4563" s="118"/>
      <c r="F4563" s="118"/>
      <c r="G4563" s="118"/>
      <c r="H4563" s="118"/>
      <c r="I4563" s="118"/>
      <c r="J4563" s="118"/>
      <c r="K4563" s="118"/>
      <c r="L4563" s="118"/>
      <c r="M4563" s="118"/>
      <c r="N4563" s="210"/>
    </row>
    <row r="4564" spans="2:14" ht="15" customHeight="1" thickBot="1" x14ac:dyDescent="0.3">
      <c r="B4564" s="725" t="s">
        <v>414</v>
      </c>
      <c r="C4564" s="726"/>
      <c r="D4564" s="726"/>
      <c r="E4564" s="147"/>
      <c r="F4564" s="147"/>
      <c r="G4564" s="147"/>
      <c r="H4564" s="147"/>
      <c r="I4564" s="727"/>
      <c r="J4564" s="726"/>
      <c r="K4564" s="726"/>
      <c r="L4564" s="130"/>
      <c r="M4564" s="130"/>
      <c r="N4564" s="131"/>
    </row>
    <row r="4565" spans="2:14" ht="15" customHeight="1" x14ac:dyDescent="0.25">
      <c r="B4565" s="364"/>
      <c r="C4565" s="365"/>
      <c r="D4565" s="365"/>
      <c r="E4565" s="364"/>
      <c r="F4565" s="364"/>
      <c r="G4565" s="364"/>
      <c r="H4565" s="364"/>
      <c r="I4565" s="364"/>
      <c r="J4565" s="365"/>
      <c r="K4565" s="365"/>
      <c r="L4565" s="232"/>
      <c r="M4565" s="232"/>
      <c r="N4565" s="232"/>
    </row>
    <row r="4566" spans="2:14" ht="15" customHeight="1" x14ac:dyDescent="0.25">
      <c r="B4566" s="364"/>
      <c r="C4566" s="365"/>
      <c r="D4566" s="365"/>
      <c r="E4566" s="364"/>
      <c r="F4566" s="364"/>
      <c r="G4566" s="364"/>
      <c r="H4566" s="364"/>
      <c r="I4566" s="364"/>
      <c r="J4566" s="365"/>
      <c r="K4566" s="365"/>
      <c r="L4566" s="232"/>
      <c r="M4566" s="232"/>
      <c r="N4566" s="232"/>
    </row>
    <row r="4567" spans="2:14" ht="15" customHeight="1" x14ac:dyDescent="0.25">
      <c r="B4567" s="364"/>
      <c r="C4567" s="365"/>
      <c r="D4567" s="365"/>
      <c r="E4567" s="364"/>
      <c r="F4567" s="364"/>
      <c r="G4567" s="364"/>
      <c r="H4567" s="364"/>
      <c r="I4567" s="364"/>
      <c r="J4567" s="365"/>
      <c r="K4567" s="365"/>
      <c r="L4567" s="232"/>
      <c r="M4567" s="232"/>
      <c r="N4567" s="232"/>
    </row>
    <row r="4568" spans="2:14" ht="15" customHeight="1" x14ac:dyDescent="0.25">
      <c r="B4568" s="364"/>
      <c r="C4568" s="365"/>
      <c r="D4568" s="365"/>
      <c r="E4568" s="364"/>
      <c r="F4568" s="364"/>
      <c r="G4568" s="364"/>
      <c r="H4568" s="364"/>
      <c r="I4568" s="364"/>
      <c r="J4568" s="365"/>
      <c r="K4568" s="365"/>
      <c r="L4568" s="232"/>
      <c r="M4568" s="232"/>
      <c r="N4568" s="232"/>
    </row>
    <row r="4569" spans="2:14" ht="15" customHeight="1" x14ac:dyDescent="0.25">
      <c r="B4569" s="364"/>
      <c r="C4569" s="365"/>
      <c r="D4569" s="365"/>
      <c r="E4569" s="364"/>
      <c r="F4569" s="364"/>
      <c r="G4569" s="364"/>
      <c r="H4569" s="364"/>
      <c r="I4569" s="364"/>
      <c r="J4569" s="365"/>
      <c r="K4569" s="365"/>
      <c r="L4569" s="232"/>
      <c r="M4569" s="232"/>
      <c r="N4569" s="232"/>
    </row>
    <row r="4570" spans="2:14" ht="15" customHeight="1" x14ac:dyDescent="0.25">
      <c r="B4570" s="364"/>
      <c r="C4570" s="365"/>
      <c r="D4570" s="365"/>
      <c r="E4570" s="364"/>
      <c r="F4570" s="364"/>
      <c r="G4570" s="364"/>
      <c r="H4570" s="364"/>
      <c r="I4570" s="364"/>
      <c r="J4570" s="365"/>
      <c r="K4570" s="365"/>
      <c r="L4570" s="232"/>
      <c r="M4570" s="232"/>
      <c r="N4570" s="232"/>
    </row>
    <row r="4571" spans="2:14" ht="15" customHeight="1" x14ac:dyDescent="0.25">
      <c r="B4571" s="364"/>
      <c r="C4571" s="365"/>
      <c r="D4571" s="365"/>
      <c r="E4571" s="364"/>
      <c r="F4571" s="364"/>
      <c r="G4571" s="364"/>
      <c r="H4571" s="364"/>
      <c r="I4571" s="364"/>
      <c r="J4571" s="365"/>
      <c r="K4571" s="365"/>
      <c r="L4571" s="232"/>
      <c r="M4571" s="232"/>
      <c r="N4571" s="232"/>
    </row>
    <row r="4572" spans="2:14" ht="15" customHeight="1" thickBot="1" x14ac:dyDescent="0.3"/>
    <row r="4573" spans="2:14" ht="38.450000000000003" customHeight="1" x14ac:dyDescent="0.25">
      <c r="B4573" s="728"/>
      <c r="C4573" s="729"/>
      <c r="D4573" s="730" t="s">
        <v>393</v>
      </c>
      <c r="E4573" s="729"/>
      <c r="F4573" s="729"/>
      <c r="G4573" s="729"/>
      <c r="H4573" s="729"/>
      <c r="I4573" s="729"/>
      <c r="J4573" s="729"/>
      <c r="K4573" s="729"/>
      <c r="L4573" s="729"/>
      <c r="M4573" s="729"/>
      <c r="N4573" s="731"/>
    </row>
    <row r="4574" spans="2:14" ht="15" customHeight="1" x14ac:dyDescent="0.25">
      <c r="B4574" s="732" t="s">
        <v>394</v>
      </c>
      <c r="C4574" s="733"/>
      <c r="D4574" s="733"/>
      <c r="E4574" s="733"/>
      <c r="F4574" s="733"/>
      <c r="G4574" s="733"/>
      <c r="H4574" s="733"/>
      <c r="I4574" s="733"/>
      <c r="J4574" s="733"/>
      <c r="K4574" s="733"/>
      <c r="L4574" s="733"/>
      <c r="M4574" s="733"/>
      <c r="N4574" s="734"/>
    </row>
    <row r="4575" spans="2:14" ht="24.6" customHeight="1" x14ac:dyDescent="0.25">
      <c r="B4575" s="735" t="s">
        <v>395</v>
      </c>
      <c r="C4575" s="736"/>
      <c r="D4575" s="737" t="str">
        <f>VLOOKUP(B4577,Buenaventura!A9:G5793,3,FALSE)</f>
        <v>Suministro y Construcción de caja de aguas negras en concreto 1,00mx1,00m, incluye tapa con marco dividida en 2 y todos los materiales garantizando su correcta funcionalidad, resistencia y estanqueidad.</v>
      </c>
      <c r="E4575" s="738"/>
      <c r="F4575" s="738"/>
      <c r="G4575" s="738"/>
      <c r="H4575" s="738"/>
      <c r="I4575" s="738"/>
      <c r="J4575" s="738"/>
      <c r="K4575" s="738"/>
      <c r="L4575" s="738"/>
      <c r="M4575" s="738"/>
      <c r="N4575" s="739"/>
    </row>
    <row r="4576" spans="2:14" ht="26.45" customHeight="1" x14ac:dyDescent="0.25">
      <c r="B4576" s="740" t="s">
        <v>26</v>
      </c>
      <c r="C4576" s="741"/>
      <c r="D4576" s="119" t="s">
        <v>396</v>
      </c>
      <c r="E4576" s="742" t="s">
        <v>397</v>
      </c>
      <c r="F4576" s="733"/>
      <c r="G4576" s="733"/>
      <c r="H4576" s="736"/>
      <c r="I4576" s="742" t="s">
        <v>398</v>
      </c>
      <c r="J4576" s="733"/>
      <c r="K4576" s="736"/>
      <c r="L4576" s="742" t="s">
        <v>399</v>
      </c>
      <c r="M4576" s="733"/>
      <c r="N4576" s="734"/>
    </row>
    <row r="4577" spans="2:14" ht="15" customHeight="1" x14ac:dyDescent="0.25">
      <c r="B4577" s="283">
        <v>121</v>
      </c>
      <c r="C4577" s="284" t="str">
        <f>VLOOKUP(B4577,Buenaventura!A9:G5806,2,FALSE)</f>
        <v>DI-10</v>
      </c>
      <c r="D4577" s="285">
        <f>SUM(H4580:H4583)*20%</f>
        <v>24.255000000000003</v>
      </c>
      <c r="E4577" s="743" t="str">
        <f>VLOOKUP(B4577,Buenaventura!A9:G5805,4,FALSE)</f>
        <v>UND</v>
      </c>
      <c r="F4577" s="743"/>
      <c r="G4577" s="743"/>
      <c r="H4577" s="743"/>
      <c r="I4577" s="744"/>
      <c r="J4577" s="745"/>
      <c r="K4577" s="741"/>
      <c r="L4577" s="744"/>
      <c r="M4577" s="745"/>
      <c r="N4577" s="752"/>
    </row>
    <row r="4578" spans="2:14" ht="15" customHeight="1" x14ac:dyDescent="0.25">
      <c r="B4578" s="755" t="s">
        <v>416</v>
      </c>
      <c r="C4578" s="733"/>
      <c r="D4578" s="733"/>
      <c r="E4578" s="733"/>
      <c r="F4578" s="733"/>
      <c r="G4578" s="733"/>
      <c r="H4578" s="736"/>
      <c r="I4578" s="746"/>
      <c r="J4578" s="747"/>
      <c r="K4578" s="748"/>
      <c r="L4578" s="746"/>
      <c r="M4578" s="747"/>
      <c r="N4578" s="753"/>
    </row>
    <row r="4579" spans="2:14" ht="15" customHeight="1" x14ac:dyDescent="0.25">
      <c r="B4579" s="121" t="s">
        <v>400</v>
      </c>
      <c r="C4579" s="122" t="s">
        <v>401</v>
      </c>
      <c r="D4579" s="123" t="s">
        <v>402</v>
      </c>
      <c r="E4579" s="123" t="s">
        <v>403</v>
      </c>
      <c r="F4579" s="123" t="s">
        <v>404</v>
      </c>
      <c r="G4579" s="123" t="s">
        <v>405</v>
      </c>
      <c r="H4579" s="123" t="s">
        <v>406</v>
      </c>
      <c r="I4579" s="746"/>
      <c r="J4579" s="747"/>
      <c r="K4579" s="748"/>
      <c r="L4579" s="746"/>
      <c r="M4579" s="747"/>
      <c r="N4579" s="753"/>
    </row>
    <row r="4580" spans="2:14" ht="15" customHeight="1" x14ac:dyDescent="0.25">
      <c r="B4580" s="124"/>
      <c r="C4580" s="145" t="s">
        <v>613</v>
      </c>
      <c r="D4580" s="125">
        <v>1</v>
      </c>
      <c r="E4580" s="125"/>
      <c r="F4580" s="125">
        <v>4.05</v>
      </c>
      <c r="G4580" s="125">
        <v>2.5</v>
      </c>
      <c r="H4580" s="125">
        <f>D4580*F4580*G4580</f>
        <v>10.125</v>
      </c>
      <c r="I4580" s="746"/>
      <c r="J4580" s="747"/>
      <c r="K4580" s="748"/>
      <c r="L4580" s="746"/>
      <c r="M4580" s="747"/>
      <c r="N4580" s="753"/>
    </row>
    <row r="4581" spans="2:14" ht="15" customHeight="1" x14ac:dyDescent="0.25">
      <c r="B4581" s="124"/>
      <c r="C4581" s="145"/>
      <c r="D4581" s="125">
        <v>3</v>
      </c>
      <c r="E4581" s="125"/>
      <c r="F4581" s="125">
        <v>4.9000000000000004</v>
      </c>
      <c r="G4581" s="125">
        <v>2.5</v>
      </c>
      <c r="H4581" s="125">
        <f t="shared" ref="H4581:H4585" si="80">D4581*F4581*G4581</f>
        <v>36.75</v>
      </c>
      <c r="I4581" s="746"/>
      <c r="J4581" s="747"/>
      <c r="K4581" s="748"/>
      <c r="L4581" s="746"/>
      <c r="M4581" s="747"/>
      <c r="N4581" s="753"/>
    </row>
    <row r="4582" spans="2:14" ht="15" customHeight="1" x14ac:dyDescent="0.25">
      <c r="B4582" s="165"/>
      <c r="C4582" s="145" t="s">
        <v>614</v>
      </c>
      <c r="D4582" s="125">
        <v>1</v>
      </c>
      <c r="E4582" s="125"/>
      <c r="F4582" s="125">
        <v>24</v>
      </c>
      <c r="G4582" s="125">
        <v>2.5</v>
      </c>
      <c r="H4582" s="125">
        <f t="shared" si="80"/>
        <v>60</v>
      </c>
      <c r="I4582" s="746"/>
      <c r="J4582" s="747"/>
      <c r="K4582" s="748"/>
      <c r="L4582" s="746"/>
      <c r="M4582" s="747"/>
      <c r="N4582" s="753"/>
    </row>
    <row r="4583" spans="2:14" ht="15" customHeight="1" x14ac:dyDescent="0.25">
      <c r="B4583" s="165"/>
      <c r="C4583" s="145"/>
      <c r="D4583" s="125">
        <v>1</v>
      </c>
      <c r="E4583" s="125"/>
      <c r="F4583" s="125">
        <v>24</v>
      </c>
      <c r="G4583" s="125">
        <v>0.6</v>
      </c>
      <c r="H4583" s="125">
        <f t="shared" si="80"/>
        <v>14.399999999999999</v>
      </c>
      <c r="I4583" s="746"/>
      <c r="J4583" s="747"/>
      <c r="K4583" s="748"/>
      <c r="L4583" s="746"/>
      <c r="M4583" s="747"/>
      <c r="N4583" s="753"/>
    </row>
    <row r="4584" spans="2:14" ht="15" customHeight="1" x14ac:dyDescent="0.25">
      <c r="B4584" s="165"/>
      <c r="C4584" s="145"/>
      <c r="D4584" s="125">
        <v>2</v>
      </c>
      <c r="E4584" s="125"/>
      <c r="F4584" s="125">
        <v>3</v>
      </c>
      <c r="G4584" s="125">
        <v>2.5</v>
      </c>
      <c r="H4584" s="125">
        <f t="shared" si="80"/>
        <v>15</v>
      </c>
      <c r="I4584" s="746"/>
      <c r="J4584" s="747"/>
      <c r="K4584" s="748"/>
      <c r="L4584" s="746"/>
      <c r="M4584" s="747"/>
      <c r="N4584" s="753"/>
    </row>
    <row r="4585" spans="2:14" ht="15" customHeight="1" x14ac:dyDescent="0.25">
      <c r="B4585" s="165"/>
      <c r="C4585" s="145"/>
      <c r="D4585" s="125"/>
      <c r="E4585" s="125"/>
      <c r="F4585" s="125"/>
      <c r="G4585" s="125">
        <v>2.5</v>
      </c>
      <c r="H4585" s="125">
        <f t="shared" si="80"/>
        <v>0</v>
      </c>
      <c r="I4585" s="746"/>
      <c r="J4585" s="747"/>
      <c r="K4585" s="748"/>
      <c r="L4585" s="746"/>
      <c r="M4585" s="747"/>
      <c r="N4585" s="753"/>
    </row>
    <row r="4586" spans="2:14" ht="15" customHeight="1" x14ac:dyDescent="0.25">
      <c r="B4586" s="165"/>
      <c r="C4586" s="145"/>
      <c r="D4586" s="125"/>
      <c r="E4586" s="125"/>
      <c r="F4586" s="125"/>
      <c r="G4586" s="125"/>
      <c r="H4586" s="125"/>
      <c r="I4586" s="746"/>
      <c r="J4586" s="747"/>
      <c r="K4586" s="748"/>
      <c r="L4586" s="746"/>
      <c r="M4586" s="747"/>
      <c r="N4586" s="753"/>
    </row>
    <row r="4587" spans="2:14" ht="15" customHeight="1" x14ac:dyDescent="0.25">
      <c r="B4587" s="124"/>
      <c r="C4587" s="145"/>
      <c r="D4587" s="125"/>
      <c r="E4587" s="125"/>
      <c r="F4587" s="125"/>
      <c r="G4587" s="125"/>
      <c r="H4587" s="125"/>
      <c r="I4587" s="746"/>
      <c r="J4587" s="747"/>
      <c r="K4587" s="748"/>
      <c r="L4587" s="746"/>
      <c r="M4587" s="747"/>
      <c r="N4587" s="753"/>
    </row>
    <row r="4588" spans="2:14" ht="15" customHeight="1" x14ac:dyDescent="0.25">
      <c r="B4588" s="124"/>
      <c r="C4588" s="125"/>
      <c r="D4588" s="125"/>
      <c r="E4588" s="125"/>
      <c r="F4588" s="125"/>
      <c r="G4588" s="125"/>
      <c r="H4588" s="125"/>
      <c r="I4588" s="746"/>
      <c r="J4588" s="747"/>
      <c r="K4588" s="748"/>
      <c r="L4588" s="746"/>
      <c r="M4588" s="747"/>
      <c r="N4588" s="753"/>
    </row>
    <row r="4589" spans="2:14" ht="15" customHeight="1" x14ac:dyDescent="0.25">
      <c r="B4589" s="127"/>
      <c r="C4589" s="125"/>
      <c r="D4589" s="125"/>
      <c r="E4589" s="125"/>
      <c r="F4589" s="125"/>
      <c r="G4589" s="125"/>
      <c r="H4589" s="125"/>
      <c r="I4589" s="749"/>
      <c r="J4589" s="750"/>
      <c r="K4589" s="751"/>
      <c r="L4589" s="749"/>
      <c r="M4589" s="750"/>
      <c r="N4589" s="754"/>
    </row>
    <row r="4590" spans="2:14" ht="15" customHeight="1" x14ac:dyDescent="0.25">
      <c r="B4590" s="225"/>
      <c r="C4590" s="128"/>
      <c r="D4590" s="128"/>
      <c r="E4590" s="128"/>
      <c r="F4590" s="128"/>
      <c r="G4590" s="128"/>
      <c r="H4590" s="128"/>
      <c r="I4590" s="128"/>
      <c r="J4590" s="128"/>
      <c r="K4590" s="128"/>
      <c r="L4590" s="118"/>
      <c r="M4590" s="118"/>
      <c r="N4590" s="210"/>
    </row>
    <row r="4591" spans="2:14" ht="15" customHeight="1" x14ac:dyDescent="0.25">
      <c r="B4591" s="209"/>
      <c r="C4591" s="118"/>
      <c r="D4591" s="118"/>
      <c r="E4591" s="118"/>
      <c r="F4591" s="118"/>
      <c r="G4591" s="118"/>
      <c r="H4591" s="118"/>
      <c r="I4591" s="118"/>
      <c r="J4591" s="118"/>
      <c r="K4591" s="118"/>
      <c r="L4591" s="118"/>
      <c r="M4591" s="118"/>
      <c r="N4591" s="210"/>
    </row>
    <row r="4592" spans="2:14" ht="15" customHeight="1" x14ac:dyDescent="0.25">
      <c r="B4592" s="209"/>
      <c r="C4592" s="118"/>
      <c r="D4592" s="118"/>
      <c r="E4592" s="118"/>
      <c r="F4592" s="118"/>
      <c r="G4592" s="118"/>
      <c r="H4592" s="118"/>
      <c r="I4592" s="118"/>
      <c r="J4592" s="118"/>
      <c r="K4592" s="118"/>
      <c r="L4592" s="118"/>
      <c r="M4592" s="118"/>
      <c r="N4592" s="210"/>
    </row>
    <row r="4593" spans="2:14" ht="15" customHeight="1" thickBot="1" x14ac:dyDescent="0.3">
      <c r="B4593" s="725" t="s">
        <v>414</v>
      </c>
      <c r="C4593" s="726"/>
      <c r="D4593" s="726"/>
      <c r="E4593" s="147"/>
      <c r="F4593" s="147"/>
      <c r="G4593" s="147"/>
      <c r="H4593" s="147"/>
      <c r="I4593" s="727"/>
      <c r="J4593" s="726"/>
      <c r="K4593" s="726"/>
      <c r="L4593" s="130"/>
      <c r="M4593" s="130"/>
      <c r="N4593" s="131"/>
    </row>
    <row r="4594" spans="2:14" ht="15" customHeight="1" thickBot="1" x14ac:dyDescent="0.3"/>
    <row r="4595" spans="2:14" ht="39.6" customHeight="1" x14ac:dyDescent="0.25">
      <c r="B4595" s="728"/>
      <c r="C4595" s="729"/>
      <c r="D4595" s="730" t="s">
        <v>393</v>
      </c>
      <c r="E4595" s="729"/>
      <c r="F4595" s="729"/>
      <c r="G4595" s="729"/>
      <c r="H4595" s="729"/>
      <c r="I4595" s="729"/>
      <c r="J4595" s="729"/>
      <c r="K4595" s="729"/>
      <c r="L4595" s="729"/>
      <c r="M4595" s="729"/>
      <c r="N4595" s="731"/>
    </row>
    <row r="4596" spans="2:14" ht="15" customHeight="1" x14ac:dyDescent="0.25">
      <c r="B4596" s="732" t="s">
        <v>394</v>
      </c>
      <c r="C4596" s="733"/>
      <c r="D4596" s="733"/>
      <c r="E4596" s="733"/>
      <c r="F4596" s="733"/>
      <c r="G4596" s="733"/>
      <c r="H4596" s="733"/>
      <c r="I4596" s="733"/>
      <c r="J4596" s="733"/>
      <c r="K4596" s="733"/>
      <c r="L4596" s="733"/>
      <c r="M4596" s="733"/>
      <c r="N4596" s="734"/>
    </row>
    <row r="4597" spans="2:14" ht="24.6" customHeight="1" x14ac:dyDescent="0.25">
      <c r="B4597" s="735" t="s">
        <v>395</v>
      </c>
      <c r="C4597" s="736"/>
      <c r="D4597" s="737" t="str">
        <f>VLOOKUP(B4599,Buenaventura!A9:G5815,3,FALSE)</f>
        <v>Suministro y Construcción de caja de aguas negras en concreto 80 cmx80 cm, incluye tapa con marco dividida en 2  y todos los materiales garantizando su correcta funcionalidad, resistencia y estanqueidad.</v>
      </c>
      <c r="E4597" s="738"/>
      <c r="F4597" s="738"/>
      <c r="G4597" s="738"/>
      <c r="H4597" s="738"/>
      <c r="I4597" s="738"/>
      <c r="J4597" s="738"/>
      <c r="K4597" s="738"/>
      <c r="L4597" s="738"/>
      <c r="M4597" s="738"/>
      <c r="N4597" s="739"/>
    </row>
    <row r="4598" spans="2:14" ht="22.9" customHeight="1" x14ac:dyDescent="0.25">
      <c r="B4598" s="740" t="s">
        <v>26</v>
      </c>
      <c r="C4598" s="741"/>
      <c r="D4598" s="119" t="s">
        <v>396</v>
      </c>
      <c r="E4598" s="742" t="s">
        <v>397</v>
      </c>
      <c r="F4598" s="733"/>
      <c r="G4598" s="733"/>
      <c r="H4598" s="736"/>
      <c r="I4598" s="742" t="s">
        <v>398</v>
      </c>
      <c r="J4598" s="733"/>
      <c r="K4598" s="736"/>
      <c r="L4598" s="742" t="s">
        <v>399</v>
      </c>
      <c r="M4598" s="733"/>
      <c r="N4598" s="734"/>
    </row>
    <row r="4599" spans="2:14" ht="15" customHeight="1" x14ac:dyDescent="0.25">
      <c r="B4599" s="283">
        <v>122</v>
      </c>
      <c r="C4599" s="284" t="str">
        <f>VLOOKUP(B4599,Buenaventura!A9:G5828,2,FALSE)</f>
        <v>DI-10</v>
      </c>
      <c r="D4599" s="285">
        <f>SUM(H4602:H4605)*50%</f>
        <v>60.637500000000003</v>
      </c>
      <c r="E4599" s="743" t="str">
        <f>VLOOKUP(B4599,Buenaventura!A9:G5827,4,FALSE)</f>
        <v>UND</v>
      </c>
      <c r="F4599" s="743"/>
      <c r="G4599" s="743"/>
      <c r="H4599" s="743"/>
      <c r="I4599" s="744"/>
      <c r="J4599" s="745"/>
      <c r="K4599" s="741"/>
      <c r="L4599" s="744"/>
      <c r="M4599" s="745"/>
      <c r="N4599" s="752"/>
    </row>
    <row r="4600" spans="2:14" ht="15" customHeight="1" x14ac:dyDescent="0.25">
      <c r="B4600" s="755" t="s">
        <v>416</v>
      </c>
      <c r="C4600" s="733"/>
      <c r="D4600" s="733"/>
      <c r="E4600" s="733"/>
      <c r="F4600" s="733"/>
      <c r="G4600" s="733"/>
      <c r="H4600" s="736"/>
      <c r="I4600" s="746"/>
      <c r="J4600" s="747"/>
      <c r="K4600" s="748"/>
      <c r="L4600" s="746"/>
      <c r="M4600" s="747"/>
      <c r="N4600" s="753"/>
    </row>
    <row r="4601" spans="2:14" ht="15" customHeight="1" x14ac:dyDescent="0.25">
      <c r="B4601" s="121" t="s">
        <v>400</v>
      </c>
      <c r="C4601" s="122" t="s">
        <v>401</v>
      </c>
      <c r="D4601" s="123" t="s">
        <v>402</v>
      </c>
      <c r="E4601" s="123" t="s">
        <v>403</v>
      </c>
      <c r="F4601" s="123" t="s">
        <v>404</v>
      </c>
      <c r="G4601" s="123" t="s">
        <v>405</v>
      </c>
      <c r="H4601" s="123" t="s">
        <v>406</v>
      </c>
      <c r="I4601" s="746"/>
      <c r="J4601" s="747"/>
      <c r="K4601" s="748"/>
      <c r="L4601" s="746"/>
      <c r="M4601" s="747"/>
      <c r="N4601" s="753"/>
    </row>
    <row r="4602" spans="2:14" ht="15" customHeight="1" x14ac:dyDescent="0.25">
      <c r="B4602" s="124"/>
      <c r="C4602" s="145" t="s">
        <v>613</v>
      </c>
      <c r="D4602" s="125">
        <v>1</v>
      </c>
      <c r="E4602" s="125"/>
      <c r="F4602" s="125">
        <v>4.05</v>
      </c>
      <c r="G4602" s="125">
        <v>2.5</v>
      </c>
      <c r="H4602" s="125">
        <f>D4602*F4602*G4602</f>
        <v>10.125</v>
      </c>
      <c r="I4602" s="746"/>
      <c r="J4602" s="747"/>
      <c r="K4602" s="748"/>
      <c r="L4602" s="746"/>
      <c r="M4602" s="747"/>
      <c r="N4602" s="753"/>
    </row>
    <row r="4603" spans="2:14" ht="15" customHeight="1" x14ac:dyDescent="0.25">
      <c r="B4603" s="124"/>
      <c r="C4603" s="145"/>
      <c r="D4603" s="125">
        <v>3</v>
      </c>
      <c r="E4603" s="125"/>
      <c r="F4603" s="125">
        <v>4.9000000000000004</v>
      </c>
      <c r="G4603" s="125">
        <v>2.5</v>
      </c>
      <c r="H4603" s="125">
        <f t="shared" ref="H4603:H4607" si="81">D4603*F4603*G4603</f>
        <v>36.75</v>
      </c>
      <c r="I4603" s="746"/>
      <c r="J4603" s="747"/>
      <c r="K4603" s="748"/>
      <c r="L4603" s="746"/>
      <c r="M4603" s="747"/>
      <c r="N4603" s="753"/>
    </row>
    <row r="4604" spans="2:14" ht="15" customHeight="1" x14ac:dyDescent="0.25">
      <c r="B4604" s="165"/>
      <c r="C4604" s="145" t="s">
        <v>614</v>
      </c>
      <c r="D4604" s="125">
        <v>1</v>
      </c>
      <c r="E4604" s="125"/>
      <c r="F4604" s="125">
        <v>24</v>
      </c>
      <c r="G4604" s="125">
        <v>2.5</v>
      </c>
      <c r="H4604" s="125">
        <f t="shared" si="81"/>
        <v>60</v>
      </c>
      <c r="I4604" s="746"/>
      <c r="J4604" s="747"/>
      <c r="K4604" s="748"/>
      <c r="L4604" s="746"/>
      <c r="M4604" s="747"/>
      <c r="N4604" s="753"/>
    </row>
    <row r="4605" spans="2:14" ht="15" customHeight="1" x14ac:dyDescent="0.25">
      <c r="B4605" s="165"/>
      <c r="C4605" s="145"/>
      <c r="D4605" s="125">
        <v>1</v>
      </c>
      <c r="E4605" s="125"/>
      <c r="F4605" s="125">
        <v>24</v>
      </c>
      <c r="G4605" s="125">
        <v>0.6</v>
      </c>
      <c r="H4605" s="125">
        <f t="shared" si="81"/>
        <v>14.399999999999999</v>
      </c>
      <c r="I4605" s="746"/>
      <c r="J4605" s="747"/>
      <c r="K4605" s="748"/>
      <c r="L4605" s="746"/>
      <c r="M4605" s="747"/>
      <c r="N4605" s="753"/>
    </row>
    <row r="4606" spans="2:14" ht="15" customHeight="1" x14ac:dyDescent="0.25">
      <c r="B4606" s="165"/>
      <c r="C4606" s="145"/>
      <c r="D4606" s="125">
        <v>2</v>
      </c>
      <c r="E4606" s="125"/>
      <c r="F4606" s="125">
        <v>3</v>
      </c>
      <c r="G4606" s="125">
        <v>2.5</v>
      </c>
      <c r="H4606" s="125">
        <f t="shared" si="81"/>
        <v>15</v>
      </c>
      <c r="I4606" s="746"/>
      <c r="J4606" s="747"/>
      <c r="K4606" s="748"/>
      <c r="L4606" s="746"/>
      <c r="M4606" s="747"/>
      <c r="N4606" s="753"/>
    </row>
    <row r="4607" spans="2:14" ht="15" customHeight="1" x14ac:dyDescent="0.25">
      <c r="B4607" s="165"/>
      <c r="C4607" s="145"/>
      <c r="D4607" s="125"/>
      <c r="E4607" s="125"/>
      <c r="F4607" s="125"/>
      <c r="G4607" s="125">
        <v>2.5</v>
      </c>
      <c r="H4607" s="125">
        <f t="shared" si="81"/>
        <v>0</v>
      </c>
      <c r="I4607" s="746"/>
      <c r="J4607" s="747"/>
      <c r="K4607" s="748"/>
      <c r="L4607" s="746"/>
      <c r="M4607" s="747"/>
      <c r="N4607" s="753"/>
    </row>
    <row r="4608" spans="2:14" ht="15" customHeight="1" x14ac:dyDescent="0.25">
      <c r="B4608" s="165"/>
      <c r="C4608" s="145"/>
      <c r="D4608" s="125"/>
      <c r="E4608" s="125"/>
      <c r="F4608" s="125"/>
      <c r="G4608" s="125"/>
      <c r="H4608" s="125"/>
      <c r="I4608" s="746"/>
      <c r="J4608" s="747"/>
      <c r="K4608" s="748"/>
      <c r="L4608" s="746"/>
      <c r="M4608" s="747"/>
      <c r="N4608" s="753"/>
    </row>
    <row r="4609" spans="2:14" ht="15" customHeight="1" x14ac:dyDescent="0.25">
      <c r="B4609" s="124"/>
      <c r="C4609" s="145"/>
      <c r="D4609" s="125"/>
      <c r="E4609" s="125"/>
      <c r="F4609" s="125"/>
      <c r="G4609" s="125"/>
      <c r="H4609" s="125"/>
      <c r="I4609" s="746"/>
      <c r="J4609" s="747"/>
      <c r="K4609" s="748"/>
      <c r="L4609" s="746"/>
      <c r="M4609" s="747"/>
      <c r="N4609" s="753"/>
    </row>
    <row r="4610" spans="2:14" ht="15" customHeight="1" x14ac:dyDescent="0.25">
      <c r="B4610" s="124"/>
      <c r="C4610" s="125"/>
      <c r="D4610" s="125"/>
      <c r="E4610" s="125"/>
      <c r="F4610" s="125"/>
      <c r="G4610" s="125"/>
      <c r="H4610" s="125"/>
      <c r="I4610" s="746"/>
      <c r="J4610" s="747"/>
      <c r="K4610" s="748"/>
      <c r="L4610" s="746"/>
      <c r="M4610" s="747"/>
      <c r="N4610" s="753"/>
    </row>
    <row r="4611" spans="2:14" ht="15" customHeight="1" x14ac:dyDescent="0.25">
      <c r="B4611" s="127"/>
      <c r="C4611" s="125"/>
      <c r="D4611" s="125"/>
      <c r="E4611" s="125"/>
      <c r="F4611" s="125"/>
      <c r="G4611" s="125"/>
      <c r="H4611" s="125"/>
      <c r="I4611" s="749"/>
      <c r="J4611" s="750"/>
      <c r="K4611" s="751"/>
      <c r="L4611" s="749"/>
      <c r="M4611" s="750"/>
      <c r="N4611" s="754"/>
    </row>
    <row r="4612" spans="2:14" ht="15" customHeight="1" x14ac:dyDescent="0.25">
      <c r="B4612" s="225"/>
      <c r="C4612" s="128"/>
      <c r="D4612" s="128"/>
      <c r="E4612" s="128"/>
      <c r="F4612" s="128"/>
      <c r="G4612" s="128"/>
      <c r="H4612" s="128"/>
      <c r="I4612" s="128"/>
      <c r="J4612" s="128"/>
      <c r="K4612" s="128"/>
      <c r="L4612" s="118"/>
      <c r="M4612" s="118"/>
      <c r="N4612" s="210"/>
    </row>
    <row r="4613" spans="2:14" ht="15" customHeight="1" x14ac:dyDescent="0.25">
      <c r="B4613" s="209"/>
      <c r="C4613" s="118"/>
      <c r="D4613" s="118"/>
      <c r="E4613" s="118"/>
      <c r="F4613" s="118"/>
      <c r="G4613" s="118"/>
      <c r="H4613" s="118"/>
      <c r="I4613" s="118"/>
      <c r="J4613" s="118"/>
      <c r="K4613" s="118"/>
      <c r="L4613" s="118"/>
      <c r="M4613" s="118"/>
      <c r="N4613" s="210"/>
    </row>
    <row r="4614" spans="2:14" ht="15" customHeight="1" x14ac:dyDescent="0.25">
      <c r="B4614" s="209"/>
      <c r="C4614" s="118"/>
      <c r="D4614" s="118"/>
      <c r="E4614" s="118"/>
      <c r="F4614" s="118"/>
      <c r="G4614" s="118"/>
      <c r="H4614" s="118"/>
      <c r="I4614" s="118"/>
      <c r="J4614" s="118"/>
      <c r="K4614" s="118"/>
      <c r="L4614" s="118"/>
      <c r="M4614" s="118"/>
      <c r="N4614" s="210"/>
    </row>
    <row r="4615" spans="2:14" ht="15" customHeight="1" thickBot="1" x14ac:dyDescent="0.3">
      <c r="B4615" s="725" t="s">
        <v>414</v>
      </c>
      <c r="C4615" s="726"/>
      <c r="D4615" s="726"/>
      <c r="E4615" s="147"/>
      <c r="F4615" s="147"/>
      <c r="G4615" s="147"/>
      <c r="H4615" s="147"/>
      <c r="I4615" s="727"/>
      <c r="J4615" s="726"/>
      <c r="K4615" s="726"/>
      <c r="L4615" s="130"/>
      <c r="M4615" s="130"/>
      <c r="N4615" s="131"/>
    </row>
    <row r="4616" spans="2:14" ht="15" customHeight="1" thickBot="1" x14ac:dyDescent="0.3"/>
    <row r="4617" spans="2:14" ht="38.450000000000003" customHeight="1" x14ac:dyDescent="0.25">
      <c r="B4617" s="728"/>
      <c r="C4617" s="729"/>
      <c r="D4617" s="730" t="s">
        <v>393</v>
      </c>
      <c r="E4617" s="729"/>
      <c r="F4617" s="729"/>
      <c r="G4617" s="729"/>
      <c r="H4617" s="729"/>
      <c r="I4617" s="729"/>
      <c r="J4617" s="729"/>
      <c r="K4617" s="729"/>
      <c r="L4617" s="729"/>
      <c r="M4617" s="729"/>
      <c r="N4617" s="731"/>
    </row>
    <row r="4618" spans="2:14" ht="15" customHeight="1" x14ac:dyDescent="0.25">
      <c r="B4618" s="732" t="s">
        <v>394</v>
      </c>
      <c r="C4618" s="733"/>
      <c r="D4618" s="733"/>
      <c r="E4618" s="733"/>
      <c r="F4618" s="733"/>
      <c r="G4618" s="733"/>
      <c r="H4618" s="733"/>
      <c r="I4618" s="733"/>
      <c r="J4618" s="733"/>
      <c r="K4618" s="733"/>
      <c r="L4618" s="733"/>
      <c r="M4618" s="733"/>
      <c r="N4618" s="734"/>
    </row>
    <row r="4619" spans="2:14" ht="24" customHeight="1" x14ac:dyDescent="0.25">
      <c r="B4619" s="735" t="s">
        <v>395</v>
      </c>
      <c r="C4619" s="736"/>
      <c r="D4619" s="737" t="str">
        <f>VLOOKUP(B4621,Buenaventura!A9:G5837,3,FALSE)</f>
        <v xml:space="preserve">Rasqueteada de pintura y retiro de mortero en mal estado  </v>
      </c>
      <c r="E4619" s="738"/>
      <c r="F4619" s="738"/>
      <c r="G4619" s="738"/>
      <c r="H4619" s="738"/>
      <c r="I4619" s="738"/>
      <c r="J4619" s="738"/>
      <c r="K4619" s="738"/>
      <c r="L4619" s="738"/>
      <c r="M4619" s="738"/>
      <c r="N4619" s="739"/>
    </row>
    <row r="4620" spans="2:14" ht="27" customHeight="1" x14ac:dyDescent="0.25">
      <c r="B4620" s="740" t="s">
        <v>26</v>
      </c>
      <c r="C4620" s="741"/>
      <c r="D4620" s="119" t="s">
        <v>396</v>
      </c>
      <c r="E4620" s="742" t="s">
        <v>397</v>
      </c>
      <c r="F4620" s="733"/>
      <c r="G4620" s="733"/>
      <c r="H4620" s="736"/>
      <c r="I4620" s="742" t="s">
        <v>398</v>
      </c>
      <c r="J4620" s="733"/>
      <c r="K4620" s="736"/>
      <c r="L4620" s="742" t="s">
        <v>399</v>
      </c>
      <c r="M4620" s="733"/>
      <c r="N4620" s="734"/>
    </row>
    <row r="4621" spans="2:14" ht="15" customHeight="1" x14ac:dyDescent="0.25">
      <c r="B4621" s="283">
        <v>123</v>
      </c>
      <c r="C4621" s="284" t="str">
        <f>VLOOKUP(B4621,Buenaventura!A9:G5850,2,FALSE)</f>
        <v>PR-01</v>
      </c>
      <c r="D4621" s="285">
        <f>SUM(H4624:H4627)</f>
        <v>121.27500000000001</v>
      </c>
      <c r="E4621" s="743" t="str">
        <f>VLOOKUP(B4621,Buenaventura!A9:G5849,4,FALSE)</f>
        <v>M2</v>
      </c>
      <c r="F4621" s="743"/>
      <c r="G4621" s="743"/>
      <c r="H4621" s="743"/>
      <c r="I4621" s="744"/>
      <c r="J4621" s="745"/>
      <c r="K4621" s="741"/>
      <c r="L4621" s="744"/>
      <c r="M4621" s="745"/>
      <c r="N4621" s="752"/>
    </row>
    <row r="4622" spans="2:14" ht="15" customHeight="1" x14ac:dyDescent="0.25">
      <c r="B4622" s="755" t="s">
        <v>416</v>
      </c>
      <c r="C4622" s="733"/>
      <c r="D4622" s="733"/>
      <c r="E4622" s="733"/>
      <c r="F4622" s="733"/>
      <c r="G4622" s="733"/>
      <c r="H4622" s="736"/>
      <c r="I4622" s="746"/>
      <c r="J4622" s="747"/>
      <c r="K4622" s="748"/>
      <c r="L4622" s="746"/>
      <c r="M4622" s="747"/>
      <c r="N4622" s="753"/>
    </row>
    <row r="4623" spans="2:14" ht="15" customHeight="1" x14ac:dyDescent="0.25">
      <c r="B4623" s="121" t="s">
        <v>400</v>
      </c>
      <c r="C4623" s="122" t="s">
        <v>401</v>
      </c>
      <c r="D4623" s="123" t="s">
        <v>402</v>
      </c>
      <c r="E4623" s="123" t="s">
        <v>403</v>
      </c>
      <c r="F4623" s="123" t="s">
        <v>404</v>
      </c>
      <c r="G4623" s="123" t="s">
        <v>405</v>
      </c>
      <c r="H4623" s="123" t="s">
        <v>406</v>
      </c>
      <c r="I4623" s="746"/>
      <c r="J4623" s="747"/>
      <c r="K4623" s="748"/>
      <c r="L4623" s="746"/>
      <c r="M4623" s="747"/>
      <c r="N4623" s="753"/>
    </row>
    <row r="4624" spans="2:14" ht="15" customHeight="1" x14ac:dyDescent="0.25">
      <c r="B4624" s="124"/>
      <c r="C4624" s="145" t="s">
        <v>613</v>
      </c>
      <c r="D4624" s="125">
        <v>1</v>
      </c>
      <c r="E4624" s="125"/>
      <c r="F4624" s="125">
        <v>4.05</v>
      </c>
      <c r="G4624" s="125">
        <v>2.5</v>
      </c>
      <c r="H4624" s="125">
        <f>D4624*F4624*G4624</f>
        <v>10.125</v>
      </c>
      <c r="I4624" s="746"/>
      <c r="J4624" s="747"/>
      <c r="K4624" s="748"/>
      <c r="L4624" s="746"/>
      <c r="M4624" s="747"/>
      <c r="N4624" s="753"/>
    </row>
    <row r="4625" spans="2:14" ht="15" customHeight="1" x14ac:dyDescent="0.25">
      <c r="B4625" s="124"/>
      <c r="C4625" s="145"/>
      <c r="D4625" s="125">
        <v>3</v>
      </c>
      <c r="E4625" s="125"/>
      <c r="F4625" s="125">
        <v>4.9000000000000004</v>
      </c>
      <c r="G4625" s="125">
        <v>2.5</v>
      </c>
      <c r="H4625" s="125">
        <f t="shared" ref="H4625:H4629" si="82">D4625*F4625*G4625</f>
        <v>36.75</v>
      </c>
      <c r="I4625" s="746"/>
      <c r="J4625" s="747"/>
      <c r="K4625" s="748"/>
      <c r="L4625" s="746"/>
      <c r="M4625" s="747"/>
      <c r="N4625" s="753"/>
    </row>
    <row r="4626" spans="2:14" ht="15" customHeight="1" x14ac:dyDescent="0.25">
      <c r="B4626" s="165"/>
      <c r="C4626" s="145" t="s">
        <v>614</v>
      </c>
      <c r="D4626" s="125">
        <v>1</v>
      </c>
      <c r="E4626" s="125"/>
      <c r="F4626" s="125">
        <v>24</v>
      </c>
      <c r="G4626" s="125">
        <v>2.5</v>
      </c>
      <c r="H4626" s="125">
        <f t="shared" si="82"/>
        <v>60</v>
      </c>
      <c r="I4626" s="746"/>
      <c r="J4626" s="747"/>
      <c r="K4626" s="748"/>
      <c r="L4626" s="746"/>
      <c r="M4626" s="747"/>
      <c r="N4626" s="753"/>
    </row>
    <row r="4627" spans="2:14" ht="15" customHeight="1" x14ac:dyDescent="0.25">
      <c r="B4627" s="165"/>
      <c r="C4627" s="145"/>
      <c r="D4627" s="125">
        <v>1</v>
      </c>
      <c r="E4627" s="125"/>
      <c r="F4627" s="125">
        <v>24</v>
      </c>
      <c r="G4627" s="125">
        <v>0.6</v>
      </c>
      <c r="H4627" s="125">
        <f t="shared" si="82"/>
        <v>14.399999999999999</v>
      </c>
      <c r="I4627" s="746"/>
      <c r="J4627" s="747"/>
      <c r="K4627" s="748"/>
      <c r="L4627" s="746"/>
      <c r="M4627" s="747"/>
      <c r="N4627" s="753"/>
    </row>
    <row r="4628" spans="2:14" ht="15" customHeight="1" x14ac:dyDescent="0.25">
      <c r="B4628" s="165"/>
      <c r="C4628" s="145"/>
      <c r="D4628" s="125">
        <v>2</v>
      </c>
      <c r="E4628" s="125"/>
      <c r="F4628" s="125">
        <v>3</v>
      </c>
      <c r="G4628" s="125">
        <v>2.5</v>
      </c>
      <c r="H4628" s="125">
        <f t="shared" si="82"/>
        <v>15</v>
      </c>
      <c r="I4628" s="746"/>
      <c r="J4628" s="747"/>
      <c r="K4628" s="748"/>
      <c r="L4628" s="746"/>
      <c r="M4628" s="747"/>
      <c r="N4628" s="753"/>
    </row>
    <row r="4629" spans="2:14" ht="15" customHeight="1" x14ac:dyDescent="0.25">
      <c r="B4629" s="165"/>
      <c r="C4629" s="145"/>
      <c r="D4629" s="125"/>
      <c r="E4629" s="125"/>
      <c r="F4629" s="125"/>
      <c r="G4629" s="125">
        <v>2.5</v>
      </c>
      <c r="H4629" s="125">
        <f t="shared" si="82"/>
        <v>0</v>
      </c>
      <c r="I4629" s="746"/>
      <c r="J4629" s="747"/>
      <c r="K4629" s="748"/>
      <c r="L4629" s="746"/>
      <c r="M4629" s="747"/>
      <c r="N4629" s="753"/>
    </row>
    <row r="4630" spans="2:14" ht="15" customHeight="1" x14ac:dyDescent="0.25">
      <c r="B4630" s="165"/>
      <c r="C4630" s="145"/>
      <c r="D4630" s="125"/>
      <c r="E4630" s="125"/>
      <c r="F4630" s="125"/>
      <c r="G4630" s="125"/>
      <c r="H4630" s="125"/>
      <c r="I4630" s="746"/>
      <c r="J4630" s="747"/>
      <c r="K4630" s="748"/>
      <c r="L4630" s="746"/>
      <c r="M4630" s="747"/>
      <c r="N4630" s="753"/>
    </row>
    <row r="4631" spans="2:14" ht="15" customHeight="1" x14ac:dyDescent="0.25">
      <c r="B4631" s="124"/>
      <c r="C4631" s="145"/>
      <c r="D4631" s="125"/>
      <c r="E4631" s="125"/>
      <c r="F4631" s="125"/>
      <c r="G4631" s="125"/>
      <c r="H4631" s="125"/>
      <c r="I4631" s="746"/>
      <c r="J4631" s="747"/>
      <c r="K4631" s="748"/>
      <c r="L4631" s="746"/>
      <c r="M4631" s="747"/>
      <c r="N4631" s="753"/>
    </row>
    <row r="4632" spans="2:14" ht="15" customHeight="1" x14ac:dyDescent="0.25">
      <c r="B4632" s="124"/>
      <c r="C4632" s="125"/>
      <c r="D4632" s="125"/>
      <c r="E4632" s="125"/>
      <c r="F4632" s="125"/>
      <c r="G4632" s="125"/>
      <c r="H4632" s="125"/>
      <c r="I4632" s="746"/>
      <c r="J4632" s="747"/>
      <c r="K4632" s="748"/>
      <c r="L4632" s="746"/>
      <c r="M4632" s="747"/>
      <c r="N4632" s="753"/>
    </row>
    <row r="4633" spans="2:14" ht="15" customHeight="1" x14ac:dyDescent="0.25">
      <c r="B4633" s="127"/>
      <c r="C4633" s="125"/>
      <c r="D4633" s="125"/>
      <c r="E4633" s="125"/>
      <c r="F4633" s="125"/>
      <c r="G4633" s="125"/>
      <c r="H4633" s="125"/>
      <c r="I4633" s="749"/>
      <c r="J4633" s="750"/>
      <c r="K4633" s="751"/>
      <c r="L4633" s="749"/>
      <c r="M4633" s="750"/>
      <c r="N4633" s="754"/>
    </row>
    <row r="4634" spans="2:14" ht="15" customHeight="1" x14ac:dyDescent="0.25">
      <c r="B4634" s="225"/>
      <c r="C4634" s="128"/>
      <c r="D4634" s="128"/>
      <c r="E4634" s="128"/>
      <c r="F4634" s="128"/>
      <c r="G4634" s="128"/>
      <c r="H4634" s="128"/>
      <c r="I4634" s="128"/>
      <c r="J4634" s="128"/>
      <c r="K4634" s="128"/>
      <c r="L4634" s="118"/>
      <c r="M4634" s="118"/>
      <c r="N4634" s="210"/>
    </row>
    <row r="4635" spans="2:14" ht="15" customHeight="1" x14ac:dyDescent="0.25">
      <c r="B4635" s="209"/>
      <c r="C4635" s="118"/>
      <c r="D4635" s="118"/>
      <c r="E4635" s="118"/>
      <c r="F4635" s="118"/>
      <c r="G4635" s="118"/>
      <c r="H4635" s="118"/>
      <c r="I4635" s="118"/>
      <c r="J4635" s="118"/>
      <c r="K4635" s="118"/>
      <c r="L4635" s="118"/>
      <c r="M4635" s="118"/>
      <c r="N4635" s="210"/>
    </row>
    <row r="4636" spans="2:14" ht="15" customHeight="1" x14ac:dyDescent="0.25">
      <c r="B4636" s="209"/>
      <c r="C4636" s="118"/>
      <c r="D4636" s="118"/>
      <c r="E4636" s="118"/>
      <c r="F4636" s="118"/>
      <c r="G4636" s="118"/>
      <c r="H4636" s="118"/>
      <c r="I4636" s="118"/>
      <c r="J4636" s="118"/>
      <c r="K4636" s="118"/>
      <c r="L4636" s="118"/>
      <c r="M4636" s="118"/>
      <c r="N4636" s="210"/>
    </row>
    <row r="4637" spans="2:14" ht="15" customHeight="1" thickBot="1" x14ac:dyDescent="0.3">
      <c r="B4637" s="725" t="s">
        <v>414</v>
      </c>
      <c r="C4637" s="726"/>
      <c r="D4637" s="726"/>
      <c r="E4637" s="147"/>
      <c r="F4637" s="147"/>
      <c r="G4637" s="147"/>
      <c r="H4637" s="147"/>
      <c r="I4637" s="727"/>
      <c r="J4637" s="726"/>
      <c r="K4637" s="726"/>
      <c r="L4637" s="130"/>
      <c r="M4637" s="130"/>
      <c r="N4637" s="131"/>
    </row>
    <row r="4638" spans="2:14" ht="15" customHeight="1" thickBot="1" x14ac:dyDescent="0.3"/>
    <row r="4639" spans="2:14" ht="39" customHeight="1" x14ac:dyDescent="0.25">
      <c r="B4639" s="728"/>
      <c r="C4639" s="729"/>
      <c r="D4639" s="730" t="s">
        <v>393</v>
      </c>
      <c r="E4639" s="729"/>
      <c r="F4639" s="729"/>
      <c r="G4639" s="729"/>
      <c r="H4639" s="729"/>
      <c r="I4639" s="729"/>
      <c r="J4639" s="729"/>
      <c r="K4639" s="729"/>
      <c r="L4639" s="729"/>
      <c r="M4639" s="729"/>
      <c r="N4639" s="731"/>
    </row>
    <row r="4640" spans="2:14" ht="15" customHeight="1" x14ac:dyDescent="0.25">
      <c r="B4640" s="732" t="s">
        <v>394</v>
      </c>
      <c r="C4640" s="733"/>
      <c r="D4640" s="733"/>
      <c r="E4640" s="733"/>
      <c r="F4640" s="733"/>
      <c r="G4640" s="733"/>
      <c r="H4640" s="733"/>
      <c r="I4640" s="733"/>
      <c r="J4640" s="733"/>
      <c r="K4640" s="733"/>
      <c r="L4640" s="733"/>
      <c r="M4640" s="733"/>
      <c r="N4640" s="734"/>
    </row>
    <row r="4641" spans="2:14" ht="27.6" customHeight="1" x14ac:dyDescent="0.25">
      <c r="B4641" s="735" t="s">
        <v>395</v>
      </c>
      <c r="C4641" s="736"/>
      <c r="D4641" s="737" t="str">
        <f>VLOOKUP(B4643,Buenaventura!A9:G5859,3,FALSE)</f>
        <v>Suministro y aplicación de estuco plástico (Incluye filos y dilataciones)</v>
      </c>
      <c r="E4641" s="738"/>
      <c r="F4641" s="738"/>
      <c r="G4641" s="738"/>
      <c r="H4641" s="738"/>
      <c r="I4641" s="738"/>
      <c r="J4641" s="738"/>
      <c r="K4641" s="738"/>
      <c r="L4641" s="738"/>
      <c r="M4641" s="738"/>
      <c r="N4641" s="739"/>
    </row>
    <row r="4642" spans="2:14" ht="26.45" customHeight="1" x14ac:dyDescent="0.25">
      <c r="B4642" s="740" t="s">
        <v>26</v>
      </c>
      <c r="C4642" s="741"/>
      <c r="D4642" s="119" t="s">
        <v>396</v>
      </c>
      <c r="E4642" s="742" t="s">
        <v>397</v>
      </c>
      <c r="F4642" s="733"/>
      <c r="G4642" s="733"/>
      <c r="H4642" s="736"/>
      <c r="I4642" s="742" t="s">
        <v>398</v>
      </c>
      <c r="J4642" s="733"/>
      <c r="K4642" s="736"/>
      <c r="L4642" s="742" t="s">
        <v>399</v>
      </c>
      <c r="M4642" s="733"/>
      <c r="N4642" s="734"/>
    </row>
    <row r="4643" spans="2:14" ht="15" customHeight="1" x14ac:dyDescent="0.25">
      <c r="B4643" s="283">
        <v>124</v>
      </c>
      <c r="C4643" s="284" t="str">
        <f>VLOOKUP(B4643,Buenaventura!A9:G5872,2,FALSE)</f>
        <v>AC-01-</v>
      </c>
      <c r="D4643" s="285">
        <f>SUM(H4646:H4649)</f>
        <v>19.8855</v>
      </c>
      <c r="E4643" s="743" t="str">
        <f>VLOOKUP(B4643,Buenaventura!A9:G5871,4,FALSE)</f>
        <v>M2</v>
      </c>
      <c r="F4643" s="743"/>
      <c r="G4643" s="743"/>
      <c r="H4643" s="743"/>
      <c r="I4643" s="744"/>
      <c r="J4643" s="745"/>
      <c r="K4643" s="741"/>
      <c r="L4643" s="744"/>
      <c r="M4643" s="745"/>
      <c r="N4643" s="752"/>
    </row>
    <row r="4644" spans="2:14" ht="15" customHeight="1" x14ac:dyDescent="0.25">
      <c r="B4644" s="755" t="s">
        <v>416</v>
      </c>
      <c r="C4644" s="733"/>
      <c r="D4644" s="733"/>
      <c r="E4644" s="733"/>
      <c r="F4644" s="733"/>
      <c r="G4644" s="733"/>
      <c r="H4644" s="736"/>
      <c r="I4644" s="746"/>
      <c r="J4644" s="747"/>
      <c r="K4644" s="748"/>
      <c r="L4644" s="746"/>
      <c r="M4644" s="747"/>
      <c r="N4644" s="753"/>
    </row>
    <row r="4645" spans="2:14" ht="15" customHeight="1" x14ac:dyDescent="0.25">
      <c r="B4645" s="121" t="s">
        <v>400</v>
      </c>
      <c r="C4645" s="122" t="s">
        <v>401</v>
      </c>
      <c r="D4645" s="123" t="s">
        <v>402</v>
      </c>
      <c r="E4645" s="123" t="s">
        <v>403</v>
      </c>
      <c r="F4645" s="123" t="s">
        <v>404</v>
      </c>
      <c r="G4645" s="123" t="s">
        <v>405</v>
      </c>
      <c r="H4645" s="123" t="s">
        <v>406</v>
      </c>
      <c r="I4645" s="746"/>
      <c r="J4645" s="747"/>
      <c r="K4645" s="748"/>
      <c r="L4645" s="746"/>
      <c r="M4645" s="747"/>
      <c r="N4645" s="753"/>
    </row>
    <row r="4646" spans="2:14" ht="15" customHeight="1" x14ac:dyDescent="0.25">
      <c r="B4646" s="124"/>
      <c r="C4646" s="145" t="s">
        <v>613</v>
      </c>
      <c r="D4646" s="125">
        <v>1</v>
      </c>
      <c r="E4646" s="125"/>
      <c r="F4646" s="125">
        <v>4.05</v>
      </c>
      <c r="G4646" s="125">
        <v>4.91</v>
      </c>
      <c r="H4646" s="125">
        <f>D4646*F4646*G4646</f>
        <v>19.8855</v>
      </c>
      <c r="I4646" s="746"/>
      <c r="J4646" s="747"/>
      <c r="K4646" s="748"/>
      <c r="L4646" s="746"/>
      <c r="M4646" s="747"/>
      <c r="N4646" s="753"/>
    </row>
    <row r="4647" spans="2:14" ht="15" customHeight="1" x14ac:dyDescent="0.25">
      <c r="B4647" s="124"/>
      <c r="C4647" s="145"/>
      <c r="D4647" s="125"/>
      <c r="E4647" s="125"/>
      <c r="F4647" s="125"/>
      <c r="G4647" s="125"/>
      <c r="H4647" s="125"/>
      <c r="I4647" s="746"/>
      <c r="J4647" s="747"/>
      <c r="K4647" s="748"/>
      <c r="L4647" s="746"/>
      <c r="M4647" s="747"/>
      <c r="N4647" s="753"/>
    </row>
    <row r="4648" spans="2:14" ht="15" customHeight="1" x14ac:dyDescent="0.25">
      <c r="B4648" s="165"/>
      <c r="C4648" s="145"/>
      <c r="D4648" s="125"/>
      <c r="E4648" s="125"/>
      <c r="F4648" s="125"/>
      <c r="G4648" s="125"/>
      <c r="H4648" s="125"/>
      <c r="I4648" s="746"/>
      <c r="J4648" s="747"/>
      <c r="K4648" s="748"/>
      <c r="L4648" s="746"/>
      <c r="M4648" s="747"/>
      <c r="N4648" s="753"/>
    </row>
    <row r="4649" spans="2:14" ht="15" customHeight="1" x14ac:dyDescent="0.25">
      <c r="B4649" s="165"/>
      <c r="C4649" s="145"/>
      <c r="D4649" s="125"/>
      <c r="E4649" s="125"/>
      <c r="F4649" s="125"/>
      <c r="G4649" s="125"/>
      <c r="H4649" s="125"/>
      <c r="I4649" s="746"/>
      <c r="J4649" s="747"/>
      <c r="K4649" s="748"/>
      <c r="L4649" s="746"/>
      <c r="M4649" s="747"/>
      <c r="N4649" s="753"/>
    </row>
    <row r="4650" spans="2:14" ht="15" customHeight="1" x14ac:dyDescent="0.25">
      <c r="B4650" s="165"/>
      <c r="C4650" s="145"/>
      <c r="D4650" s="125"/>
      <c r="E4650" s="125"/>
      <c r="F4650" s="125"/>
      <c r="G4650" s="125"/>
      <c r="H4650" s="125"/>
      <c r="I4650" s="746"/>
      <c r="J4650" s="747"/>
      <c r="K4650" s="748"/>
      <c r="L4650" s="746"/>
      <c r="M4650" s="747"/>
      <c r="N4650" s="753"/>
    </row>
    <row r="4651" spans="2:14" ht="15" customHeight="1" x14ac:dyDescent="0.25">
      <c r="B4651" s="165"/>
      <c r="C4651" s="145"/>
      <c r="D4651" s="125"/>
      <c r="E4651" s="125"/>
      <c r="F4651" s="125"/>
      <c r="G4651" s="125"/>
      <c r="H4651" s="125"/>
      <c r="I4651" s="746"/>
      <c r="J4651" s="747"/>
      <c r="K4651" s="748"/>
      <c r="L4651" s="746"/>
      <c r="M4651" s="747"/>
      <c r="N4651" s="753"/>
    </row>
    <row r="4652" spans="2:14" ht="15" customHeight="1" x14ac:dyDescent="0.25">
      <c r="B4652" s="165"/>
      <c r="C4652" s="145"/>
      <c r="D4652" s="125"/>
      <c r="E4652" s="125"/>
      <c r="F4652" s="125"/>
      <c r="G4652" s="125"/>
      <c r="H4652" s="125"/>
      <c r="I4652" s="746"/>
      <c r="J4652" s="747"/>
      <c r="K4652" s="748"/>
      <c r="L4652" s="746"/>
      <c r="M4652" s="747"/>
      <c r="N4652" s="753"/>
    </row>
    <row r="4653" spans="2:14" ht="15" customHeight="1" x14ac:dyDescent="0.25">
      <c r="B4653" s="124"/>
      <c r="C4653" s="145"/>
      <c r="D4653" s="125"/>
      <c r="E4653" s="125"/>
      <c r="F4653" s="125"/>
      <c r="G4653" s="125"/>
      <c r="H4653" s="125"/>
      <c r="I4653" s="746"/>
      <c r="J4653" s="747"/>
      <c r="K4653" s="748"/>
      <c r="L4653" s="746"/>
      <c r="M4653" s="747"/>
      <c r="N4653" s="753"/>
    </row>
    <row r="4654" spans="2:14" ht="15" customHeight="1" x14ac:dyDescent="0.25">
      <c r="B4654" s="124"/>
      <c r="C4654" s="125"/>
      <c r="D4654" s="125"/>
      <c r="E4654" s="125"/>
      <c r="F4654" s="125"/>
      <c r="G4654" s="125"/>
      <c r="H4654" s="125"/>
      <c r="I4654" s="746"/>
      <c r="J4654" s="747"/>
      <c r="K4654" s="748"/>
      <c r="L4654" s="746"/>
      <c r="M4654" s="747"/>
      <c r="N4654" s="753"/>
    </row>
    <row r="4655" spans="2:14" ht="15" customHeight="1" x14ac:dyDescent="0.25">
      <c r="B4655" s="127"/>
      <c r="C4655" s="125"/>
      <c r="D4655" s="125"/>
      <c r="E4655" s="125"/>
      <c r="F4655" s="125"/>
      <c r="G4655" s="125"/>
      <c r="H4655" s="125"/>
      <c r="I4655" s="749"/>
      <c r="J4655" s="750"/>
      <c r="K4655" s="751"/>
      <c r="L4655" s="749"/>
      <c r="M4655" s="750"/>
      <c r="N4655" s="754"/>
    </row>
    <row r="4656" spans="2:14" ht="15" customHeight="1" x14ac:dyDescent="0.25">
      <c r="B4656" s="225"/>
      <c r="C4656" s="128"/>
      <c r="D4656" s="128"/>
      <c r="E4656" s="128"/>
      <c r="F4656" s="128"/>
      <c r="G4656" s="128"/>
      <c r="H4656" s="128"/>
      <c r="I4656" s="128"/>
      <c r="J4656" s="128"/>
      <c r="K4656" s="128"/>
      <c r="L4656" s="118"/>
      <c r="M4656" s="118"/>
      <c r="N4656" s="210"/>
    </row>
    <row r="4657" spans="2:14" ht="15" customHeight="1" x14ac:dyDescent="0.25">
      <c r="B4657" s="209"/>
      <c r="C4657" s="118"/>
      <c r="D4657" s="118"/>
      <c r="E4657" s="118"/>
      <c r="F4657" s="118"/>
      <c r="G4657" s="118"/>
      <c r="H4657" s="118"/>
      <c r="I4657" s="118"/>
      <c r="J4657" s="118"/>
      <c r="K4657" s="118"/>
      <c r="L4657" s="118"/>
      <c r="M4657" s="118"/>
      <c r="N4657" s="210"/>
    </row>
    <row r="4658" spans="2:14" ht="15" customHeight="1" x14ac:dyDescent="0.25">
      <c r="B4658" s="209"/>
      <c r="C4658" s="118"/>
      <c r="D4658" s="118"/>
      <c r="E4658" s="118"/>
      <c r="F4658" s="118"/>
      <c r="G4658" s="118"/>
      <c r="H4658" s="118"/>
      <c r="I4658" s="118"/>
      <c r="J4658" s="118"/>
      <c r="K4658" s="118"/>
      <c r="L4658" s="118"/>
      <c r="M4658" s="118"/>
      <c r="N4658" s="210"/>
    </row>
    <row r="4659" spans="2:14" ht="15" customHeight="1" thickBot="1" x14ac:dyDescent="0.3">
      <c r="B4659" s="725" t="s">
        <v>414</v>
      </c>
      <c r="C4659" s="726"/>
      <c r="D4659" s="726"/>
      <c r="E4659" s="147"/>
      <c r="F4659" s="147"/>
      <c r="G4659" s="147"/>
      <c r="H4659" s="147"/>
      <c r="I4659" s="727"/>
      <c r="J4659" s="726"/>
      <c r="K4659" s="726"/>
      <c r="L4659" s="130"/>
      <c r="M4659" s="130"/>
      <c r="N4659" s="131"/>
    </row>
    <row r="4660" spans="2:14" ht="15" customHeight="1" thickBot="1" x14ac:dyDescent="0.3"/>
    <row r="4661" spans="2:14" ht="34.9" customHeight="1" x14ac:dyDescent="0.25">
      <c r="B4661" s="728"/>
      <c r="C4661" s="729"/>
      <c r="D4661" s="730" t="s">
        <v>393</v>
      </c>
      <c r="E4661" s="729"/>
      <c r="F4661" s="729"/>
      <c r="G4661" s="729"/>
      <c r="H4661" s="729"/>
      <c r="I4661" s="729"/>
      <c r="J4661" s="729"/>
      <c r="K4661" s="729"/>
      <c r="L4661" s="729"/>
      <c r="M4661" s="729"/>
      <c r="N4661" s="731"/>
    </row>
    <row r="4662" spans="2:14" ht="15" customHeight="1" x14ac:dyDescent="0.25">
      <c r="B4662" s="732" t="s">
        <v>394</v>
      </c>
      <c r="C4662" s="733"/>
      <c r="D4662" s="733"/>
      <c r="E4662" s="733"/>
      <c r="F4662" s="733"/>
      <c r="G4662" s="733"/>
      <c r="H4662" s="733"/>
      <c r="I4662" s="733"/>
      <c r="J4662" s="733"/>
      <c r="K4662" s="733"/>
      <c r="L4662" s="733"/>
      <c r="M4662" s="733"/>
      <c r="N4662" s="734"/>
    </row>
    <row r="4663" spans="2:14" ht="37.9" customHeight="1" x14ac:dyDescent="0.25">
      <c r="B4663" s="735" t="s">
        <v>395</v>
      </c>
      <c r="C4663" s="736"/>
      <c r="D4663" s="737" t="str">
        <f>VLOOKUP(B4665,Buenaventura!A9:G5881,3,FALSE)</f>
        <v>Suministro y aplicación de vinilo tipo 1 (2 manos)(Incluye filos y dilataciones)</v>
      </c>
      <c r="E4663" s="738"/>
      <c r="F4663" s="738"/>
      <c r="G4663" s="738"/>
      <c r="H4663" s="738"/>
      <c r="I4663" s="738"/>
      <c r="J4663" s="738"/>
      <c r="K4663" s="738"/>
      <c r="L4663" s="738"/>
      <c r="M4663" s="738"/>
      <c r="N4663" s="739"/>
    </row>
    <row r="4664" spans="2:14" ht="24.6" customHeight="1" x14ac:dyDescent="0.25">
      <c r="B4664" s="740" t="s">
        <v>26</v>
      </c>
      <c r="C4664" s="741"/>
      <c r="D4664" s="119" t="s">
        <v>396</v>
      </c>
      <c r="E4664" s="742" t="s">
        <v>397</v>
      </c>
      <c r="F4664" s="733"/>
      <c r="G4664" s="733"/>
      <c r="H4664" s="736"/>
      <c r="I4664" s="742" t="s">
        <v>398</v>
      </c>
      <c r="J4664" s="733"/>
      <c r="K4664" s="736"/>
      <c r="L4664" s="742" t="s">
        <v>399</v>
      </c>
      <c r="M4664" s="733"/>
      <c r="N4664" s="734"/>
    </row>
    <row r="4665" spans="2:14" ht="15" customHeight="1" x14ac:dyDescent="0.25">
      <c r="B4665" s="283">
        <v>125</v>
      </c>
      <c r="C4665" s="284" t="str">
        <f>VLOOKUP(B4665,Buenaventura!A9:G5894,2,FALSE)</f>
        <v>AC-03</v>
      </c>
      <c r="D4665" s="285">
        <f>SUM(H4668:H4671)*20%</f>
        <v>24.255000000000003</v>
      </c>
      <c r="E4665" s="743" t="str">
        <f>VLOOKUP(B4665,Buenaventura!A9:G5893,4,FALSE)</f>
        <v>M2</v>
      </c>
      <c r="F4665" s="743"/>
      <c r="G4665" s="743"/>
      <c r="H4665" s="743"/>
      <c r="I4665" s="744"/>
      <c r="J4665" s="745"/>
      <c r="K4665" s="741"/>
      <c r="L4665" s="744"/>
      <c r="M4665" s="745"/>
      <c r="N4665" s="752"/>
    </row>
    <row r="4666" spans="2:14" ht="15" customHeight="1" x14ac:dyDescent="0.25">
      <c r="B4666" s="755" t="s">
        <v>416</v>
      </c>
      <c r="C4666" s="733"/>
      <c r="D4666" s="733"/>
      <c r="E4666" s="733"/>
      <c r="F4666" s="733"/>
      <c r="G4666" s="733"/>
      <c r="H4666" s="736"/>
      <c r="I4666" s="746"/>
      <c r="J4666" s="747"/>
      <c r="K4666" s="748"/>
      <c r="L4666" s="746"/>
      <c r="M4666" s="747"/>
      <c r="N4666" s="753"/>
    </row>
    <row r="4667" spans="2:14" ht="15" customHeight="1" x14ac:dyDescent="0.25">
      <c r="B4667" s="121" t="s">
        <v>400</v>
      </c>
      <c r="C4667" s="122" t="s">
        <v>401</v>
      </c>
      <c r="D4667" s="123" t="s">
        <v>402</v>
      </c>
      <c r="E4667" s="123" t="s">
        <v>403</v>
      </c>
      <c r="F4667" s="123" t="s">
        <v>404</v>
      </c>
      <c r="G4667" s="123" t="s">
        <v>405</v>
      </c>
      <c r="H4667" s="123" t="s">
        <v>406</v>
      </c>
      <c r="I4667" s="746"/>
      <c r="J4667" s="747"/>
      <c r="K4667" s="748"/>
      <c r="L4667" s="746"/>
      <c r="M4667" s="747"/>
      <c r="N4667" s="753"/>
    </row>
    <row r="4668" spans="2:14" ht="15" customHeight="1" x14ac:dyDescent="0.25">
      <c r="B4668" s="124"/>
      <c r="C4668" s="145"/>
      <c r="D4668" s="125">
        <v>1</v>
      </c>
      <c r="E4668" s="125"/>
      <c r="F4668" s="125">
        <v>4.05</v>
      </c>
      <c r="G4668" s="125">
        <v>2.5</v>
      </c>
      <c r="H4668" s="125">
        <f>D4668*F4668*G4668</f>
        <v>10.125</v>
      </c>
      <c r="I4668" s="746"/>
      <c r="J4668" s="747"/>
      <c r="K4668" s="748"/>
      <c r="L4668" s="746"/>
      <c r="M4668" s="747"/>
      <c r="N4668" s="753"/>
    </row>
    <row r="4669" spans="2:14" ht="15" customHeight="1" x14ac:dyDescent="0.25">
      <c r="B4669" s="124"/>
      <c r="C4669" s="145"/>
      <c r="D4669" s="125">
        <v>3</v>
      </c>
      <c r="E4669" s="125"/>
      <c r="F4669" s="125">
        <v>4.9000000000000004</v>
      </c>
      <c r="G4669" s="125">
        <v>2.5</v>
      </c>
      <c r="H4669" s="125">
        <f t="shared" ref="H4669:H4673" si="83">D4669*F4669*G4669</f>
        <v>36.75</v>
      </c>
      <c r="I4669" s="746"/>
      <c r="J4669" s="747"/>
      <c r="K4669" s="748"/>
      <c r="L4669" s="746"/>
      <c r="M4669" s="747"/>
      <c r="N4669" s="753"/>
    </row>
    <row r="4670" spans="2:14" ht="15" customHeight="1" x14ac:dyDescent="0.25">
      <c r="B4670" s="165"/>
      <c r="C4670" s="145"/>
      <c r="D4670" s="125">
        <v>1</v>
      </c>
      <c r="E4670" s="125"/>
      <c r="F4670" s="125">
        <v>24</v>
      </c>
      <c r="G4670" s="125">
        <v>2.5</v>
      </c>
      <c r="H4670" s="125">
        <f t="shared" si="83"/>
        <v>60</v>
      </c>
      <c r="I4670" s="746"/>
      <c r="J4670" s="747"/>
      <c r="K4670" s="748"/>
      <c r="L4670" s="746"/>
      <c r="M4670" s="747"/>
      <c r="N4670" s="753"/>
    </row>
    <row r="4671" spans="2:14" ht="15" customHeight="1" x14ac:dyDescent="0.25">
      <c r="B4671" s="165"/>
      <c r="C4671" s="145"/>
      <c r="D4671" s="125">
        <v>1</v>
      </c>
      <c r="E4671" s="125"/>
      <c r="F4671" s="125">
        <v>24</v>
      </c>
      <c r="G4671" s="125">
        <v>0.6</v>
      </c>
      <c r="H4671" s="125">
        <f t="shared" si="83"/>
        <v>14.399999999999999</v>
      </c>
      <c r="I4671" s="746"/>
      <c r="J4671" s="747"/>
      <c r="K4671" s="748"/>
      <c r="L4671" s="746"/>
      <c r="M4671" s="747"/>
      <c r="N4671" s="753"/>
    </row>
    <row r="4672" spans="2:14" ht="15" customHeight="1" x14ac:dyDescent="0.25">
      <c r="B4672" s="165"/>
      <c r="C4672" s="145"/>
      <c r="D4672" s="125">
        <v>2</v>
      </c>
      <c r="E4672" s="125"/>
      <c r="F4672" s="125">
        <v>3</v>
      </c>
      <c r="G4672" s="125">
        <v>2.5</v>
      </c>
      <c r="H4672" s="125">
        <f t="shared" si="83"/>
        <v>15</v>
      </c>
      <c r="I4672" s="746"/>
      <c r="J4672" s="747"/>
      <c r="K4672" s="748"/>
      <c r="L4672" s="746"/>
      <c r="M4672" s="747"/>
      <c r="N4672" s="753"/>
    </row>
    <row r="4673" spans="2:14" ht="15" customHeight="1" x14ac:dyDescent="0.25">
      <c r="B4673" s="165"/>
      <c r="C4673" s="145"/>
      <c r="D4673" s="125"/>
      <c r="E4673" s="125"/>
      <c r="F4673" s="125"/>
      <c r="G4673" s="125">
        <v>2.5</v>
      </c>
      <c r="H4673" s="125">
        <f t="shared" si="83"/>
        <v>0</v>
      </c>
      <c r="I4673" s="746"/>
      <c r="J4673" s="747"/>
      <c r="K4673" s="748"/>
      <c r="L4673" s="746"/>
      <c r="M4673" s="747"/>
      <c r="N4673" s="753"/>
    </row>
    <row r="4674" spans="2:14" ht="15" customHeight="1" x14ac:dyDescent="0.25">
      <c r="B4674" s="165"/>
      <c r="C4674" s="145"/>
      <c r="D4674" s="125"/>
      <c r="E4674" s="125"/>
      <c r="F4674" s="125"/>
      <c r="G4674" s="125"/>
      <c r="H4674" s="125"/>
      <c r="I4674" s="746"/>
      <c r="J4674" s="747"/>
      <c r="K4674" s="748"/>
      <c r="L4674" s="746"/>
      <c r="M4674" s="747"/>
      <c r="N4674" s="753"/>
    </row>
    <row r="4675" spans="2:14" ht="15" customHeight="1" x14ac:dyDescent="0.25">
      <c r="B4675" s="124"/>
      <c r="C4675" s="145"/>
      <c r="D4675" s="125"/>
      <c r="E4675" s="125"/>
      <c r="F4675" s="125"/>
      <c r="G4675" s="125"/>
      <c r="H4675" s="125"/>
      <c r="I4675" s="746"/>
      <c r="J4675" s="747"/>
      <c r="K4675" s="748"/>
      <c r="L4675" s="746"/>
      <c r="M4675" s="747"/>
      <c r="N4675" s="753"/>
    </row>
    <row r="4676" spans="2:14" ht="15" customHeight="1" x14ac:dyDescent="0.25">
      <c r="B4676" s="124"/>
      <c r="C4676" s="125"/>
      <c r="D4676" s="125"/>
      <c r="E4676" s="125"/>
      <c r="F4676" s="125"/>
      <c r="G4676" s="125"/>
      <c r="H4676" s="125"/>
      <c r="I4676" s="746"/>
      <c r="J4676" s="747"/>
      <c r="K4676" s="748"/>
      <c r="L4676" s="746"/>
      <c r="M4676" s="747"/>
      <c r="N4676" s="753"/>
    </row>
    <row r="4677" spans="2:14" ht="15" customHeight="1" x14ac:dyDescent="0.25">
      <c r="B4677" s="127"/>
      <c r="C4677" s="125"/>
      <c r="D4677" s="125"/>
      <c r="E4677" s="125"/>
      <c r="F4677" s="125"/>
      <c r="G4677" s="125"/>
      <c r="H4677" s="125"/>
      <c r="I4677" s="749"/>
      <c r="J4677" s="750"/>
      <c r="K4677" s="751"/>
      <c r="L4677" s="749"/>
      <c r="M4677" s="750"/>
      <c r="N4677" s="754"/>
    </row>
    <row r="4678" spans="2:14" ht="15" customHeight="1" x14ac:dyDescent="0.25">
      <c r="B4678" s="225"/>
      <c r="C4678" s="128"/>
      <c r="D4678" s="128"/>
      <c r="E4678" s="128"/>
      <c r="F4678" s="128"/>
      <c r="G4678" s="128"/>
      <c r="H4678" s="128"/>
      <c r="I4678" s="128"/>
      <c r="J4678" s="128"/>
      <c r="K4678" s="128"/>
      <c r="L4678" s="118"/>
      <c r="M4678" s="118"/>
      <c r="N4678" s="210"/>
    </row>
    <row r="4679" spans="2:14" ht="15" customHeight="1" x14ac:dyDescent="0.25">
      <c r="B4679" s="209"/>
      <c r="C4679" s="118"/>
      <c r="D4679" s="118"/>
      <c r="E4679" s="118"/>
      <c r="F4679" s="118"/>
      <c r="G4679" s="118"/>
      <c r="H4679" s="118"/>
      <c r="I4679" s="118"/>
      <c r="J4679" s="118"/>
      <c r="K4679" s="118"/>
      <c r="L4679" s="118"/>
      <c r="M4679" s="118"/>
      <c r="N4679" s="210"/>
    </row>
    <row r="4680" spans="2:14" ht="15" customHeight="1" x14ac:dyDescent="0.25">
      <c r="B4680" s="209"/>
      <c r="C4680" s="118"/>
      <c r="D4680" s="118"/>
      <c r="E4680" s="118"/>
      <c r="F4680" s="118"/>
      <c r="G4680" s="118"/>
      <c r="H4680" s="118"/>
      <c r="I4680" s="118"/>
      <c r="J4680" s="118"/>
      <c r="K4680" s="118"/>
      <c r="L4680" s="118"/>
      <c r="M4680" s="118"/>
      <c r="N4680" s="210"/>
    </row>
    <row r="4681" spans="2:14" ht="15" customHeight="1" thickBot="1" x14ac:dyDescent="0.3">
      <c r="B4681" s="725" t="s">
        <v>414</v>
      </c>
      <c r="C4681" s="726"/>
      <c r="D4681" s="726"/>
      <c r="E4681" s="147"/>
      <c r="F4681" s="147"/>
      <c r="G4681" s="147"/>
      <c r="H4681" s="147"/>
      <c r="I4681" s="727"/>
      <c r="J4681" s="726"/>
      <c r="K4681" s="726"/>
      <c r="L4681" s="130"/>
      <c r="M4681" s="130"/>
      <c r="N4681" s="131"/>
    </row>
    <row r="4682" spans="2:14" ht="15" customHeight="1" thickBot="1" x14ac:dyDescent="0.3"/>
    <row r="4683" spans="2:14" ht="38.450000000000003" customHeight="1" x14ac:dyDescent="0.25">
      <c r="B4683" s="728"/>
      <c r="C4683" s="729"/>
      <c r="D4683" s="730" t="s">
        <v>393</v>
      </c>
      <c r="E4683" s="729"/>
      <c r="F4683" s="729"/>
      <c r="G4683" s="729"/>
      <c r="H4683" s="729"/>
      <c r="I4683" s="729"/>
      <c r="J4683" s="729"/>
      <c r="K4683" s="729"/>
      <c r="L4683" s="729"/>
      <c r="M4683" s="729"/>
      <c r="N4683" s="731"/>
    </row>
    <row r="4684" spans="2:14" ht="15" customHeight="1" x14ac:dyDescent="0.25">
      <c r="B4684" s="732" t="s">
        <v>394</v>
      </c>
      <c r="C4684" s="733"/>
      <c r="D4684" s="733"/>
      <c r="E4684" s="733"/>
      <c r="F4684" s="733"/>
      <c r="G4684" s="733"/>
      <c r="H4684" s="733"/>
      <c r="I4684" s="733"/>
      <c r="J4684" s="733"/>
      <c r="K4684" s="733"/>
      <c r="L4684" s="733"/>
      <c r="M4684" s="733"/>
      <c r="N4684" s="734"/>
    </row>
    <row r="4685" spans="2:14" ht="25.9" customHeight="1" x14ac:dyDescent="0.25">
      <c r="B4685" s="735" t="s">
        <v>395</v>
      </c>
      <c r="C4685" s="736"/>
      <c r="D4685" s="737" t="str">
        <f>VLOOKUP(B4687,Buenaventura!A9:G5903,3,FALSE)</f>
        <v>Suministro y aplicación de pintura cielo vinilo tipo 2</v>
      </c>
      <c r="E4685" s="738"/>
      <c r="F4685" s="738"/>
      <c r="G4685" s="738"/>
      <c r="H4685" s="738"/>
      <c r="I4685" s="738"/>
      <c r="J4685" s="738"/>
      <c r="K4685" s="738"/>
      <c r="L4685" s="738"/>
      <c r="M4685" s="738"/>
      <c r="N4685" s="739"/>
    </row>
    <row r="4686" spans="2:14" ht="24" customHeight="1" x14ac:dyDescent="0.25">
      <c r="B4686" s="740" t="s">
        <v>26</v>
      </c>
      <c r="C4686" s="741"/>
      <c r="D4686" s="119" t="s">
        <v>396</v>
      </c>
      <c r="E4686" s="742" t="s">
        <v>397</v>
      </c>
      <c r="F4686" s="733"/>
      <c r="G4686" s="733"/>
      <c r="H4686" s="736"/>
      <c r="I4686" s="742" t="s">
        <v>398</v>
      </c>
      <c r="J4686" s="733"/>
      <c r="K4686" s="736"/>
      <c r="L4686" s="742" t="s">
        <v>399</v>
      </c>
      <c r="M4686" s="733"/>
      <c r="N4686" s="734"/>
    </row>
    <row r="4687" spans="2:14" ht="15" customHeight="1" x14ac:dyDescent="0.25">
      <c r="B4687" s="283">
        <v>126</v>
      </c>
      <c r="C4687" s="284" t="str">
        <f>VLOOKUP(B4687,Buenaventura!A9:G5916,2,FALSE)</f>
        <v>AC-06</v>
      </c>
      <c r="D4687" s="285">
        <f>SUM(H4690:H4693)</f>
        <v>15</v>
      </c>
      <c r="E4687" s="743" t="str">
        <f>VLOOKUP(B4687,Buenaventura!A9:G5915,4,FALSE)</f>
        <v>M2</v>
      </c>
      <c r="F4687" s="743"/>
      <c r="G4687" s="743"/>
      <c r="H4687" s="743"/>
      <c r="I4687" s="744"/>
      <c r="J4687" s="745"/>
      <c r="K4687" s="741"/>
      <c r="L4687" s="744"/>
      <c r="M4687" s="745"/>
      <c r="N4687" s="752"/>
    </row>
    <row r="4688" spans="2:14" ht="15" customHeight="1" x14ac:dyDescent="0.25">
      <c r="B4688" s="755" t="s">
        <v>416</v>
      </c>
      <c r="C4688" s="733"/>
      <c r="D4688" s="733"/>
      <c r="E4688" s="733"/>
      <c r="F4688" s="733"/>
      <c r="G4688" s="733"/>
      <c r="H4688" s="736"/>
      <c r="I4688" s="746"/>
      <c r="J4688" s="747"/>
      <c r="K4688" s="748"/>
      <c r="L4688" s="746"/>
      <c r="M4688" s="747"/>
      <c r="N4688" s="753"/>
    </row>
    <row r="4689" spans="2:14" ht="15" customHeight="1" x14ac:dyDescent="0.25">
      <c r="B4689" s="121" t="s">
        <v>400</v>
      </c>
      <c r="C4689" s="122" t="s">
        <v>401</v>
      </c>
      <c r="D4689" s="123" t="s">
        <v>402</v>
      </c>
      <c r="E4689" s="123" t="s">
        <v>403</v>
      </c>
      <c r="F4689" s="123" t="s">
        <v>404</v>
      </c>
      <c r="G4689" s="123" t="s">
        <v>405</v>
      </c>
      <c r="H4689" s="123" t="s">
        <v>406</v>
      </c>
      <c r="I4689" s="746"/>
      <c r="J4689" s="747"/>
      <c r="K4689" s="748"/>
      <c r="L4689" s="746"/>
      <c r="M4689" s="747"/>
      <c r="N4689" s="753"/>
    </row>
    <row r="4690" spans="2:14" ht="15" customHeight="1" x14ac:dyDescent="0.25">
      <c r="B4690" s="124"/>
      <c r="C4690" s="145" t="s">
        <v>600</v>
      </c>
      <c r="D4690" s="125">
        <v>15</v>
      </c>
      <c r="E4690" s="125"/>
      <c r="F4690" s="125"/>
      <c r="G4690" s="125"/>
      <c r="H4690" s="125">
        <f>D4690</f>
        <v>15</v>
      </c>
      <c r="I4690" s="746"/>
      <c r="J4690" s="747"/>
      <c r="K4690" s="748"/>
      <c r="L4690" s="746"/>
      <c r="M4690" s="747"/>
      <c r="N4690" s="753"/>
    </row>
    <row r="4691" spans="2:14" ht="15" customHeight="1" x14ac:dyDescent="0.25">
      <c r="B4691" s="124"/>
      <c r="C4691" s="145"/>
      <c r="D4691" s="125"/>
      <c r="E4691" s="125"/>
      <c r="F4691" s="125"/>
      <c r="G4691" s="125"/>
      <c r="H4691" s="125"/>
      <c r="I4691" s="746"/>
      <c r="J4691" s="747"/>
      <c r="K4691" s="748"/>
      <c r="L4691" s="746"/>
      <c r="M4691" s="747"/>
      <c r="N4691" s="753"/>
    </row>
    <row r="4692" spans="2:14" ht="15" customHeight="1" x14ac:dyDescent="0.25">
      <c r="B4692" s="165"/>
      <c r="C4692" s="145"/>
      <c r="D4692" s="125"/>
      <c r="E4692" s="125"/>
      <c r="F4692" s="125"/>
      <c r="G4692" s="125"/>
      <c r="H4692" s="125"/>
      <c r="I4692" s="746"/>
      <c r="J4692" s="747"/>
      <c r="K4692" s="748"/>
      <c r="L4692" s="746"/>
      <c r="M4692" s="747"/>
      <c r="N4692" s="753"/>
    </row>
    <row r="4693" spans="2:14" ht="15" customHeight="1" x14ac:dyDescent="0.25">
      <c r="B4693" s="165"/>
      <c r="C4693" s="145"/>
      <c r="D4693" s="125"/>
      <c r="E4693" s="125"/>
      <c r="F4693" s="125"/>
      <c r="G4693" s="125"/>
      <c r="H4693" s="125"/>
      <c r="I4693" s="746"/>
      <c r="J4693" s="747"/>
      <c r="K4693" s="748"/>
      <c r="L4693" s="746"/>
      <c r="M4693" s="747"/>
      <c r="N4693" s="753"/>
    </row>
    <row r="4694" spans="2:14" ht="15" customHeight="1" x14ac:dyDescent="0.25">
      <c r="B4694" s="165"/>
      <c r="C4694" s="145"/>
      <c r="D4694" s="125"/>
      <c r="E4694" s="125"/>
      <c r="F4694" s="125"/>
      <c r="G4694" s="125"/>
      <c r="H4694" s="125"/>
      <c r="I4694" s="746"/>
      <c r="J4694" s="747"/>
      <c r="K4694" s="748"/>
      <c r="L4694" s="746"/>
      <c r="M4694" s="747"/>
      <c r="N4694" s="753"/>
    </row>
    <row r="4695" spans="2:14" ht="15" customHeight="1" x14ac:dyDescent="0.25">
      <c r="B4695" s="165"/>
      <c r="C4695" s="145"/>
      <c r="D4695" s="125"/>
      <c r="E4695" s="125"/>
      <c r="F4695" s="125"/>
      <c r="G4695" s="125"/>
      <c r="H4695" s="125"/>
      <c r="I4695" s="746"/>
      <c r="J4695" s="747"/>
      <c r="K4695" s="748"/>
      <c r="L4695" s="746"/>
      <c r="M4695" s="747"/>
      <c r="N4695" s="753"/>
    </row>
    <row r="4696" spans="2:14" ht="15" customHeight="1" x14ac:dyDescent="0.25">
      <c r="B4696" s="165"/>
      <c r="C4696" s="145"/>
      <c r="D4696" s="125"/>
      <c r="E4696" s="125"/>
      <c r="F4696" s="125"/>
      <c r="G4696" s="125"/>
      <c r="H4696" s="125"/>
      <c r="I4696" s="746"/>
      <c r="J4696" s="747"/>
      <c r="K4696" s="748"/>
      <c r="L4696" s="746"/>
      <c r="M4696" s="747"/>
      <c r="N4696" s="753"/>
    </row>
    <row r="4697" spans="2:14" ht="15" customHeight="1" x14ac:dyDescent="0.25">
      <c r="B4697" s="124"/>
      <c r="C4697" s="145"/>
      <c r="D4697" s="125"/>
      <c r="E4697" s="125"/>
      <c r="F4697" s="125"/>
      <c r="G4697" s="125"/>
      <c r="H4697" s="125"/>
      <c r="I4697" s="746"/>
      <c r="J4697" s="747"/>
      <c r="K4697" s="748"/>
      <c r="L4697" s="746"/>
      <c r="M4697" s="747"/>
      <c r="N4697" s="753"/>
    </row>
    <row r="4698" spans="2:14" ht="15" customHeight="1" x14ac:dyDescent="0.25">
      <c r="B4698" s="124"/>
      <c r="C4698" s="125"/>
      <c r="D4698" s="125"/>
      <c r="E4698" s="125"/>
      <c r="F4698" s="125"/>
      <c r="G4698" s="125"/>
      <c r="H4698" s="125"/>
      <c r="I4698" s="746"/>
      <c r="J4698" s="747"/>
      <c r="K4698" s="748"/>
      <c r="L4698" s="746"/>
      <c r="M4698" s="747"/>
      <c r="N4698" s="753"/>
    </row>
    <row r="4699" spans="2:14" ht="15" customHeight="1" x14ac:dyDescent="0.25">
      <c r="B4699" s="127"/>
      <c r="C4699" s="125"/>
      <c r="D4699" s="125"/>
      <c r="E4699" s="125"/>
      <c r="F4699" s="125"/>
      <c r="G4699" s="125"/>
      <c r="H4699" s="125"/>
      <c r="I4699" s="749"/>
      <c r="J4699" s="750"/>
      <c r="K4699" s="751"/>
      <c r="L4699" s="749"/>
      <c r="M4699" s="750"/>
      <c r="N4699" s="754"/>
    </row>
    <row r="4700" spans="2:14" ht="15" customHeight="1" x14ac:dyDescent="0.25">
      <c r="B4700" s="225"/>
      <c r="C4700" s="128"/>
      <c r="D4700" s="128"/>
      <c r="E4700" s="128"/>
      <c r="F4700" s="128"/>
      <c r="G4700" s="128"/>
      <c r="H4700" s="128"/>
      <c r="I4700" s="128"/>
      <c r="J4700" s="128"/>
      <c r="K4700" s="128"/>
      <c r="L4700" s="118"/>
      <c r="M4700" s="118"/>
      <c r="N4700" s="210"/>
    </row>
    <row r="4701" spans="2:14" ht="15" customHeight="1" x14ac:dyDescent="0.25">
      <c r="B4701" s="209"/>
      <c r="C4701" s="118"/>
      <c r="D4701" s="118"/>
      <c r="E4701" s="118"/>
      <c r="F4701" s="118"/>
      <c r="G4701" s="118"/>
      <c r="H4701" s="118"/>
      <c r="I4701" s="118"/>
      <c r="J4701" s="118"/>
      <c r="K4701" s="118"/>
      <c r="L4701" s="118"/>
      <c r="M4701" s="118"/>
      <c r="N4701" s="210"/>
    </row>
    <row r="4702" spans="2:14" ht="15" customHeight="1" x14ac:dyDescent="0.25">
      <c r="B4702" s="209"/>
      <c r="C4702" s="118"/>
      <c r="D4702" s="118"/>
      <c r="E4702" s="118"/>
      <c r="F4702" s="118"/>
      <c r="G4702" s="118"/>
      <c r="H4702" s="118"/>
      <c r="I4702" s="118"/>
      <c r="J4702" s="118"/>
      <c r="K4702" s="118"/>
      <c r="L4702" s="118"/>
      <c r="M4702" s="118"/>
      <c r="N4702" s="210"/>
    </row>
    <row r="4703" spans="2:14" ht="15" customHeight="1" thickBot="1" x14ac:dyDescent="0.3">
      <c r="B4703" s="725" t="s">
        <v>414</v>
      </c>
      <c r="C4703" s="726"/>
      <c r="D4703" s="726"/>
      <c r="E4703" s="147"/>
      <c r="F4703" s="147"/>
      <c r="G4703" s="147"/>
      <c r="H4703" s="147"/>
      <c r="I4703" s="727"/>
      <c r="J4703" s="726"/>
      <c r="K4703" s="726"/>
      <c r="L4703" s="130"/>
      <c r="M4703" s="130"/>
      <c r="N4703" s="131"/>
    </row>
    <row r="4704" spans="2:14" ht="15" customHeight="1" thickBot="1" x14ac:dyDescent="0.3"/>
    <row r="4705" spans="2:14" ht="40.15" customHeight="1" x14ac:dyDescent="0.25">
      <c r="B4705" s="728"/>
      <c r="C4705" s="729"/>
      <c r="D4705" s="730" t="s">
        <v>393</v>
      </c>
      <c r="E4705" s="729"/>
      <c r="F4705" s="729"/>
      <c r="G4705" s="729"/>
      <c r="H4705" s="729"/>
      <c r="I4705" s="729"/>
      <c r="J4705" s="729"/>
      <c r="K4705" s="729"/>
      <c r="L4705" s="729"/>
      <c r="M4705" s="729"/>
      <c r="N4705" s="731"/>
    </row>
    <row r="4706" spans="2:14" ht="15" customHeight="1" x14ac:dyDescent="0.25">
      <c r="B4706" s="732" t="s">
        <v>394</v>
      </c>
      <c r="C4706" s="733"/>
      <c r="D4706" s="733"/>
      <c r="E4706" s="733"/>
      <c r="F4706" s="733"/>
      <c r="G4706" s="733"/>
      <c r="H4706" s="733"/>
      <c r="I4706" s="733"/>
      <c r="J4706" s="733"/>
      <c r="K4706" s="733"/>
      <c r="L4706" s="733"/>
      <c r="M4706" s="733"/>
      <c r="N4706" s="734"/>
    </row>
    <row r="4707" spans="2:14" ht="21.6" customHeight="1" x14ac:dyDescent="0.25">
      <c r="B4707" s="735" t="s">
        <v>395</v>
      </c>
      <c r="C4707" s="736"/>
      <c r="D4707" s="737" t="str">
        <f>VLOOKUP(B4709,Buenaventura!A9:G5925,3,FALSE)</f>
        <v xml:space="preserve">Suministro e instalación de recubrimiento cementoso (Recubrimiento a base de cemento, arena y aditivos especiales), impermeable para muros color blanco </v>
      </c>
      <c r="E4707" s="738"/>
      <c r="F4707" s="738"/>
      <c r="G4707" s="738"/>
      <c r="H4707" s="738"/>
      <c r="I4707" s="738"/>
      <c r="J4707" s="738"/>
      <c r="K4707" s="738"/>
      <c r="L4707" s="738"/>
      <c r="M4707" s="738"/>
      <c r="N4707" s="739"/>
    </row>
    <row r="4708" spans="2:14" ht="27" customHeight="1" x14ac:dyDescent="0.25">
      <c r="B4708" s="740" t="s">
        <v>26</v>
      </c>
      <c r="C4708" s="741"/>
      <c r="D4708" s="119" t="s">
        <v>396</v>
      </c>
      <c r="E4708" s="742" t="s">
        <v>397</v>
      </c>
      <c r="F4708" s="733"/>
      <c r="G4708" s="733"/>
      <c r="H4708" s="736"/>
      <c r="I4708" s="742" t="s">
        <v>398</v>
      </c>
      <c r="J4708" s="733"/>
      <c r="K4708" s="736"/>
      <c r="L4708" s="742" t="s">
        <v>399</v>
      </c>
      <c r="M4708" s="733"/>
      <c r="N4708" s="734"/>
    </row>
    <row r="4709" spans="2:14" ht="15" customHeight="1" x14ac:dyDescent="0.25">
      <c r="B4709" s="283">
        <v>127</v>
      </c>
      <c r="C4709" s="284" t="str">
        <f>VLOOKUP(B4709,Buenaventura!A9:G5938,2,FALSE)</f>
        <v>RI-09</v>
      </c>
      <c r="D4709" s="285">
        <f>SUM(H4712:H4715)</f>
        <v>4</v>
      </c>
      <c r="E4709" s="743" t="str">
        <f>VLOOKUP(B4709,Buenaventura!A9:G5937,4,FALSE)</f>
        <v>M2</v>
      </c>
      <c r="F4709" s="743"/>
      <c r="G4709" s="743"/>
      <c r="H4709" s="743"/>
      <c r="I4709" s="744"/>
      <c r="J4709" s="745"/>
      <c r="K4709" s="741"/>
      <c r="L4709" s="744"/>
      <c r="M4709" s="745"/>
      <c r="N4709" s="752"/>
    </row>
    <row r="4710" spans="2:14" ht="15" customHeight="1" x14ac:dyDescent="0.25">
      <c r="B4710" s="755" t="s">
        <v>416</v>
      </c>
      <c r="C4710" s="733"/>
      <c r="D4710" s="733"/>
      <c r="E4710" s="733"/>
      <c r="F4710" s="733"/>
      <c r="G4710" s="733"/>
      <c r="H4710" s="736"/>
      <c r="I4710" s="746"/>
      <c r="J4710" s="747"/>
      <c r="K4710" s="748"/>
      <c r="L4710" s="746"/>
      <c r="M4710" s="747"/>
      <c r="N4710" s="753"/>
    </row>
    <row r="4711" spans="2:14" ht="15" customHeight="1" x14ac:dyDescent="0.25">
      <c r="B4711" s="121" t="s">
        <v>400</v>
      </c>
      <c r="C4711" s="122" t="s">
        <v>401</v>
      </c>
      <c r="D4711" s="123" t="s">
        <v>402</v>
      </c>
      <c r="E4711" s="123" t="s">
        <v>403</v>
      </c>
      <c r="F4711" s="123" t="s">
        <v>404</v>
      </c>
      <c r="G4711" s="123" t="s">
        <v>405</v>
      </c>
      <c r="H4711" s="123" t="s">
        <v>406</v>
      </c>
      <c r="I4711" s="746"/>
      <c r="J4711" s="747"/>
      <c r="K4711" s="748"/>
      <c r="L4711" s="746"/>
      <c r="M4711" s="747"/>
      <c r="N4711" s="753"/>
    </row>
    <row r="4712" spans="2:14" ht="15" customHeight="1" x14ac:dyDescent="0.25">
      <c r="B4712" s="124"/>
      <c r="C4712" s="145" t="s">
        <v>609</v>
      </c>
      <c r="D4712" s="125">
        <v>4</v>
      </c>
      <c r="E4712" s="125"/>
      <c r="F4712" s="125"/>
      <c r="G4712" s="125"/>
      <c r="H4712" s="125">
        <f>D4712</f>
        <v>4</v>
      </c>
      <c r="I4712" s="746"/>
      <c r="J4712" s="747"/>
      <c r="K4712" s="748"/>
      <c r="L4712" s="746"/>
      <c r="M4712" s="747"/>
      <c r="N4712" s="753"/>
    </row>
    <row r="4713" spans="2:14" ht="15" customHeight="1" x14ac:dyDescent="0.25">
      <c r="B4713" s="124"/>
      <c r="C4713" s="145"/>
      <c r="D4713" s="125"/>
      <c r="E4713" s="125"/>
      <c r="F4713" s="125"/>
      <c r="G4713" s="125"/>
      <c r="H4713" s="125"/>
      <c r="I4713" s="746"/>
      <c r="J4713" s="747"/>
      <c r="K4713" s="748"/>
      <c r="L4713" s="746"/>
      <c r="M4713" s="747"/>
      <c r="N4713" s="753"/>
    </row>
    <row r="4714" spans="2:14" ht="15" customHeight="1" x14ac:dyDescent="0.25">
      <c r="B4714" s="165"/>
      <c r="C4714" s="145"/>
      <c r="D4714" s="125"/>
      <c r="E4714" s="125"/>
      <c r="F4714" s="125"/>
      <c r="G4714" s="125"/>
      <c r="H4714" s="125"/>
      <c r="I4714" s="746"/>
      <c r="J4714" s="747"/>
      <c r="K4714" s="748"/>
      <c r="L4714" s="746"/>
      <c r="M4714" s="747"/>
      <c r="N4714" s="753"/>
    </row>
    <row r="4715" spans="2:14" ht="15" customHeight="1" x14ac:dyDescent="0.25">
      <c r="B4715" s="165"/>
      <c r="C4715" s="145"/>
      <c r="D4715" s="125"/>
      <c r="E4715" s="125"/>
      <c r="F4715" s="125"/>
      <c r="G4715" s="125"/>
      <c r="H4715" s="125"/>
      <c r="I4715" s="746"/>
      <c r="J4715" s="747"/>
      <c r="K4715" s="748"/>
      <c r="L4715" s="746"/>
      <c r="M4715" s="747"/>
      <c r="N4715" s="753"/>
    </row>
    <row r="4716" spans="2:14" ht="15" customHeight="1" x14ac:dyDescent="0.25">
      <c r="B4716" s="165"/>
      <c r="C4716" s="145"/>
      <c r="D4716" s="125"/>
      <c r="E4716" s="125"/>
      <c r="F4716" s="125"/>
      <c r="G4716" s="125"/>
      <c r="H4716" s="125"/>
      <c r="I4716" s="746"/>
      <c r="J4716" s="747"/>
      <c r="K4716" s="748"/>
      <c r="L4716" s="746"/>
      <c r="M4716" s="747"/>
      <c r="N4716" s="753"/>
    </row>
    <row r="4717" spans="2:14" ht="15" customHeight="1" x14ac:dyDescent="0.25">
      <c r="B4717" s="165"/>
      <c r="C4717" s="145"/>
      <c r="D4717" s="125"/>
      <c r="E4717" s="125"/>
      <c r="F4717" s="125"/>
      <c r="G4717" s="125"/>
      <c r="H4717" s="125"/>
      <c r="I4717" s="746"/>
      <c r="J4717" s="747"/>
      <c r="K4717" s="748"/>
      <c r="L4717" s="746"/>
      <c r="M4717" s="747"/>
      <c r="N4717" s="753"/>
    </row>
    <row r="4718" spans="2:14" ht="15" customHeight="1" x14ac:dyDescent="0.25">
      <c r="B4718" s="165"/>
      <c r="C4718" s="145"/>
      <c r="D4718" s="125"/>
      <c r="E4718" s="125"/>
      <c r="F4718" s="125"/>
      <c r="G4718" s="125"/>
      <c r="H4718" s="125"/>
      <c r="I4718" s="746"/>
      <c r="J4718" s="747"/>
      <c r="K4718" s="748"/>
      <c r="L4718" s="746"/>
      <c r="M4718" s="747"/>
      <c r="N4718" s="753"/>
    </row>
    <row r="4719" spans="2:14" ht="15" customHeight="1" x14ac:dyDescent="0.25">
      <c r="B4719" s="124"/>
      <c r="C4719" s="145"/>
      <c r="D4719" s="125"/>
      <c r="E4719" s="125"/>
      <c r="F4719" s="125"/>
      <c r="G4719" s="125"/>
      <c r="H4719" s="125"/>
      <c r="I4719" s="746"/>
      <c r="J4719" s="747"/>
      <c r="K4719" s="748"/>
      <c r="L4719" s="746"/>
      <c r="M4719" s="747"/>
      <c r="N4719" s="753"/>
    </row>
    <row r="4720" spans="2:14" ht="15" customHeight="1" x14ac:dyDescent="0.25">
      <c r="B4720" s="124"/>
      <c r="C4720" s="125"/>
      <c r="D4720" s="125"/>
      <c r="E4720" s="125"/>
      <c r="F4720" s="125"/>
      <c r="G4720" s="125"/>
      <c r="H4720" s="125"/>
      <c r="I4720" s="746"/>
      <c r="J4720" s="747"/>
      <c r="K4720" s="748"/>
      <c r="L4720" s="746"/>
      <c r="M4720" s="747"/>
      <c r="N4720" s="753"/>
    </row>
    <row r="4721" spans="2:14" ht="15" customHeight="1" x14ac:dyDescent="0.25">
      <c r="B4721" s="127"/>
      <c r="C4721" s="125"/>
      <c r="D4721" s="125"/>
      <c r="E4721" s="125"/>
      <c r="F4721" s="125"/>
      <c r="G4721" s="125"/>
      <c r="H4721" s="125"/>
      <c r="I4721" s="749"/>
      <c r="J4721" s="750"/>
      <c r="K4721" s="751"/>
      <c r="L4721" s="749"/>
      <c r="M4721" s="750"/>
      <c r="N4721" s="754"/>
    </row>
    <row r="4722" spans="2:14" ht="15" customHeight="1" x14ac:dyDescent="0.25">
      <c r="B4722" s="225"/>
      <c r="C4722" s="128"/>
      <c r="D4722" s="128"/>
      <c r="E4722" s="128"/>
      <c r="F4722" s="128"/>
      <c r="G4722" s="128"/>
      <c r="H4722" s="128"/>
      <c r="I4722" s="128"/>
      <c r="J4722" s="128"/>
      <c r="K4722" s="128"/>
      <c r="L4722" s="118"/>
      <c r="M4722" s="118"/>
      <c r="N4722" s="210"/>
    </row>
    <row r="4723" spans="2:14" ht="15" customHeight="1" x14ac:dyDescent="0.25">
      <c r="B4723" s="209"/>
      <c r="C4723" s="118"/>
      <c r="D4723" s="118"/>
      <c r="E4723" s="118"/>
      <c r="F4723" s="118"/>
      <c r="G4723" s="118"/>
      <c r="H4723" s="118"/>
      <c r="I4723" s="118"/>
      <c r="J4723" s="118"/>
      <c r="K4723" s="118"/>
      <c r="L4723" s="118"/>
      <c r="M4723" s="118"/>
      <c r="N4723" s="210"/>
    </row>
    <row r="4724" spans="2:14" ht="15" customHeight="1" x14ac:dyDescent="0.25">
      <c r="B4724" s="209"/>
      <c r="C4724" s="118"/>
      <c r="D4724" s="118"/>
      <c r="E4724" s="118"/>
      <c r="F4724" s="118"/>
      <c r="G4724" s="118"/>
      <c r="H4724" s="118"/>
      <c r="I4724" s="118"/>
      <c r="J4724" s="118"/>
      <c r="K4724" s="118"/>
      <c r="L4724" s="118"/>
      <c r="M4724" s="118"/>
      <c r="N4724" s="210"/>
    </row>
    <row r="4725" spans="2:14" ht="15" customHeight="1" thickBot="1" x14ac:dyDescent="0.3">
      <c r="B4725" s="725" t="s">
        <v>414</v>
      </c>
      <c r="C4725" s="726"/>
      <c r="D4725" s="726"/>
      <c r="E4725" s="147"/>
      <c r="F4725" s="147"/>
      <c r="G4725" s="147"/>
      <c r="H4725" s="147"/>
      <c r="I4725" s="727"/>
      <c r="J4725" s="726"/>
      <c r="K4725" s="726"/>
      <c r="L4725" s="130"/>
      <c r="M4725" s="130"/>
      <c r="N4725" s="131"/>
    </row>
    <row r="4726" spans="2:14" ht="15" customHeight="1" thickBot="1" x14ac:dyDescent="0.3"/>
    <row r="4727" spans="2:14" ht="36" customHeight="1" x14ac:dyDescent="0.25">
      <c r="B4727" s="728"/>
      <c r="C4727" s="729"/>
      <c r="D4727" s="730" t="s">
        <v>393</v>
      </c>
      <c r="E4727" s="729"/>
      <c r="F4727" s="729"/>
      <c r="G4727" s="729"/>
      <c r="H4727" s="729"/>
      <c r="I4727" s="729"/>
      <c r="J4727" s="729"/>
      <c r="K4727" s="729"/>
      <c r="L4727" s="729"/>
      <c r="M4727" s="729"/>
      <c r="N4727" s="731"/>
    </row>
    <row r="4728" spans="2:14" ht="15" customHeight="1" x14ac:dyDescent="0.25">
      <c r="B4728" s="732" t="s">
        <v>394</v>
      </c>
      <c r="C4728" s="733"/>
      <c r="D4728" s="733"/>
      <c r="E4728" s="733"/>
      <c r="F4728" s="733"/>
      <c r="G4728" s="733"/>
      <c r="H4728" s="733"/>
      <c r="I4728" s="733"/>
      <c r="J4728" s="733"/>
      <c r="K4728" s="733"/>
      <c r="L4728" s="733"/>
      <c r="M4728" s="733"/>
      <c r="N4728" s="734"/>
    </row>
    <row r="4729" spans="2:14" ht="30" customHeight="1" x14ac:dyDescent="0.25">
      <c r="B4729" s="735" t="s">
        <v>395</v>
      </c>
      <c r="C4729" s="736"/>
      <c r="D4729" s="737" t="str">
        <f>VLOOKUP(B4731,Buenaventura!A9:G5947,3,FALSE)</f>
        <v>Suministro y aplicación de vinilo tipo 2 (3 manos)</v>
      </c>
      <c r="E4729" s="738"/>
      <c r="F4729" s="738"/>
      <c r="G4729" s="738"/>
      <c r="H4729" s="738"/>
      <c r="I4729" s="738"/>
      <c r="J4729" s="738"/>
      <c r="K4729" s="738"/>
      <c r="L4729" s="738"/>
      <c r="M4729" s="738"/>
      <c r="N4729" s="739"/>
    </row>
    <row r="4730" spans="2:14" ht="26.45" customHeight="1" x14ac:dyDescent="0.25">
      <c r="B4730" s="740" t="s">
        <v>26</v>
      </c>
      <c r="C4730" s="741"/>
      <c r="D4730" s="119" t="s">
        <v>396</v>
      </c>
      <c r="E4730" s="742" t="s">
        <v>397</v>
      </c>
      <c r="F4730" s="733"/>
      <c r="G4730" s="733"/>
      <c r="H4730" s="736"/>
      <c r="I4730" s="742" t="s">
        <v>398</v>
      </c>
      <c r="J4730" s="733"/>
      <c r="K4730" s="736"/>
      <c r="L4730" s="742" t="s">
        <v>399</v>
      </c>
      <c r="M4730" s="733"/>
      <c r="N4730" s="734"/>
    </row>
    <row r="4731" spans="2:14" ht="15" customHeight="1" x14ac:dyDescent="0.25">
      <c r="B4731" s="283">
        <v>128</v>
      </c>
      <c r="C4731" s="284" t="str">
        <f>VLOOKUP(B4731,Buenaventura!A9:G5960,2,FALSE)</f>
        <v>AC-17</v>
      </c>
      <c r="D4731" s="285">
        <f>SUM(H4734:H4737)</f>
        <v>4</v>
      </c>
      <c r="E4731" s="743" t="str">
        <f>VLOOKUP(B4731,Buenaventura!A9:G5959,4,FALSE)</f>
        <v>ML</v>
      </c>
      <c r="F4731" s="743"/>
      <c r="G4731" s="743"/>
      <c r="H4731" s="743"/>
      <c r="I4731" s="744"/>
      <c r="J4731" s="745"/>
      <c r="K4731" s="741"/>
      <c r="L4731" s="744"/>
      <c r="M4731" s="745"/>
      <c r="N4731" s="752"/>
    </row>
    <row r="4732" spans="2:14" ht="15" customHeight="1" x14ac:dyDescent="0.25">
      <c r="B4732" s="755" t="s">
        <v>416</v>
      </c>
      <c r="C4732" s="733"/>
      <c r="D4732" s="733"/>
      <c r="E4732" s="733"/>
      <c r="F4732" s="733"/>
      <c r="G4732" s="733"/>
      <c r="H4732" s="736"/>
      <c r="I4732" s="746"/>
      <c r="J4732" s="747"/>
      <c r="K4732" s="748"/>
      <c r="L4732" s="746"/>
      <c r="M4732" s="747"/>
      <c r="N4732" s="753"/>
    </row>
    <row r="4733" spans="2:14" ht="15" customHeight="1" x14ac:dyDescent="0.25">
      <c r="B4733" s="121" t="s">
        <v>400</v>
      </c>
      <c r="C4733" s="122" t="s">
        <v>401</v>
      </c>
      <c r="D4733" s="123" t="s">
        <v>402</v>
      </c>
      <c r="E4733" s="123" t="s">
        <v>403</v>
      </c>
      <c r="F4733" s="123" t="s">
        <v>404</v>
      </c>
      <c r="G4733" s="123" t="s">
        <v>405</v>
      </c>
      <c r="H4733" s="123" t="s">
        <v>406</v>
      </c>
      <c r="I4733" s="746"/>
      <c r="J4733" s="747"/>
      <c r="K4733" s="748"/>
      <c r="L4733" s="746"/>
      <c r="M4733" s="747"/>
      <c r="N4733" s="753"/>
    </row>
    <row r="4734" spans="2:14" ht="15" customHeight="1" x14ac:dyDescent="0.25">
      <c r="B4734" s="124"/>
      <c r="C4734" s="145" t="s">
        <v>609</v>
      </c>
      <c r="D4734" s="125">
        <v>4</v>
      </c>
      <c r="E4734" s="125"/>
      <c r="F4734" s="125"/>
      <c r="G4734" s="125"/>
      <c r="H4734" s="125">
        <f>D4734</f>
        <v>4</v>
      </c>
      <c r="I4734" s="746"/>
      <c r="J4734" s="747"/>
      <c r="K4734" s="748"/>
      <c r="L4734" s="746"/>
      <c r="M4734" s="747"/>
      <c r="N4734" s="753"/>
    </row>
    <row r="4735" spans="2:14" ht="15" customHeight="1" x14ac:dyDescent="0.25">
      <c r="B4735" s="124"/>
      <c r="C4735" s="145"/>
      <c r="D4735" s="125"/>
      <c r="E4735" s="125"/>
      <c r="F4735" s="125"/>
      <c r="G4735" s="125"/>
      <c r="H4735" s="125"/>
      <c r="I4735" s="746"/>
      <c r="J4735" s="747"/>
      <c r="K4735" s="748"/>
      <c r="L4735" s="746"/>
      <c r="M4735" s="747"/>
      <c r="N4735" s="753"/>
    </row>
    <row r="4736" spans="2:14" ht="15" customHeight="1" x14ac:dyDescent="0.25">
      <c r="B4736" s="165"/>
      <c r="C4736" s="145"/>
      <c r="D4736" s="125"/>
      <c r="E4736" s="125"/>
      <c r="F4736" s="125"/>
      <c r="G4736" s="125"/>
      <c r="H4736" s="125"/>
      <c r="I4736" s="746"/>
      <c r="J4736" s="747"/>
      <c r="K4736" s="748"/>
      <c r="L4736" s="746"/>
      <c r="M4736" s="747"/>
      <c r="N4736" s="753"/>
    </row>
    <row r="4737" spans="2:14" ht="15" customHeight="1" x14ac:dyDescent="0.25">
      <c r="B4737" s="165"/>
      <c r="C4737" s="145"/>
      <c r="D4737" s="125"/>
      <c r="E4737" s="125"/>
      <c r="F4737" s="125"/>
      <c r="G4737" s="125"/>
      <c r="H4737" s="125"/>
      <c r="I4737" s="746"/>
      <c r="J4737" s="747"/>
      <c r="K4737" s="748"/>
      <c r="L4737" s="746"/>
      <c r="M4737" s="747"/>
      <c r="N4737" s="753"/>
    </row>
    <row r="4738" spans="2:14" ht="15" customHeight="1" x14ac:dyDescent="0.25">
      <c r="B4738" s="165"/>
      <c r="C4738" s="145"/>
      <c r="D4738" s="125"/>
      <c r="E4738" s="125"/>
      <c r="F4738" s="125"/>
      <c r="G4738" s="125"/>
      <c r="H4738" s="125"/>
      <c r="I4738" s="746"/>
      <c r="J4738" s="747"/>
      <c r="K4738" s="748"/>
      <c r="L4738" s="746"/>
      <c r="M4738" s="747"/>
      <c r="N4738" s="753"/>
    </row>
    <row r="4739" spans="2:14" ht="15" customHeight="1" x14ac:dyDescent="0.25">
      <c r="B4739" s="165"/>
      <c r="C4739" s="145"/>
      <c r="D4739" s="125"/>
      <c r="E4739" s="125"/>
      <c r="F4739" s="125"/>
      <c r="G4739" s="125"/>
      <c r="H4739" s="125"/>
      <c r="I4739" s="746"/>
      <c r="J4739" s="747"/>
      <c r="K4739" s="748"/>
      <c r="L4739" s="746"/>
      <c r="M4739" s="747"/>
      <c r="N4739" s="753"/>
    </row>
    <row r="4740" spans="2:14" ht="15" customHeight="1" x14ac:dyDescent="0.25">
      <c r="B4740" s="165"/>
      <c r="C4740" s="145"/>
      <c r="D4740" s="125"/>
      <c r="E4740" s="125"/>
      <c r="F4740" s="125"/>
      <c r="G4740" s="125"/>
      <c r="H4740" s="125"/>
      <c r="I4740" s="746"/>
      <c r="J4740" s="747"/>
      <c r="K4740" s="748"/>
      <c r="L4740" s="746"/>
      <c r="M4740" s="747"/>
      <c r="N4740" s="753"/>
    </row>
    <row r="4741" spans="2:14" ht="15" customHeight="1" x14ac:dyDescent="0.25">
      <c r="B4741" s="124"/>
      <c r="C4741" s="145"/>
      <c r="D4741" s="125"/>
      <c r="E4741" s="125"/>
      <c r="F4741" s="125"/>
      <c r="G4741" s="125"/>
      <c r="H4741" s="125"/>
      <c r="I4741" s="746"/>
      <c r="J4741" s="747"/>
      <c r="K4741" s="748"/>
      <c r="L4741" s="746"/>
      <c r="M4741" s="747"/>
      <c r="N4741" s="753"/>
    </row>
    <row r="4742" spans="2:14" ht="15" customHeight="1" x14ac:dyDescent="0.25">
      <c r="B4742" s="124"/>
      <c r="C4742" s="125"/>
      <c r="D4742" s="125"/>
      <c r="E4742" s="125"/>
      <c r="F4742" s="125"/>
      <c r="G4742" s="125"/>
      <c r="H4742" s="125"/>
      <c r="I4742" s="746"/>
      <c r="J4742" s="747"/>
      <c r="K4742" s="748"/>
      <c r="L4742" s="746"/>
      <c r="M4742" s="747"/>
      <c r="N4742" s="753"/>
    </row>
    <row r="4743" spans="2:14" ht="15" customHeight="1" x14ac:dyDescent="0.25">
      <c r="B4743" s="127"/>
      <c r="C4743" s="125"/>
      <c r="D4743" s="125"/>
      <c r="E4743" s="125"/>
      <c r="F4743" s="125"/>
      <c r="G4743" s="125"/>
      <c r="H4743" s="125"/>
      <c r="I4743" s="749"/>
      <c r="J4743" s="750"/>
      <c r="K4743" s="751"/>
      <c r="L4743" s="749"/>
      <c r="M4743" s="750"/>
      <c r="N4743" s="754"/>
    </row>
    <row r="4744" spans="2:14" ht="15" customHeight="1" x14ac:dyDescent="0.25">
      <c r="B4744" s="225"/>
      <c r="C4744" s="128"/>
      <c r="D4744" s="128"/>
      <c r="E4744" s="128"/>
      <c r="F4744" s="128"/>
      <c r="G4744" s="128"/>
      <c r="H4744" s="128"/>
      <c r="I4744" s="128"/>
      <c r="J4744" s="128"/>
      <c r="K4744" s="128"/>
      <c r="L4744" s="118"/>
      <c r="M4744" s="118"/>
      <c r="N4744" s="210"/>
    </row>
    <row r="4745" spans="2:14" ht="15" customHeight="1" x14ac:dyDescent="0.25">
      <c r="B4745" s="209"/>
      <c r="C4745" s="118"/>
      <c r="D4745" s="118"/>
      <c r="E4745" s="118"/>
      <c r="F4745" s="118"/>
      <c r="G4745" s="118"/>
      <c r="H4745" s="118"/>
      <c r="I4745" s="118"/>
      <c r="J4745" s="118"/>
      <c r="K4745" s="118"/>
      <c r="L4745" s="118"/>
      <c r="M4745" s="118"/>
      <c r="N4745" s="210"/>
    </row>
    <row r="4746" spans="2:14" ht="15" customHeight="1" x14ac:dyDescent="0.25">
      <c r="B4746" s="209"/>
      <c r="C4746" s="118"/>
      <c r="D4746" s="118"/>
      <c r="E4746" s="118"/>
      <c r="F4746" s="118"/>
      <c r="G4746" s="118"/>
      <c r="H4746" s="118"/>
      <c r="I4746" s="118"/>
      <c r="J4746" s="118"/>
      <c r="K4746" s="118"/>
      <c r="L4746" s="118"/>
      <c r="M4746" s="118"/>
      <c r="N4746" s="210"/>
    </row>
    <row r="4747" spans="2:14" ht="15" customHeight="1" thickBot="1" x14ac:dyDescent="0.3">
      <c r="B4747" s="725" t="s">
        <v>414</v>
      </c>
      <c r="C4747" s="726"/>
      <c r="D4747" s="726"/>
      <c r="E4747" s="147"/>
      <c r="F4747" s="147"/>
      <c r="G4747" s="147"/>
      <c r="H4747" s="147"/>
      <c r="I4747" s="727"/>
      <c r="J4747" s="726"/>
      <c r="K4747" s="726"/>
      <c r="L4747" s="130"/>
      <c r="M4747" s="130"/>
      <c r="N4747" s="131"/>
    </row>
    <row r="4748" spans="2:14" ht="15" customHeight="1" thickBot="1" x14ac:dyDescent="0.3"/>
    <row r="4749" spans="2:14" ht="39.6" customHeight="1" x14ac:dyDescent="0.25">
      <c r="B4749" s="728"/>
      <c r="C4749" s="729"/>
      <c r="D4749" s="730" t="s">
        <v>393</v>
      </c>
      <c r="E4749" s="729"/>
      <c r="F4749" s="729"/>
      <c r="G4749" s="729"/>
      <c r="H4749" s="729"/>
      <c r="I4749" s="729"/>
      <c r="J4749" s="729"/>
      <c r="K4749" s="729"/>
      <c r="L4749" s="729"/>
      <c r="M4749" s="729"/>
      <c r="N4749" s="731"/>
    </row>
    <row r="4750" spans="2:14" ht="15" customHeight="1" x14ac:dyDescent="0.25">
      <c r="B4750" s="732" t="s">
        <v>394</v>
      </c>
      <c r="C4750" s="733"/>
      <c r="D4750" s="733"/>
      <c r="E4750" s="733"/>
      <c r="F4750" s="733"/>
      <c r="G4750" s="733"/>
      <c r="H4750" s="733"/>
      <c r="I4750" s="733"/>
      <c r="J4750" s="733"/>
      <c r="K4750" s="733"/>
      <c r="L4750" s="733"/>
      <c r="M4750" s="733"/>
      <c r="N4750" s="734"/>
    </row>
    <row r="4751" spans="2:14" ht="28.15" customHeight="1" x14ac:dyDescent="0.25">
      <c r="B4751" s="735" t="s">
        <v>395</v>
      </c>
      <c r="C4751" s="736"/>
      <c r="D4751" s="737" t="str">
        <f>VLOOKUP(B4753,Buenaventura!A9:G5969,3,FALSE)</f>
        <v>Desmonte lampara existente, incluye disposición final en centro de acopio certificado</v>
      </c>
      <c r="E4751" s="738"/>
      <c r="F4751" s="738"/>
      <c r="G4751" s="738"/>
      <c r="H4751" s="738"/>
      <c r="I4751" s="738"/>
      <c r="J4751" s="738"/>
      <c r="K4751" s="738"/>
      <c r="L4751" s="738"/>
      <c r="M4751" s="738"/>
      <c r="N4751" s="739"/>
    </row>
    <row r="4752" spans="2:14" ht="25.15" customHeight="1" x14ac:dyDescent="0.25">
      <c r="B4752" s="740" t="s">
        <v>26</v>
      </c>
      <c r="C4752" s="741"/>
      <c r="D4752" s="119" t="s">
        <v>396</v>
      </c>
      <c r="E4752" s="742" t="s">
        <v>397</v>
      </c>
      <c r="F4752" s="733"/>
      <c r="G4752" s="733"/>
      <c r="H4752" s="736"/>
      <c r="I4752" s="742" t="s">
        <v>398</v>
      </c>
      <c r="J4752" s="733"/>
      <c r="K4752" s="736"/>
      <c r="L4752" s="742" t="s">
        <v>399</v>
      </c>
      <c r="M4752" s="733"/>
      <c r="N4752" s="734"/>
    </row>
    <row r="4753" spans="2:14" ht="15" customHeight="1" x14ac:dyDescent="0.25">
      <c r="B4753" s="283">
        <v>129</v>
      </c>
      <c r="C4753" s="284" t="str">
        <f>VLOOKUP(B4753,Buenaventura!A9:G5982,2,FALSE)</f>
        <v>IE-64</v>
      </c>
      <c r="D4753" s="285">
        <f>SUM(H4756:H4759)</f>
        <v>2</v>
      </c>
      <c r="E4753" s="743" t="str">
        <f>VLOOKUP(B4753,Buenaventura!A9:G5981,4,FALSE)</f>
        <v>UND</v>
      </c>
      <c r="F4753" s="743"/>
      <c r="G4753" s="743"/>
      <c r="H4753" s="743"/>
      <c r="I4753" s="744"/>
      <c r="J4753" s="745"/>
      <c r="K4753" s="741"/>
      <c r="L4753" s="744"/>
      <c r="M4753" s="745"/>
      <c r="N4753" s="752"/>
    </row>
    <row r="4754" spans="2:14" ht="15" customHeight="1" x14ac:dyDescent="0.25">
      <c r="B4754" s="755" t="s">
        <v>416</v>
      </c>
      <c r="C4754" s="733"/>
      <c r="D4754" s="733"/>
      <c r="E4754" s="733"/>
      <c r="F4754" s="733"/>
      <c r="G4754" s="733"/>
      <c r="H4754" s="736"/>
      <c r="I4754" s="746"/>
      <c r="J4754" s="747"/>
      <c r="K4754" s="748"/>
      <c r="L4754" s="746"/>
      <c r="M4754" s="747"/>
      <c r="N4754" s="753"/>
    </row>
    <row r="4755" spans="2:14" ht="15" customHeight="1" x14ac:dyDescent="0.25">
      <c r="B4755" s="121" t="s">
        <v>400</v>
      </c>
      <c r="C4755" s="122" t="s">
        <v>401</v>
      </c>
      <c r="D4755" s="123" t="s">
        <v>402</v>
      </c>
      <c r="E4755" s="123" t="s">
        <v>403</v>
      </c>
      <c r="F4755" s="123" t="s">
        <v>404</v>
      </c>
      <c r="G4755" s="123" t="s">
        <v>405</v>
      </c>
      <c r="H4755" s="123" t="s">
        <v>406</v>
      </c>
      <c r="I4755" s="746"/>
      <c r="J4755" s="747"/>
      <c r="K4755" s="748"/>
      <c r="L4755" s="746"/>
      <c r="M4755" s="747"/>
      <c r="N4755" s="753"/>
    </row>
    <row r="4756" spans="2:14" ht="15" customHeight="1" x14ac:dyDescent="0.25">
      <c r="B4756" s="124"/>
      <c r="C4756" s="145" t="s">
        <v>609</v>
      </c>
      <c r="D4756" s="125">
        <v>2</v>
      </c>
      <c r="E4756" s="125"/>
      <c r="F4756" s="125"/>
      <c r="G4756" s="125"/>
      <c r="H4756" s="125">
        <f>D4756</f>
        <v>2</v>
      </c>
      <c r="I4756" s="746"/>
      <c r="J4756" s="747"/>
      <c r="K4756" s="748"/>
      <c r="L4756" s="746"/>
      <c r="M4756" s="747"/>
      <c r="N4756" s="753"/>
    </row>
    <row r="4757" spans="2:14" ht="15" customHeight="1" x14ac:dyDescent="0.25">
      <c r="B4757" s="124"/>
      <c r="C4757" s="145"/>
      <c r="D4757" s="125"/>
      <c r="E4757" s="125"/>
      <c r="F4757" s="125"/>
      <c r="G4757" s="125"/>
      <c r="H4757" s="125"/>
      <c r="I4757" s="746"/>
      <c r="J4757" s="747"/>
      <c r="K4757" s="748"/>
      <c r="L4757" s="746"/>
      <c r="M4757" s="747"/>
      <c r="N4757" s="753"/>
    </row>
    <row r="4758" spans="2:14" ht="15" customHeight="1" x14ac:dyDescent="0.25">
      <c r="B4758" s="165"/>
      <c r="C4758" s="145"/>
      <c r="D4758" s="125"/>
      <c r="E4758" s="125"/>
      <c r="F4758" s="125"/>
      <c r="G4758" s="125"/>
      <c r="H4758" s="125"/>
      <c r="I4758" s="746"/>
      <c r="J4758" s="747"/>
      <c r="K4758" s="748"/>
      <c r="L4758" s="746"/>
      <c r="M4758" s="747"/>
      <c r="N4758" s="753"/>
    </row>
    <row r="4759" spans="2:14" ht="15" customHeight="1" x14ac:dyDescent="0.25">
      <c r="B4759" s="165"/>
      <c r="C4759" s="145"/>
      <c r="D4759" s="125"/>
      <c r="E4759" s="125"/>
      <c r="F4759" s="125"/>
      <c r="G4759" s="125"/>
      <c r="H4759" s="125"/>
      <c r="I4759" s="746"/>
      <c r="J4759" s="747"/>
      <c r="K4759" s="748"/>
      <c r="L4759" s="746"/>
      <c r="M4759" s="747"/>
      <c r="N4759" s="753"/>
    </row>
    <row r="4760" spans="2:14" ht="15" customHeight="1" x14ac:dyDescent="0.25">
      <c r="B4760" s="165"/>
      <c r="C4760" s="145"/>
      <c r="D4760" s="125"/>
      <c r="E4760" s="125"/>
      <c r="F4760" s="125"/>
      <c r="G4760" s="125"/>
      <c r="H4760" s="125"/>
      <c r="I4760" s="746"/>
      <c r="J4760" s="747"/>
      <c r="K4760" s="748"/>
      <c r="L4760" s="746"/>
      <c r="M4760" s="747"/>
      <c r="N4760" s="753"/>
    </row>
    <row r="4761" spans="2:14" ht="15" customHeight="1" x14ac:dyDescent="0.25">
      <c r="B4761" s="165"/>
      <c r="C4761" s="145"/>
      <c r="D4761" s="125"/>
      <c r="E4761" s="125"/>
      <c r="F4761" s="125"/>
      <c r="G4761" s="125"/>
      <c r="H4761" s="125"/>
      <c r="I4761" s="746"/>
      <c r="J4761" s="747"/>
      <c r="K4761" s="748"/>
      <c r="L4761" s="746"/>
      <c r="M4761" s="747"/>
      <c r="N4761" s="753"/>
    </row>
    <row r="4762" spans="2:14" ht="15" customHeight="1" x14ac:dyDescent="0.25">
      <c r="B4762" s="165"/>
      <c r="C4762" s="145"/>
      <c r="D4762" s="125"/>
      <c r="E4762" s="125"/>
      <c r="F4762" s="125"/>
      <c r="G4762" s="125"/>
      <c r="H4762" s="125"/>
      <c r="I4762" s="746"/>
      <c r="J4762" s="747"/>
      <c r="K4762" s="748"/>
      <c r="L4762" s="746"/>
      <c r="M4762" s="747"/>
      <c r="N4762" s="753"/>
    </row>
    <row r="4763" spans="2:14" ht="15" customHeight="1" x14ac:dyDescent="0.25">
      <c r="B4763" s="124"/>
      <c r="C4763" s="145"/>
      <c r="D4763" s="125"/>
      <c r="E4763" s="125"/>
      <c r="F4763" s="125"/>
      <c r="G4763" s="125"/>
      <c r="H4763" s="125"/>
      <c r="I4763" s="746"/>
      <c r="J4763" s="747"/>
      <c r="K4763" s="748"/>
      <c r="L4763" s="746"/>
      <c r="M4763" s="747"/>
      <c r="N4763" s="753"/>
    </row>
    <row r="4764" spans="2:14" ht="15" customHeight="1" x14ac:dyDescent="0.25">
      <c r="B4764" s="124"/>
      <c r="C4764" s="125"/>
      <c r="D4764" s="125"/>
      <c r="E4764" s="125"/>
      <c r="F4764" s="125"/>
      <c r="G4764" s="125"/>
      <c r="H4764" s="125"/>
      <c r="I4764" s="746"/>
      <c r="J4764" s="747"/>
      <c r="K4764" s="748"/>
      <c r="L4764" s="746"/>
      <c r="M4764" s="747"/>
      <c r="N4764" s="753"/>
    </row>
    <row r="4765" spans="2:14" ht="15" customHeight="1" x14ac:dyDescent="0.25">
      <c r="B4765" s="127"/>
      <c r="C4765" s="125"/>
      <c r="D4765" s="125"/>
      <c r="E4765" s="125"/>
      <c r="F4765" s="125"/>
      <c r="G4765" s="125"/>
      <c r="H4765" s="125"/>
      <c r="I4765" s="749"/>
      <c r="J4765" s="750"/>
      <c r="K4765" s="751"/>
      <c r="L4765" s="749"/>
      <c r="M4765" s="750"/>
      <c r="N4765" s="754"/>
    </row>
    <row r="4766" spans="2:14" ht="15" customHeight="1" x14ac:dyDescent="0.25">
      <c r="B4766" s="225"/>
      <c r="C4766" s="128"/>
      <c r="D4766" s="128"/>
      <c r="E4766" s="128"/>
      <c r="F4766" s="128"/>
      <c r="G4766" s="128"/>
      <c r="H4766" s="128"/>
      <c r="I4766" s="128"/>
      <c r="J4766" s="128"/>
      <c r="K4766" s="128"/>
      <c r="L4766" s="118"/>
      <c r="M4766" s="118"/>
      <c r="N4766" s="210"/>
    </row>
    <row r="4767" spans="2:14" ht="15" customHeight="1" x14ac:dyDescent="0.25">
      <c r="B4767" s="209"/>
      <c r="C4767" s="118"/>
      <c r="D4767" s="118"/>
      <c r="E4767" s="118"/>
      <c r="F4767" s="118"/>
      <c r="G4767" s="118"/>
      <c r="H4767" s="118"/>
      <c r="I4767" s="118"/>
      <c r="J4767" s="118"/>
      <c r="K4767" s="118"/>
      <c r="L4767" s="118"/>
      <c r="M4767" s="118"/>
      <c r="N4767" s="210"/>
    </row>
    <row r="4768" spans="2:14" ht="15" customHeight="1" x14ac:dyDescent="0.25">
      <c r="B4768" s="209"/>
      <c r="C4768" s="118"/>
      <c r="D4768" s="118"/>
      <c r="E4768" s="118"/>
      <c r="F4768" s="118"/>
      <c r="G4768" s="118"/>
      <c r="H4768" s="118"/>
      <c r="I4768" s="118"/>
      <c r="J4768" s="118"/>
      <c r="K4768" s="118"/>
      <c r="L4768" s="118"/>
      <c r="M4768" s="118"/>
      <c r="N4768" s="210"/>
    </row>
    <row r="4769" spans="2:14" ht="15" customHeight="1" thickBot="1" x14ac:dyDescent="0.3">
      <c r="B4769" s="725" t="s">
        <v>414</v>
      </c>
      <c r="C4769" s="726"/>
      <c r="D4769" s="726"/>
      <c r="E4769" s="147"/>
      <c r="F4769" s="147"/>
      <c r="G4769" s="147"/>
      <c r="H4769" s="147"/>
      <c r="I4769" s="727"/>
      <c r="J4769" s="726"/>
      <c r="K4769" s="726"/>
      <c r="L4769" s="130"/>
      <c r="M4769" s="130"/>
      <c r="N4769" s="131"/>
    </row>
    <row r="4770" spans="2:14" ht="15" customHeight="1" thickBot="1" x14ac:dyDescent="0.3"/>
    <row r="4771" spans="2:14" ht="33.75" customHeight="1" x14ac:dyDescent="0.25">
      <c r="B4771" s="728"/>
      <c r="C4771" s="729"/>
      <c r="D4771" s="730" t="s">
        <v>393</v>
      </c>
      <c r="E4771" s="729"/>
      <c r="F4771" s="729"/>
      <c r="G4771" s="729"/>
      <c r="H4771" s="729"/>
      <c r="I4771" s="729"/>
      <c r="J4771" s="729"/>
      <c r="K4771" s="729"/>
      <c r="L4771" s="729"/>
      <c r="M4771" s="729"/>
      <c r="N4771" s="731"/>
    </row>
    <row r="4772" spans="2:14" ht="15" customHeight="1" x14ac:dyDescent="0.25">
      <c r="B4772" s="732" t="s">
        <v>394</v>
      </c>
      <c r="C4772" s="733"/>
      <c r="D4772" s="733"/>
      <c r="E4772" s="733"/>
      <c r="F4772" s="733"/>
      <c r="G4772" s="733"/>
      <c r="H4772" s="733"/>
      <c r="I4772" s="733"/>
      <c r="J4772" s="733"/>
      <c r="K4772" s="733"/>
      <c r="L4772" s="733"/>
      <c r="M4772" s="733"/>
      <c r="N4772" s="734"/>
    </row>
    <row r="4773" spans="2:14" ht="23.45" customHeight="1" x14ac:dyDescent="0.25">
      <c r="B4773" s="735" t="s">
        <v>395</v>
      </c>
      <c r="C4773" s="736"/>
      <c r="D4773" s="737" t="str">
        <f>VLOOKUP(B4775,Buenaventura!A9:G5991,3,FALSE)</f>
        <v>Suministro e instalación de Lámpara panel led de sobreponer 24w 100 -240 - 1680Lm de 6,500 K - horas mínimas de vida útil 25,000 Cuerpo en aluminio o policarbonato resistente a la humedad y a la corrosión.</v>
      </c>
      <c r="E4773" s="738"/>
      <c r="F4773" s="738"/>
      <c r="G4773" s="738"/>
      <c r="H4773" s="738"/>
      <c r="I4773" s="738"/>
      <c r="J4773" s="738"/>
      <c r="K4773" s="738"/>
      <c r="L4773" s="738"/>
      <c r="M4773" s="738"/>
      <c r="N4773" s="739"/>
    </row>
    <row r="4774" spans="2:14" ht="26.45" customHeight="1" x14ac:dyDescent="0.25">
      <c r="B4774" s="740" t="s">
        <v>26</v>
      </c>
      <c r="C4774" s="741"/>
      <c r="D4774" s="119" t="s">
        <v>396</v>
      </c>
      <c r="E4774" s="742" t="s">
        <v>397</v>
      </c>
      <c r="F4774" s="733"/>
      <c r="G4774" s="733"/>
      <c r="H4774" s="736"/>
      <c r="I4774" s="742" t="s">
        <v>398</v>
      </c>
      <c r="J4774" s="733"/>
      <c r="K4774" s="736"/>
      <c r="L4774" s="742" t="s">
        <v>399</v>
      </c>
      <c r="M4774" s="733"/>
      <c r="N4774" s="734"/>
    </row>
    <row r="4775" spans="2:14" ht="15" customHeight="1" x14ac:dyDescent="0.25">
      <c r="B4775" s="283">
        <v>130</v>
      </c>
      <c r="C4775" s="284" t="str">
        <f>VLOOKUP(B4775,Buenaventura!A9:G6004,2,FALSE)</f>
        <v>IE-09</v>
      </c>
      <c r="D4775" s="285">
        <f>SUM(H4778:H4781)</f>
        <v>2</v>
      </c>
      <c r="E4775" s="743" t="str">
        <f>VLOOKUP(B4775,Buenaventura!A9:G6003,4,FALSE)</f>
        <v>UND</v>
      </c>
      <c r="F4775" s="743"/>
      <c r="G4775" s="743"/>
      <c r="H4775" s="743"/>
      <c r="I4775" s="744"/>
      <c r="J4775" s="745"/>
      <c r="K4775" s="741"/>
      <c r="L4775" s="744"/>
      <c r="M4775" s="745"/>
      <c r="N4775" s="752"/>
    </row>
    <row r="4776" spans="2:14" ht="15" customHeight="1" x14ac:dyDescent="0.25">
      <c r="B4776" s="755" t="s">
        <v>416</v>
      </c>
      <c r="C4776" s="733"/>
      <c r="D4776" s="733"/>
      <c r="E4776" s="733"/>
      <c r="F4776" s="733"/>
      <c r="G4776" s="733"/>
      <c r="H4776" s="736"/>
      <c r="I4776" s="746"/>
      <c r="J4776" s="747"/>
      <c r="K4776" s="748"/>
      <c r="L4776" s="746"/>
      <c r="M4776" s="747"/>
      <c r="N4776" s="753"/>
    </row>
    <row r="4777" spans="2:14" ht="15" customHeight="1" x14ac:dyDescent="0.25">
      <c r="B4777" s="121" t="s">
        <v>400</v>
      </c>
      <c r="C4777" s="122" t="s">
        <v>401</v>
      </c>
      <c r="D4777" s="123" t="s">
        <v>402</v>
      </c>
      <c r="E4777" s="123" t="s">
        <v>403</v>
      </c>
      <c r="F4777" s="123" t="s">
        <v>404</v>
      </c>
      <c r="G4777" s="123" t="s">
        <v>405</v>
      </c>
      <c r="H4777" s="123" t="s">
        <v>406</v>
      </c>
      <c r="I4777" s="746"/>
      <c r="J4777" s="747"/>
      <c r="K4777" s="748"/>
      <c r="L4777" s="746"/>
      <c r="M4777" s="747"/>
      <c r="N4777" s="753"/>
    </row>
    <row r="4778" spans="2:14" ht="15" customHeight="1" x14ac:dyDescent="0.25">
      <c r="B4778" s="124"/>
      <c r="C4778" s="145" t="s">
        <v>609</v>
      </c>
      <c r="D4778" s="125">
        <v>2</v>
      </c>
      <c r="E4778" s="125"/>
      <c r="F4778" s="125"/>
      <c r="G4778" s="125"/>
      <c r="H4778" s="125">
        <f>D4778</f>
        <v>2</v>
      </c>
      <c r="I4778" s="746"/>
      <c r="J4778" s="747"/>
      <c r="K4778" s="748"/>
      <c r="L4778" s="746"/>
      <c r="M4778" s="747"/>
      <c r="N4778" s="753"/>
    </row>
    <row r="4779" spans="2:14" ht="15" customHeight="1" x14ac:dyDescent="0.25">
      <c r="B4779" s="124"/>
      <c r="C4779" s="145"/>
      <c r="D4779" s="125"/>
      <c r="E4779" s="125"/>
      <c r="F4779" s="125"/>
      <c r="G4779" s="125"/>
      <c r="H4779" s="125"/>
      <c r="I4779" s="746"/>
      <c r="J4779" s="747"/>
      <c r="K4779" s="748"/>
      <c r="L4779" s="746"/>
      <c r="M4779" s="747"/>
      <c r="N4779" s="753"/>
    </row>
    <row r="4780" spans="2:14" ht="15" customHeight="1" x14ac:dyDescent="0.25">
      <c r="B4780" s="165"/>
      <c r="C4780" s="145"/>
      <c r="D4780" s="125"/>
      <c r="E4780" s="125"/>
      <c r="F4780" s="125"/>
      <c r="G4780" s="125"/>
      <c r="H4780" s="125"/>
      <c r="I4780" s="746"/>
      <c r="J4780" s="747"/>
      <c r="K4780" s="748"/>
      <c r="L4780" s="746"/>
      <c r="M4780" s="747"/>
      <c r="N4780" s="753"/>
    </row>
    <row r="4781" spans="2:14" ht="15" customHeight="1" x14ac:dyDescent="0.25">
      <c r="B4781" s="165"/>
      <c r="C4781" s="145"/>
      <c r="D4781" s="125"/>
      <c r="E4781" s="125"/>
      <c r="F4781" s="125"/>
      <c r="G4781" s="125"/>
      <c r="H4781" s="125"/>
      <c r="I4781" s="746"/>
      <c r="J4781" s="747"/>
      <c r="K4781" s="748"/>
      <c r="L4781" s="746"/>
      <c r="M4781" s="747"/>
      <c r="N4781" s="753"/>
    </row>
    <row r="4782" spans="2:14" ht="15" customHeight="1" x14ac:dyDescent="0.25">
      <c r="B4782" s="165"/>
      <c r="C4782" s="145"/>
      <c r="D4782" s="125"/>
      <c r="E4782" s="125"/>
      <c r="F4782" s="125"/>
      <c r="G4782" s="125"/>
      <c r="H4782" s="125"/>
      <c r="I4782" s="746"/>
      <c r="J4782" s="747"/>
      <c r="K4782" s="748"/>
      <c r="L4782" s="746"/>
      <c r="M4782" s="747"/>
      <c r="N4782" s="753"/>
    </row>
    <row r="4783" spans="2:14" ht="15" customHeight="1" x14ac:dyDescent="0.25">
      <c r="B4783" s="165"/>
      <c r="C4783" s="145"/>
      <c r="D4783" s="125"/>
      <c r="E4783" s="125"/>
      <c r="F4783" s="125"/>
      <c r="G4783" s="125"/>
      <c r="H4783" s="125"/>
      <c r="I4783" s="746"/>
      <c r="J4783" s="747"/>
      <c r="K4783" s="748"/>
      <c r="L4783" s="746"/>
      <c r="M4783" s="747"/>
      <c r="N4783" s="753"/>
    </row>
    <row r="4784" spans="2:14" ht="15" customHeight="1" x14ac:dyDescent="0.25">
      <c r="B4784" s="165"/>
      <c r="C4784" s="145"/>
      <c r="D4784" s="125"/>
      <c r="E4784" s="125"/>
      <c r="F4784" s="125"/>
      <c r="G4784" s="125"/>
      <c r="H4784" s="125"/>
      <c r="I4784" s="746"/>
      <c r="J4784" s="747"/>
      <c r="K4784" s="748"/>
      <c r="L4784" s="746"/>
      <c r="M4784" s="747"/>
      <c r="N4784" s="753"/>
    </row>
    <row r="4785" spans="2:14" ht="15" customHeight="1" x14ac:dyDescent="0.25">
      <c r="B4785" s="124"/>
      <c r="C4785" s="145"/>
      <c r="D4785" s="125"/>
      <c r="E4785" s="125"/>
      <c r="F4785" s="125"/>
      <c r="G4785" s="125"/>
      <c r="H4785" s="125"/>
      <c r="I4785" s="746"/>
      <c r="J4785" s="747"/>
      <c r="K4785" s="748"/>
      <c r="L4785" s="746"/>
      <c r="M4785" s="747"/>
      <c r="N4785" s="753"/>
    </row>
    <row r="4786" spans="2:14" ht="15" customHeight="1" x14ac:dyDescent="0.25">
      <c r="B4786" s="124"/>
      <c r="C4786" s="125"/>
      <c r="D4786" s="125"/>
      <c r="E4786" s="125"/>
      <c r="F4786" s="125"/>
      <c r="G4786" s="125"/>
      <c r="H4786" s="125"/>
      <c r="I4786" s="746"/>
      <c r="J4786" s="747"/>
      <c r="K4786" s="748"/>
      <c r="L4786" s="746"/>
      <c r="M4786" s="747"/>
      <c r="N4786" s="753"/>
    </row>
    <row r="4787" spans="2:14" ht="15" customHeight="1" x14ac:dyDescent="0.25">
      <c r="B4787" s="127"/>
      <c r="C4787" s="125"/>
      <c r="D4787" s="125"/>
      <c r="E4787" s="125"/>
      <c r="F4787" s="125"/>
      <c r="G4787" s="125"/>
      <c r="H4787" s="125"/>
      <c r="I4787" s="749"/>
      <c r="J4787" s="750"/>
      <c r="K4787" s="751"/>
      <c r="L4787" s="749"/>
      <c r="M4787" s="750"/>
      <c r="N4787" s="754"/>
    </row>
    <row r="4788" spans="2:14" ht="15" customHeight="1" x14ac:dyDescent="0.25">
      <c r="B4788" s="225"/>
      <c r="C4788" s="128"/>
      <c r="D4788" s="128"/>
      <c r="E4788" s="128"/>
      <c r="F4788" s="128"/>
      <c r="G4788" s="128"/>
      <c r="H4788" s="128"/>
      <c r="I4788" s="128"/>
      <c r="J4788" s="128"/>
      <c r="K4788" s="128"/>
      <c r="L4788" s="118"/>
      <c r="M4788" s="118"/>
      <c r="N4788" s="210"/>
    </row>
    <row r="4789" spans="2:14" ht="15" customHeight="1" x14ac:dyDescent="0.25">
      <c r="B4789" s="209"/>
      <c r="C4789" s="118"/>
      <c r="D4789" s="118"/>
      <c r="E4789" s="118"/>
      <c r="F4789" s="118"/>
      <c r="G4789" s="118"/>
      <c r="H4789" s="118"/>
      <c r="I4789" s="118"/>
      <c r="J4789" s="118"/>
      <c r="K4789" s="118"/>
      <c r="L4789" s="118"/>
      <c r="M4789" s="118"/>
      <c r="N4789" s="210"/>
    </row>
    <row r="4790" spans="2:14" ht="15" customHeight="1" x14ac:dyDescent="0.25">
      <c r="B4790" s="209"/>
      <c r="C4790" s="118"/>
      <c r="D4790" s="118"/>
      <c r="E4790" s="118"/>
      <c r="F4790" s="118"/>
      <c r="G4790" s="118"/>
      <c r="H4790" s="118"/>
      <c r="I4790" s="118"/>
      <c r="J4790" s="118"/>
      <c r="K4790" s="118"/>
      <c r="L4790" s="118"/>
      <c r="M4790" s="118"/>
      <c r="N4790" s="210"/>
    </row>
    <row r="4791" spans="2:14" ht="15" customHeight="1" thickBot="1" x14ac:dyDescent="0.3">
      <c r="B4791" s="725" t="s">
        <v>414</v>
      </c>
      <c r="C4791" s="726"/>
      <c r="D4791" s="726"/>
      <c r="E4791" s="147"/>
      <c r="F4791" s="147"/>
      <c r="G4791" s="147"/>
      <c r="H4791" s="147"/>
      <c r="I4791" s="727"/>
      <c r="J4791" s="726"/>
      <c r="K4791" s="726"/>
      <c r="L4791" s="130"/>
      <c r="M4791" s="130"/>
      <c r="N4791" s="131"/>
    </row>
    <row r="4792" spans="2:14" ht="15" customHeight="1" thickBot="1" x14ac:dyDescent="0.3"/>
    <row r="4793" spans="2:14" ht="42.6" customHeight="1" x14ac:dyDescent="0.25">
      <c r="B4793" s="728"/>
      <c r="C4793" s="729"/>
      <c r="D4793" s="730" t="s">
        <v>393</v>
      </c>
      <c r="E4793" s="729"/>
      <c r="F4793" s="729"/>
      <c r="G4793" s="729"/>
      <c r="H4793" s="729"/>
      <c r="I4793" s="729"/>
      <c r="J4793" s="729"/>
      <c r="K4793" s="729"/>
      <c r="L4793" s="729"/>
      <c r="M4793" s="729"/>
      <c r="N4793" s="731"/>
    </row>
    <row r="4794" spans="2:14" ht="15" customHeight="1" x14ac:dyDescent="0.25">
      <c r="B4794" s="732" t="s">
        <v>394</v>
      </c>
      <c r="C4794" s="733"/>
      <c r="D4794" s="733"/>
      <c r="E4794" s="733"/>
      <c r="F4794" s="733"/>
      <c r="G4794" s="733"/>
      <c r="H4794" s="733"/>
      <c r="I4794" s="733"/>
      <c r="J4794" s="733"/>
      <c r="K4794" s="733"/>
      <c r="L4794" s="733"/>
      <c r="M4794" s="733"/>
      <c r="N4794" s="734"/>
    </row>
    <row r="4795" spans="2:14" ht="45.6" customHeight="1" x14ac:dyDescent="0.25">
      <c r="B4795" s="735" t="s">
        <v>395</v>
      </c>
      <c r="C4795" s="736"/>
      <c r="D4795" s="737" t="str">
        <f>VLOOKUP(B4797,Buenaventura!A9:G6013,3,FALSE)</f>
        <v>Suministro e instalación de interruptor sencillo incluye caja de sobreponer y salida de iluminación</v>
      </c>
      <c r="E4795" s="738"/>
      <c r="F4795" s="738"/>
      <c r="G4795" s="738"/>
      <c r="H4795" s="738"/>
      <c r="I4795" s="738"/>
      <c r="J4795" s="738"/>
      <c r="K4795" s="738"/>
      <c r="L4795" s="738"/>
      <c r="M4795" s="738"/>
      <c r="N4795" s="739"/>
    </row>
    <row r="4796" spans="2:14" ht="24.6" customHeight="1" x14ac:dyDescent="0.25">
      <c r="B4796" s="740" t="s">
        <v>26</v>
      </c>
      <c r="C4796" s="741"/>
      <c r="D4796" s="119" t="s">
        <v>396</v>
      </c>
      <c r="E4796" s="742" t="s">
        <v>397</v>
      </c>
      <c r="F4796" s="733"/>
      <c r="G4796" s="733"/>
      <c r="H4796" s="736"/>
      <c r="I4796" s="742" t="s">
        <v>398</v>
      </c>
      <c r="J4796" s="733"/>
      <c r="K4796" s="736"/>
      <c r="L4796" s="742" t="s">
        <v>399</v>
      </c>
      <c r="M4796" s="733"/>
      <c r="N4796" s="734"/>
    </row>
    <row r="4797" spans="2:14" ht="15" customHeight="1" x14ac:dyDescent="0.25">
      <c r="B4797" s="283">
        <v>131</v>
      </c>
      <c r="C4797" s="284" t="str">
        <f>VLOOKUP(B4797,Buenaventura!A9:G6026,2,FALSE)</f>
        <v>IE-13</v>
      </c>
      <c r="D4797" s="285">
        <f>SUM(H4800:H4803)</f>
        <v>2</v>
      </c>
      <c r="E4797" s="743" t="str">
        <f>VLOOKUP(B4797,Buenaventura!A9:G6025,4,FALSE)</f>
        <v>UND</v>
      </c>
      <c r="F4797" s="743"/>
      <c r="G4797" s="743"/>
      <c r="H4797" s="743"/>
      <c r="I4797" s="744"/>
      <c r="J4797" s="745"/>
      <c r="K4797" s="741"/>
      <c r="L4797" s="744"/>
      <c r="M4797" s="745"/>
      <c r="N4797" s="752"/>
    </row>
    <row r="4798" spans="2:14" ht="15" customHeight="1" x14ac:dyDescent="0.25">
      <c r="B4798" s="755" t="s">
        <v>416</v>
      </c>
      <c r="C4798" s="733"/>
      <c r="D4798" s="733"/>
      <c r="E4798" s="733"/>
      <c r="F4798" s="733"/>
      <c r="G4798" s="733"/>
      <c r="H4798" s="736"/>
      <c r="I4798" s="746"/>
      <c r="J4798" s="747"/>
      <c r="K4798" s="748"/>
      <c r="L4798" s="746"/>
      <c r="M4798" s="747"/>
      <c r="N4798" s="753"/>
    </row>
    <row r="4799" spans="2:14" ht="15" customHeight="1" x14ac:dyDescent="0.25">
      <c r="B4799" s="121" t="s">
        <v>400</v>
      </c>
      <c r="C4799" s="122" t="s">
        <v>401</v>
      </c>
      <c r="D4799" s="123" t="s">
        <v>402</v>
      </c>
      <c r="E4799" s="123" t="s">
        <v>403</v>
      </c>
      <c r="F4799" s="123" t="s">
        <v>404</v>
      </c>
      <c r="G4799" s="123" t="s">
        <v>405</v>
      </c>
      <c r="H4799" s="123" t="s">
        <v>406</v>
      </c>
      <c r="I4799" s="746"/>
      <c r="J4799" s="747"/>
      <c r="K4799" s="748"/>
      <c r="L4799" s="746"/>
      <c r="M4799" s="747"/>
      <c r="N4799" s="753"/>
    </row>
    <row r="4800" spans="2:14" ht="15" customHeight="1" x14ac:dyDescent="0.25">
      <c r="B4800" s="124"/>
      <c r="C4800" s="145" t="s">
        <v>615</v>
      </c>
      <c r="D4800" s="125">
        <v>2</v>
      </c>
      <c r="E4800" s="125"/>
      <c r="F4800" s="125"/>
      <c r="G4800" s="125"/>
      <c r="H4800" s="125">
        <f>D4800</f>
        <v>2</v>
      </c>
      <c r="I4800" s="746"/>
      <c r="J4800" s="747"/>
      <c r="K4800" s="748"/>
      <c r="L4800" s="746"/>
      <c r="M4800" s="747"/>
      <c r="N4800" s="753"/>
    </row>
    <row r="4801" spans="2:14" ht="15" customHeight="1" x14ac:dyDescent="0.25">
      <c r="B4801" s="124"/>
      <c r="C4801" s="145"/>
      <c r="D4801" s="125"/>
      <c r="E4801" s="125"/>
      <c r="F4801" s="125"/>
      <c r="G4801" s="125"/>
      <c r="H4801" s="125"/>
      <c r="I4801" s="746"/>
      <c r="J4801" s="747"/>
      <c r="K4801" s="748"/>
      <c r="L4801" s="746"/>
      <c r="M4801" s="747"/>
      <c r="N4801" s="753"/>
    </row>
    <row r="4802" spans="2:14" ht="15" customHeight="1" x14ac:dyDescent="0.25">
      <c r="B4802" s="165"/>
      <c r="C4802" s="145"/>
      <c r="D4802" s="125"/>
      <c r="E4802" s="125"/>
      <c r="F4802" s="125"/>
      <c r="G4802" s="125"/>
      <c r="H4802" s="125"/>
      <c r="I4802" s="746"/>
      <c r="J4802" s="747"/>
      <c r="K4802" s="748"/>
      <c r="L4802" s="746"/>
      <c r="M4802" s="747"/>
      <c r="N4802" s="753"/>
    </row>
    <row r="4803" spans="2:14" ht="15" customHeight="1" x14ac:dyDescent="0.25">
      <c r="B4803" s="165"/>
      <c r="C4803" s="145"/>
      <c r="D4803" s="125"/>
      <c r="E4803" s="125"/>
      <c r="F4803" s="125"/>
      <c r="G4803" s="125"/>
      <c r="H4803" s="125"/>
      <c r="I4803" s="746"/>
      <c r="J4803" s="747"/>
      <c r="K4803" s="748"/>
      <c r="L4803" s="746"/>
      <c r="M4803" s="747"/>
      <c r="N4803" s="753"/>
    </row>
    <row r="4804" spans="2:14" ht="15" customHeight="1" x14ac:dyDescent="0.25">
      <c r="B4804" s="165"/>
      <c r="C4804" s="145"/>
      <c r="D4804" s="125"/>
      <c r="E4804" s="125"/>
      <c r="F4804" s="125"/>
      <c r="G4804" s="125"/>
      <c r="H4804" s="125"/>
      <c r="I4804" s="746"/>
      <c r="J4804" s="747"/>
      <c r="K4804" s="748"/>
      <c r="L4804" s="746"/>
      <c r="M4804" s="747"/>
      <c r="N4804" s="753"/>
    </row>
    <row r="4805" spans="2:14" ht="15" customHeight="1" x14ac:dyDescent="0.25">
      <c r="B4805" s="165"/>
      <c r="C4805" s="145"/>
      <c r="D4805" s="125"/>
      <c r="E4805" s="125"/>
      <c r="F4805" s="125"/>
      <c r="G4805" s="125"/>
      <c r="H4805" s="125"/>
      <c r="I4805" s="746"/>
      <c r="J4805" s="747"/>
      <c r="K4805" s="748"/>
      <c r="L4805" s="746"/>
      <c r="M4805" s="747"/>
      <c r="N4805" s="753"/>
    </row>
    <row r="4806" spans="2:14" ht="15" customHeight="1" x14ac:dyDescent="0.25">
      <c r="B4806" s="165"/>
      <c r="C4806" s="145"/>
      <c r="D4806" s="125"/>
      <c r="E4806" s="125"/>
      <c r="F4806" s="125"/>
      <c r="G4806" s="125"/>
      <c r="H4806" s="125"/>
      <c r="I4806" s="746"/>
      <c r="J4806" s="747"/>
      <c r="K4806" s="748"/>
      <c r="L4806" s="746"/>
      <c r="M4806" s="747"/>
      <c r="N4806" s="753"/>
    </row>
    <row r="4807" spans="2:14" ht="15" customHeight="1" x14ac:dyDescent="0.25">
      <c r="B4807" s="124"/>
      <c r="C4807" s="145"/>
      <c r="D4807" s="125"/>
      <c r="E4807" s="125"/>
      <c r="F4807" s="125"/>
      <c r="G4807" s="125"/>
      <c r="H4807" s="125"/>
      <c r="I4807" s="746"/>
      <c r="J4807" s="747"/>
      <c r="K4807" s="748"/>
      <c r="L4807" s="746"/>
      <c r="M4807" s="747"/>
      <c r="N4807" s="753"/>
    </row>
    <row r="4808" spans="2:14" ht="15" customHeight="1" x14ac:dyDescent="0.25">
      <c r="B4808" s="124"/>
      <c r="C4808" s="125"/>
      <c r="D4808" s="125"/>
      <c r="E4808" s="125"/>
      <c r="F4808" s="125"/>
      <c r="G4808" s="125"/>
      <c r="H4808" s="125"/>
      <c r="I4808" s="746"/>
      <c r="J4808" s="747"/>
      <c r="K4808" s="748"/>
      <c r="L4808" s="746"/>
      <c r="M4808" s="747"/>
      <c r="N4808" s="753"/>
    </row>
    <row r="4809" spans="2:14" ht="15" customHeight="1" x14ac:dyDescent="0.25">
      <c r="B4809" s="127"/>
      <c r="C4809" s="125"/>
      <c r="D4809" s="125"/>
      <c r="E4809" s="125"/>
      <c r="F4809" s="125"/>
      <c r="G4809" s="125"/>
      <c r="H4809" s="125"/>
      <c r="I4809" s="749"/>
      <c r="J4809" s="750"/>
      <c r="K4809" s="751"/>
      <c r="L4809" s="749"/>
      <c r="M4809" s="750"/>
      <c r="N4809" s="754"/>
    </row>
    <row r="4810" spans="2:14" ht="15" customHeight="1" x14ac:dyDescent="0.25">
      <c r="B4810" s="225"/>
      <c r="C4810" s="128"/>
      <c r="D4810" s="128"/>
      <c r="E4810" s="128"/>
      <c r="F4810" s="128"/>
      <c r="G4810" s="128"/>
      <c r="H4810" s="128"/>
      <c r="I4810" s="128"/>
      <c r="J4810" s="128"/>
      <c r="K4810" s="128"/>
      <c r="L4810" s="118"/>
      <c r="M4810" s="118"/>
      <c r="N4810" s="210"/>
    </row>
    <row r="4811" spans="2:14" ht="15" customHeight="1" x14ac:dyDescent="0.25">
      <c r="B4811" s="209"/>
      <c r="C4811" s="118"/>
      <c r="D4811" s="118"/>
      <c r="E4811" s="118"/>
      <c r="F4811" s="118"/>
      <c r="G4811" s="118"/>
      <c r="H4811" s="118"/>
      <c r="I4811" s="118"/>
      <c r="J4811" s="118"/>
      <c r="K4811" s="118"/>
      <c r="L4811" s="118"/>
      <c r="M4811" s="118"/>
      <c r="N4811" s="210"/>
    </row>
    <row r="4812" spans="2:14" ht="15" customHeight="1" x14ac:dyDescent="0.25">
      <c r="B4812" s="209"/>
      <c r="C4812" s="118"/>
      <c r="D4812" s="118"/>
      <c r="E4812" s="118"/>
      <c r="F4812" s="118"/>
      <c r="G4812" s="118"/>
      <c r="H4812" s="118"/>
      <c r="I4812" s="118"/>
      <c r="J4812" s="118"/>
      <c r="K4812" s="118"/>
      <c r="L4812" s="118"/>
      <c r="M4812" s="118"/>
      <c r="N4812" s="210"/>
    </row>
    <row r="4813" spans="2:14" ht="15" customHeight="1" thickBot="1" x14ac:dyDescent="0.3">
      <c r="B4813" s="725" t="s">
        <v>414</v>
      </c>
      <c r="C4813" s="726"/>
      <c r="D4813" s="726"/>
      <c r="E4813" s="147"/>
      <c r="F4813" s="147"/>
      <c r="G4813" s="147"/>
      <c r="H4813" s="147"/>
      <c r="I4813" s="727"/>
      <c r="J4813" s="726"/>
      <c r="K4813" s="726"/>
      <c r="L4813" s="130"/>
      <c r="M4813" s="130"/>
      <c r="N4813" s="131"/>
    </row>
    <row r="4814" spans="2:14" ht="15" customHeight="1" thickBot="1" x14ac:dyDescent="0.3"/>
    <row r="4815" spans="2:14" ht="39" customHeight="1" x14ac:dyDescent="0.25">
      <c r="B4815" s="728"/>
      <c r="C4815" s="729"/>
      <c r="D4815" s="730" t="s">
        <v>393</v>
      </c>
      <c r="E4815" s="729"/>
      <c r="F4815" s="729"/>
      <c r="G4815" s="729"/>
      <c r="H4815" s="729"/>
      <c r="I4815" s="729"/>
      <c r="J4815" s="729"/>
      <c r="K4815" s="729"/>
      <c r="L4815" s="729"/>
      <c r="M4815" s="729"/>
      <c r="N4815" s="731"/>
    </row>
    <row r="4816" spans="2:14" ht="15" customHeight="1" x14ac:dyDescent="0.25">
      <c r="B4816" s="732" t="s">
        <v>394</v>
      </c>
      <c r="C4816" s="733"/>
      <c r="D4816" s="733"/>
      <c r="E4816" s="733"/>
      <c r="F4816" s="733"/>
      <c r="G4816" s="733"/>
      <c r="H4816" s="733"/>
      <c r="I4816" s="733"/>
      <c r="J4816" s="733"/>
      <c r="K4816" s="733"/>
      <c r="L4816" s="733"/>
      <c r="M4816" s="733"/>
      <c r="N4816" s="734"/>
    </row>
    <row r="4817" spans="2:14" ht="49.15" customHeight="1" x14ac:dyDescent="0.25">
      <c r="B4817" s="735" t="s">
        <v>395</v>
      </c>
      <c r="C4817" s="736"/>
      <c r="D4817" s="737" t="str">
        <f>VLOOKUP(B4819,Buenaventura!A9:G6035,3,FALSE)</f>
        <v>Desmonte, desinstalación y retiro de interruptores</v>
      </c>
      <c r="E4817" s="738"/>
      <c r="F4817" s="738"/>
      <c r="G4817" s="738"/>
      <c r="H4817" s="738"/>
      <c r="I4817" s="738"/>
      <c r="J4817" s="738"/>
      <c r="K4817" s="738"/>
      <c r="L4817" s="738"/>
      <c r="M4817" s="738"/>
      <c r="N4817" s="739"/>
    </row>
    <row r="4818" spans="2:14" ht="25.9" customHeight="1" x14ac:dyDescent="0.25">
      <c r="B4818" s="740" t="s">
        <v>26</v>
      </c>
      <c r="C4818" s="741"/>
      <c r="D4818" s="119" t="s">
        <v>396</v>
      </c>
      <c r="E4818" s="742" t="s">
        <v>397</v>
      </c>
      <c r="F4818" s="733"/>
      <c r="G4818" s="733"/>
      <c r="H4818" s="736"/>
      <c r="I4818" s="742" t="s">
        <v>398</v>
      </c>
      <c r="J4818" s="733"/>
      <c r="K4818" s="736"/>
      <c r="L4818" s="742" t="s">
        <v>399</v>
      </c>
      <c r="M4818" s="733"/>
      <c r="N4818" s="734"/>
    </row>
    <row r="4819" spans="2:14" ht="15" customHeight="1" x14ac:dyDescent="0.25">
      <c r="B4819" s="283">
        <v>132</v>
      </c>
      <c r="C4819" s="284" t="str">
        <f>VLOOKUP(B4819,Buenaventura!A9:G6048,2,FALSE)</f>
        <v>PR-45</v>
      </c>
      <c r="D4819" s="285">
        <f>SUM(H4822:H4825)</f>
        <v>3</v>
      </c>
      <c r="E4819" s="743" t="str">
        <f>VLOOKUP(B4819,Buenaventura!A9:G6047,4,FALSE)</f>
        <v>UND</v>
      </c>
      <c r="F4819" s="743"/>
      <c r="G4819" s="743"/>
      <c r="H4819" s="743"/>
      <c r="I4819" s="744"/>
      <c r="J4819" s="745"/>
      <c r="K4819" s="741"/>
      <c r="L4819" s="744"/>
      <c r="M4819" s="745"/>
      <c r="N4819" s="752"/>
    </row>
    <row r="4820" spans="2:14" ht="15" customHeight="1" x14ac:dyDescent="0.25">
      <c r="B4820" s="755" t="s">
        <v>416</v>
      </c>
      <c r="C4820" s="733"/>
      <c r="D4820" s="733"/>
      <c r="E4820" s="733"/>
      <c r="F4820" s="733"/>
      <c r="G4820" s="733"/>
      <c r="H4820" s="736"/>
      <c r="I4820" s="746"/>
      <c r="J4820" s="747"/>
      <c r="K4820" s="748"/>
      <c r="L4820" s="746"/>
      <c r="M4820" s="747"/>
      <c r="N4820" s="753"/>
    </row>
    <row r="4821" spans="2:14" ht="15" customHeight="1" x14ac:dyDescent="0.25">
      <c r="B4821" s="121" t="s">
        <v>400</v>
      </c>
      <c r="C4821" s="122" t="s">
        <v>401</v>
      </c>
      <c r="D4821" s="123" t="s">
        <v>402</v>
      </c>
      <c r="E4821" s="123" t="s">
        <v>403</v>
      </c>
      <c r="F4821" s="123" t="s">
        <v>404</v>
      </c>
      <c r="G4821" s="123" t="s">
        <v>405</v>
      </c>
      <c r="H4821" s="123" t="s">
        <v>406</v>
      </c>
      <c r="I4821" s="746"/>
      <c r="J4821" s="747"/>
      <c r="K4821" s="748"/>
      <c r="L4821" s="746"/>
      <c r="M4821" s="747"/>
      <c r="N4821" s="753"/>
    </row>
    <row r="4822" spans="2:14" ht="15" customHeight="1" x14ac:dyDescent="0.25">
      <c r="B4822" s="124"/>
      <c r="C4822" s="145" t="s">
        <v>615</v>
      </c>
      <c r="D4822" s="125">
        <v>2</v>
      </c>
      <c r="E4822" s="125"/>
      <c r="F4822" s="125"/>
      <c r="G4822" s="125"/>
      <c r="H4822" s="125">
        <f>D4822</f>
        <v>2</v>
      </c>
      <c r="I4822" s="746"/>
      <c r="J4822" s="747"/>
      <c r="K4822" s="748"/>
      <c r="L4822" s="746"/>
      <c r="M4822" s="747"/>
      <c r="N4822" s="753"/>
    </row>
    <row r="4823" spans="2:14" ht="15" customHeight="1" x14ac:dyDescent="0.25">
      <c r="B4823" s="124"/>
      <c r="C4823" s="145" t="s">
        <v>529</v>
      </c>
      <c r="D4823" s="125">
        <v>1</v>
      </c>
      <c r="E4823" s="125"/>
      <c r="F4823" s="125"/>
      <c r="G4823" s="125"/>
      <c r="H4823" s="125">
        <f>D4823</f>
        <v>1</v>
      </c>
      <c r="I4823" s="746"/>
      <c r="J4823" s="747"/>
      <c r="K4823" s="748"/>
      <c r="L4823" s="746"/>
      <c r="M4823" s="747"/>
      <c r="N4823" s="753"/>
    </row>
    <row r="4824" spans="2:14" ht="15" customHeight="1" x14ac:dyDescent="0.25">
      <c r="B4824" s="165"/>
      <c r="C4824" s="145"/>
      <c r="D4824" s="125"/>
      <c r="E4824" s="125"/>
      <c r="F4824" s="125"/>
      <c r="G4824" s="125"/>
      <c r="H4824" s="125"/>
      <c r="I4824" s="746"/>
      <c r="J4824" s="747"/>
      <c r="K4824" s="748"/>
      <c r="L4824" s="746"/>
      <c r="M4824" s="747"/>
      <c r="N4824" s="753"/>
    </row>
    <row r="4825" spans="2:14" ht="15" customHeight="1" x14ac:dyDescent="0.25">
      <c r="B4825" s="165"/>
      <c r="C4825" s="145"/>
      <c r="D4825" s="125"/>
      <c r="E4825" s="125"/>
      <c r="F4825" s="125"/>
      <c r="G4825" s="125"/>
      <c r="H4825" s="125"/>
      <c r="I4825" s="746"/>
      <c r="J4825" s="747"/>
      <c r="K4825" s="748"/>
      <c r="L4825" s="746"/>
      <c r="M4825" s="747"/>
      <c r="N4825" s="753"/>
    </row>
    <row r="4826" spans="2:14" ht="15" customHeight="1" x14ac:dyDescent="0.25">
      <c r="B4826" s="165"/>
      <c r="C4826" s="145"/>
      <c r="D4826" s="125"/>
      <c r="E4826" s="125"/>
      <c r="F4826" s="125"/>
      <c r="G4826" s="125"/>
      <c r="H4826" s="125"/>
      <c r="I4826" s="746"/>
      <c r="J4826" s="747"/>
      <c r="K4826" s="748"/>
      <c r="L4826" s="746"/>
      <c r="M4826" s="747"/>
      <c r="N4826" s="753"/>
    </row>
    <row r="4827" spans="2:14" ht="15" customHeight="1" x14ac:dyDescent="0.25">
      <c r="B4827" s="165"/>
      <c r="C4827" s="145"/>
      <c r="D4827" s="125"/>
      <c r="E4827" s="125"/>
      <c r="F4827" s="125"/>
      <c r="G4827" s="125"/>
      <c r="H4827" s="125"/>
      <c r="I4827" s="746"/>
      <c r="J4827" s="747"/>
      <c r="K4827" s="748"/>
      <c r="L4827" s="746"/>
      <c r="M4827" s="747"/>
      <c r="N4827" s="753"/>
    </row>
    <row r="4828" spans="2:14" ht="15" customHeight="1" x14ac:dyDescent="0.25">
      <c r="B4828" s="165"/>
      <c r="C4828" s="145"/>
      <c r="D4828" s="125"/>
      <c r="E4828" s="125"/>
      <c r="F4828" s="125"/>
      <c r="G4828" s="125"/>
      <c r="H4828" s="125"/>
      <c r="I4828" s="746"/>
      <c r="J4828" s="747"/>
      <c r="K4828" s="748"/>
      <c r="L4828" s="746"/>
      <c r="M4828" s="747"/>
      <c r="N4828" s="753"/>
    </row>
    <row r="4829" spans="2:14" ht="15" customHeight="1" x14ac:dyDescent="0.25">
      <c r="B4829" s="124"/>
      <c r="C4829" s="145"/>
      <c r="D4829" s="125"/>
      <c r="E4829" s="125"/>
      <c r="F4829" s="125"/>
      <c r="G4829" s="125"/>
      <c r="H4829" s="125"/>
      <c r="I4829" s="746"/>
      <c r="J4829" s="747"/>
      <c r="K4829" s="748"/>
      <c r="L4829" s="746"/>
      <c r="M4829" s="747"/>
      <c r="N4829" s="753"/>
    </row>
    <row r="4830" spans="2:14" ht="15" customHeight="1" x14ac:dyDescent="0.25">
      <c r="B4830" s="124"/>
      <c r="C4830" s="125"/>
      <c r="D4830" s="125"/>
      <c r="E4830" s="125"/>
      <c r="F4830" s="125"/>
      <c r="G4830" s="125"/>
      <c r="H4830" s="125"/>
      <c r="I4830" s="746"/>
      <c r="J4830" s="747"/>
      <c r="K4830" s="748"/>
      <c r="L4830" s="746"/>
      <c r="M4830" s="747"/>
      <c r="N4830" s="753"/>
    </row>
    <row r="4831" spans="2:14" ht="15" customHeight="1" x14ac:dyDescent="0.25">
      <c r="B4831" s="127"/>
      <c r="C4831" s="125"/>
      <c r="D4831" s="125"/>
      <c r="E4831" s="125"/>
      <c r="F4831" s="125"/>
      <c r="G4831" s="125"/>
      <c r="H4831" s="125"/>
      <c r="I4831" s="749"/>
      <c r="J4831" s="750"/>
      <c r="K4831" s="751"/>
      <c r="L4831" s="749"/>
      <c r="M4831" s="750"/>
      <c r="N4831" s="754"/>
    </row>
    <row r="4832" spans="2:14" ht="15" customHeight="1" x14ac:dyDescent="0.25">
      <c r="B4832" s="225"/>
      <c r="C4832" s="128"/>
      <c r="D4832" s="128"/>
      <c r="E4832" s="128"/>
      <c r="F4832" s="128"/>
      <c r="G4832" s="128"/>
      <c r="H4832" s="128"/>
      <c r="I4832" s="128"/>
      <c r="J4832" s="128"/>
      <c r="K4832" s="128"/>
      <c r="L4832" s="118"/>
      <c r="M4832" s="118"/>
      <c r="N4832" s="210"/>
    </row>
    <row r="4833" spans="2:14" ht="15" customHeight="1" x14ac:dyDescent="0.25">
      <c r="B4833" s="209"/>
      <c r="C4833" s="118"/>
      <c r="D4833" s="118"/>
      <c r="E4833" s="118"/>
      <c r="F4833" s="118"/>
      <c r="G4833" s="118"/>
      <c r="H4833" s="118"/>
      <c r="I4833" s="118"/>
      <c r="J4833" s="118"/>
      <c r="K4833" s="118"/>
      <c r="L4833" s="118"/>
      <c r="M4833" s="118"/>
      <c r="N4833" s="210"/>
    </row>
    <row r="4834" spans="2:14" ht="15" customHeight="1" x14ac:dyDescent="0.25">
      <c r="B4834" s="209"/>
      <c r="C4834" s="118"/>
      <c r="D4834" s="118"/>
      <c r="E4834" s="118"/>
      <c r="F4834" s="118"/>
      <c r="G4834" s="118"/>
      <c r="H4834" s="118"/>
      <c r="I4834" s="118"/>
      <c r="J4834" s="118"/>
      <c r="K4834" s="118"/>
      <c r="L4834" s="118"/>
      <c r="M4834" s="118"/>
      <c r="N4834" s="210"/>
    </row>
    <row r="4835" spans="2:14" ht="15" customHeight="1" thickBot="1" x14ac:dyDescent="0.3">
      <c r="B4835" s="725" t="s">
        <v>414</v>
      </c>
      <c r="C4835" s="726"/>
      <c r="D4835" s="726"/>
      <c r="E4835" s="147"/>
      <c r="F4835" s="147"/>
      <c r="G4835" s="147"/>
      <c r="H4835" s="147"/>
      <c r="I4835" s="727"/>
      <c r="J4835" s="726"/>
      <c r="K4835" s="726"/>
      <c r="L4835" s="130"/>
      <c r="M4835" s="130"/>
      <c r="N4835" s="131"/>
    </row>
    <row r="4836" spans="2:14" ht="15" customHeight="1" thickBot="1" x14ac:dyDescent="0.3"/>
    <row r="4837" spans="2:14" ht="44.45" customHeight="1" x14ac:dyDescent="0.25">
      <c r="B4837" s="728"/>
      <c r="C4837" s="729"/>
      <c r="D4837" s="730" t="s">
        <v>393</v>
      </c>
      <c r="E4837" s="729"/>
      <c r="F4837" s="729"/>
      <c r="G4837" s="729"/>
      <c r="H4837" s="729"/>
      <c r="I4837" s="729"/>
      <c r="J4837" s="729"/>
      <c r="K4837" s="729"/>
      <c r="L4837" s="729"/>
      <c r="M4837" s="729"/>
      <c r="N4837" s="731"/>
    </row>
    <row r="4838" spans="2:14" ht="15" customHeight="1" x14ac:dyDescent="0.25">
      <c r="B4838" s="732" t="s">
        <v>394</v>
      </c>
      <c r="C4838" s="733"/>
      <c r="D4838" s="733"/>
      <c r="E4838" s="733"/>
      <c r="F4838" s="733"/>
      <c r="G4838" s="733"/>
      <c r="H4838" s="733"/>
      <c r="I4838" s="733"/>
      <c r="J4838" s="733"/>
      <c r="K4838" s="733"/>
      <c r="L4838" s="733"/>
      <c r="M4838" s="733"/>
      <c r="N4838" s="734"/>
    </row>
    <row r="4839" spans="2:14" ht="26.45" customHeight="1" x14ac:dyDescent="0.25">
      <c r="B4839" s="735" t="s">
        <v>395</v>
      </c>
      <c r="C4839" s="736"/>
      <c r="D4839" s="737" t="str">
        <f>VLOOKUP(B4841,Buenaventura!A9:G6057,3,FALSE)</f>
        <v>Suministro e instalación de dispensador para papel higienico elaborado en acero inoxidable para rollo de 200 mts hasta 400 mts. Con visor para ver el estado del rollo, con cerradura y llave. Incluye los elementos necesarios para su correcta instalación</v>
      </c>
      <c r="E4839" s="738"/>
      <c r="F4839" s="738"/>
      <c r="G4839" s="738"/>
      <c r="H4839" s="738"/>
      <c r="I4839" s="738"/>
      <c r="J4839" s="738"/>
      <c r="K4839" s="738"/>
      <c r="L4839" s="738"/>
      <c r="M4839" s="738"/>
      <c r="N4839" s="739"/>
    </row>
    <row r="4840" spans="2:14" ht="22.9" customHeight="1" x14ac:dyDescent="0.25">
      <c r="B4840" s="740" t="s">
        <v>26</v>
      </c>
      <c r="C4840" s="741"/>
      <c r="D4840" s="119" t="s">
        <v>396</v>
      </c>
      <c r="E4840" s="742" t="s">
        <v>397</v>
      </c>
      <c r="F4840" s="733"/>
      <c r="G4840" s="733"/>
      <c r="H4840" s="736"/>
      <c r="I4840" s="742" t="s">
        <v>398</v>
      </c>
      <c r="J4840" s="733"/>
      <c r="K4840" s="736"/>
      <c r="L4840" s="742" t="s">
        <v>399</v>
      </c>
      <c r="M4840" s="733"/>
      <c r="N4840" s="734"/>
    </row>
    <row r="4841" spans="2:14" ht="15" customHeight="1" x14ac:dyDescent="0.25">
      <c r="B4841" s="283">
        <v>133</v>
      </c>
      <c r="C4841" s="284" t="str">
        <f>VLOOKUP(B4841,Buenaventura!A9:G6070,2,FALSE)</f>
        <v>VA-19</v>
      </c>
      <c r="D4841" s="285">
        <f>SUM(H4844:H4847)</f>
        <v>1</v>
      </c>
      <c r="E4841" s="743" t="str">
        <f>VLOOKUP(B4841,Buenaventura!A9:G6069,4,FALSE)</f>
        <v>UND</v>
      </c>
      <c r="F4841" s="743"/>
      <c r="G4841" s="743"/>
      <c r="H4841" s="743"/>
      <c r="I4841" s="744"/>
      <c r="J4841" s="745"/>
      <c r="K4841" s="741"/>
      <c r="L4841" s="744"/>
      <c r="M4841" s="745"/>
      <c r="N4841" s="752"/>
    </row>
    <row r="4842" spans="2:14" ht="15" customHeight="1" x14ac:dyDescent="0.25">
      <c r="B4842" s="755" t="s">
        <v>416</v>
      </c>
      <c r="C4842" s="733"/>
      <c r="D4842" s="733"/>
      <c r="E4842" s="733"/>
      <c r="F4842" s="733"/>
      <c r="G4842" s="733"/>
      <c r="H4842" s="736"/>
      <c r="I4842" s="746"/>
      <c r="J4842" s="747"/>
      <c r="K4842" s="748"/>
      <c r="L4842" s="746"/>
      <c r="M4842" s="747"/>
      <c r="N4842" s="753"/>
    </row>
    <row r="4843" spans="2:14" ht="15" customHeight="1" x14ac:dyDescent="0.25">
      <c r="B4843" s="121" t="s">
        <v>400</v>
      </c>
      <c r="C4843" s="122" t="s">
        <v>401</v>
      </c>
      <c r="D4843" s="123" t="s">
        <v>402</v>
      </c>
      <c r="E4843" s="123" t="s">
        <v>403</v>
      </c>
      <c r="F4843" s="123" t="s">
        <v>404</v>
      </c>
      <c r="G4843" s="123" t="s">
        <v>405</v>
      </c>
      <c r="H4843" s="123" t="s">
        <v>406</v>
      </c>
      <c r="I4843" s="746"/>
      <c r="J4843" s="747"/>
      <c r="K4843" s="748"/>
      <c r="L4843" s="746"/>
      <c r="M4843" s="747"/>
      <c r="N4843" s="753"/>
    </row>
    <row r="4844" spans="2:14" ht="15" customHeight="1" x14ac:dyDescent="0.25">
      <c r="B4844" s="124"/>
      <c r="C4844" s="145"/>
      <c r="D4844" s="125">
        <v>1</v>
      </c>
      <c r="E4844" s="125"/>
      <c r="F4844" s="125"/>
      <c r="G4844" s="125"/>
      <c r="H4844" s="125">
        <f>D4844</f>
        <v>1</v>
      </c>
      <c r="I4844" s="746"/>
      <c r="J4844" s="747"/>
      <c r="K4844" s="748"/>
      <c r="L4844" s="746"/>
      <c r="M4844" s="747"/>
      <c r="N4844" s="753"/>
    </row>
    <row r="4845" spans="2:14" ht="15" customHeight="1" x14ac:dyDescent="0.25">
      <c r="B4845" s="124"/>
      <c r="C4845" s="145"/>
      <c r="D4845" s="125"/>
      <c r="E4845" s="125"/>
      <c r="F4845" s="125"/>
      <c r="G4845" s="125"/>
      <c r="H4845" s="125"/>
      <c r="I4845" s="746"/>
      <c r="J4845" s="747"/>
      <c r="K4845" s="748"/>
      <c r="L4845" s="746"/>
      <c r="M4845" s="747"/>
      <c r="N4845" s="753"/>
    </row>
    <row r="4846" spans="2:14" ht="15" customHeight="1" x14ac:dyDescent="0.25">
      <c r="B4846" s="165"/>
      <c r="C4846" s="145"/>
      <c r="D4846" s="125"/>
      <c r="E4846" s="125"/>
      <c r="F4846" s="125"/>
      <c r="G4846" s="125"/>
      <c r="H4846" s="125"/>
      <c r="I4846" s="746"/>
      <c r="J4846" s="747"/>
      <c r="K4846" s="748"/>
      <c r="L4846" s="746"/>
      <c r="M4846" s="747"/>
      <c r="N4846" s="753"/>
    </row>
    <row r="4847" spans="2:14" ht="15" customHeight="1" x14ac:dyDescent="0.25">
      <c r="B4847" s="165"/>
      <c r="C4847" s="145"/>
      <c r="D4847" s="125"/>
      <c r="E4847" s="125"/>
      <c r="F4847" s="125"/>
      <c r="G4847" s="125"/>
      <c r="H4847" s="125"/>
      <c r="I4847" s="746"/>
      <c r="J4847" s="747"/>
      <c r="K4847" s="748"/>
      <c r="L4847" s="746"/>
      <c r="M4847" s="747"/>
      <c r="N4847" s="753"/>
    </row>
    <row r="4848" spans="2:14" ht="15" customHeight="1" x14ac:dyDescent="0.25">
      <c r="B4848" s="165"/>
      <c r="C4848" s="145"/>
      <c r="D4848" s="125"/>
      <c r="E4848" s="125"/>
      <c r="F4848" s="125"/>
      <c r="G4848" s="125"/>
      <c r="H4848" s="125"/>
      <c r="I4848" s="746"/>
      <c r="J4848" s="747"/>
      <c r="K4848" s="748"/>
      <c r="L4848" s="746"/>
      <c r="M4848" s="747"/>
      <c r="N4848" s="753"/>
    </row>
    <row r="4849" spans="2:14" ht="15" customHeight="1" x14ac:dyDescent="0.25">
      <c r="B4849" s="165"/>
      <c r="C4849" s="145"/>
      <c r="D4849" s="125"/>
      <c r="E4849" s="125"/>
      <c r="F4849" s="125"/>
      <c r="G4849" s="125"/>
      <c r="H4849" s="125"/>
      <c r="I4849" s="746"/>
      <c r="J4849" s="747"/>
      <c r="K4849" s="748"/>
      <c r="L4849" s="746"/>
      <c r="M4849" s="747"/>
      <c r="N4849" s="753"/>
    </row>
    <row r="4850" spans="2:14" ht="15" customHeight="1" x14ac:dyDescent="0.25">
      <c r="B4850" s="165"/>
      <c r="C4850" s="145"/>
      <c r="D4850" s="125"/>
      <c r="E4850" s="125"/>
      <c r="F4850" s="125"/>
      <c r="G4850" s="125"/>
      <c r="H4850" s="125"/>
      <c r="I4850" s="746"/>
      <c r="J4850" s="747"/>
      <c r="K4850" s="748"/>
      <c r="L4850" s="746"/>
      <c r="M4850" s="747"/>
      <c r="N4850" s="753"/>
    </row>
    <row r="4851" spans="2:14" ht="15" customHeight="1" x14ac:dyDescent="0.25">
      <c r="B4851" s="124"/>
      <c r="C4851" s="145"/>
      <c r="D4851" s="125"/>
      <c r="E4851" s="125"/>
      <c r="F4851" s="125"/>
      <c r="G4851" s="125"/>
      <c r="H4851" s="125"/>
      <c r="I4851" s="746"/>
      <c r="J4851" s="747"/>
      <c r="K4851" s="748"/>
      <c r="L4851" s="746"/>
      <c r="M4851" s="747"/>
      <c r="N4851" s="753"/>
    </row>
    <row r="4852" spans="2:14" ht="15" customHeight="1" x14ac:dyDescent="0.25">
      <c r="B4852" s="124"/>
      <c r="C4852" s="125"/>
      <c r="D4852" s="125"/>
      <c r="E4852" s="125"/>
      <c r="F4852" s="125"/>
      <c r="G4852" s="125"/>
      <c r="H4852" s="125"/>
      <c r="I4852" s="746"/>
      <c r="J4852" s="747"/>
      <c r="K4852" s="748"/>
      <c r="L4852" s="746"/>
      <c r="M4852" s="747"/>
      <c r="N4852" s="753"/>
    </row>
    <row r="4853" spans="2:14" ht="15" customHeight="1" x14ac:dyDescent="0.25">
      <c r="B4853" s="127"/>
      <c r="C4853" s="125"/>
      <c r="D4853" s="125"/>
      <c r="E4853" s="125"/>
      <c r="F4853" s="125"/>
      <c r="G4853" s="125"/>
      <c r="H4853" s="125"/>
      <c r="I4853" s="749"/>
      <c r="J4853" s="750"/>
      <c r="K4853" s="751"/>
      <c r="L4853" s="749"/>
      <c r="M4853" s="750"/>
      <c r="N4853" s="754"/>
    </row>
    <row r="4854" spans="2:14" ht="15" customHeight="1" x14ac:dyDescent="0.25">
      <c r="B4854" s="225"/>
      <c r="C4854" s="128"/>
      <c r="D4854" s="128"/>
      <c r="E4854" s="128"/>
      <c r="F4854" s="128"/>
      <c r="G4854" s="128"/>
      <c r="H4854" s="128"/>
      <c r="I4854" s="128"/>
      <c r="J4854" s="128"/>
      <c r="K4854" s="128"/>
      <c r="L4854" s="118"/>
      <c r="M4854" s="118"/>
      <c r="N4854" s="210"/>
    </row>
    <row r="4855" spans="2:14" ht="15" customHeight="1" x14ac:dyDescent="0.25">
      <c r="B4855" s="209"/>
      <c r="C4855" s="118"/>
      <c r="D4855" s="118"/>
      <c r="E4855" s="118"/>
      <c r="F4855" s="118"/>
      <c r="G4855" s="118"/>
      <c r="H4855" s="118"/>
      <c r="I4855" s="118"/>
      <c r="J4855" s="118"/>
      <c r="K4855" s="118"/>
      <c r="L4855" s="118"/>
      <c r="M4855" s="118"/>
      <c r="N4855" s="210"/>
    </row>
    <row r="4856" spans="2:14" ht="15" customHeight="1" x14ac:dyDescent="0.25">
      <c r="B4856" s="209"/>
      <c r="C4856" s="118"/>
      <c r="D4856" s="118"/>
      <c r="E4856" s="118"/>
      <c r="F4856" s="118"/>
      <c r="G4856" s="118"/>
      <c r="H4856" s="118"/>
      <c r="I4856" s="118"/>
      <c r="J4856" s="118"/>
      <c r="K4856" s="118"/>
      <c r="L4856" s="118"/>
      <c r="M4856" s="118"/>
      <c r="N4856" s="210"/>
    </row>
    <row r="4857" spans="2:14" ht="15" customHeight="1" thickBot="1" x14ac:dyDescent="0.3">
      <c r="B4857" s="725" t="s">
        <v>414</v>
      </c>
      <c r="C4857" s="726"/>
      <c r="D4857" s="726"/>
      <c r="E4857" s="147"/>
      <c r="F4857" s="147"/>
      <c r="G4857" s="147"/>
      <c r="H4857" s="147"/>
      <c r="I4857" s="727"/>
      <c r="J4857" s="726"/>
      <c r="K4857" s="726"/>
      <c r="L4857" s="130"/>
      <c r="M4857" s="130"/>
      <c r="N4857" s="131"/>
    </row>
    <row r="4858" spans="2:14" ht="15" customHeight="1" thickBot="1" x14ac:dyDescent="0.3">
      <c r="B4858" s="364"/>
      <c r="C4858" s="365"/>
      <c r="D4858" s="365"/>
      <c r="E4858" s="364"/>
      <c r="F4858" s="364"/>
      <c r="G4858" s="364"/>
      <c r="H4858" s="364"/>
      <c r="I4858" s="364"/>
      <c r="J4858" s="365"/>
      <c r="K4858" s="365"/>
      <c r="L4858" s="232"/>
      <c r="M4858" s="232"/>
      <c r="N4858" s="232"/>
    </row>
    <row r="4859" spans="2:14" ht="40.5" customHeight="1" x14ac:dyDescent="0.25">
      <c r="B4859" s="728"/>
      <c r="C4859" s="729"/>
      <c r="D4859" s="730" t="s">
        <v>393</v>
      </c>
      <c r="E4859" s="729"/>
      <c r="F4859" s="729"/>
      <c r="G4859" s="729"/>
      <c r="H4859" s="729"/>
      <c r="I4859" s="729"/>
      <c r="J4859" s="729"/>
      <c r="K4859" s="729"/>
      <c r="L4859" s="729"/>
      <c r="M4859" s="729"/>
      <c r="N4859" s="731"/>
    </row>
    <row r="4860" spans="2:14" ht="15" customHeight="1" x14ac:dyDescent="0.25">
      <c r="B4860" s="732" t="s">
        <v>394</v>
      </c>
      <c r="C4860" s="733"/>
      <c r="D4860" s="733"/>
      <c r="E4860" s="733"/>
      <c r="F4860" s="733"/>
      <c r="G4860" s="733"/>
      <c r="H4860" s="733"/>
      <c r="I4860" s="733"/>
      <c r="J4860" s="733"/>
      <c r="K4860" s="733"/>
      <c r="L4860" s="733"/>
      <c r="M4860" s="733"/>
      <c r="N4860" s="734"/>
    </row>
    <row r="4861" spans="2:14" ht="15" customHeight="1" x14ac:dyDescent="0.25">
      <c r="B4861" s="735" t="s">
        <v>395</v>
      </c>
      <c r="C4861" s="736"/>
      <c r="D4861" s="737" t="str">
        <f>VLOOKUP(B4863,Buenaventura!A31:G6079,3,FALSE)</f>
        <v>Suministro e instalación de dispensador para toallas de manos elaborado en acero inoxidable, para toallas interdobladas con capacidad minima de 300 toallas, con mecanismo para halar con la mano, con cerradura y llave. Incluye los elementos necesarios para su correcta instalación</v>
      </c>
      <c r="E4861" s="738"/>
      <c r="F4861" s="738"/>
      <c r="G4861" s="738"/>
      <c r="H4861" s="738"/>
      <c r="I4861" s="738"/>
      <c r="J4861" s="738"/>
      <c r="K4861" s="738"/>
      <c r="L4861" s="738"/>
      <c r="M4861" s="738"/>
      <c r="N4861" s="739"/>
    </row>
    <row r="4862" spans="2:14" ht="15" customHeight="1" x14ac:dyDescent="0.25">
      <c r="B4862" s="740" t="s">
        <v>26</v>
      </c>
      <c r="C4862" s="741"/>
      <c r="D4862" s="119" t="s">
        <v>396</v>
      </c>
      <c r="E4862" s="742" t="s">
        <v>397</v>
      </c>
      <c r="F4862" s="733"/>
      <c r="G4862" s="733"/>
      <c r="H4862" s="736"/>
      <c r="I4862" s="742" t="s">
        <v>398</v>
      </c>
      <c r="J4862" s="733"/>
      <c r="K4862" s="736"/>
      <c r="L4862" s="742" t="s">
        <v>399</v>
      </c>
      <c r="M4862" s="733"/>
      <c r="N4862" s="734"/>
    </row>
    <row r="4863" spans="2:14" ht="15" customHeight="1" x14ac:dyDescent="0.25">
      <c r="B4863" s="283">
        <v>134</v>
      </c>
      <c r="C4863" s="284" t="str">
        <f>VLOOKUP(B4863,Buenaventura!A31:G6092,2,FALSE)</f>
        <v>VA-20</v>
      </c>
      <c r="D4863" s="285">
        <f>SUM(H4866:H4869)</f>
        <v>1</v>
      </c>
      <c r="E4863" s="743" t="str">
        <f>VLOOKUP(B4863,Buenaventura!A31:G6091,4,FALSE)</f>
        <v>UND</v>
      </c>
      <c r="F4863" s="743"/>
      <c r="G4863" s="743"/>
      <c r="H4863" s="743"/>
      <c r="I4863" s="744"/>
      <c r="J4863" s="745"/>
      <c r="K4863" s="741"/>
      <c r="L4863" s="744"/>
      <c r="M4863" s="745"/>
      <c r="N4863" s="752"/>
    </row>
    <row r="4864" spans="2:14" ht="15" customHeight="1" x14ac:dyDescent="0.25">
      <c r="B4864" s="755" t="s">
        <v>416</v>
      </c>
      <c r="C4864" s="733"/>
      <c r="D4864" s="733"/>
      <c r="E4864" s="733"/>
      <c r="F4864" s="733"/>
      <c r="G4864" s="733"/>
      <c r="H4864" s="736"/>
      <c r="I4864" s="746"/>
      <c r="J4864" s="747"/>
      <c r="K4864" s="748"/>
      <c r="L4864" s="746"/>
      <c r="M4864" s="747"/>
      <c r="N4864" s="753"/>
    </row>
    <row r="4865" spans="2:14" ht="15" customHeight="1" x14ac:dyDescent="0.25">
      <c r="B4865" s="121" t="s">
        <v>400</v>
      </c>
      <c r="C4865" s="122" t="s">
        <v>401</v>
      </c>
      <c r="D4865" s="123" t="s">
        <v>402</v>
      </c>
      <c r="E4865" s="123" t="s">
        <v>403</v>
      </c>
      <c r="F4865" s="123" t="s">
        <v>404</v>
      </c>
      <c r="G4865" s="123" t="s">
        <v>405</v>
      </c>
      <c r="H4865" s="123" t="s">
        <v>406</v>
      </c>
      <c r="I4865" s="746"/>
      <c r="J4865" s="747"/>
      <c r="K4865" s="748"/>
      <c r="L4865" s="746"/>
      <c r="M4865" s="747"/>
      <c r="N4865" s="753"/>
    </row>
    <row r="4866" spans="2:14" ht="15" customHeight="1" x14ac:dyDescent="0.25">
      <c r="B4866" s="124"/>
      <c r="C4866" s="145"/>
      <c r="D4866" s="125">
        <v>1</v>
      </c>
      <c r="E4866" s="125"/>
      <c r="F4866" s="125"/>
      <c r="G4866" s="125"/>
      <c r="H4866" s="125">
        <f>D4866</f>
        <v>1</v>
      </c>
      <c r="I4866" s="746"/>
      <c r="J4866" s="747"/>
      <c r="K4866" s="748"/>
      <c r="L4866" s="746"/>
      <c r="M4866" s="747"/>
      <c r="N4866" s="753"/>
    </row>
    <row r="4867" spans="2:14" ht="15" customHeight="1" x14ac:dyDescent="0.25">
      <c r="B4867" s="124"/>
      <c r="C4867" s="145"/>
      <c r="D4867" s="125"/>
      <c r="E4867" s="125"/>
      <c r="F4867" s="125"/>
      <c r="G4867" s="125"/>
      <c r="H4867" s="125"/>
      <c r="I4867" s="746"/>
      <c r="J4867" s="747"/>
      <c r="K4867" s="748"/>
      <c r="L4867" s="746"/>
      <c r="M4867" s="747"/>
      <c r="N4867" s="753"/>
    </row>
    <row r="4868" spans="2:14" ht="15" customHeight="1" x14ac:dyDescent="0.25">
      <c r="B4868" s="165"/>
      <c r="C4868" s="145"/>
      <c r="D4868" s="125"/>
      <c r="E4868" s="125"/>
      <c r="F4868" s="125"/>
      <c r="G4868" s="125"/>
      <c r="H4868" s="125"/>
      <c r="I4868" s="746"/>
      <c r="J4868" s="747"/>
      <c r="K4868" s="748"/>
      <c r="L4868" s="746"/>
      <c r="M4868" s="747"/>
      <c r="N4868" s="753"/>
    </row>
    <row r="4869" spans="2:14" ht="15" customHeight="1" x14ac:dyDescent="0.25">
      <c r="B4869" s="165"/>
      <c r="C4869" s="145"/>
      <c r="D4869" s="125"/>
      <c r="E4869" s="125"/>
      <c r="F4869" s="125"/>
      <c r="G4869" s="125"/>
      <c r="H4869" s="125"/>
      <c r="I4869" s="746"/>
      <c r="J4869" s="747"/>
      <c r="K4869" s="748"/>
      <c r="L4869" s="746"/>
      <c r="M4869" s="747"/>
      <c r="N4869" s="753"/>
    </row>
    <row r="4870" spans="2:14" ht="15" customHeight="1" x14ac:dyDescent="0.25">
      <c r="B4870" s="165"/>
      <c r="C4870" s="145"/>
      <c r="D4870" s="125"/>
      <c r="E4870" s="125"/>
      <c r="F4870" s="125"/>
      <c r="G4870" s="125"/>
      <c r="H4870" s="125"/>
      <c r="I4870" s="746"/>
      <c r="J4870" s="747"/>
      <c r="K4870" s="748"/>
      <c r="L4870" s="746"/>
      <c r="M4870" s="747"/>
      <c r="N4870" s="753"/>
    </row>
    <row r="4871" spans="2:14" ht="15" customHeight="1" x14ac:dyDescent="0.25">
      <c r="B4871" s="165"/>
      <c r="C4871" s="145"/>
      <c r="D4871" s="125"/>
      <c r="E4871" s="125"/>
      <c r="F4871" s="125"/>
      <c r="G4871" s="125"/>
      <c r="H4871" s="125"/>
      <c r="I4871" s="746"/>
      <c r="J4871" s="747"/>
      <c r="K4871" s="748"/>
      <c r="L4871" s="746"/>
      <c r="M4871" s="747"/>
      <c r="N4871" s="753"/>
    </row>
    <row r="4872" spans="2:14" ht="15" customHeight="1" x14ac:dyDescent="0.25">
      <c r="B4872" s="165"/>
      <c r="C4872" s="145"/>
      <c r="D4872" s="125"/>
      <c r="E4872" s="125"/>
      <c r="F4872" s="125"/>
      <c r="G4872" s="125"/>
      <c r="H4872" s="125"/>
      <c r="I4872" s="746"/>
      <c r="J4872" s="747"/>
      <c r="K4872" s="748"/>
      <c r="L4872" s="746"/>
      <c r="M4872" s="747"/>
      <c r="N4872" s="753"/>
    </row>
    <row r="4873" spans="2:14" ht="15" customHeight="1" x14ac:dyDescent="0.25">
      <c r="B4873" s="124"/>
      <c r="C4873" s="145"/>
      <c r="D4873" s="125"/>
      <c r="E4873" s="125"/>
      <c r="F4873" s="125"/>
      <c r="G4873" s="125"/>
      <c r="H4873" s="125"/>
      <c r="I4873" s="746"/>
      <c r="J4873" s="747"/>
      <c r="K4873" s="748"/>
      <c r="L4873" s="746"/>
      <c r="M4873" s="747"/>
      <c r="N4873" s="753"/>
    </row>
    <row r="4874" spans="2:14" ht="15" customHeight="1" x14ac:dyDescent="0.25">
      <c r="B4874" s="124"/>
      <c r="C4874" s="125"/>
      <c r="D4874" s="125"/>
      <c r="E4874" s="125"/>
      <c r="F4874" s="125"/>
      <c r="G4874" s="125"/>
      <c r="H4874" s="125"/>
      <c r="I4874" s="746"/>
      <c r="J4874" s="747"/>
      <c r="K4874" s="748"/>
      <c r="L4874" s="746"/>
      <c r="M4874" s="747"/>
      <c r="N4874" s="753"/>
    </row>
    <row r="4875" spans="2:14" ht="15" customHeight="1" x14ac:dyDescent="0.25">
      <c r="B4875" s="127"/>
      <c r="C4875" s="125"/>
      <c r="D4875" s="125"/>
      <c r="E4875" s="125"/>
      <c r="F4875" s="125"/>
      <c r="G4875" s="125"/>
      <c r="H4875" s="125"/>
      <c r="I4875" s="749"/>
      <c r="J4875" s="750"/>
      <c r="K4875" s="751"/>
      <c r="L4875" s="749"/>
      <c r="M4875" s="750"/>
      <c r="N4875" s="754"/>
    </row>
    <row r="4876" spans="2:14" ht="15" customHeight="1" x14ac:dyDescent="0.25">
      <c r="B4876" s="225"/>
      <c r="C4876" s="128"/>
      <c r="D4876" s="128"/>
      <c r="E4876" s="128"/>
      <c r="F4876" s="128"/>
      <c r="G4876" s="128"/>
      <c r="H4876" s="128"/>
      <c r="I4876" s="128"/>
      <c r="J4876" s="128"/>
      <c r="K4876" s="128"/>
      <c r="L4876" s="118"/>
      <c r="M4876" s="118"/>
      <c r="N4876" s="210"/>
    </row>
    <row r="4877" spans="2:14" ht="15" customHeight="1" x14ac:dyDescent="0.25">
      <c r="B4877" s="209"/>
      <c r="C4877" s="118"/>
      <c r="D4877" s="118"/>
      <c r="E4877" s="118"/>
      <c r="F4877" s="118"/>
      <c r="G4877" s="118"/>
      <c r="H4877" s="118"/>
      <c r="I4877" s="118"/>
      <c r="J4877" s="118"/>
      <c r="K4877" s="118"/>
      <c r="L4877" s="118"/>
      <c r="M4877" s="118"/>
      <c r="N4877" s="210"/>
    </row>
    <row r="4878" spans="2:14" ht="15" customHeight="1" x14ac:dyDescent="0.25">
      <c r="B4878" s="209"/>
      <c r="C4878" s="118"/>
      <c r="D4878" s="118"/>
      <c r="E4878" s="118"/>
      <c r="F4878" s="118"/>
      <c r="G4878" s="118"/>
      <c r="H4878" s="118"/>
      <c r="I4878" s="118"/>
      <c r="J4878" s="118"/>
      <c r="K4878" s="118"/>
      <c r="L4878" s="118"/>
      <c r="M4878" s="118"/>
      <c r="N4878" s="210"/>
    </row>
    <row r="4879" spans="2:14" ht="15" customHeight="1" thickBot="1" x14ac:dyDescent="0.3">
      <c r="B4879" s="725" t="s">
        <v>414</v>
      </c>
      <c r="C4879" s="726"/>
      <c r="D4879" s="726"/>
      <c r="E4879" s="147"/>
      <c r="F4879" s="147"/>
      <c r="G4879" s="147"/>
      <c r="H4879" s="147"/>
      <c r="I4879" s="727"/>
      <c r="J4879" s="726"/>
      <c r="K4879" s="726"/>
      <c r="L4879" s="130"/>
      <c r="M4879" s="130"/>
      <c r="N4879" s="131"/>
    </row>
    <row r="4880" spans="2:14" ht="15" customHeight="1" x14ac:dyDescent="0.25">
      <c r="B4880" s="364"/>
      <c r="C4880" s="365"/>
      <c r="D4880" s="365"/>
      <c r="E4880" s="364"/>
      <c r="F4880" s="364"/>
      <c r="G4880" s="364"/>
      <c r="H4880" s="364"/>
      <c r="I4880" s="364"/>
      <c r="J4880" s="365"/>
      <c r="K4880" s="365"/>
      <c r="L4880" s="232"/>
      <c r="M4880" s="232"/>
      <c r="N4880" s="232"/>
    </row>
    <row r="4881" spans="2:14" ht="15" customHeight="1" x14ac:dyDescent="0.25">
      <c r="B4881" s="364"/>
      <c r="C4881" s="365"/>
      <c r="D4881" s="365"/>
      <c r="E4881" s="364"/>
      <c r="F4881" s="364"/>
      <c r="G4881" s="364"/>
      <c r="H4881" s="364"/>
      <c r="I4881" s="364"/>
      <c r="J4881" s="365"/>
      <c r="K4881" s="365"/>
      <c r="L4881" s="232"/>
      <c r="M4881" s="232"/>
      <c r="N4881" s="232"/>
    </row>
    <row r="4882" spans="2:14" ht="15" customHeight="1" x14ac:dyDescent="0.25">
      <c r="B4882" s="364"/>
      <c r="C4882" s="365"/>
      <c r="D4882" s="365"/>
      <c r="E4882" s="364"/>
      <c r="F4882" s="364"/>
      <c r="G4882" s="364"/>
      <c r="H4882" s="364"/>
      <c r="I4882" s="364"/>
      <c r="J4882" s="365"/>
      <c r="K4882" s="365"/>
      <c r="L4882" s="232"/>
      <c r="M4882" s="232"/>
      <c r="N4882" s="232"/>
    </row>
    <row r="4883" spans="2:14" ht="15" customHeight="1" thickBot="1" x14ac:dyDescent="0.3"/>
    <row r="4884" spans="2:14" ht="48" customHeight="1" x14ac:dyDescent="0.25">
      <c r="B4884" s="728"/>
      <c r="C4884" s="729"/>
      <c r="D4884" s="730" t="s">
        <v>393</v>
      </c>
      <c r="E4884" s="729"/>
      <c r="F4884" s="729"/>
      <c r="G4884" s="729"/>
      <c r="H4884" s="729"/>
      <c r="I4884" s="729"/>
      <c r="J4884" s="729"/>
      <c r="K4884" s="729"/>
      <c r="L4884" s="729"/>
      <c r="M4884" s="729"/>
      <c r="N4884" s="731"/>
    </row>
    <row r="4885" spans="2:14" ht="15" customHeight="1" x14ac:dyDescent="0.25">
      <c r="B4885" s="732" t="s">
        <v>394</v>
      </c>
      <c r="C4885" s="733"/>
      <c r="D4885" s="733"/>
      <c r="E4885" s="733"/>
      <c r="F4885" s="733"/>
      <c r="G4885" s="733"/>
      <c r="H4885" s="733"/>
      <c r="I4885" s="733"/>
      <c r="J4885" s="733"/>
      <c r="K4885" s="733"/>
      <c r="L4885" s="733"/>
      <c r="M4885" s="733"/>
      <c r="N4885" s="734"/>
    </row>
    <row r="4886" spans="2:14" ht="25.9" customHeight="1" x14ac:dyDescent="0.25">
      <c r="B4886" s="735" t="s">
        <v>395</v>
      </c>
      <c r="C4886" s="736"/>
      <c r="D4886" s="737" t="str">
        <f>VLOOKUP(B4888,Buenaventura!A9:G6079,3,FALSE)</f>
        <v>Excavación a mano en tierra, incluye trasiego y retiro de escombros a sitio autorizado</v>
      </c>
      <c r="E4886" s="738"/>
      <c r="F4886" s="738"/>
      <c r="G4886" s="738"/>
      <c r="H4886" s="738"/>
      <c r="I4886" s="738"/>
      <c r="J4886" s="738"/>
      <c r="K4886" s="738"/>
      <c r="L4886" s="738"/>
      <c r="M4886" s="738"/>
      <c r="N4886" s="739"/>
    </row>
    <row r="4887" spans="2:14" ht="25.9" customHeight="1" x14ac:dyDescent="0.25">
      <c r="B4887" s="740" t="s">
        <v>26</v>
      </c>
      <c r="C4887" s="741"/>
      <c r="D4887" s="119" t="s">
        <v>396</v>
      </c>
      <c r="E4887" s="742" t="s">
        <v>397</v>
      </c>
      <c r="F4887" s="733"/>
      <c r="G4887" s="733"/>
      <c r="H4887" s="736"/>
      <c r="I4887" s="742" t="s">
        <v>398</v>
      </c>
      <c r="J4887" s="733"/>
      <c r="K4887" s="736"/>
      <c r="L4887" s="742" t="s">
        <v>399</v>
      </c>
      <c r="M4887" s="733"/>
      <c r="N4887" s="734"/>
    </row>
    <row r="4888" spans="2:14" ht="15" customHeight="1" x14ac:dyDescent="0.25">
      <c r="B4888" s="283">
        <v>135</v>
      </c>
      <c r="C4888" s="284" t="str">
        <f>VLOOKUP(B4888,Buenaventura!A9:G6092,2,FALSE)</f>
        <v>PR-17</v>
      </c>
      <c r="D4888" s="285">
        <f>SUM(H4891:H4894)</f>
        <v>1</v>
      </c>
      <c r="E4888" s="743" t="str">
        <f>VLOOKUP(B4888,Buenaventura!A9:G6091,4,FALSE)</f>
        <v>M3</v>
      </c>
      <c r="F4888" s="743"/>
      <c r="G4888" s="743"/>
      <c r="H4888" s="743"/>
      <c r="I4888" s="744"/>
      <c r="J4888" s="745"/>
      <c r="K4888" s="741"/>
      <c r="L4888" s="744"/>
      <c r="M4888" s="745"/>
      <c r="N4888" s="752"/>
    </row>
    <row r="4889" spans="2:14" ht="15" customHeight="1" x14ac:dyDescent="0.25">
      <c r="B4889" s="755" t="s">
        <v>416</v>
      </c>
      <c r="C4889" s="733"/>
      <c r="D4889" s="733"/>
      <c r="E4889" s="733"/>
      <c r="F4889" s="733"/>
      <c r="G4889" s="733"/>
      <c r="H4889" s="736"/>
      <c r="I4889" s="746"/>
      <c r="J4889" s="747"/>
      <c r="K4889" s="748"/>
      <c r="L4889" s="746"/>
      <c r="M4889" s="747"/>
      <c r="N4889" s="753"/>
    </row>
    <row r="4890" spans="2:14" ht="15" customHeight="1" x14ac:dyDescent="0.25">
      <c r="B4890" s="121" t="s">
        <v>400</v>
      </c>
      <c r="C4890" s="122" t="s">
        <v>401</v>
      </c>
      <c r="D4890" s="123" t="s">
        <v>402</v>
      </c>
      <c r="E4890" s="123" t="s">
        <v>403</v>
      </c>
      <c r="F4890" s="123" t="s">
        <v>404</v>
      </c>
      <c r="G4890" s="123" t="s">
        <v>405</v>
      </c>
      <c r="H4890" s="123" t="s">
        <v>406</v>
      </c>
      <c r="I4890" s="746"/>
      <c r="J4890" s="747"/>
      <c r="K4890" s="748"/>
      <c r="L4890" s="746"/>
      <c r="M4890" s="747"/>
      <c r="N4890" s="753"/>
    </row>
    <row r="4891" spans="2:14" ht="15" customHeight="1" x14ac:dyDescent="0.25">
      <c r="B4891" s="124"/>
      <c r="C4891" s="145" t="s">
        <v>616</v>
      </c>
      <c r="D4891" s="125">
        <v>1</v>
      </c>
      <c r="E4891" s="125"/>
      <c r="F4891" s="125"/>
      <c r="G4891" s="125"/>
      <c r="H4891" s="125">
        <f>D4891</f>
        <v>1</v>
      </c>
      <c r="I4891" s="746"/>
      <c r="J4891" s="747"/>
      <c r="K4891" s="748"/>
      <c r="L4891" s="746"/>
      <c r="M4891" s="747"/>
      <c r="N4891" s="753"/>
    </row>
    <row r="4892" spans="2:14" ht="15" customHeight="1" x14ac:dyDescent="0.25">
      <c r="B4892" s="124"/>
      <c r="C4892" s="145"/>
      <c r="D4892" s="125"/>
      <c r="E4892" s="125"/>
      <c r="F4892" s="125"/>
      <c r="G4892" s="125"/>
      <c r="H4892" s="125"/>
      <c r="I4892" s="746"/>
      <c r="J4892" s="747"/>
      <c r="K4892" s="748"/>
      <c r="L4892" s="746"/>
      <c r="M4892" s="747"/>
      <c r="N4892" s="753"/>
    </row>
    <row r="4893" spans="2:14" ht="15" customHeight="1" x14ac:dyDescent="0.25">
      <c r="B4893" s="165"/>
      <c r="C4893" s="145"/>
      <c r="D4893" s="125"/>
      <c r="E4893" s="125"/>
      <c r="F4893" s="125"/>
      <c r="G4893" s="125"/>
      <c r="H4893" s="125"/>
      <c r="I4893" s="746"/>
      <c r="J4893" s="747"/>
      <c r="K4893" s="748"/>
      <c r="L4893" s="746"/>
      <c r="M4893" s="747"/>
      <c r="N4893" s="753"/>
    </row>
    <row r="4894" spans="2:14" ht="15" customHeight="1" x14ac:dyDescent="0.25">
      <c r="B4894" s="165"/>
      <c r="C4894" s="145"/>
      <c r="D4894" s="125"/>
      <c r="E4894" s="125"/>
      <c r="F4894" s="125"/>
      <c r="G4894" s="125"/>
      <c r="H4894" s="125"/>
      <c r="I4894" s="746"/>
      <c r="J4894" s="747"/>
      <c r="K4894" s="748"/>
      <c r="L4894" s="746"/>
      <c r="M4894" s="747"/>
      <c r="N4894" s="753"/>
    </row>
    <row r="4895" spans="2:14" ht="15" customHeight="1" x14ac:dyDescent="0.25">
      <c r="B4895" s="165"/>
      <c r="C4895" s="145"/>
      <c r="D4895" s="125"/>
      <c r="E4895" s="125"/>
      <c r="F4895" s="125"/>
      <c r="G4895" s="125"/>
      <c r="H4895" s="125"/>
      <c r="I4895" s="746"/>
      <c r="J4895" s="747"/>
      <c r="K4895" s="748"/>
      <c r="L4895" s="746"/>
      <c r="M4895" s="747"/>
      <c r="N4895" s="753"/>
    </row>
    <row r="4896" spans="2:14" ht="15" customHeight="1" x14ac:dyDescent="0.25">
      <c r="B4896" s="165"/>
      <c r="C4896" s="145"/>
      <c r="D4896" s="125"/>
      <c r="E4896" s="125"/>
      <c r="F4896" s="125"/>
      <c r="G4896" s="125"/>
      <c r="H4896" s="125"/>
      <c r="I4896" s="746"/>
      <c r="J4896" s="747"/>
      <c r="K4896" s="748"/>
      <c r="L4896" s="746"/>
      <c r="M4896" s="747"/>
      <c r="N4896" s="753"/>
    </row>
    <row r="4897" spans="2:14" ht="15" customHeight="1" x14ac:dyDescent="0.25">
      <c r="B4897" s="165"/>
      <c r="C4897" s="145"/>
      <c r="D4897" s="125"/>
      <c r="E4897" s="125"/>
      <c r="F4897" s="125"/>
      <c r="G4897" s="125"/>
      <c r="H4897" s="125"/>
      <c r="I4897" s="746"/>
      <c r="J4897" s="747"/>
      <c r="K4897" s="748"/>
      <c r="L4897" s="746"/>
      <c r="M4897" s="747"/>
      <c r="N4897" s="753"/>
    </row>
    <row r="4898" spans="2:14" ht="15" customHeight="1" x14ac:dyDescent="0.25">
      <c r="B4898" s="124"/>
      <c r="C4898" s="145"/>
      <c r="D4898" s="125"/>
      <c r="E4898" s="125"/>
      <c r="F4898" s="125"/>
      <c r="G4898" s="125"/>
      <c r="H4898" s="125"/>
      <c r="I4898" s="746"/>
      <c r="J4898" s="747"/>
      <c r="K4898" s="748"/>
      <c r="L4898" s="746"/>
      <c r="M4898" s="747"/>
      <c r="N4898" s="753"/>
    </row>
    <row r="4899" spans="2:14" ht="15" customHeight="1" x14ac:dyDescent="0.25">
      <c r="B4899" s="124"/>
      <c r="C4899" s="125"/>
      <c r="D4899" s="125"/>
      <c r="E4899" s="125"/>
      <c r="F4899" s="125"/>
      <c r="G4899" s="125"/>
      <c r="H4899" s="125"/>
      <c r="I4899" s="746"/>
      <c r="J4899" s="747"/>
      <c r="K4899" s="748"/>
      <c r="L4899" s="746"/>
      <c r="M4899" s="747"/>
      <c r="N4899" s="753"/>
    </row>
    <row r="4900" spans="2:14" ht="15" customHeight="1" x14ac:dyDescent="0.25">
      <c r="B4900" s="127"/>
      <c r="C4900" s="125"/>
      <c r="D4900" s="125"/>
      <c r="E4900" s="125"/>
      <c r="F4900" s="125"/>
      <c r="G4900" s="125"/>
      <c r="H4900" s="125"/>
      <c r="I4900" s="749"/>
      <c r="J4900" s="750"/>
      <c r="K4900" s="751"/>
      <c r="L4900" s="749"/>
      <c r="M4900" s="750"/>
      <c r="N4900" s="754"/>
    </row>
    <row r="4901" spans="2:14" ht="15" customHeight="1" x14ac:dyDescent="0.25">
      <c r="B4901" s="225"/>
      <c r="C4901" s="128"/>
      <c r="D4901" s="128"/>
      <c r="E4901" s="128"/>
      <c r="F4901" s="128"/>
      <c r="G4901" s="128"/>
      <c r="H4901" s="128"/>
      <c r="I4901" s="128"/>
      <c r="J4901" s="128"/>
      <c r="K4901" s="128"/>
      <c r="L4901" s="118"/>
      <c r="M4901" s="118"/>
      <c r="N4901" s="210"/>
    </row>
    <row r="4902" spans="2:14" ht="15" customHeight="1" x14ac:dyDescent="0.25">
      <c r="B4902" s="209"/>
      <c r="C4902" s="118"/>
      <c r="D4902" s="118"/>
      <c r="E4902" s="118"/>
      <c r="F4902" s="118"/>
      <c r="G4902" s="118"/>
      <c r="H4902" s="118"/>
      <c r="I4902" s="118"/>
      <c r="J4902" s="118"/>
      <c r="K4902" s="118"/>
      <c r="L4902" s="118"/>
      <c r="M4902" s="118"/>
      <c r="N4902" s="210"/>
    </row>
    <row r="4903" spans="2:14" ht="15" customHeight="1" x14ac:dyDescent="0.25">
      <c r="B4903" s="209"/>
      <c r="C4903" s="118"/>
      <c r="D4903" s="118"/>
      <c r="E4903" s="118"/>
      <c r="F4903" s="118"/>
      <c r="G4903" s="118"/>
      <c r="H4903" s="118"/>
      <c r="I4903" s="118"/>
      <c r="J4903" s="118"/>
      <c r="K4903" s="118"/>
      <c r="L4903" s="118"/>
      <c r="M4903" s="118"/>
      <c r="N4903" s="210"/>
    </row>
    <row r="4904" spans="2:14" ht="15" customHeight="1" thickBot="1" x14ac:dyDescent="0.3">
      <c r="B4904" s="725" t="s">
        <v>414</v>
      </c>
      <c r="C4904" s="726"/>
      <c r="D4904" s="726"/>
      <c r="E4904" s="147"/>
      <c r="F4904" s="147"/>
      <c r="G4904" s="147"/>
      <c r="H4904" s="147"/>
      <c r="I4904" s="727"/>
      <c r="J4904" s="726"/>
      <c r="K4904" s="726"/>
      <c r="L4904" s="130"/>
      <c r="M4904" s="130"/>
      <c r="N4904" s="131"/>
    </row>
    <row r="4905" spans="2:14" ht="15" customHeight="1" thickBot="1" x14ac:dyDescent="0.3"/>
    <row r="4906" spans="2:14" ht="38.450000000000003" customHeight="1" x14ac:dyDescent="0.25">
      <c r="B4906" s="728"/>
      <c r="C4906" s="729"/>
      <c r="D4906" s="730" t="s">
        <v>393</v>
      </c>
      <c r="E4906" s="729"/>
      <c r="F4906" s="729"/>
      <c r="G4906" s="729"/>
      <c r="H4906" s="729"/>
      <c r="I4906" s="729"/>
      <c r="J4906" s="729"/>
      <c r="K4906" s="729"/>
      <c r="L4906" s="729"/>
      <c r="M4906" s="729"/>
      <c r="N4906" s="731"/>
    </row>
    <row r="4907" spans="2:14" ht="15" customHeight="1" x14ac:dyDescent="0.25">
      <c r="B4907" s="732" t="s">
        <v>394</v>
      </c>
      <c r="C4907" s="733"/>
      <c r="D4907" s="733"/>
      <c r="E4907" s="733"/>
      <c r="F4907" s="733"/>
      <c r="G4907" s="733"/>
      <c r="H4907" s="733"/>
      <c r="I4907" s="733"/>
      <c r="J4907" s="733"/>
      <c r="K4907" s="733"/>
      <c r="L4907" s="733"/>
      <c r="M4907" s="733"/>
      <c r="N4907" s="734"/>
    </row>
    <row r="4908" spans="2:14" ht="78" customHeight="1" x14ac:dyDescent="0.25">
      <c r="B4908" s="735" t="s">
        <v>395</v>
      </c>
      <c r="C4908" s="736"/>
      <c r="D4908" s="737" t="str">
        <f>VLOOKUP(B4910,Buenaventura!A9:G6101,3,FALSE)</f>
        <v>Suminsitro e instalación de nave de puerta en madera , incluye acabado y elementos de fijación necesarios para su instalación</v>
      </c>
      <c r="E4908" s="738"/>
      <c r="F4908" s="738"/>
      <c r="G4908" s="738"/>
      <c r="H4908" s="738"/>
      <c r="I4908" s="738"/>
      <c r="J4908" s="738"/>
      <c r="K4908" s="738"/>
      <c r="L4908" s="738"/>
      <c r="M4908" s="738"/>
      <c r="N4908" s="739"/>
    </row>
    <row r="4909" spans="2:14" ht="24.6" customHeight="1" x14ac:dyDescent="0.25">
      <c r="B4909" s="740" t="s">
        <v>26</v>
      </c>
      <c r="C4909" s="741"/>
      <c r="D4909" s="119" t="s">
        <v>396</v>
      </c>
      <c r="E4909" s="742" t="s">
        <v>397</v>
      </c>
      <c r="F4909" s="733"/>
      <c r="G4909" s="733"/>
      <c r="H4909" s="736"/>
      <c r="I4909" s="742" t="s">
        <v>398</v>
      </c>
      <c r="J4909" s="733"/>
      <c r="K4909" s="736"/>
      <c r="L4909" s="742" t="s">
        <v>399</v>
      </c>
      <c r="M4909" s="733"/>
      <c r="N4909" s="734"/>
    </row>
    <row r="4910" spans="2:14" ht="15" customHeight="1" x14ac:dyDescent="0.25">
      <c r="B4910" s="283">
        <v>136</v>
      </c>
      <c r="C4910" s="284" t="str">
        <f>VLOOKUP(B4910,Buenaventura!A9:G6114,2,FALSE)</f>
        <v>CA-51</v>
      </c>
      <c r="D4910" s="285">
        <f>SUM(H4913:H4916)</f>
        <v>1.8</v>
      </c>
      <c r="E4910" s="743" t="str">
        <f>VLOOKUP(B4910,Buenaventura!A9:G6113,4,FALSE)</f>
        <v>UND</v>
      </c>
      <c r="F4910" s="743"/>
      <c r="G4910" s="743"/>
      <c r="H4910" s="743"/>
      <c r="I4910" s="744"/>
      <c r="J4910" s="745"/>
      <c r="K4910" s="741"/>
      <c r="L4910" s="744"/>
      <c r="M4910" s="745"/>
      <c r="N4910" s="752"/>
    </row>
    <row r="4911" spans="2:14" ht="15" customHeight="1" x14ac:dyDescent="0.25">
      <c r="B4911" s="755" t="s">
        <v>416</v>
      </c>
      <c r="C4911" s="733"/>
      <c r="D4911" s="733"/>
      <c r="E4911" s="733"/>
      <c r="F4911" s="733"/>
      <c r="G4911" s="733"/>
      <c r="H4911" s="736"/>
      <c r="I4911" s="746"/>
      <c r="J4911" s="747"/>
      <c r="K4911" s="748"/>
      <c r="L4911" s="746"/>
      <c r="M4911" s="747"/>
      <c r="N4911" s="753"/>
    </row>
    <row r="4912" spans="2:14" ht="15" customHeight="1" x14ac:dyDescent="0.25">
      <c r="B4912" s="121" t="s">
        <v>400</v>
      </c>
      <c r="C4912" s="122" t="s">
        <v>401</v>
      </c>
      <c r="D4912" s="123" t="s">
        <v>402</v>
      </c>
      <c r="E4912" s="123" t="s">
        <v>403</v>
      </c>
      <c r="F4912" s="123" t="s">
        <v>404</v>
      </c>
      <c r="G4912" s="123" t="s">
        <v>405</v>
      </c>
      <c r="H4912" s="123" t="s">
        <v>406</v>
      </c>
      <c r="I4912" s="746"/>
      <c r="J4912" s="747"/>
      <c r="K4912" s="748"/>
      <c r="L4912" s="746"/>
      <c r="M4912" s="747"/>
      <c r="N4912" s="753"/>
    </row>
    <row r="4913" spans="2:14" ht="15" customHeight="1" x14ac:dyDescent="0.25">
      <c r="B4913" s="124"/>
      <c r="C4913" s="145"/>
      <c r="D4913" s="125">
        <v>4</v>
      </c>
      <c r="E4913" s="125"/>
      <c r="F4913" s="125">
        <v>0.45</v>
      </c>
      <c r="G4913" s="125"/>
      <c r="H4913" s="125">
        <f>D4913*F4913</f>
        <v>1.8</v>
      </c>
      <c r="I4913" s="746"/>
      <c r="J4913" s="747"/>
      <c r="K4913" s="748"/>
      <c r="L4913" s="746"/>
      <c r="M4913" s="747"/>
      <c r="N4913" s="753"/>
    </row>
    <row r="4914" spans="2:14" ht="15" customHeight="1" x14ac:dyDescent="0.25">
      <c r="B4914" s="124"/>
      <c r="C4914" s="145"/>
      <c r="D4914" s="125"/>
      <c r="E4914" s="125"/>
      <c r="F4914" s="125"/>
      <c r="G4914" s="125"/>
      <c r="H4914" s="125"/>
      <c r="I4914" s="746"/>
      <c r="J4914" s="747"/>
      <c r="K4914" s="748"/>
      <c r="L4914" s="746"/>
      <c r="M4914" s="747"/>
      <c r="N4914" s="753"/>
    </row>
    <row r="4915" spans="2:14" ht="15" customHeight="1" x14ac:dyDescent="0.25">
      <c r="B4915" s="165"/>
      <c r="C4915" s="145"/>
      <c r="D4915" s="125"/>
      <c r="E4915" s="125"/>
      <c r="F4915" s="125"/>
      <c r="G4915" s="125"/>
      <c r="H4915" s="125"/>
      <c r="I4915" s="746"/>
      <c r="J4915" s="747"/>
      <c r="K4915" s="748"/>
      <c r="L4915" s="746"/>
      <c r="M4915" s="747"/>
      <c r="N4915" s="753"/>
    </row>
    <row r="4916" spans="2:14" ht="15" customHeight="1" x14ac:dyDescent="0.25">
      <c r="B4916" s="165"/>
      <c r="C4916" s="145"/>
      <c r="D4916" s="125"/>
      <c r="E4916" s="125"/>
      <c r="F4916" s="125"/>
      <c r="G4916" s="125"/>
      <c r="H4916" s="125"/>
      <c r="I4916" s="746"/>
      <c r="J4916" s="747"/>
      <c r="K4916" s="748"/>
      <c r="L4916" s="746"/>
      <c r="M4916" s="747"/>
      <c r="N4916" s="753"/>
    </row>
    <row r="4917" spans="2:14" ht="15" customHeight="1" x14ac:dyDescent="0.25">
      <c r="B4917" s="165"/>
      <c r="C4917" s="145"/>
      <c r="D4917" s="125"/>
      <c r="E4917" s="125"/>
      <c r="F4917" s="125"/>
      <c r="G4917" s="125"/>
      <c r="H4917" s="125"/>
      <c r="I4917" s="746"/>
      <c r="J4917" s="747"/>
      <c r="K4917" s="748"/>
      <c r="L4917" s="746"/>
      <c r="M4917" s="747"/>
      <c r="N4917" s="753"/>
    </row>
    <row r="4918" spans="2:14" ht="15" customHeight="1" x14ac:dyDescent="0.25">
      <c r="B4918" s="165"/>
      <c r="C4918" s="145"/>
      <c r="D4918" s="125"/>
      <c r="E4918" s="125"/>
      <c r="F4918" s="125"/>
      <c r="G4918" s="125"/>
      <c r="H4918" s="125"/>
      <c r="I4918" s="746"/>
      <c r="J4918" s="747"/>
      <c r="K4918" s="748"/>
      <c r="L4918" s="746"/>
      <c r="M4918" s="747"/>
      <c r="N4918" s="753"/>
    </row>
    <row r="4919" spans="2:14" ht="15" customHeight="1" x14ac:dyDescent="0.25">
      <c r="B4919" s="165"/>
      <c r="C4919" s="145"/>
      <c r="D4919" s="125"/>
      <c r="E4919" s="125"/>
      <c r="F4919" s="125"/>
      <c r="G4919" s="125"/>
      <c r="H4919" s="125"/>
      <c r="I4919" s="746"/>
      <c r="J4919" s="747"/>
      <c r="K4919" s="748"/>
      <c r="L4919" s="746"/>
      <c r="M4919" s="747"/>
      <c r="N4919" s="753"/>
    </row>
    <row r="4920" spans="2:14" ht="15" customHeight="1" x14ac:dyDescent="0.25">
      <c r="B4920" s="124"/>
      <c r="C4920" s="145"/>
      <c r="D4920" s="125"/>
      <c r="E4920" s="125"/>
      <c r="F4920" s="125"/>
      <c r="G4920" s="125"/>
      <c r="H4920" s="125"/>
      <c r="I4920" s="746"/>
      <c r="J4920" s="747"/>
      <c r="K4920" s="748"/>
      <c r="L4920" s="746"/>
      <c r="M4920" s="747"/>
      <c r="N4920" s="753"/>
    </row>
    <row r="4921" spans="2:14" ht="15" customHeight="1" x14ac:dyDescent="0.25">
      <c r="B4921" s="124"/>
      <c r="C4921" s="125"/>
      <c r="D4921" s="125"/>
      <c r="E4921" s="125"/>
      <c r="F4921" s="125"/>
      <c r="G4921" s="125"/>
      <c r="H4921" s="125"/>
      <c r="I4921" s="746"/>
      <c r="J4921" s="747"/>
      <c r="K4921" s="748"/>
      <c r="L4921" s="746"/>
      <c r="M4921" s="747"/>
      <c r="N4921" s="753"/>
    </row>
    <row r="4922" spans="2:14" ht="15" customHeight="1" x14ac:dyDescent="0.25">
      <c r="B4922" s="127"/>
      <c r="C4922" s="125"/>
      <c r="D4922" s="125"/>
      <c r="E4922" s="125"/>
      <c r="F4922" s="125"/>
      <c r="G4922" s="125"/>
      <c r="H4922" s="125"/>
      <c r="I4922" s="749"/>
      <c r="J4922" s="750"/>
      <c r="K4922" s="751"/>
      <c r="L4922" s="749"/>
      <c r="M4922" s="750"/>
      <c r="N4922" s="754"/>
    </row>
    <row r="4923" spans="2:14" ht="15" customHeight="1" x14ac:dyDescent="0.25">
      <c r="B4923" s="225"/>
      <c r="C4923" s="128"/>
      <c r="D4923" s="128"/>
      <c r="E4923" s="128"/>
      <c r="F4923" s="128"/>
      <c r="G4923" s="128"/>
      <c r="H4923" s="128"/>
      <c r="I4923" s="128"/>
      <c r="J4923" s="128"/>
      <c r="K4923" s="128"/>
      <c r="L4923" s="118"/>
      <c r="M4923" s="118"/>
      <c r="N4923" s="210"/>
    </row>
    <row r="4924" spans="2:14" ht="15" customHeight="1" x14ac:dyDescent="0.25">
      <c r="B4924" s="209"/>
      <c r="C4924" s="118"/>
      <c r="D4924" s="118"/>
      <c r="E4924" s="118"/>
      <c r="F4924" s="118"/>
      <c r="G4924" s="118"/>
      <c r="H4924" s="118"/>
      <c r="I4924" s="118"/>
      <c r="J4924" s="118"/>
      <c r="K4924" s="118"/>
      <c r="L4924" s="118"/>
      <c r="M4924" s="118"/>
      <c r="N4924" s="210"/>
    </row>
    <row r="4925" spans="2:14" ht="15" customHeight="1" x14ac:dyDescent="0.25">
      <c r="B4925" s="209"/>
      <c r="C4925" s="118"/>
      <c r="D4925" s="118"/>
      <c r="E4925" s="118"/>
      <c r="F4925" s="118"/>
      <c r="G4925" s="118"/>
      <c r="H4925" s="118"/>
      <c r="I4925" s="118"/>
      <c r="J4925" s="118"/>
      <c r="K4925" s="118"/>
      <c r="L4925" s="118"/>
      <c r="M4925" s="118"/>
      <c r="N4925" s="210"/>
    </row>
    <row r="4926" spans="2:14" ht="15" customHeight="1" thickBot="1" x14ac:dyDescent="0.3">
      <c r="B4926" s="725" t="s">
        <v>414</v>
      </c>
      <c r="C4926" s="726"/>
      <c r="D4926" s="726"/>
      <c r="E4926" s="147"/>
      <c r="F4926" s="147"/>
      <c r="G4926" s="147"/>
      <c r="H4926" s="147"/>
      <c r="I4926" s="727"/>
      <c r="J4926" s="726"/>
      <c r="K4926" s="726"/>
      <c r="L4926" s="130"/>
      <c r="M4926" s="130"/>
      <c r="N4926" s="131"/>
    </row>
    <row r="4927" spans="2:14" ht="15" customHeight="1" thickBot="1" x14ac:dyDescent="0.3"/>
    <row r="4928" spans="2:14" ht="36" customHeight="1" x14ac:dyDescent="0.25">
      <c r="B4928" s="728"/>
      <c r="C4928" s="729"/>
      <c r="D4928" s="730" t="s">
        <v>393</v>
      </c>
      <c r="E4928" s="729"/>
      <c r="F4928" s="729"/>
      <c r="G4928" s="729"/>
      <c r="H4928" s="729"/>
      <c r="I4928" s="729"/>
      <c r="J4928" s="729"/>
      <c r="K4928" s="729"/>
      <c r="L4928" s="729"/>
      <c r="M4928" s="729"/>
      <c r="N4928" s="731"/>
    </row>
    <row r="4929" spans="2:14" ht="15" customHeight="1" x14ac:dyDescent="0.25">
      <c r="B4929" s="732" t="s">
        <v>394</v>
      </c>
      <c r="C4929" s="733"/>
      <c r="D4929" s="733"/>
      <c r="E4929" s="733"/>
      <c r="F4929" s="733"/>
      <c r="G4929" s="733"/>
      <c r="H4929" s="733"/>
      <c r="I4929" s="733"/>
      <c r="J4929" s="733"/>
      <c r="K4929" s="733"/>
      <c r="L4929" s="733"/>
      <c r="M4929" s="733"/>
      <c r="N4929" s="734"/>
    </row>
    <row r="4930" spans="2:14" ht="77.45" customHeight="1" x14ac:dyDescent="0.25">
      <c r="B4930" s="735" t="s">
        <v>395</v>
      </c>
      <c r="C4930" s="736"/>
      <c r="D4930" s="737" t="str">
        <f>VLOOKUP(B4932,Buenaventura!A9:G6123,3,FALSE)</f>
        <v>Retiro de tapa existente, incluye disposición final en sitio autorizado</v>
      </c>
      <c r="E4930" s="738"/>
      <c r="F4930" s="738"/>
      <c r="G4930" s="738"/>
      <c r="H4930" s="738"/>
      <c r="I4930" s="738"/>
      <c r="J4930" s="738"/>
      <c r="K4930" s="738"/>
      <c r="L4930" s="738"/>
      <c r="M4930" s="738"/>
      <c r="N4930" s="739"/>
    </row>
    <row r="4931" spans="2:14" ht="23.45" customHeight="1" x14ac:dyDescent="0.25">
      <c r="B4931" s="740" t="s">
        <v>26</v>
      </c>
      <c r="C4931" s="741"/>
      <c r="D4931" s="119" t="s">
        <v>396</v>
      </c>
      <c r="E4931" s="742" t="s">
        <v>397</v>
      </c>
      <c r="F4931" s="733"/>
      <c r="G4931" s="733"/>
      <c r="H4931" s="736"/>
      <c r="I4931" s="742" t="s">
        <v>398</v>
      </c>
      <c r="J4931" s="733"/>
      <c r="K4931" s="736"/>
      <c r="L4931" s="742" t="s">
        <v>399</v>
      </c>
      <c r="M4931" s="733"/>
      <c r="N4931" s="734"/>
    </row>
    <row r="4932" spans="2:14" ht="15" customHeight="1" x14ac:dyDescent="0.25">
      <c r="B4932" s="283">
        <v>137</v>
      </c>
      <c r="C4932" s="284" t="str">
        <f>VLOOKUP(B4932,Buenaventura!A9:G6136,2,FALSE)</f>
        <v>PR-73</v>
      </c>
      <c r="D4932" s="285">
        <f>SUM(H4935:H4938)</f>
        <v>1</v>
      </c>
      <c r="E4932" s="743" t="str">
        <f>VLOOKUP(B4932,Buenaventura!A9:G6135,4,FALSE)</f>
        <v>UND</v>
      </c>
      <c r="F4932" s="743"/>
      <c r="G4932" s="743"/>
      <c r="H4932" s="743"/>
      <c r="I4932" s="744"/>
      <c r="J4932" s="745"/>
      <c r="K4932" s="741"/>
      <c r="L4932" s="744"/>
      <c r="M4932" s="745"/>
      <c r="N4932" s="752"/>
    </row>
    <row r="4933" spans="2:14" ht="15" customHeight="1" x14ac:dyDescent="0.25">
      <c r="B4933" s="755" t="s">
        <v>416</v>
      </c>
      <c r="C4933" s="733"/>
      <c r="D4933" s="733"/>
      <c r="E4933" s="733"/>
      <c r="F4933" s="733"/>
      <c r="G4933" s="733"/>
      <c r="H4933" s="736"/>
      <c r="I4933" s="746"/>
      <c r="J4933" s="747"/>
      <c r="K4933" s="748"/>
      <c r="L4933" s="746"/>
      <c r="M4933" s="747"/>
      <c r="N4933" s="753"/>
    </row>
    <row r="4934" spans="2:14" ht="15" customHeight="1" x14ac:dyDescent="0.25">
      <c r="B4934" s="121" t="s">
        <v>400</v>
      </c>
      <c r="C4934" s="122" t="s">
        <v>401</v>
      </c>
      <c r="D4934" s="123" t="s">
        <v>402</v>
      </c>
      <c r="E4934" s="123" t="s">
        <v>403</v>
      </c>
      <c r="F4934" s="123" t="s">
        <v>404</v>
      </c>
      <c r="G4934" s="123" t="s">
        <v>405</v>
      </c>
      <c r="H4934" s="123" t="s">
        <v>406</v>
      </c>
      <c r="I4934" s="746"/>
      <c r="J4934" s="747"/>
      <c r="K4934" s="748"/>
      <c r="L4934" s="746"/>
      <c r="M4934" s="747"/>
      <c r="N4934" s="753"/>
    </row>
    <row r="4935" spans="2:14" ht="15" customHeight="1" x14ac:dyDescent="0.25">
      <c r="B4935" s="124"/>
      <c r="C4935" s="145"/>
      <c r="D4935" s="125">
        <v>1</v>
      </c>
      <c r="E4935" s="125"/>
      <c r="F4935" s="125"/>
      <c r="G4935" s="125"/>
      <c r="H4935" s="125">
        <f>D4935</f>
        <v>1</v>
      </c>
      <c r="I4935" s="746"/>
      <c r="J4935" s="747"/>
      <c r="K4935" s="748"/>
      <c r="L4935" s="746"/>
      <c r="M4935" s="747"/>
      <c r="N4935" s="753"/>
    </row>
    <row r="4936" spans="2:14" ht="15" customHeight="1" x14ac:dyDescent="0.25">
      <c r="B4936" s="124"/>
      <c r="C4936" s="145"/>
      <c r="D4936" s="125"/>
      <c r="E4936" s="125"/>
      <c r="F4936" s="125"/>
      <c r="G4936" s="125"/>
      <c r="H4936" s="125"/>
      <c r="I4936" s="746"/>
      <c r="J4936" s="747"/>
      <c r="K4936" s="748"/>
      <c r="L4936" s="746"/>
      <c r="M4936" s="747"/>
      <c r="N4936" s="753"/>
    </row>
    <row r="4937" spans="2:14" ht="15" customHeight="1" x14ac:dyDescent="0.25">
      <c r="B4937" s="165"/>
      <c r="C4937" s="145"/>
      <c r="D4937" s="125"/>
      <c r="E4937" s="125"/>
      <c r="F4937" s="125"/>
      <c r="G4937" s="125"/>
      <c r="H4937" s="125"/>
      <c r="I4937" s="746"/>
      <c r="J4937" s="747"/>
      <c r="K4937" s="748"/>
      <c r="L4937" s="746"/>
      <c r="M4937" s="747"/>
      <c r="N4937" s="753"/>
    </row>
    <row r="4938" spans="2:14" ht="15" customHeight="1" x14ac:dyDescent="0.25">
      <c r="B4938" s="165"/>
      <c r="C4938" s="145"/>
      <c r="D4938" s="125"/>
      <c r="E4938" s="125"/>
      <c r="F4938" s="125"/>
      <c r="G4938" s="125"/>
      <c r="H4938" s="125"/>
      <c r="I4938" s="746"/>
      <c r="J4938" s="747"/>
      <c r="K4938" s="748"/>
      <c r="L4938" s="746"/>
      <c r="M4938" s="747"/>
      <c r="N4938" s="753"/>
    </row>
    <row r="4939" spans="2:14" ht="15" customHeight="1" x14ac:dyDescent="0.25">
      <c r="B4939" s="165"/>
      <c r="C4939" s="145"/>
      <c r="D4939" s="125"/>
      <c r="E4939" s="125"/>
      <c r="F4939" s="125"/>
      <c r="G4939" s="125"/>
      <c r="H4939" s="125"/>
      <c r="I4939" s="746"/>
      <c r="J4939" s="747"/>
      <c r="K4939" s="748"/>
      <c r="L4939" s="746"/>
      <c r="M4939" s="747"/>
      <c r="N4939" s="753"/>
    </row>
    <row r="4940" spans="2:14" ht="15" customHeight="1" x14ac:dyDescent="0.25">
      <c r="B4940" s="165"/>
      <c r="C4940" s="145"/>
      <c r="D4940" s="125"/>
      <c r="E4940" s="125"/>
      <c r="F4940" s="125"/>
      <c r="G4940" s="125"/>
      <c r="H4940" s="125"/>
      <c r="I4940" s="746"/>
      <c r="J4940" s="747"/>
      <c r="K4940" s="748"/>
      <c r="L4940" s="746"/>
      <c r="M4940" s="747"/>
      <c r="N4940" s="753"/>
    </row>
    <row r="4941" spans="2:14" ht="15" customHeight="1" x14ac:dyDescent="0.25">
      <c r="B4941" s="165"/>
      <c r="C4941" s="145"/>
      <c r="D4941" s="125"/>
      <c r="E4941" s="125"/>
      <c r="F4941" s="125"/>
      <c r="G4941" s="125"/>
      <c r="H4941" s="125"/>
      <c r="I4941" s="746"/>
      <c r="J4941" s="747"/>
      <c r="K4941" s="748"/>
      <c r="L4941" s="746"/>
      <c r="M4941" s="747"/>
      <c r="N4941" s="753"/>
    </row>
    <row r="4942" spans="2:14" ht="15" customHeight="1" x14ac:dyDescent="0.25">
      <c r="B4942" s="124"/>
      <c r="C4942" s="145"/>
      <c r="D4942" s="125"/>
      <c r="E4942" s="125"/>
      <c r="F4942" s="125"/>
      <c r="G4942" s="125"/>
      <c r="H4942" s="125"/>
      <c r="I4942" s="746"/>
      <c r="J4942" s="747"/>
      <c r="K4942" s="748"/>
      <c r="L4942" s="746"/>
      <c r="M4942" s="747"/>
      <c r="N4942" s="753"/>
    </row>
    <row r="4943" spans="2:14" ht="15" customHeight="1" x14ac:dyDescent="0.25">
      <c r="B4943" s="124"/>
      <c r="C4943" s="125"/>
      <c r="D4943" s="125"/>
      <c r="E4943" s="125"/>
      <c r="F4943" s="125"/>
      <c r="G4943" s="125"/>
      <c r="H4943" s="125"/>
      <c r="I4943" s="746"/>
      <c r="J4943" s="747"/>
      <c r="K4943" s="748"/>
      <c r="L4943" s="746"/>
      <c r="M4943" s="747"/>
      <c r="N4943" s="753"/>
    </row>
    <row r="4944" spans="2:14" ht="15" customHeight="1" x14ac:dyDescent="0.25">
      <c r="B4944" s="127"/>
      <c r="C4944" s="125"/>
      <c r="D4944" s="125"/>
      <c r="E4944" s="125"/>
      <c r="F4944" s="125"/>
      <c r="G4944" s="125"/>
      <c r="H4944" s="125"/>
      <c r="I4944" s="749"/>
      <c r="J4944" s="750"/>
      <c r="K4944" s="751"/>
      <c r="L4944" s="749"/>
      <c r="M4944" s="750"/>
      <c r="N4944" s="754"/>
    </row>
    <row r="4945" spans="2:14" ht="15" customHeight="1" x14ac:dyDescent="0.25">
      <c r="B4945" s="225"/>
      <c r="C4945" s="128"/>
      <c r="D4945" s="128"/>
      <c r="E4945" s="128"/>
      <c r="F4945" s="128"/>
      <c r="G4945" s="128"/>
      <c r="H4945" s="128"/>
      <c r="I4945" s="128"/>
      <c r="J4945" s="128"/>
      <c r="K4945" s="128"/>
      <c r="L4945" s="118"/>
      <c r="M4945" s="118"/>
      <c r="N4945" s="210"/>
    </row>
    <row r="4946" spans="2:14" ht="15" customHeight="1" x14ac:dyDescent="0.25">
      <c r="B4946" s="209"/>
      <c r="C4946" s="118"/>
      <c r="D4946" s="118"/>
      <c r="E4946" s="118"/>
      <c r="F4946" s="118"/>
      <c r="G4946" s="118"/>
      <c r="H4946" s="118"/>
      <c r="I4946" s="118"/>
      <c r="J4946" s="118"/>
      <c r="K4946" s="118"/>
      <c r="L4946" s="118"/>
      <c r="M4946" s="118"/>
      <c r="N4946" s="210"/>
    </row>
    <row r="4947" spans="2:14" ht="15" customHeight="1" x14ac:dyDescent="0.25">
      <c r="B4947" s="209"/>
      <c r="C4947" s="118"/>
      <c r="D4947" s="118"/>
      <c r="E4947" s="118"/>
      <c r="F4947" s="118"/>
      <c r="G4947" s="118"/>
      <c r="H4947" s="118"/>
      <c r="I4947" s="118"/>
      <c r="J4947" s="118"/>
      <c r="K4947" s="118"/>
      <c r="L4947" s="118"/>
      <c r="M4947" s="118"/>
      <c r="N4947" s="210"/>
    </row>
    <row r="4948" spans="2:14" ht="15" customHeight="1" thickBot="1" x14ac:dyDescent="0.3">
      <c r="B4948" s="725" t="s">
        <v>414</v>
      </c>
      <c r="C4948" s="726"/>
      <c r="D4948" s="726"/>
      <c r="E4948" s="147"/>
      <c r="F4948" s="147"/>
      <c r="G4948" s="147"/>
      <c r="H4948" s="147"/>
      <c r="I4948" s="727"/>
      <c r="J4948" s="726"/>
      <c r="K4948" s="726"/>
      <c r="L4948" s="130"/>
      <c r="M4948" s="130"/>
      <c r="N4948" s="131"/>
    </row>
    <row r="4949" spans="2:14" ht="15" customHeight="1" thickBot="1" x14ac:dyDescent="0.3"/>
    <row r="4950" spans="2:14" ht="45.6" customHeight="1" x14ac:dyDescent="0.25">
      <c r="B4950" s="728"/>
      <c r="C4950" s="729"/>
      <c r="D4950" s="730" t="s">
        <v>393</v>
      </c>
      <c r="E4950" s="729"/>
      <c r="F4950" s="729"/>
      <c r="G4950" s="729"/>
      <c r="H4950" s="729"/>
      <c r="I4950" s="729"/>
      <c r="J4950" s="729"/>
      <c r="K4950" s="729"/>
      <c r="L4950" s="729"/>
      <c r="M4950" s="729"/>
      <c r="N4950" s="731"/>
    </row>
    <row r="4951" spans="2:14" ht="15" customHeight="1" x14ac:dyDescent="0.25">
      <c r="B4951" s="732" t="s">
        <v>394</v>
      </c>
      <c r="C4951" s="733"/>
      <c r="D4951" s="733"/>
      <c r="E4951" s="733"/>
      <c r="F4951" s="733"/>
      <c r="G4951" s="733"/>
      <c r="H4951" s="733"/>
      <c r="I4951" s="733"/>
      <c r="J4951" s="733"/>
      <c r="K4951" s="733"/>
      <c r="L4951" s="733"/>
      <c r="M4951" s="733"/>
      <c r="N4951" s="734"/>
    </row>
    <row r="4952" spans="2:14" ht="62.45" customHeight="1" x14ac:dyDescent="0.25">
      <c r="B4952" s="735" t="s">
        <v>395</v>
      </c>
      <c r="C4952" s="736"/>
      <c r="D4952" s="737" t="str">
        <f>VLOOKUP(B4954,Buenaventura!A9:G6145,3,FALSE)</f>
        <v>Suministro e instalación de celosía en aluminio cuyas medidas oscilan entre 0,20m de altura x 0,60m y 1.00m de largo, , incluyendo estructura de soporte (marco), elementos de fijación, anclajes y refuerzos necesarios para su correcta instalación, asi mismo, Incluye aplicación de imprimante tipo wash primer o promotor de adherencia para aluminio, y acabado con pintura de alto desempeño tipo poliéster, poliuretano o sistema electrostático (pintura en polvo), mínimo dos capas, apta para exposición exterior y ambiente marino, garantizando durabilidad, resistencia a la corrosión y adecuado acabado.</v>
      </c>
      <c r="E4952" s="738"/>
      <c r="F4952" s="738"/>
      <c r="G4952" s="738"/>
      <c r="H4952" s="738"/>
      <c r="I4952" s="738"/>
      <c r="J4952" s="738"/>
      <c r="K4952" s="738"/>
      <c r="L4952" s="738"/>
      <c r="M4952" s="738"/>
      <c r="N4952" s="739"/>
    </row>
    <row r="4953" spans="2:14" ht="27.6" customHeight="1" x14ac:dyDescent="0.25">
      <c r="B4953" s="740" t="s">
        <v>26</v>
      </c>
      <c r="C4953" s="741"/>
      <c r="D4953" s="119" t="s">
        <v>396</v>
      </c>
      <c r="E4953" s="742" t="s">
        <v>397</v>
      </c>
      <c r="F4953" s="733"/>
      <c r="G4953" s="733"/>
      <c r="H4953" s="736"/>
      <c r="I4953" s="742" t="s">
        <v>398</v>
      </c>
      <c r="J4953" s="733"/>
      <c r="K4953" s="736"/>
      <c r="L4953" s="742" t="s">
        <v>399</v>
      </c>
      <c r="M4953" s="733"/>
      <c r="N4953" s="734"/>
    </row>
    <row r="4954" spans="2:14" ht="15" customHeight="1" x14ac:dyDescent="0.25">
      <c r="B4954" s="283">
        <v>138</v>
      </c>
      <c r="C4954" s="284" t="str">
        <f>VLOOKUP(B4954,Buenaventura!A9:G6158,2,FALSE)</f>
        <v>CA-48</v>
      </c>
      <c r="D4954" s="285">
        <f>SUM(H4957:H4960)</f>
        <v>1</v>
      </c>
      <c r="E4954" s="743" t="str">
        <f>VLOOKUP(B4954,Buenaventura!A9:G6157,4,FALSE)</f>
        <v>ML</v>
      </c>
      <c r="F4954" s="743"/>
      <c r="G4954" s="743"/>
      <c r="H4954" s="743"/>
      <c r="I4954" s="744"/>
      <c r="J4954" s="745"/>
      <c r="K4954" s="741"/>
      <c r="L4954" s="744"/>
      <c r="M4954" s="745"/>
      <c r="N4954" s="752"/>
    </row>
    <row r="4955" spans="2:14" ht="15" customHeight="1" x14ac:dyDescent="0.25">
      <c r="B4955" s="755" t="s">
        <v>416</v>
      </c>
      <c r="C4955" s="733"/>
      <c r="D4955" s="733"/>
      <c r="E4955" s="733"/>
      <c r="F4955" s="733"/>
      <c r="G4955" s="733"/>
      <c r="H4955" s="736"/>
      <c r="I4955" s="746"/>
      <c r="J4955" s="747"/>
      <c r="K4955" s="748"/>
      <c r="L4955" s="746"/>
      <c r="M4955" s="747"/>
      <c r="N4955" s="753"/>
    </row>
    <row r="4956" spans="2:14" ht="15" customHeight="1" x14ac:dyDescent="0.25">
      <c r="B4956" s="121" t="s">
        <v>400</v>
      </c>
      <c r="C4956" s="122" t="s">
        <v>401</v>
      </c>
      <c r="D4956" s="123" t="s">
        <v>402</v>
      </c>
      <c r="E4956" s="123" t="s">
        <v>403</v>
      </c>
      <c r="F4956" s="123" t="s">
        <v>404</v>
      </c>
      <c r="G4956" s="123" t="s">
        <v>405</v>
      </c>
      <c r="H4956" s="123" t="s">
        <v>406</v>
      </c>
      <c r="I4956" s="746"/>
      <c r="J4956" s="747"/>
      <c r="K4956" s="748"/>
      <c r="L4956" s="746"/>
      <c r="M4956" s="747"/>
      <c r="N4956" s="753"/>
    </row>
    <row r="4957" spans="2:14" ht="15" customHeight="1" x14ac:dyDescent="0.25">
      <c r="B4957" s="124"/>
      <c r="C4957" s="145"/>
      <c r="D4957" s="125">
        <v>1</v>
      </c>
      <c r="E4957" s="125"/>
      <c r="F4957" s="125"/>
      <c r="G4957" s="125"/>
      <c r="H4957" s="125">
        <f>D4957</f>
        <v>1</v>
      </c>
      <c r="I4957" s="746"/>
      <c r="J4957" s="747"/>
      <c r="K4957" s="748"/>
      <c r="L4957" s="746"/>
      <c r="M4957" s="747"/>
      <c r="N4957" s="753"/>
    </row>
    <row r="4958" spans="2:14" ht="15" customHeight="1" x14ac:dyDescent="0.25">
      <c r="B4958" s="124"/>
      <c r="C4958" s="145"/>
      <c r="D4958" s="125"/>
      <c r="E4958" s="125"/>
      <c r="F4958" s="125"/>
      <c r="G4958" s="125"/>
      <c r="H4958" s="125"/>
      <c r="I4958" s="746"/>
      <c r="J4958" s="747"/>
      <c r="K4958" s="748"/>
      <c r="L4958" s="746"/>
      <c r="M4958" s="747"/>
      <c r="N4958" s="753"/>
    </row>
    <row r="4959" spans="2:14" ht="15" customHeight="1" x14ac:dyDescent="0.25">
      <c r="B4959" s="165"/>
      <c r="C4959" s="145"/>
      <c r="D4959" s="125"/>
      <c r="E4959" s="125"/>
      <c r="F4959" s="125"/>
      <c r="G4959" s="125"/>
      <c r="H4959" s="125"/>
      <c r="I4959" s="746"/>
      <c r="J4959" s="747"/>
      <c r="K4959" s="748"/>
      <c r="L4959" s="746"/>
      <c r="M4959" s="747"/>
      <c r="N4959" s="753"/>
    </row>
    <row r="4960" spans="2:14" ht="15" customHeight="1" x14ac:dyDescent="0.25">
      <c r="B4960" s="165"/>
      <c r="C4960" s="145"/>
      <c r="D4960" s="125"/>
      <c r="E4960" s="125"/>
      <c r="F4960" s="125"/>
      <c r="G4960" s="125"/>
      <c r="H4960" s="125"/>
      <c r="I4960" s="746"/>
      <c r="J4960" s="747"/>
      <c r="K4960" s="748"/>
      <c r="L4960" s="746"/>
      <c r="M4960" s="747"/>
      <c r="N4960" s="753"/>
    </row>
    <row r="4961" spans="2:14" ht="15" customHeight="1" x14ac:dyDescent="0.25">
      <c r="B4961" s="165"/>
      <c r="C4961" s="145"/>
      <c r="D4961" s="125"/>
      <c r="E4961" s="125"/>
      <c r="F4961" s="125"/>
      <c r="G4961" s="125"/>
      <c r="H4961" s="125"/>
      <c r="I4961" s="746"/>
      <c r="J4961" s="747"/>
      <c r="K4961" s="748"/>
      <c r="L4961" s="746"/>
      <c r="M4961" s="747"/>
      <c r="N4961" s="753"/>
    </row>
    <row r="4962" spans="2:14" ht="15" customHeight="1" x14ac:dyDescent="0.25">
      <c r="B4962" s="165"/>
      <c r="C4962" s="145"/>
      <c r="D4962" s="125"/>
      <c r="E4962" s="125"/>
      <c r="F4962" s="125"/>
      <c r="G4962" s="125"/>
      <c r="H4962" s="125"/>
      <c r="I4962" s="746"/>
      <c r="J4962" s="747"/>
      <c r="K4962" s="748"/>
      <c r="L4962" s="746"/>
      <c r="M4962" s="747"/>
      <c r="N4962" s="753"/>
    </row>
    <row r="4963" spans="2:14" ht="15" customHeight="1" x14ac:dyDescent="0.25">
      <c r="B4963" s="165"/>
      <c r="C4963" s="145"/>
      <c r="D4963" s="125"/>
      <c r="E4963" s="125"/>
      <c r="F4963" s="125"/>
      <c r="G4963" s="125"/>
      <c r="H4963" s="125"/>
      <c r="I4963" s="746"/>
      <c r="J4963" s="747"/>
      <c r="K4963" s="748"/>
      <c r="L4963" s="746"/>
      <c r="M4963" s="747"/>
      <c r="N4963" s="753"/>
    </row>
    <row r="4964" spans="2:14" ht="15" customHeight="1" x14ac:dyDescent="0.25">
      <c r="B4964" s="124"/>
      <c r="C4964" s="145"/>
      <c r="D4964" s="125"/>
      <c r="E4964" s="125"/>
      <c r="F4964" s="125"/>
      <c r="G4964" s="125"/>
      <c r="H4964" s="125"/>
      <c r="I4964" s="746"/>
      <c r="J4964" s="747"/>
      <c r="K4964" s="748"/>
      <c r="L4964" s="746"/>
      <c r="M4964" s="747"/>
      <c r="N4964" s="753"/>
    </row>
    <row r="4965" spans="2:14" ht="15" customHeight="1" x14ac:dyDescent="0.25">
      <c r="B4965" s="124"/>
      <c r="C4965" s="125"/>
      <c r="D4965" s="125"/>
      <c r="E4965" s="125"/>
      <c r="F4965" s="125"/>
      <c r="G4965" s="125"/>
      <c r="H4965" s="125"/>
      <c r="I4965" s="746"/>
      <c r="J4965" s="747"/>
      <c r="K4965" s="748"/>
      <c r="L4965" s="746"/>
      <c r="M4965" s="747"/>
      <c r="N4965" s="753"/>
    </row>
    <row r="4966" spans="2:14" ht="15" customHeight="1" x14ac:dyDescent="0.25">
      <c r="B4966" s="127"/>
      <c r="C4966" s="125"/>
      <c r="D4966" s="125"/>
      <c r="E4966" s="125"/>
      <c r="F4966" s="125"/>
      <c r="G4966" s="125"/>
      <c r="H4966" s="125"/>
      <c r="I4966" s="749"/>
      <c r="J4966" s="750"/>
      <c r="K4966" s="751"/>
      <c r="L4966" s="749"/>
      <c r="M4966" s="750"/>
      <c r="N4966" s="754"/>
    </row>
    <row r="4967" spans="2:14" ht="15" customHeight="1" x14ac:dyDescent="0.25">
      <c r="B4967" s="225"/>
      <c r="C4967" s="128"/>
      <c r="D4967" s="128"/>
      <c r="E4967" s="128"/>
      <c r="F4967" s="128"/>
      <c r="G4967" s="128"/>
      <c r="H4967" s="128"/>
      <c r="I4967" s="128"/>
      <c r="J4967" s="128"/>
      <c r="K4967" s="128"/>
      <c r="L4967" s="118"/>
      <c r="M4967" s="118"/>
      <c r="N4967" s="210"/>
    </row>
    <row r="4968" spans="2:14" ht="15" customHeight="1" x14ac:dyDescent="0.25">
      <c r="B4968" s="209"/>
      <c r="C4968" s="118"/>
      <c r="D4968" s="118"/>
      <c r="E4968" s="118"/>
      <c r="F4968" s="118"/>
      <c r="G4968" s="118"/>
      <c r="H4968" s="118"/>
      <c r="I4968" s="118"/>
      <c r="J4968" s="118"/>
      <c r="K4968" s="118"/>
      <c r="L4968" s="118"/>
      <c r="M4968" s="118"/>
      <c r="N4968" s="210"/>
    </row>
    <row r="4969" spans="2:14" ht="15" customHeight="1" x14ac:dyDescent="0.25">
      <c r="B4969" s="209"/>
      <c r="C4969" s="118"/>
      <c r="D4969" s="118"/>
      <c r="E4969" s="118"/>
      <c r="F4969" s="118"/>
      <c r="G4969" s="118"/>
      <c r="H4969" s="118"/>
      <c r="I4969" s="118"/>
      <c r="J4969" s="118"/>
      <c r="K4969" s="118"/>
      <c r="L4969" s="118"/>
      <c r="M4969" s="118"/>
      <c r="N4969" s="210"/>
    </row>
    <row r="4970" spans="2:14" ht="15" customHeight="1" thickBot="1" x14ac:dyDescent="0.3">
      <c r="B4970" s="725" t="s">
        <v>414</v>
      </c>
      <c r="C4970" s="726"/>
      <c r="D4970" s="726"/>
      <c r="E4970" s="147"/>
      <c r="F4970" s="147"/>
      <c r="G4970" s="147"/>
      <c r="H4970" s="147"/>
      <c r="I4970" s="727"/>
      <c r="J4970" s="726"/>
      <c r="K4970" s="726"/>
      <c r="L4970" s="130"/>
      <c r="M4970" s="130"/>
      <c r="N4970" s="131"/>
    </row>
    <row r="4971" spans="2:14" ht="15" customHeight="1" thickBot="1" x14ac:dyDescent="0.3"/>
    <row r="4972" spans="2:14" ht="38.450000000000003" customHeight="1" x14ac:dyDescent="0.25">
      <c r="B4972" s="728"/>
      <c r="C4972" s="729"/>
      <c r="D4972" s="730" t="s">
        <v>393</v>
      </c>
      <c r="E4972" s="729"/>
      <c r="F4972" s="729"/>
      <c r="G4972" s="729"/>
      <c r="H4972" s="729"/>
      <c r="I4972" s="729"/>
      <c r="J4972" s="729"/>
      <c r="K4972" s="729"/>
      <c r="L4972" s="729"/>
      <c r="M4972" s="729"/>
      <c r="N4972" s="731"/>
    </row>
    <row r="4973" spans="2:14" ht="16.899999999999999" customHeight="1" x14ac:dyDescent="0.25">
      <c r="B4973" s="732" t="s">
        <v>394</v>
      </c>
      <c r="C4973" s="733"/>
      <c r="D4973" s="733"/>
      <c r="E4973" s="733"/>
      <c r="F4973" s="733"/>
      <c r="G4973" s="733"/>
      <c r="H4973" s="733"/>
      <c r="I4973" s="733"/>
      <c r="J4973" s="733"/>
      <c r="K4973" s="733"/>
      <c r="L4973" s="733"/>
      <c r="M4973" s="733"/>
      <c r="N4973" s="734"/>
    </row>
    <row r="4974" spans="2:14" ht="34.15" customHeight="1" x14ac:dyDescent="0.25">
      <c r="B4974" s="735" t="s">
        <v>395</v>
      </c>
      <c r="C4974" s="736"/>
      <c r="D4974" s="737" t="str">
        <f>VLOOKUP(B4976,Buenaventura!A9:G6167,3,FALSE)</f>
        <v>Suminsitro e instalacion de tapa en aluminio cuyas medidas oscilan entre 0,60m y 0.80 de ancho x 0,60m y 0,80m de largo,  incluyendo estructura de soporte (marco), elementos de fijación, anclajes y refuerzos necesarios para su correcta instalación, asi mismo, Incluye aplicación de imprimante tipo wash primer o promotor de adherencia para aluminio, y acabado con pintura de alto desempeño tipo poliéster, poliuretano o sistema electrostático (pintura en polvo), mínimo dos capas, apta para exposición exterior y ambiente marino, garantizando durabilidad, resistencia a la corrosión y adecuado acabado.</v>
      </c>
      <c r="E4974" s="738"/>
      <c r="F4974" s="738"/>
      <c r="G4974" s="738"/>
      <c r="H4974" s="738"/>
      <c r="I4974" s="738"/>
      <c r="J4974" s="738"/>
      <c r="K4974" s="738"/>
      <c r="L4974" s="738"/>
      <c r="M4974" s="738"/>
      <c r="N4974" s="739"/>
    </row>
    <row r="4975" spans="2:14" ht="31.9" customHeight="1" x14ac:dyDescent="0.25">
      <c r="B4975" s="740" t="s">
        <v>26</v>
      </c>
      <c r="C4975" s="741"/>
      <c r="D4975" s="119" t="s">
        <v>396</v>
      </c>
      <c r="E4975" s="742" t="s">
        <v>397</v>
      </c>
      <c r="F4975" s="733"/>
      <c r="G4975" s="733"/>
      <c r="H4975" s="736"/>
      <c r="I4975" s="742" t="s">
        <v>398</v>
      </c>
      <c r="J4975" s="733"/>
      <c r="K4975" s="736"/>
      <c r="L4975" s="742" t="s">
        <v>399</v>
      </c>
      <c r="M4975" s="733"/>
      <c r="N4975" s="734"/>
    </row>
    <row r="4976" spans="2:14" ht="15" customHeight="1" x14ac:dyDescent="0.25">
      <c r="B4976" s="283">
        <v>139</v>
      </c>
      <c r="C4976" s="284" t="str">
        <f>VLOOKUP(B4976,Buenaventura!A9:G6180,2,FALSE)</f>
        <v>CA-49</v>
      </c>
      <c r="D4976" s="285">
        <f>SUM(H4979:H4982)</f>
        <v>4.6899999999999995</v>
      </c>
      <c r="E4976" s="743" t="str">
        <f>VLOOKUP(B4976,Buenaventura!A9:G6179,4,FALSE)</f>
        <v>UND</v>
      </c>
      <c r="F4976" s="743"/>
      <c r="G4976" s="743"/>
      <c r="H4976" s="743"/>
      <c r="I4976" s="744"/>
      <c r="J4976" s="745"/>
      <c r="K4976" s="741"/>
      <c r="L4976" s="744"/>
      <c r="M4976" s="745"/>
      <c r="N4976" s="752"/>
    </row>
    <row r="4977" spans="2:14" ht="15" customHeight="1" x14ac:dyDescent="0.25">
      <c r="B4977" s="755" t="s">
        <v>416</v>
      </c>
      <c r="C4977" s="733"/>
      <c r="D4977" s="733"/>
      <c r="E4977" s="733"/>
      <c r="F4977" s="733"/>
      <c r="G4977" s="733"/>
      <c r="H4977" s="736"/>
      <c r="I4977" s="746"/>
      <c r="J4977" s="747"/>
      <c r="K4977" s="748"/>
      <c r="L4977" s="746"/>
      <c r="M4977" s="747"/>
      <c r="N4977" s="753"/>
    </row>
    <row r="4978" spans="2:14" ht="15" customHeight="1" x14ac:dyDescent="0.25">
      <c r="B4978" s="121" t="s">
        <v>400</v>
      </c>
      <c r="C4978" s="122" t="s">
        <v>401</v>
      </c>
      <c r="D4978" s="123" t="s">
        <v>402</v>
      </c>
      <c r="E4978" s="123" t="s">
        <v>403</v>
      </c>
      <c r="F4978" s="123" t="s">
        <v>404</v>
      </c>
      <c r="G4978" s="123" t="s">
        <v>405</v>
      </c>
      <c r="H4978" s="123" t="s">
        <v>406</v>
      </c>
      <c r="I4978" s="746"/>
      <c r="J4978" s="747"/>
      <c r="K4978" s="748"/>
      <c r="L4978" s="746"/>
      <c r="M4978" s="747"/>
      <c r="N4978" s="753"/>
    </row>
    <row r="4979" spans="2:14" ht="15" customHeight="1" x14ac:dyDescent="0.25">
      <c r="B4979" s="124"/>
      <c r="C4979" s="145" t="s">
        <v>617</v>
      </c>
      <c r="D4979" s="125">
        <v>4</v>
      </c>
      <c r="E4979" s="125">
        <v>0.7</v>
      </c>
      <c r="F4979" s="125">
        <v>1.5</v>
      </c>
      <c r="G4979" s="125"/>
      <c r="H4979" s="125">
        <f>D4979*E4979*F4979</f>
        <v>4.1999999999999993</v>
      </c>
      <c r="I4979" s="746"/>
      <c r="J4979" s="747"/>
      <c r="K4979" s="748"/>
      <c r="L4979" s="746"/>
      <c r="M4979" s="747"/>
      <c r="N4979" s="753"/>
    </row>
    <row r="4980" spans="2:14" ht="15" customHeight="1" x14ac:dyDescent="0.25">
      <c r="B4980" s="124"/>
      <c r="C4980" s="145"/>
      <c r="D4980" s="125">
        <v>1</v>
      </c>
      <c r="E4980" s="125">
        <v>0.7</v>
      </c>
      <c r="F4980" s="125">
        <v>0.7</v>
      </c>
      <c r="G4980" s="125"/>
      <c r="H4980" s="125">
        <f>D4980*E4980*F4980</f>
        <v>0.48999999999999994</v>
      </c>
      <c r="I4980" s="746"/>
      <c r="J4980" s="747"/>
      <c r="K4980" s="748"/>
      <c r="L4980" s="746"/>
      <c r="M4980" s="747"/>
      <c r="N4980" s="753"/>
    </row>
    <row r="4981" spans="2:14" ht="15" customHeight="1" x14ac:dyDescent="0.25">
      <c r="B4981" s="165"/>
      <c r="C4981" s="145"/>
      <c r="D4981" s="125"/>
      <c r="E4981" s="125"/>
      <c r="F4981" s="125"/>
      <c r="G4981" s="125"/>
      <c r="H4981" s="125"/>
      <c r="I4981" s="746"/>
      <c r="J4981" s="747"/>
      <c r="K4981" s="748"/>
      <c r="L4981" s="746"/>
      <c r="M4981" s="747"/>
      <c r="N4981" s="753"/>
    </row>
    <row r="4982" spans="2:14" ht="15" customHeight="1" x14ac:dyDescent="0.25">
      <c r="B4982" s="165"/>
      <c r="C4982" s="145"/>
      <c r="D4982" s="125"/>
      <c r="E4982" s="125"/>
      <c r="F4982" s="125"/>
      <c r="G4982" s="125"/>
      <c r="H4982" s="125"/>
      <c r="I4982" s="746"/>
      <c r="J4982" s="747"/>
      <c r="K4982" s="748"/>
      <c r="L4982" s="746"/>
      <c r="M4982" s="747"/>
      <c r="N4982" s="753"/>
    </row>
    <row r="4983" spans="2:14" ht="15" customHeight="1" x14ac:dyDescent="0.25">
      <c r="B4983" s="165"/>
      <c r="C4983" s="145"/>
      <c r="D4983" s="125"/>
      <c r="E4983" s="125"/>
      <c r="F4983" s="125"/>
      <c r="G4983" s="125"/>
      <c r="H4983" s="125"/>
      <c r="I4983" s="746"/>
      <c r="J4983" s="747"/>
      <c r="K4983" s="748"/>
      <c r="L4983" s="746"/>
      <c r="M4983" s="747"/>
      <c r="N4983" s="753"/>
    </row>
    <row r="4984" spans="2:14" ht="15" customHeight="1" x14ac:dyDescent="0.25">
      <c r="B4984" s="165"/>
      <c r="C4984" s="145"/>
      <c r="D4984" s="125"/>
      <c r="E4984" s="125"/>
      <c r="F4984" s="125"/>
      <c r="G4984" s="125"/>
      <c r="H4984" s="125"/>
      <c r="I4984" s="746"/>
      <c r="J4984" s="747"/>
      <c r="K4984" s="748"/>
      <c r="L4984" s="746"/>
      <c r="M4984" s="747"/>
      <c r="N4984" s="753"/>
    </row>
    <row r="4985" spans="2:14" ht="15" customHeight="1" x14ac:dyDescent="0.25">
      <c r="B4985" s="165"/>
      <c r="C4985" s="145"/>
      <c r="D4985" s="125"/>
      <c r="E4985" s="125"/>
      <c r="F4985" s="125"/>
      <c r="G4985" s="125"/>
      <c r="H4985" s="125"/>
      <c r="I4985" s="746"/>
      <c r="J4985" s="747"/>
      <c r="K4985" s="748"/>
      <c r="L4985" s="746"/>
      <c r="M4985" s="747"/>
      <c r="N4985" s="753"/>
    </row>
    <row r="4986" spans="2:14" ht="15" customHeight="1" x14ac:dyDescent="0.25">
      <c r="B4986" s="124"/>
      <c r="C4986" s="145"/>
      <c r="D4986" s="125"/>
      <c r="E4986" s="125"/>
      <c r="F4986" s="125"/>
      <c r="G4986" s="125"/>
      <c r="H4986" s="125"/>
      <c r="I4986" s="746"/>
      <c r="J4986" s="747"/>
      <c r="K4986" s="748"/>
      <c r="L4986" s="746"/>
      <c r="M4986" s="747"/>
      <c r="N4986" s="753"/>
    </row>
    <row r="4987" spans="2:14" ht="15" customHeight="1" x14ac:dyDescent="0.25">
      <c r="B4987" s="124"/>
      <c r="C4987" s="125"/>
      <c r="D4987" s="125"/>
      <c r="E4987" s="125"/>
      <c r="F4987" s="125"/>
      <c r="G4987" s="125"/>
      <c r="H4987" s="125"/>
      <c r="I4987" s="746"/>
      <c r="J4987" s="747"/>
      <c r="K4987" s="748"/>
      <c r="L4987" s="746"/>
      <c r="M4987" s="747"/>
      <c r="N4987" s="753"/>
    </row>
    <row r="4988" spans="2:14" ht="15" customHeight="1" x14ac:dyDescent="0.25">
      <c r="B4988" s="127"/>
      <c r="C4988" s="125"/>
      <c r="D4988" s="125"/>
      <c r="E4988" s="125"/>
      <c r="F4988" s="125"/>
      <c r="G4988" s="125"/>
      <c r="H4988" s="125"/>
      <c r="I4988" s="749"/>
      <c r="J4988" s="750"/>
      <c r="K4988" s="751"/>
      <c r="L4988" s="749"/>
      <c r="M4988" s="750"/>
      <c r="N4988" s="754"/>
    </row>
    <row r="4989" spans="2:14" ht="15" customHeight="1" x14ac:dyDescent="0.25">
      <c r="B4989" s="225"/>
      <c r="C4989" s="128"/>
      <c r="D4989" s="128"/>
      <c r="E4989" s="128"/>
      <c r="F4989" s="128"/>
      <c r="G4989" s="128"/>
      <c r="H4989" s="128"/>
      <c r="I4989" s="128"/>
      <c r="J4989" s="128"/>
      <c r="K4989" s="128"/>
      <c r="L4989" s="118"/>
      <c r="M4989" s="118"/>
      <c r="N4989" s="210"/>
    </row>
    <row r="4990" spans="2:14" ht="15" customHeight="1" x14ac:dyDescent="0.25">
      <c r="B4990" s="209"/>
      <c r="C4990" s="118"/>
      <c r="D4990" s="118"/>
      <c r="E4990" s="118"/>
      <c r="F4990" s="118"/>
      <c r="G4990" s="118"/>
      <c r="H4990" s="118"/>
      <c r="I4990" s="118"/>
      <c r="J4990" s="118"/>
      <c r="K4990" s="118"/>
      <c r="L4990" s="118"/>
      <c r="M4990" s="118"/>
      <c r="N4990" s="210"/>
    </row>
    <row r="4991" spans="2:14" ht="15" customHeight="1" x14ac:dyDescent="0.25">
      <c r="B4991" s="209"/>
      <c r="C4991" s="118"/>
      <c r="D4991" s="118"/>
      <c r="E4991" s="118"/>
      <c r="F4991" s="118"/>
      <c r="G4991" s="118"/>
      <c r="H4991" s="118"/>
      <c r="I4991" s="118"/>
      <c r="J4991" s="118"/>
      <c r="K4991" s="118"/>
      <c r="L4991" s="118"/>
      <c r="M4991" s="118"/>
      <c r="N4991" s="210"/>
    </row>
    <row r="4992" spans="2:14" ht="15" customHeight="1" thickBot="1" x14ac:dyDescent="0.3">
      <c r="B4992" s="725" t="s">
        <v>414</v>
      </c>
      <c r="C4992" s="726"/>
      <c r="D4992" s="726"/>
      <c r="E4992" s="147"/>
      <c r="F4992" s="147"/>
      <c r="G4992" s="147"/>
      <c r="H4992" s="147"/>
      <c r="I4992" s="727"/>
      <c r="J4992" s="726"/>
      <c r="K4992" s="726"/>
      <c r="L4992" s="130"/>
      <c r="M4992" s="130"/>
      <c r="N4992" s="131"/>
    </row>
    <row r="4993" spans="2:14" ht="15" customHeight="1" thickBot="1" x14ac:dyDescent="0.3"/>
    <row r="4994" spans="2:14" ht="37.9" customHeight="1" x14ac:dyDescent="0.25">
      <c r="B4994" s="728"/>
      <c r="C4994" s="729"/>
      <c r="D4994" s="730" t="s">
        <v>393</v>
      </c>
      <c r="E4994" s="729"/>
      <c r="F4994" s="729"/>
      <c r="G4994" s="729"/>
      <c r="H4994" s="729"/>
      <c r="I4994" s="729"/>
      <c r="J4994" s="729"/>
      <c r="K4994" s="729"/>
      <c r="L4994" s="729"/>
      <c r="M4994" s="729"/>
      <c r="N4994" s="731"/>
    </row>
    <row r="4995" spans="2:14" ht="15" customHeight="1" x14ac:dyDescent="0.25">
      <c r="B4995" s="732" t="s">
        <v>394</v>
      </c>
      <c r="C4995" s="733"/>
      <c r="D4995" s="733"/>
      <c r="E4995" s="733"/>
      <c r="F4995" s="733"/>
      <c r="G4995" s="733"/>
      <c r="H4995" s="733"/>
      <c r="I4995" s="733"/>
      <c r="J4995" s="733"/>
      <c r="K4995" s="733"/>
      <c r="L4995" s="733"/>
      <c r="M4995" s="733"/>
      <c r="N4995" s="734"/>
    </row>
    <row r="4996" spans="2:14" ht="21.6" customHeight="1" x14ac:dyDescent="0.25">
      <c r="B4996" s="735" t="s">
        <v>395</v>
      </c>
      <c r="C4996" s="736"/>
      <c r="D4996" s="737" t="str">
        <f>VLOOKUP(B4998,Buenaventura!A9:G6189,3,FALSE)</f>
        <v>Suministro de escalera portátil en aluminio de 2.50 m de longitud, certificada, fabricada en material liviano y resistente a la corrosión, con peldaños antideslizantes, zapatas inferiores en material antideslizante, capacidad de carga acorde a norma, y diseño apto para trabajos de mantenimiento. Incluye todos los elementos necesarios para su correcto funcionamiento y seguridad.</v>
      </c>
      <c r="E4996" s="738"/>
      <c r="F4996" s="738"/>
      <c r="G4996" s="738"/>
      <c r="H4996" s="738"/>
      <c r="I4996" s="738"/>
      <c r="J4996" s="738"/>
      <c r="K4996" s="738"/>
      <c r="L4996" s="738"/>
      <c r="M4996" s="738"/>
      <c r="N4996" s="739"/>
    </row>
    <row r="4997" spans="2:14" ht="26.45" customHeight="1" x14ac:dyDescent="0.25">
      <c r="B4997" s="740" t="s">
        <v>26</v>
      </c>
      <c r="C4997" s="741"/>
      <c r="D4997" s="119" t="s">
        <v>396</v>
      </c>
      <c r="E4997" s="742" t="s">
        <v>397</v>
      </c>
      <c r="F4997" s="733"/>
      <c r="G4997" s="733"/>
      <c r="H4997" s="736"/>
      <c r="I4997" s="742" t="s">
        <v>398</v>
      </c>
      <c r="J4997" s="733"/>
      <c r="K4997" s="736"/>
      <c r="L4997" s="742" t="s">
        <v>399</v>
      </c>
      <c r="M4997" s="733"/>
      <c r="N4997" s="734"/>
    </row>
    <row r="4998" spans="2:14" ht="15" customHeight="1" x14ac:dyDescent="0.25">
      <c r="B4998" s="283">
        <v>140</v>
      </c>
      <c r="C4998" s="284" t="str">
        <f>VLOOKUP(B4998,Buenaventura!A9:G6202,2,FALSE)</f>
        <v>VA-36</v>
      </c>
      <c r="D4998" s="285">
        <f>SUM(H5001:H5004)</f>
        <v>4.6899999999999995</v>
      </c>
      <c r="E4998" s="743" t="str">
        <f>VLOOKUP(B4998,Buenaventura!A9:G6201,4,FALSE)</f>
        <v>UND</v>
      </c>
      <c r="F4998" s="743"/>
      <c r="G4998" s="743"/>
      <c r="H4998" s="743"/>
      <c r="I4998" s="744"/>
      <c r="J4998" s="745"/>
      <c r="K4998" s="741"/>
      <c r="L4998" s="744"/>
      <c r="M4998" s="745"/>
      <c r="N4998" s="752"/>
    </row>
    <row r="4999" spans="2:14" ht="15" customHeight="1" x14ac:dyDescent="0.25">
      <c r="B4999" s="755" t="s">
        <v>416</v>
      </c>
      <c r="C4999" s="733"/>
      <c r="D4999" s="733"/>
      <c r="E4999" s="733"/>
      <c r="F4999" s="733"/>
      <c r="G4999" s="733"/>
      <c r="H4999" s="736"/>
      <c r="I4999" s="746"/>
      <c r="J4999" s="747"/>
      <c r="K4999" s="748"/>
      <c r="L4999" s="746"/>
      <c r="M4999" s="747"/>
      <c r="N4999" s="753"/>
    </row>
    <row r="5000" spans="2:14" ht="15" customHeight="1" x14ac:dyDescent="0.25">
      <c r="B5000" s="121" t="s">
        <v>400</v>
      </c>
      <c r="C5000" s="122" t="s">
        <v>401</v>
      </c>
      <c r="D5000" s="123" t="s">
        <v>402</v>
      </c>
      <c r="E5000" s="123" t="s">
        <v>403</v>
      </c>
      <c r="F5000" s="123" t="s">
        <v>404</v>
      </c>
      <c r="G5000" s="123" t="s">
        <v>405</v>
      </c>
      <c r="H5000" s="123" t="s">
        <v>406</v>
      </c>
      <c r="I5000" s="746"/>
      <c r="J5000" s="747"/>
      <c r="K5000" s="748"/>
      <c r="L5000" s="746"/>
      <c r="M5000" s="747"/>
      <c r="N5000" s="753"/>
    </row>
    <row r="5001" spans="2:14" ht="15" customHeight="1" x14ac:dyDescent="0.25">
      <c r="B5001" s="124"/>
      <c r="C5001" s="145" t="s">
        <v>617</v>
      </c>
      <c r="D5001" s="125">
        <v>4</v>
      </c>
      <c r="E5001" s="125">
        <v>0.7</v>
      </c>
      <c r="F5001" s="125">
        <v>1.5</v>
      </c>
      <c r="G5001" s="125"/>
      <c r="H5001" s="125">
        <f>D5001*E5001*F5001</f>
        <v>4.1999999999999993</v>
      </c>
      <c r="I5001" s="746"/>
      <c r="J5001" s="747"/>
      <c r="K5001" s="748"/>
      <c r="L5001" s="746"/>
      <c r="M5001" s="747"/>
      <c r="N5001" s="753"/>
    </row>
    <row r="5002" spans="2:14" ht="15" customHeight="1" x14ac:dyDescent="0.25">
      <c r="B5002" s="124"/>
      <c r="C5002" s="145"/>
      <c r="D5002" s="125">
        <v>1</v>
      </c>
      <c r="E5002" s="125">
        <v>0.7</v>
      </c>
      <c r="F5002" s="125">
        <v>0.7</v>
      </c>
      <c r="G5002" s="125"/>
      <c r="H5002" s="125">
        <f>D5002*E5002*F5002</f>
        <v>0.48999999999999994</v>
      </c>
      <c r="I5002" s="746"/>
      <c r="J5002" s="747"/>
      <c r="K5002" s="748"/>
      <c r="L5002" s="746"/>
      <c r="M5002" s="747"/>
      <c r="N5002" s="753"/>
    </row>
    <row r="5003" spans="2:14" ht="15" customHeight="1" x14ac:dyDescent="0.25">
      <c r="B5003" s="165"/>
      <c r="C5003" s="145"/>
      <c r="D5003" s="125"/>
      <c r="E5003" s="125"/>
      <c r="F5003" s="125"/>
      <c r="G5003" s="125"/>
      <c r="H5003" s="125"/>
      <c r="I5003" s="746"/>
      <c r="J5003" s="747"/>
      <c r="K5003" s="748"/>
      <c r="L5003" s="746"/>
      <c r="M5003" s="747"/>
      <c r="N5003" s="753"/>
    </row>
    <row r="5004" spans="2:14" ht="15" customHeight="1" x14ac:dyDescent="0.25">
      <c r="B5004" s="165"/>
      <c r="C5004" s="145"/>
      <c r="D5004" s="125"/>
      <c r="E5004" s="125"/>
      <c r="F5004" s="125"/>
      <c r="G5004" s="125"/>
      <c r="H5004" s="125"/>
      <c r="I5004" s="746"/>
      <c r="J5004" s="747"/>
      <c r="K5004" s="748"/>
      <c r="L5004" s="746"/>
      <c r="M5004" s="747"/>
      <c r="N5004" s="753"/>
    </row>
    <row r="5005" spans="2:14" ht="15" customHeight="1" x14ac:dyDescent="0.25">
      <c r="B5005" s="165"/>
      <c r="C5005" s="145"/>
      <c r="D5005" s="125"/>
      <c r="E5005" s="125"/>
      <c r="F5005" s="125"/>
      <c r="G5005" s="125"/>
      <c r="H5005" s="125"/>
      <c r="I5005" s="746"/>
      <c r="J5005" s="747"/>
      <c r="K5005" s="748"/>
      <c r="L5005" s="746"/>
      <c r="M5005" s="747"/>
      <c r="N5005" s="753"/>
    </row>
    <row r="5006" spans="2:14" ht="15" customHeight="1" x14ac:dyDescent="0.25">
      <c r="B5006" s="165"/>
      <c r="C5006" s="145"/>
      <c r="D5006" s="125"/>
      <c r="E5006" s="125"/>
      <c r="F5006" s="125"/>
      <c r="G5006" s="125"/>
      <c r="H5006" s="125"/>
      <c r="I5006" s="746"/>
      <c r="J5006" s="747"/>
      <c r="K5006" s="748"/>
      <c r="L5006" s="746"/>
      <c r="M5006" s="747"/>
      <c r="N5006" s="753"/>
    </row>
    <row r="5007" spans="2:14" ht="15" customHeight="1" x14ac:dyDescent="0.25">
      <c r="B5007" s="165"/>
      <c r="C5007" s="145"/>
      <c r="D5007" s="125"/>
      <c r="E5007" s="125"/>
      <c r="F5007" s="125"/>
      <c r="G5007" s="125"/>
      <c r="H5007" s="125"/>
      <c r="I5007" s="746"/>
      <c r="J5007" s="747"/>
      <c r="K5007" s="748"/>
      <c r="L5007" s="746"/>
      <c r="M5007" s="747"/>
      <c r="N5007" s="753"/>
    </row>
    <row r="5008" spans="2:14" ht="15" customHeight="1" x14ac:dyDescent="0.25">
      <c r="B5008" s="124"/>
      <c r="C5008" s="145"/>
      <c r="D5008" s="125"/>
      <c r="E5008" s="125"/>
      <c r="F5008" s="125"/>
      <c r="G5008" s="125"/>
      <c r="H5008" s="125"/>
      <c r="I5008" s="746"/>
      <c r="J5008" s="747"/>
      <c r="K5008" s="748"/>
      <c r="L5008" s="746"/>
      <c r="M5008" s="747"/>
      <c r="N5008" s="753"/>
    </row>
    <row r="5009" spans="2:14" ht="15" customHeight="1" x14ac:dyDescent="0.25">
      <c r="B5009" s="124"/>
      <c r="C5009" s="125"/>
      <c r="D5009" s="125"/>
      <c r="E5009" s="125"/>
      <c r="F5009" s="125"/>
      <c r="G5009" s="125"/>
      <c r="H5009" s="125"/>
      <c r="I5009" s="746"/>
      <c r="J5009" s="747"/>
      <c r="K5009" s="748"/>
      <c r="L5009" s="746"/>
      <c r="M5009" s="747"/>
      <c r="N5009" s="753"/>
    </row>
    <row r="5010" spans="2:14" ht="15" customHeight="1" x14ac:dyDescent="0.25">
      <c r="B5010" s="127"/>
      <c r="C5010" s="125"/>
      <c r="D5010" s="125"/>
      <c r="E5010" s="125"/>
      <c r="F5010" s="125"/>
      <c r="G5010" s="125"/>
      <c r="H5010" s="125"/>
      <c r="I5010" s="749"/>
      <c r="J5010" s="750"/>
      <c r="K5010" s="751"/>
      <c r="L5010" s="749"/>
      <c r="M5010" s="750"/>
      <c r="N5010" s="754"/>
    </row>
    <row r="5011" spans="2:14" ht="15" customHeight="1" x14ac:dyDescent="0.25">
      <c r="B5011" s="225"/>
      <c r="C5011" s="128"/>
      <c r="D5011" s="128"/>
      <c r="E5011" s="128"/>
      <c r="F5011" s="128"/>
      <c r="G5011" s="128"/>
      <c r="H5011" s="128"/>
      <c r="I5011" s="128"/>
      <c r="J5011" s="128"/>
      <c r="K5011" s="128"/>
      <c r="L5011" s="118"/>
      <c r="M5011" s="118"/>
      <c r="N5011" s="210"/>
    </row>
    <row r="5012" spans="2:14" ht="15" customHeight="1" x14ac:dyDescent="0.25">
      <c r="B5012" s="209"/>
      <c r="C5012" s="118"/>
      <c r="D5012" s="118"/>
      <c r="E5012" s="118"/>
      <c r="F5012" s="118"/>
      <c r="G5012" s="118"/>
      <c r="H5012" s="118"/>
      <c r="I5012" s="118"/>
      <c r="J5012" s="118"/>
      <c r="K5012" s="118"/>
      <c r="L5012" s="118"/>
      <c r="M5012" s="118"/>
      <c r="N5012" s="210"/>
    </row>
    <row r="5013" spans="2:14" ht="15" customHeight="1" x14ac:dyDescent="0.25">
      <c r="B5013" s="209"/>
      <c r="C5013" s="118"/>
      <c r="D5013" s="118"/>
      <c r="E5013" s="118"/>
      <c r="F5013" s="118"/>
      <c r="G5013" s="118"/>
      <c r="H5013" s="118"/>
      <c r="I5013" s="118"/>
      <c r="J5013" s="118"/>
      <c r="K5013" s="118"/>
      <c r="L5013" s="118"/>
      <c r="M5013" s="118"/>
      <c r="N5013" s="210"/>
    </row>
    <row r="5014" spans="2:14" ht="15" customHeight="1" thickBot="1" x14ac:dyDescent="0.3">
      <c r="B5014" s="725" t="s">
        <v>414</v>
      </c>
      <c r="C5014" s="726"/>
      <c r="D5014" s="726"/>
      <c r="E5014" s="147"/>
      <c r="F5014" s="147"/>
      <c r="G5014" s="147"/>
      <c r="H5014" s="147"/>
      <c r="I5014" s="727"/>
      <c r="J5014" s="726"/>
      <c r="K5014" s="726"/>
      <c r="L5014" s="130"/>
      <c r="M5014" s="130"/>
      <c r="N5014" s="131"/>
    </row>
    <row r="5015" spans="2:14" ht="15" customHeight="1" thickBot="1" x14ac:dyDescent="0.3"/>
    <row r="5016" spans="2:14" ht="39.6" customHeight="1" x14ac:dyDescent="0.25">
      <c r="B5016" s="728"/>
      <c r="C5016" s="729"/>
      <c r="D5016" s="730" t="s">
        <v>393</v>
      </c>
      <c r="E5016" s="729"/>
      <c r="F5016" s="729"/>
      <c r="G5016" s="729"/>
      <c r="H5016" s="729"/>
      <c r="I5016" s="729"/>
      <c r="J5016" s="729"/>
      <c r="K5016" s="729"/>
      <c r="L5016" s="729"/>
      <c r="M5016" s="729"/>
      <c r="N5016" s="731"/>
    </row>
    <row r="5017" spans="2:14" ht="15" customHeight="1" x14ac:dyDescent="0.25">
      <c r="B5017" s="732" t="s">
        <v>394</v>
      </c>
      <c r="C5017" s="733"/>
      <c r="D5017" s="733"/>
      <c r="E5017" s="733"/>
      <c r="F5017" s="733"/>
      <c r="G5017" s="733"/>
      <c r="H5017" s="733"/>
      <c r="I5017" s="733"/>
      <c r="J5017" s="733"/>
      <c r="K5017" s="733"/>
      <c r="L5017" s="733"/>
      <c r="M5017" s="733"/>
      <c r="N5017" s="734"/>
    </row>
    <row r="5018" spans="2:14" ht="57.6" customHeight="1" x14ac:dyDescent="0.25">
      <c r="B5018" s="735" t="s">
        <v>395</v>
      </c>
      <c r="C5018" s="736"/>
      <c r="D5018" s="737" t="str">
        <f>VLOOKUP(B5020,Buenaventura!A9:G6211,3,FALSE)</f>
        <v>Demolición enchape de muro, incluye retiro, empaque, trasiego de escombros y disposición final en centro de acopio certificado</v>
      </c>
      <c r="E5018" s="738"/>
      <c r="F5018" s="738"/>
      <c r="G5018" s="738"/>
      <c r="H5018" s="738"/>
      <c r="I5018" s="738"/>
      <c r="J5018" s="738"/>
      <c r="K5018" s="738"/>
      <c r="L5018" s="738"/>
      <c r="M5018" s="738"/>
      <c r="N5018" s="739"/>
    </row>
    <row r="5019" spans="2:14" ht="29.45" customHeight="1" x14ac:dyDescent="0.25">
      <c r="B5019" s="740" t="s">
        <v>26</v>
      </c>
      <c r="C5019" s="741"/>
      <c r="D5019" s="119" t="s">
        <v>396</v>
      </c>
      <c r="E5019" s="742" t="s">
        <v>397</v>
      </c>
      <c r="F5019" s="733"/>
      <c r="G5019" s="733"/>
      <c r="H5019" s="736"/>
      <c r="I5019" s="742" t="s">
        <v>398</v>
      </c>
      <c r="J5019" s="733"/>
      <c r="K5019" s="736"/>
      <c r="L5019" s="742" t="s">
        <v>399</v>
      </c>
      <c r="M5019" s="733"/>
      <c r="N5019" s="734"/>
    </row>
    <row r="5020" spans="2:14" ht="15" customHeight="1" x14ac:dyDescent="0.25">
      <c r="B5020" s="283">
        <v>141</v>
      </c>
      <c r="C5020" s="284" t="str">
        <f>VLOOKUP(B5020,Buenaventura!A9:G6224,2,FALSE)</f>
        <v>PR-08</v>
      </c>
      <c r="D5020" s="285">
        <f>SUM(H5023:H5026)</f>
        <v>4.6899999999999995</v>
      </c>
      <c r="E5020" s="743" t="str">
        <f>VLOOKUP(B5020,Buenaventura!A9:G6223,4,FALSE)</f>
        <v>M2</v>
      </c>
      <c r="F5020" s="743"/>
      <c r="G5020" s="743"/>
      <c r="H5020" s="743"/>
      <c r="I5020" s="744"/>
      <c r="J5020" s="745"/>
      <c r="K5020" s="741"/>
      <c r="L5020" s="744"/>
      <c r="M5020" s="745"/>
      <c r="N5020" s="752"/>
    </row>
    <row r="5021" spans="2:14" ht="15" customHeight="1" x14ac:dyDescent="0.25">
      <c r="B5021" s="755" t="s">
        <v>416</v>
      </c>
      <c r="C5021" s="733"/>
      <c r="D5021" s="733"/>
      <c r="E5021" s="733"/>
      <c r="F5021" s="733"/>
      <c r="G5021" s="733"/>
      <c r="H5021" s="736"/>
      <c r="I5021" s="746"/>
      <c r="J5021" s="747"/>
      <c r="K5021" s="748"/>
      <c r="L5021" s="746"/>
      <c r="M5021" s="747"/>
      <c r="N5021" s="753"/>
    </row>
    <row r="5022" spans="2:14" ht="15" customHeight="1" x14ac:dyDescent="0.25">
      <c r="B5022" s="121" t="s">
        <v>400</v>
      </c>
      <c r="C5022" s="122" t="s">
        <v>401</v>
      </c>
      <c r="D5022" s="123" t="s">
        <v>402</v>
      </c>
      <c r="E5022" s="123" t="s">
        <v>403</v>
      </c>
      <c r="F5022" s="123" t="s">
        <v>404</v>
      </c>
      <c r="G5022" s="123" t="s">
        <v>405</v>
      </c>
      <c r="H5022" s="123" t="s">
        <v>406</v>
      </c>
      <c r="I5022" s="746"/>
      <c r="J5022" s="747"/>
      <c r="K5022" s="748"/>
      <c r="L5022" s="746"/>
      <c r="M5022" s="747"/>
      <c r="N5022" s="753"/>
    </row>
    <row r="5023" spans="2:14" ht="15" customHeight="1" x14ac:dyDescent="0.25">
      <c r="B5023" s="124"/>
      <c r="C5023" s="145" t="s">
        <v>617</v>
      </c>
      <c r="D5023" s="125">
        <v>4</v>
      </c>
      <c r="E5023" s="125">
        <v>0.7</v>
      </c>
      <c r="F5023" s="125">
        <v>1.5</v>
      </c>
      <c r="G5023" s="125"/>
      <c r="H5023" s="125">
        <f>D5023*E5023*F5023</f>
        <v>4.1999999999999993</v>
      </c>
      <c r="I5023" s="746"/>
      <c r="J5023" s="747"/>
      <c r="K5023" s="748"/>
      <c r="L5023" s="746"/>
      <c r="M5023" s="747"/>
      <c r="N5023" s="753"/>
    </row>
    <row r="5024" spans="2:14" ht="15" customHeight="1" x14ac:dyDescent="0.25">
      <c r="B5024" s="124"/>
      <c r="C5024" s="145"/>
      <c r="D5024" s="125">
        <v>1</v>
      </c>
      <c r="E5024" s="125">
        <v>0.7</v>
      </c>
      <c r="F5024" s="125">
        <v>0.7</v>
      </c>
      <c r="G5024" s="125"/>
      <c r="H5024" s="125">
        <f>D5024*E5024*F5024</f>
        <v>0.48999999999999994</v>
      </c>
      <c r="I5024" s="746"/>
      <c r="J5024" s="747"/>
      <c r="K5024" s="748"/>
      <c r="L5024" s="746"/>
      <c r="M5024" s="747"/>
      <c r="N5024" s="753"/>
    </row>
    <row r="5025" spans="2:14" ht="15" customHeight="1" x14ac:dyDescent="0.25">
      <c r="B5025" s="165"/>
      <c r="C5025" s="145"/>
      <c r="D5025" s="125"/>
      <c r="E5025" s="125"/>
      <c r="F5025" s="125"/>
      <c r="G5025" s="125"/>
      <c r="H5025" s="125"/>
      <c r="I5025" s="746"/>
      <c r="J5025" s="747"/>
      <c r="K5025" s="748"/>
      <c r="L5025" s="746"/>
      <c r="M5025" s="747"/>
      <c r="N5025" s="753"/>
    </row>
    <row r="5026" spans="2:14" ht="15" customHeight="1" x14ac:dyDescent="0.25">
      <c r="B5026" s="165"/>
      <c r="C5026" s="145"/>
      <c r="D5026" s="125"/>
      <c r="E5026" s="125"/>
      <c r="F5026" s="125"/>
      <c r="G5026" s="125"/>
      <c r="H5026" s="125"/>
      <c r="I5026" s="746"/>
      <c r="J5026" s="747"/>
      <c r="K5026" s="748"/>
      <c r="L5026" s="746"/>
      <c r="M5026" s="747"/>
      <c r="N5026" s="753"/>
    </row>
    <row r="5027" spans="2:14" ht="15" customHeight="1" x14ac:dyDescent="0.25">
      <c r="B5027" s="165"/>
      <c r="C5027" s="145"/>
      <c r="D5027" s="125"/>
      <c r="E5027" s="125"/>
      <c r="F5027" s="125"/>
      <c r="G5027" s="125"/>
      <c r="H5027" s="125"/>
      <c r="I5027" s="746"/>
      <c r="J5027" s="747"/>
      <c r="K5027" s="748"/>
      <c r="L5027" s="746"/>
      <c r="M5027" s="747"/>
      <c r="N5027" s="753"/>
    </row>
    <row r="5028" spans="2:14" ht="15" customHeight="1" x14ac:dyDescent="0.25">
      <c r="B5028" s="165"/>
      <c r="C5028" s="145"/>
      <c r="D5028" s="125"/>
      <c r="E5028" s="125"/>
      <c r="F5028" s="125"/>
      <c r="G5028" s="125"/>
      <c r="H5028" s="125"/>
      <c r="I5028" s="746"/>
      <c r="J5028" s="747"/>
      <c r="K5028" s="748"/>
      <c r="L5028" s="746"/>
      <c r="M5028" s="747"/>
      <c r="N5028" s="753"/>
    </row>
    <row r="5029" spans="2:14" ht="15" customHeight="1" x14ac:dyDescent="0.25">
      <c r="B5029" s="165"/>
      <c r="C5029" s="145"/>
      <c r="D5029" s="125"/>
      <c r="E5029" s="125"/>
      <c r="F5029" s="125"/>
      <c r="G5029" s="125"/>
      <c r="H5029" s="125"/>
      <c r="I5029" s="746"/>
      <c r="J5029" s="747"/>
      <c r="K5029" s="748"/>
      <c r="L5029" s="746"/>
      <c r="M5029" s="747"/>
      <c r="N5029" s="753"/>
    </row>
    <row r="5030" spans="2:14" ht="15" customHeight="1" x14ac:dyDescent="0.25">
      <c r="B5030" s="124"/>
      <c r="C5030" s="145"/>
      <c r="D5030" s="125"/>
      <c r="E5030" s="125"/>
      <c r="F5030" s="125"/>
      <c r="G5030" s="125"/>
      <c r="H5030" s="125"/>
      <c r="I5030" s="746"/>
      <c r="J5030" s="747"/>
      <c r="K5030" s="748"/>
      <c r="L5030" s="746"/>
      <c r="M5030" s="747"/>
      <c r="N5030" s="753"/>
    </row>
    <row r="5031" spans="2:14" ht="15" customHeight="1" x14ac:dyDescent="0.25">
      <c r="B5031" s="124"/>
      <c r="C5031" s="125"/>
      <c r="D5031" s="125"/>
      <c r="E5031" s="125"/>
      <c r="F5031" s="125"/>
      <c r="G5031" s="125"/>
      <c r="H5031" s="125"/>
      <c r="I5031" s="746"/>
      <c r="J5031" s="747"/>
      <c r="K5031" s="748"/>
      <c r="L5031" s="746"/>
      <c r="M5031" s="747"/>
      <c r="N5031" s="753"/>
    </row>
    <row r="5032" spans="2:14" ht="15" customHeight="1" x14ac:dyDescent="0.25">
      <c r="B5032" s="127"/>
      <c r="C5032" s="125"/>
      <c r="D5032" s="125"/>
      <c r="E5032" s="125"/>
      <c r="F5032" s="125"/>
      <c r="G5032" s="125"/>
      <c r="H5032" s="125"/>
      <c r="I5032" s="749"/>
      <c r="J5032" s="750"/>
      <c r="K5032" s="751"/>
      <c r="L5032" s="749"/>
      <c r="M5032" s="750"/>
      <c r="N5032" s="754"/>
    </row>
    <row r="5033" spans="2:14" ht="15" customHeight="1" x14ac:dyDescent="0.25">
      <c r="B5033" s="225"/>
      <c r="C5033" s="128"/>
      <c r="D5033" s="128"/>
      <c r="E5033" s="128"/>
      <c r="F5033" s="128"/>
      <c r="G5033" s="128"/>
      <c r="H5033" s="128"/>
      <c r="I5033" s="128"/>
      <c r="J5033" s="128"/>
      <c r="K5033" s="128"/>
      <c r="L5033" s="118"/>
      <c r="M5033" s="118"/>
      <c r="N5033" s="210"/>
    </row>
    <row r="5034" spans="2:14" ht="15" customHeight="1" x14ac:dyDescent="0.25">
      <c r="B5034" s="209"/>
      <c r="C5034" s="118"/>
      <c r="D5034" s="118"/>
      <c r="E5034" s="118"/>
      <c r="F5034" s="118"/>
      <c r="G5034" s="118"/>
      <c r="H5034" s="118"/>
      <c r="I5034" s="118"/>
      <c r="J5034" s="118"/>
      <c r="K5034" s="118"/>
      <c r="L5034" s="118"/>
      <c r="M5034" s="118"/>
      <c r="N5034" s="210"/>
    </row>
    <row r="5035" spans="2:14" ht="15" customHeight="1" x14ac:dyDescent="0.25">
      <c r="B5035" s="209"/>
      <c r="C5035" s="118"/>
      <c r="D5035" s="118"/>
      <c r="E5035" s="118"/>
      <c r="F5035" s="118"/>
      <c r="G5035" s="118"/>
      <c r="H5035" s="118"/>
      <c r="I5035" s="118"/>
      <c r="J5035" s="118"/>
      <c r="K5035" s="118"/>
      <c r="L5035" s="118"/>
      <c r="M5035" s="118"/>
      <c r="N5035" s="210"/>
    </row>
    <row r="5036" spans="2:14" ht="15" customHeight="1" thickBot="1" x14ac:dyDescent="0.3">
      <c r="B5036" s="725" t="s">
        <v>414</v>
      </c>
      <c r="C5036" s="726"/>
      <c r="D5036" s="726"/>
      <c r="E5036" s="147"/>
      <c r="F5036" s="147"/>
      <c r="G5036" s="147"/>
      <c r="H5036" s="147"/>
      <c r="I5036" s="727"/>
      <c r="J5036" s="726"/>
      <c r="K5036" s="726"/>
      <c r="L5036" s="130"/>
      <c r="M5036" s="130"/>
      <c r="N5036" s="131"/>
    </row>
    <row r="5037" spans="2:14" ht="15" customHeight="1" thickBot="1" x14ac:dyDescent="0.3"/>
    <row r="5038" spans="2:14" ht="39" customHeight="1" x14ac:dyDescent="0.25">
      <c r="B5038" s="728"/>
      <c r="C5038" s="729"/>
      <c r="D5038" s="730" t="s">
        <v>393</v>
      </c>
      <c r="E5038" s="729"/>
      <c r="F5038" s="729"/>
      <c r="G5038" s="729"/>
      <c r="H5038" s="729"/>
      <c r="I5038" s="729"/>
      <c r="J5038" s="729"/>
      <c r="K5038" s="729"/>
      <c r="L5038" s="729"/>
      <c r="M5038" s="729"/>
      <c r="N5038" s="731"/>
    </row>
    <row r="5039" spans="2:14" ht="15" customHeight="1" x14ac:dyDescent="0.25">
      <c r="B5039" s="732" t="s">
        <v>394</v>
      </c>
      <c r="C5039" s="733"/>
      <c r="D5039" s="733"/>
      <c r="E5039" s="733"/>
      <c r="F5039" s="733"/>
      <c r="G5039" s="733"/>
      <c r="H5039" s="733"/>
      <c r="I5039" s="733"/>
      <c r="J5039" s="733"/>
      <c r="K5039" s="733"/>
      <c r="L5039" s="733"/>
      <c r="M5039" s="733"/>
      <c r="N5039" s="734"/>
    </row>
    <row r="5040" spans="2:14" ht="54.6" customHeight="1" x14ac:dyDescent="0.25">
      <c r="B5040" s="735" t="s">
        <v>395</v>
      </c>
      <c r="C5040" s="736"/>
      <c r="D5040" s="737" t="str">
        <f>VLOOKUP(B5042,Buenaventura!A9:G6233,3,FALSE)</f>
        <v>Suministro y aplicación de mortero 1:3 con aditivo impermeabilizante espesor 5cm (superficie con pendiente y media caña)</v>
      </c>
      <c r="E5040" s="738"/>
      <c r="F5040" s="738"/>
      <c r="G5040" s="738"/>
      <c r="H5040" s="738"/>
      <c r="I5040" s="738"/>
      <c r="J5040" s="738"/>
      <c r="K5040" s="738"/>
      <c r="L5040" s="738"/>
      <c r="M5040" s="738"/>
      <c r="N5040" s="739"/>
    </row>
    <row r="5041" spans="2:14" ht="24.6" customHeight="1" x14ac:dyDescent="0.25">
      <c r="B5041" s="740" t="s">
        <v>26</v>
      </c>
      <c r="C5041" s="741"/>
      <c r="D5041" s="119" t="s">
        <v>396</v>
      </c>
      <c r="E5041" s="742" t="s">
        <v>397</v>
      </c>
      <c r="F5041" s="733"/>
      <c r="G5041" s="733"/>
      <c r="H5041" s="736"/>
      <c r="I5041" s="742" t="s">
        <v>398</v>
      </c>
      <c r="J5041" s="733"/>
      <c r="K5041" s="736"/>
      <c r="L5041" s="742" t="s">
        <v>399</v>
      </c>
      <c r="M5041" s="733"/>
      <c r="N5041" s="734"/>
    </row>
    <row r="5042" spans="2:14" ht="15" customHeight="1" x14ac:dyDescent="0.25">
      <c r="B5042" s="283">
        <v>142</v>
      </c>
      <c r="C5042" s="284" t="str">
        <f>VLOOKUP(B5042,Buenaventura!A9:G6246,2,FALSE)</f>
        <v>RI-15</v>
      </c>
      <c r="D5042" s="285">
        <f>SUM(H5045:H5048)</f>
        <v>4.6899999999999995</v>
      </c>
      <c r="E5042" s="743" t="str">
        <f>VLOOKUP(B5042,Buenaventura!A9:G6245,4,FALSE)</f>
        <v>M2</v>
      </c>
      <c r="F5042" s="743"/>
      <c r="G5042" s="743"/>
      <c r="H5042" s="743"/>
      <c r="I5042" s="744"/>
      <c r="J5042" s="745"/>
      <c r="K5042" s="741"/>
      <c r="L5042" s="744"/>
      <c r="M5042" s="745"/>
      <c r="N5042" s="752"/>
    </row>
    <row r="5043" spans="2:14" ht="15" customHeight="1" x14ac:dyDescent="0.25">
      <c r="B5043" s="755" t="s">
        <v>416</v>
      </c>
      <c r="C5043" s="733"/>
      <c r="D5043" s="733"/>
      <c r="E5043" s="733"/>
      <c r="F5043" s="733"/>
      <c r="G5043" s="733"/>
      <c r="H5043" s="736"/>
      <c r="I5043" s="746"/>
      <c r="J5043" s="747"/>
      <c r="K5043" s="748"/>
      <c r="L5043" s="746"/>
      <c r="M5043" s="747"/>
      <c r="N5043" s="753"/>
    </row>
    <row r="5044" spans="2:14" ht="15" customHeight="1" x14ac:dyDescent="0.25">
      <c r="B5044" s="121" t="s">
        <v>400</v>
      </c>
      <c r="C5044" s="122" t="s">
        <v>401</v>
      </c>
      <c r="D5044" s="123" t="s">
        <v>402</v>
      </c>
      <c r="E5044" s="123" t="s">
        <v>403</v>
      </c>
      <c r="F5044" s="123" t="s">
        <v>404</v>
      </c>
      <c r="G5044" s="123" t="s">
        <v>405</v>
      </c>
      <c r="H5044" s="123" t="s">
        <v>406</v>
      </c>
      <c r="I5044" s="746"/>
      <c r="J5044" s="747"/>
      <c r="K5044" s="748"/>
      <c r="L5044" s="746"/>
      <c r="M5044" s="747"/>
      <c r="N5044" s="753"/>
    </row>
    <row r="5045" spans="2:14" ht="15" customHeight="1" x14ac:dyDescent="0.25">
      <c r="B5045" s="124"/>
      <c r="C5045" s="145" t="s">
        <v>617</v>
      </c>
      <c r="D5045" s="125">
        <v>4</v>
      </c>
      <c r="E5045" s="125">
        <v>0.7</v>
      </c>
      <c r="F5045" s="125">
        <v>1.5</v>
      </c>
      <c r="G5045" s="125"/>
      <c r="H5045" s="125">
        <f>D5045*E5045*F5045</f>
        <v>4.1999999999999993</v>
      </c>
      <c r="I5045" s="746"/>
      <c r="J5045" s="747"/>
      <c r="K5045" s="748"/>
      <c r="L5045" s="746"/>
      <c r="M5045" s="747"/>
      <c r="N5045" s="753"/>
    </row>
    <row r="5046" spans="2:14" ht="15" customHeight="1" x14ac:dyDescent="0.25">
      <c r="B5046" s="124"/>
      <c r="C5046" s="145"/>
      <c r="D5046" s="125">
        <v>1</v>
      </c>
      <c r="E5046" s="125">
        <v>0.7</v>
      </c>
      <c r="F5046" s="125">
        <v>0.7</v>
      </c>
      <c r="G5046" s="125"/>
      <c r="H5046" s="125">
        <f>D5046*E5046*F5046</f>
        <v>0.48999999999999994</v>
      </c>
      <c r="I5046" s="746"/>
      <c r="J5046" s="747"/>
      <c r="K5046" s="748"/>
      <c r="L5046" s="746"/>
      <c r="M5046" s="747"/>
      <c r="N5046" s="753"/>
    </row>
    <row r="5047" spans="2:14" ht="15" customHeight="1" x14ac:dyDescent="0.25">
      <c r="B5047" s="165"/>
      <c r="C5047" s="145"/>
      <c r="D5047" s="125"/>
      <c r="E5047" s="125"/>
      <c r="F5047" s="125"/>
      <c r="G5047" s="125"/>
      <c r="H5047" s="125"/>
      <c r="I5047" s="746"/>
      <c r="J5047" s="747"/>
      <c r="K5047" s="748"/>
      <c r="L5047" s="746"/>
      <c r="M5047" s="747"/>
      <c r="N5047" s="753"/>
    </row>
    <row r="5048" spans="2:14" ht="15" customHeight="1" x14ac:dyDescent="0.25">
      <c r="B5048" s="165"/>
      <c r="C5048" s="145"/>
      <c r="D5048" s="125"/>
      <c r="E5048" s="125"/>
      <c r="F5048" s="125"/>
      <c r="G5048" s="125"/>
      <c r="H5048" s="125"/>
      <c r="I5048" s="746"/>
      <c r="J5048" s="747"/>
      <c r="K5048" s="748"/>
      <c r="L5048" s="746"/>
      <c r="M5048" s="747"/>
      <c r="N5048" s="753"/>
    </row>
    <row r="5049" spans="2:14" ht="15" customHeight="1" x14ac:dyDescent="0.25">
      <c r="B5049" s="165"/>
      <c r="C5049" s="145"/>
      <c r="D5049" s="125"/>
      <c r="E5049" s="125"/>
      <c r="F5049" s="125"/>
      <c r="G5049" s="125"/>
      <c r="H5049" s="125"/>
      <c r="I5049" s="746"/>
      <c r="J5049" s="747"/>
      <c r="K5049" s="748"/>
      <c r="L5049" s="746"/>
      <c r="M5049" s="747"/>
      <c r="N5049" s="753"/>
    </row>
    <row r="5050" spans="2:14" ht="15" customHeight="1" x14ac:dyDescent="0.25">
      <c r="B5050" s="165"/>
      <c r="C5050" s="145"/>
      <c r="D5050" s="125"/>
      <c r="E5050" s="125"/>
      <c r="F5050" s="125"/>
      <c r="G5050" s="125"/>
      <c r="H5050" s="125"/>
      <c r="I5050" s="746"/>
      <c r="J5050" s="747"/>
      <c r="K5050" s="748"/>
      <c r="L5050" s="746"/>
      <c r="M5050" s="747"/>
      <c r="N5050" s="753"/>
    </row>
    <row r="5051" spans="2:14" ht="15" customHeight="1" x14ac:dyDescent="0.25">
      <c r="B5051" s="165"/>
      <c r="C5051" s="145"/>
      <c r="D5051" s="125"/>
      <c r="E5051" s="125"/>
      <c r="F5051" s="125"/>
      <c r="G5051" s="125"/>
      <c r="H5051" s="125"/>
      <c r="I5051" s="746"/>
      <c r="J5051" s="747"/>
      <c r="K5051" s="748"/>
      <c r="L5051" s="746"/>
      <c r="M5051" s="747"/>
      <c r="N5051" s="753"/>
    </row>
    <row r="5052" spans="2:14" ht="15" customHeight="1" x14ac:dyDescent="0.25">
      <c r="B5052" s="124"/>
      <c r="C5052" s="145"/>
      <c r="D5052" s="125"/>
      <c r="E5052" s="125"/>
      <c r="F5052" s="125"/>
      <c r="G5052" s="125"/>
      <c r="H5052" s="125"/>
      <c r="I5052" s="746"/>
      <c r="J5052" s="747"/>
      <c r="K5052" s="748"/>
      <c r="L5052" s="746"/>
      <c r="M5052" s="747"/>
      <c r="N5052" s="753"/>
    </row>
    <row r="5053" spans="2:14" ht="15" customHeight="1" x14ac:dyDescent="0.25">
      <c r="B5053" s="124"/>
      <c r="C5053" s="125"/>
      <c r="D5053" s="125"/>
      <c r="E5053" s="125"/>
      <c r="F5053" s="125"/>
      <c r="G5053" s="125"/>
      <c r="H5053" s="125"/>
      <c r="I5053" s="746"/>
      <c r="J5053" s="747"/>
      <c r="K5053" s="748"/>
      <c r="L5053" s="746"/>
      <c r="M5053" s="747"/>
      <c r="N5053" s="753"/>
    </row>
    <row r="5054" spans="2:14" ht="15" customHeight="1" x14ac:dyDescent="0.25">
      <c r="B5054" s="127"/>
      <c r="C5054" s="125"/>
      <c r="D5054" s="125"/>
      <c r="E5054" s="125"/>
      <c r="F5054" s="125"/>
      <c r="G5054" s="125"/>
      <c r="H5054" s="125"/>
      <c r="I5054" s="749"/>
      <c r="J5054" s="750"/>
      <c r="K5054" s="751"/>
      <c r="L5054" s="749"/>
      <c r="M5054" s="750"/>
      <c r="N5054" s="754"/>
    </row>
    <row r="5055" spans="2:14" ht="15" customHeight="1" x14ac:dyDescent="0.25">
      <c r="B5055" s="225"/>
      <c r="C5055" s="128"/>
      <c r="D5055" s="128"/>
      <c r="E5055" s="128"/>
      <c r="F5055" s="128"/>
      <c r="G5055" s="128"/>
      <c r="H5055" s="128"/>
      <c r="I5055" s="128"/>
      <c r="J5055" s="128"/>
      <c r="K5055" s="128"/>
      <c r="L5055" s="118"/>
      <c r="M5055" s="118"/>
      <c r="N5055" s="210"/>
    </row>
    <row r="5056" spans="2:14" ht="15" customHeight="1" x14ac:dyDescent="0.25">
      <c r="B5056" s="209"/>
      <c r="C5056" s="118"/>
      <c r="D5056" s="118"/>
      <c r="E5056" s="118"/>
      <c r="F5056" s="118"/>
      <c r="G5056" s="118"/>
      <c r="H5056" s="118"/>
      <c r="I5056" s="118"/>
      <c r="J5056" s="118"/>
      <c r="K5056" s="118"/>
      <c r="L5056" s="118"/>
      <c r="M5056" s="118"/>
      <c r="N5056" s="210"/>
    </row>
    <row r="5057" spans="2:14" ht="15" customHeight="1" x14ac:dyDescent="0.25">
      <c r="B5057" s="209"/>
      <c r="C5057" s="118"/>
      <c r="D5057" s="118"/>
      <c r="E5057" s="118"/>
      <c r="F5057" s="118"/>
      <c r="G5057" s="118"/>
      <c r="H5057" s="118"/>
      <c r="I5057" s="118"/>
      <c r="J5057" s="118"/>
      <c r="K5057" s="118"/>
      <c r="L5057" s="118"/>
      <c r="M5057" s="118"/>
      <c r="N5057" s="210"/>
    </row>
    <row r="5058" spans="2:14" ht="15" customHeight="1" thickBot="1" x14ac:dyDescent="0.3">
      <c r="B5058" s="725" t="s">
        <v>414</v>
      </c>
      <c r="C5058" s="726"/>
      <c r="D5058" s="726"/>
      <c r="E5058" s="147"/>
      <c r="F5058" s="147"/>
      <c r="G5058" s="147"/>
      <c r="H5058" s="147"/>
      <c r="I5058" s="727"/>
      <c r="J5058" s="726"/>
      <c r="K5058" s="726"/>
      <c r="L5058" s="130"/>
      <c r="M5058" s="130"/>
      <c r="N5058" s="131"/>
    </row>
    <row r="5059" spans="2:14" ht="15" customHeight="1" thickBot="1" x14ac:dyDescent="0.3"/>
    <row r="5060" spans="2:14" ht="49.15" customHeight="1" x14ac:dyDescent="0.25">
      <c r="B5060" s="728"/>
      <c r="C5060" s="729"/>
      <c r="D5060" s="730" t="s">
        <v>393</v>
      </c>
      <c r="E5060" s="729"/>
      <c r="F5060" s="729"/>
      <c r="G5060" s="729"/>
      <c r="H5060" s="729"/>
      <c r="I5060" s="729"/>
      <c r="J5060" s="729"/>
      <c r="K5060" s="729"/>
      <c r="L5060" s="729"/>
      <c r="M5060" s="729"/>
      <c r="N5060" s="731"/>
    </row>
    <row r="5061" spans="2:14" ht="15" customHeight="1" x14ac:dyDescent="0.25">
      <c r="B5061" s="732" t="s">
        <v>394</v>
      </c>
      <c r="C5061" s="733"/>
      <c r="D5061" s="733"/>
      <c r="E5061" s="733"/>
      <c r="F5061" s="733"/>
      <c r="G5061" s="733"/>
      <c r="H5061" s="733"/>
      <c r="I5061" s="733"/>
      <c r="J5061" s="733"/>
      <c r="K5061" s="733"/>
      <c r="L5061" s="733"/>
      <c r="M5061" s="733"/>
      <c r="N5061" s="734"/>
    </row>
    <row r="5062" spans="2:14" ht="115.9" customHeight="1" x14ac:dyDescent="0.25">
      <c r="B5062" s="735" t="s">
        <v>395</v>
      </c>
      <c r="C5062" s="736"/>
      <c r="D5062" s="737" t="str">
        <f>VLOOKUP(B5064,Buenaventura!A9:G6255,3,FALSE)</f>
        <v>Suministro y aplicación de material de Impermeabilización mediante recubrimiento epóxico bicomponente, 100% sólidos o de alto contenido de sólidos, apto para contacto con agua potable, aplicado en mínimo dos capas sobre superficie previamente preparada, garantizando alta resistencia química, adherencia y durabilidad.</v>
      </c>
      <c r="E5062" s="738"/>
      <c r="F5062" s="738"/>
      <c r="G5062" s="738"/>
      <c r="H5062" s="738"/>
      <c r="I5062" s="738"/>
      <c r="J5062" s="738"/>
      <c r="K5062" s="738"/>
      <c r="L5062" s="738"/>
      <c r="M5062" s="738"/>
      <c r="N5062" s="739"/>
    </row>
    <row r="5063" spans="2:14" ht="24.6" customHeight="1" x14ac:dyDescent="0.25">
      <c r="B5063" s="740" t="s">
        <v>26</v>
      </c>
      <c r="C5063" s="741"/>
      <c r="D5063" s="119" t="s">
        <v>396</v>
      </c>
      <c r="E5063" s="742" t="s">
        <v>397</v>
      </c>
      <c r="F5063" s="733"/>
      <c r="G5063" s="733"/>
      <c r="H5063" s="736"/>
      <c r="I5063" s="742" t="s">
        <v>398</v>
      </c>
      <c r="J5063" s="733"/>
      <c r="K5063" s="736"/>
      <c r="L5063" s="742" t="s">
        <v>399</v>
      </c>
      <c r="M5063" s="733"/>
      <c r="N5063" s="734"/>
    </row>
    <row r="5064" spans="2:14" ht="15" customHeight="1" x14ac:dyDescent="0.25">
      <c r="B5064" s="283">
        <v>143</v>
      </c>
      <c r="C5064" s="284" t="str">
        <f>VLOOKUP(B5064,Buenaventura!A9:G6268,2,FALSE)</f>
        <v>VA-37</v>
      </c>
      <c r="D5064" s="285">
        <f>SUM(H5067:H5070)</f>
        <v>1</v>
      </c>
      <c r="E5064" s="743" t="str">
        <f>VLOOKUP(B5064,Buenaventura!A9:G6267,4,FALSE)</f>
        <v>M2</v>
      </c>
      <c r="F5064" s="743"/>
      <c r="G5064" s="743"/>
      <c r="H5064" s="743"/>
      <c r="I5064" s="744"/>
      <c r="J5064" s="745"/>
      <c r="K5064" s="741"/>
      <c r="L5064" s="744"/>
      <c r="M5064" s="745"/>
      <c r="N5064" s="752"/>
    </row>
    <row r="5065" spans="2:14" ht="15" customHeight="1" x14ac:dyDescent="0.25">
      <c r="B5065" s="755" t="s">
        <v>416</v>
      </c>
      <c r="C5065" s="733"/>
      <c r="D5065" s="733"/>
      <c r="E5065" s="733"/>
      <c r="F5065" s="733"/>
      <c r="G5065" s="733"/>
      <c r="H5065" s="736"/>
      <c r="I5065" s="746"/>
      <c r="J5065" s="747"/>
      <c r="K5065" s="748"/>
      <c r="L5065" s="746"/>
      <c r="M5065" s="747"/>
      <c r="N5065" s="753"/>
    </row>
    <row r="5066" spans="2:14" ht="15" customHeight="1" x14ac:dyDescent="0.25">
      <c r="B5066" s="121" t="s">
        <v>400</v>
      </c>
      <c r="C5066" s="122" t="s">
        <v>401</v>
      </c>
      <c r="D5066" s="123" t="s">
        <v>402</v>
      </c>
      <c r="E5066" s="123" t="s">
        <v>403</v>
      </c>
      <c r="F5066" s="123" t="s">
        <v>404</v>
      </c>
      <c r="G5066" s="123" t="s">
        <v>405</v>
      </c>
      <c r="H5066" s="123" t="s">
        <v>406</v>
      </c>
      <c r="I5066" s="746"/>
      <c r="J5066" s="747"/>
      <c r="K5066" s="748"/>
      <c r="L5066" s="746"/>
      <c r="M5066" s="747"/>
      <c r="N5066" s="753"/>
    </row>
    <row r="5067" spans="2:14" ht="15" customHeight="1" x14ac:dyDescent="0.25">
      <c r="B5067" s="124"/>
      <c r="C5067" s="145" t="s">
        <v>617</v>
      </c>
      <c r="D5067" s="125">
        <v>1</v>
      </c>
      <c r="E5067" s="125"/>
      <c r="F5067" s="125"/>
      <c r="G5067" s="125"/>
      <c r="H5067" s="125">
        <f>D5067</f>
        <v>1</v>
      </c>
      <c r="I5067" s="746"/>
      <c r="J5067" s="747"/>
      <c r="K5067" s="748"/>
      <c r="L5067" s="746"/>
      <c r="M5067" s="747"/>
      <c r="N5067" s="753"/>
    </row>
    <row r="5068" spans="2:14" ht="15" customHeight="1" x14ac:dyDescent="0.25">
      <c r="B5068" s="124"/>
      <c r="C5068" s="145"/>
      <c r="D5068" s="125"/>
      <c r="E5068" s="125"/>
      <c r="F5068" s="125"/>
      <c r="G5068" s="125"/>
      <c r="H5068" s="125"/>
      <c r="I5068" s="746"/>
      <c r="J5068" s="747"/>
      <c r="K5068" s="748"/>
      <c r="L5068" s="746"/>
      <c r="M5068" s="747"/>
      <c r="N5068" s="753"/>
    </row>
    <row r="5069" spans="2:14" ht="15" customHeight="1" x14ac:dyDescent="0.25">
      <c r="B5069" s="165"/>
      <c r="C5069" s="145"/>
      <c r="D5069" s="125"/>
      <c r="E5069" s="125"/>
      <c r="F5069" s="125"/>
      <c r="G5069" s="125"/>
      <c r="H5069" s="125"/>
      <c r="I5069" s="746"/>
      <c r="J5069" s="747"/>
      <c r="K5069" s="748"/>
      <c r="L5069" s="746"/>
      <c r="M5069" s="747"/>
      <c r="N5069" s="753"/>
    </row>
    <row r="5070" spans="2:14" ht="15" customHeight="1" x14ac:dyDescent="0.25">
      <c r="B5070" s="165"/>
      <c r="C5070" s="145"/>
      <c r="D5070" s="125"/>
      <c r="E5070" s="125"/>
      <c r="F5070" s="125"/>
      <c r="G5070" s="125"/>
      <c r="H5070" s="125"/>
      <c r="I5070" s="746"/>
      <c r="J5070" s="747"/>
      <c r="K5070" s="748"/>
      <c r="L5070" s="746"/>
      <c r="M5070" s="747"/>
      <c r="N5070" s="753"/>
    </row>
    <row r="5071" spans="2:14" ht="15" customHeight="1" x14ac:dyDescent="0.25">
      <c r="B5071" s="165"/>
      <c r="C5071" s="145"/>
      <c r="D5071" s="125"/>
      <c r="E5071" s="125"/>
      <c r="F5071" s="125"/>
      <c r="G5071" s="125"/>
      <c r="H5071" s="125"/>
      <c r="I5071" s="746"/>
      <c r="J5071" s="747"/>
      <c r="K5071" s="748"/>
      <c r="L5071" s="746"/>
      <c r="M5071" s="747"/>
      <c r="N5071" s="753"/>
    </row>
    <row r="5072" spans="2:14" ht="15" customHeight="1" x14ac:dyDescent="0.25">
      <c r="B5072" s="165"/>
      <c r="C5072" s="145"/>
      <c r="D5072" s="125"/>
      <c r="E5072" s="125"/>
      <c r="F5072" s="125"/>
      <c r="G5072" s="125"/>
      <c r="H5072" s="125"/>
      <c r="I5072" s="746"/>
      <c r="J5072" s="747"/>
      <c r="K5072" s="748"/>
      <c r="L5072" s="746"/>
      <c r="M5072" s="747"/>
      <c r="N5072" s="753"/>
    </row>
    <row r="5073" spans="2:14" ht="15" customHeight="1" x14ac:dyDescent="0.25">
      <c r="B5073" s="165"/>
      <c r="C5073" s="145"/>
      <c r="D5073" s="125"/>
      <c r="E5073" s="125"/>
      <c r="F5073" s="125"/>
      <c r="G5073" s="125"/>
      <c r="H5073" s="125"/>
      <c r="I5073" s="746"/>
      <c r="J5073" s="747"/>
      <c r="K5073" s="748"/>
      <c r="L5073" s="746"/>
      <c r="M5073" s="747"/>
      <c r="N5073" s="753"/>
    </row>
    <row r="5074" spans="2:14" ht="15" customHeight="1" x14ac:dyDescent="0.25">
      <c r="B5074" s="124"/>
      <c r="C5074" s="145"/>
      <c r="D5074" s="125"/>
      <c r="E5074" s="125"/>
      <c r="F5074" s="125"/>
      <c r="G5074" s="125"/>
      <c r="H5074" s="125"/>
      <c r="I5074" s="746"/>
      <c r="J5074" s="747"/>
      <c r="K5074" s="748"/>
      <c r="L5074" s="746"/>
      <c r="M5074" s="747"/>
      <c r="N5074" s="753"/>
    </row>
    <row r="5075" spans="2:14" ht="15" customHeight="1" x14ac:dyDescent="0.25">
      <c r="B5075" s="124"/>
      <c r="C5075" s="125"/>
      <c r="D5075" s="125"/>
      <c r="E5075" s="125"/>
      <c r="F5075" s="125"/>
      <c r="G5075" s="125"/>
      <c r="H5075" s="125"/>
      <c r="I5075" s="746"/>
      <c r="J5075" s="747"/>
      <c r="K5075" s="748"/>
      <c r="L5075" s="746"/>
      <c r="M5075" s="747"/>
      <c r="N5075" s="753"/>
    </row>
    <row r="5076" spans="2:14" ht="15" customHeight="1" x14ac:dyDescent="0.25">
      <c r="B5076" s="127"/>
      <c r="C5076" s="125"/>
      <c r="D5076" s="125"/>
      <c r="E5076" s="125"/>
      <c r="F5076" s="125"/>
      <c r="G5076" s="125"/>
      <c r="H5076" s="125"/>
      <c r="I5076" s="749"/>
      <c r="J5076" s="750"/>
      <c r="K5076" s="751"/>
      <c r="L5076" s="749"/>
      <c r="M5076" s="750"/>
      <c r="N5076" s="754"/>
    </row>
    <row r="5077" spans="2:14" ht="15" customHeight="1" x14ac:dyDescent="0.25">
      <c r="B5077" s="225"/>
      <c r="C5077" s="128"/>
      <c r="D5077" s="128"/>
      <c r="E5077" s="128"/>
      <c r="F5077" s="128"/>
      <c r="G5077" s="128"/>
      <c r="H5077" s="128"/>
      <c r="I5077" s="128"/>
      <c r="J5077" s="128"/>
      <c r="K5077" s="128"/>
      <c r="L5077" s="118"/>
      <c r="M5077" s="118"/>
      <c r="N5077" s="210"/>
    </row>
    <row r="5078" spans="2:14" ht="15" customHeight="1" x14ac:dyDescent="0.25">
      <c r="B5078" s="209"/>
      <c r="C5078" s="118"/>
      <c r="D5078" s="118"/>
      <c r="E5078" s="118"/>
      <c r="F5078" s="118"/>
      <c r="G5078" s="118"/>
      <c r="H5078" s="118"/>
      <c r="I5078" s="118"/>
      <c r="J5078" s="118"/>
      <c r="K5078" s="118"/>
      <c r="L5078" s="118"/>
      <c r="M5078" s="118"/>
      <c r="N5078" s="210"/>
    </row>
    <row r="5079" spans="2:14" ht="15" customHeight="1" x14ac:dyDescent="0.25">
      <c r="B5079" s="209"/>
      <c r="C5079" s="118"/>
      <c r="D5079" s="118"/>
      <c r="E5079" s="118"/>
      <c r="F5079" s="118"/>
      <c r="G5079" s="118"/>
      <c r="H5079" s="118"/>
      <c r="I5079" s="118"/>
      <c r="J5079" s="118"/>
      <c r="K5079" s="118"/>
      <c r="L5079" s="118"/>
      <c r="M5079" s="118"/>
      <c r="N5079" s="210"/>
    </row>
    <row r="5080" spans="2:14" ht="15" customHeight="1" thickBot="1" x14ac:dyDescent="0.3">
      <c r="B5080" s="725" t="s">
        <v>414</v>
      </c>
      <c r="C5080" s="726"/>
      <c r="D5080" s="726"/>
      <c r="E5080" s="147"/>
      <c r="F5080" s="147"/>
      <c r="G5080" s="147"/>
      <c r="H5080" s="147"/>
      <c r="I5080" s="727"/>
      <c r="J5080" s="726"/>
      <c r="K5080" s="726"/>
      <c r="L5080" s="130"/>
      <c r="M5080" s="130"/>
      <c r="N5080" s="131"/>
    </row>
    <row r="5081" spans="2:14" ht="15" customHeight="1" thickBot="1" x14ac:dyDescent="0.3"/>
    <row r="5082" spans="2:14" ht="42.6" customHeight="1" x14ac:dyDescent="0.25">
      <c r="B5082" s="728"/>
      <c r="C5082" s="729"/>
      <c r="D5082" s="730" t="s">
        <v>393</v>
      </c>
      <c r="E5082" s="729"/>
      <c r="F5082" s="729"/>
      <c r="G5082" s="729"/>
      <c r="H5082" s="729"/>
      <c r="I5082" s="729"/>
      <c r="J5082" s="729"/>
      <c r="K5082" s="729"/>
      <c r="L5082" s="729"/>
      <c r="M5082" s="729"/>
      <c r="N5082" s="731"/>
    </row>
    <row r="5083" spans="2:14" ht="15" customHeight="1" x14ac:dyDescent="0.25">
      <c r="B5083" s="732" t="s">
        <v>394</v>
      </c>
      <c r="C5083" s="733"/>
      <c r="D5083" s="733"/>
      <c r="E5083" s="733"/>
      <c r="F5083" s="733"/>
      <c r="G5083" s="733"/>
      <c r="H5083" s="733"/>
      <c r="I5083" s="733"/>
      <c r="J5083" s="733"/>
      <c r="K5083" s="733"/>
      <c r="L5083" s="733"/>
      <c r="M5083" s="733"/>
      <c r="N5083" s="734"/>
    </row>
    <row r="5084" spans="2:14" ht="54.75" customHeight="1" x14ac:dyDescent="0.25">
      <c r="B5084" s="735" t="s">
        <v>395</v>
      </c>
      <c r="C5084" s="736"/>
      <c r="D5084" s="737" t="str">
        <f>VLOOKUP(B5086,Buenaventura!A9:G6277,3,FALSE)</f>
        <v>Suministro e instalación de sistema de impermeabilización mediante membrana de PVC, incluye perfiles de fijación (perlines), elementos de anclaje, sellado de juntas y todos los accesorios necesarios para garantizar la impermeabilidad, durabilidad y correcto funcionamiento del sistema.</v>
      </c>
      <c r="E5084" s="738"/>
      <c r="F5084" s="738"/>
      <c r="G5084" s="738"/>
      <c r="H5084" s="738"/>
      <c r="I5084" s="738"/>
      <c r="J5084" s="738"/>
      <c r="K5084" s="738"/>
      <c r="L5084" s="738"/>
      <c r="M5084" s="738"/>
      <c r="N5084" s="739"/>
    </row>
    <row r="5085" spans="2:14" ht="39.6" customHeight="1" x14ac:dyDescent="0.25">
      <c r="B5085" s="740" t="s">
        <v>26</v>
      </c>
      <c r="C5085" s="741"/>
      <c r="D5085" s="119" t="s">
        <v>396</v>
      </c>
      <c r="E5085" s="742" t="s">
        <v>397</v>
      </c>
      <c r="F5085" s="733"/>
      <c r="G5085" s="733"/>
      <c r="H5085" s="736"/>
      <c r="I5085" s="742" t="s">
        <v>398</v>
      </c>
      <c r="J5085" s="733"/>
      <c r="K5085" s="736"/>
      <c r="L5085" s="742" t="s">
        <v>399</v>
      </c>
      <c r="M5085" s="733"/>
      <c r="N5085" s="734"/>
    </row>
    <row r="5086" spans="2:14" ht="15" customHeight="1" x14ac:dyDescent="0.25">
      <c r="B5086" s="283">
        <v>144</v>
      </c>
      <c r="C5086" s="284" t="str">
        <f>VLOOKUP(B5086,Buenaventura!A9:G6290,2,FALSE)</f>
        <v>RI-08</v>
      </c>
      <c r="D5086" s="285">
        <f>SUM(H5089:H5092)</f>
        <v>1</v>
      </c>
      <c r="E5086" s="743" t="str">
        <f>VLOOKUP(B5086,Buenaventura!A9:G6289,4,FALSE)</f>
        <v>M2</v>
      </c>
      <c r="F5086" s="743"/>
      <c r="G5086" s="743"/>
      <c r="H5086" s="743"/>
      <c r="I5086" s="744"/>
      <c r="J5086" s="745"/>
      <c r="K5086" s="741"/>
      <c r="L5086" s="744"/>
      <c r="M5086" s="745"/>
      <c r="N5086" s="752"/>
    </row>
    <row r="5087" spans="2:14" ht="15" customHeight="1" x14ac:dyDescent="0.25">
      <c r="B5087" s="755" t="s">
        <v>416</v>
      </c>
      <c r="C5087" s="733"/>
      <c r="D5087" s="733"/>
      <c r="E5087" s="733"/>
      <c r="F5087" s="733"/>
      <c r="G5087" s="733"/>
      <c r="H5087" s="736"/>
      <c r="I5087" s="746"/>
      <c r="J5087" s="747"/>
      <c r="K5087" s="748"/>
      <c r="L5087" s="746"/>
      <c r="M5087" s="747"/>
      <c r="N5087" s="753"/>
    </row>
    <row r="5088" spans="2:14" ht="15" customHeight="1" x14ac:dyDescent="0.25">
      <c r="B5088" s="121" t="s">
        <v>400</v>
      </c>
      <c r="C5088" s="122" t="s">
        <v>401</v>
      </c>
      <c r="D5088" s="123" t="s">
        <v>402</v>
      </c>
      <c r="E5088" s="123" t="s">
        <v>403</v>
      </c>
      <c r="F5088" s="123" t="s">
        <v>404</v>
      </c>
      <c r="G5088" s="123" t="s">
        <v>405</v>
      </c>
      <c r="H5088" s="123" t="s">
        <v>406</v>
      </c>
      <c r="I5088" s="746"/>
      <c r="J5088" s="747"/>
      <c r="K5088" s="748"/>
      <c r="L5088" s="746"/>
      <c r="M5088" s="747"/>
      <c r="N5088" s="753"/>
    </row>
    <row r="5089" spans="2:14" ht="15" customHeight="1" x14ac:dyDescent="0.25">
      <c r="B5089" s="124"/>
      <c r="C5089" s="145" t="s">
        <v>617</v>
      </c>
      <c r="D5089" s="125">
        <v>1</v>
      </c>
      <c r="E5089" s="125"/>
      <c r="F5089" s="125"/>
      <c r="G5089" s="125"/>
      <c r="H5089" s="125">
        <f>D5089</f>
        <v>1</v>
      </c>
      <c r="I5089" s="746"/>
      <c r="J5089" s="747"/>
      <c r="K5089" s="748"/>
      <c r="L5089" s="746"/>
      <c r="M5089" s="747"/>
      <c r="N5089" s="753"/>
    </row>
    <row r="5090" spans="2:14" ht="15" customHeight="1" x14ac:dyDescent="0.25">
      <c r="B5090" s="124"/>
      <c r="C5090" s="145"/>
      <c r="D5090" s="125"/>
      <c r="E5090" s="125"/>
      <c r="F5090" s="125"/>
      <c r="G5090" s="125"/>
      <c r="H5090" s="125"/>
      <c r="I5090" s="746"/>
      <c r="J5090" s="747"/>
      <c r="K5090" s="748"/>
      <c r="L5090" s="746"/>
      <c r="M5090" s="747"/>
      <c r="N5090" s="753"/>
    </row>
    <row r="5091" spans="2:14" ht="15" customHeight="1" x14ac:dyDescent="0.25">
      <c r="B5091" s="165"/>
      <c r="C5091" s="145"/>
      <c r="D5091" s="125"/>
      <c r="E5091" s="125"/>
      <c r="F5091" s="125"/>
      <c r="G5091" s="125"/>
      <c r="H5091" s="125"/>
      <c r="I5091" s="746"/>
      <c r="J5091" s="747"/>
      <c r="K5091" s="748"/>
      <c r="L5091" s="746"/>
      <c r="M5091" s="747"/>
      <c r="N5091" s="753"/>
    </row>
    <row r="5092" spans="2:14" ht="15" customHeight="1" x14ac:dyDescent="0.25">
      <c r="B5092" s="165"/>
      <c r="C5092" s="145"/>
      <c r="D5092" s="125"/>
      <c r="E5092" s="125"/>
      <c r="F5092" s="125"/>
      <c r="G5092" s="125"/>
      <c r="H5092" s="125"/>
      <c r="I5092" s="746"/>
      <c r="J5092" s="747"/>
      <c r="K5092" s="748"/>
      <c r="L5092" s="746"/>
      <c r="M5092" s="747"/>
      <c r="N5092" s="753"/>
    </row>
    <row r="5093" spans="2:14" ht="15" customHeight="1" x14ac:dyDescent="0.25">
      <c r="B5093" s="165"/>
      <c r="C5093" s="145"/>
      <c r="D5093" s="125"/>
      <c r="E5093" s="125"/>
      <c r="F5093" s="125"/>
      <c r="G5093" s="125"/>
      <c r="H5093" s="125"/>
      <c r="I5093" s="746"/>
      <c r="J5093" s="747"/>
      <c r="K5093" s="748"/>
      <c r="L5093" s="746"/>
      <c r="M5093" s="747"/>
      <c r="N5093" s="753"/>
    </row>
    <row r="5094" spans="2:14" ht="15" customHeight="1" x14ac:dyDescent="0.25">
      <c r="B5094" s="165"/>
      <c r="C5094" s="145"/>
      <c r="D5094" s="125"/>
      <c r="E5094" s="125"/>
      <c r="F5094" s="125"/>
      <c r="G5094" s="125"/>
      <c r="H5094" s="125"/>
      <c r="I5094" s="746"/>
      <c r="J5094" s="747"/>
      <c r="K5094" s="748"/>
      <c r="L5094" s="746"/>
      <c r="M5094" s="747"/>
      <c r="N5094" s="753"/>
    </row>
    <row r="5095" spans="2:14" ht="15" customHeight="1" x14ac:dyDescent="0.25">
      <c r="B5095" s="165"/>
      <c r="C5095" s="145"/>
      <c r="D5095" s="125"/>
      <c r="E5095" s="125"/>
      <c r="F5095" s="125"/>
      <c r="G5095" s="125"/>
      <c r="H5095" s="125"/>
      <c r="I5095" s="746"/>
      <c r="J5095" s="747"/>
      <c r="K5095" s="748"/>
      <c r="L5095" s="746"/>
      <c r="M5095" s="747"/>
      <c r="N5095" s="753"/>
    </row>
    <row r="5096" spans="2:14" ht="15" customHeight="1" x14ac:dyDescent="0.25">
      <c r="B5096" s="124"/>
      <c r="C5096" s="145"/>
      <c r="D5096" s="125"/>
      <c r="E5096" s="125"/>
      <c r="F5096" s="125"/>
      <c r="G5096" s="125"/>
      <c r="H5096" s="125"/>
      <c r="I5096" s="746"/>
      <c r="J5096" s="747"/>
      <c r="K5096" s="748"/>
      <c r="L5096" s="746"/>
      <c r="M5096" s="747"/>
      <c r="N5096" s="753"/>
    </row>
    <row r="5097" spans="2:14" ht="15" customHeight="1" x14ac:dyDescent="0.25">
      <c r="B5097" s="124"/>
      <c r="C5097" s="125"/>
      <c r="D5097" s="125"/>
      <c r="E5097" s="125"/>
      <c r="F5097" s="125"/>
      <c r="G5097" s="125"/>
      <c r="H5097" s="125"/>
      <c r="I5097" s="746"/>
      <c r="J5097" s="747"/>
      <c r="K5097" s="748"/>
      <c r="L5097" s="746"/>
      <c r="M5097" s="747"/>
      <c r="N5097" s="753"/>
    </row>
    <row r="5098" spans="2:14" ht="15" customHeight="1" x14ac:dyDescent="0.25">
      <c r="B5098" s="127"/>
      <c r="C5098" s="125"/>
      <c r="D5098" s="125"/>
      <c r="E5098" s="125"/>
      <c r="F5098" s="125"/>
      <c r="G5098" s="125"/>
      <c r="H5098" s="125"/>
      <c r="I5098" s="749"/>
      <c r="J5098" s="750"/>
      <c r="K5098" s="751"/>
      <c r="L5098" s="749"/>
      <c r="M5098" s="750"/>
      <c r="N5098" s="754"/>
    </row>
    <row r="5099" spans="2:14" ht="15" customHeight="1" x14ac:dyDescent="0.25">
      <c r="B5099" s="225"/>
      <c r="C5099" s="128"/>
      <c r="D5099" s="128"/>
      <c r="E5099" s="128"/>
      <c r="F5099" s="128"/>
      <c r="G5099" s="128"/>
      <c r="H5099" s="128"/>
      <c r="I5099" s="128"/>
      <c r="J5099" s="128"/>
      <c r="K5099" s="128"/>
      <c r="L5099" s="118"/>
      <c r="M5099" s="118"/>
      <c r="N5099" s="210"/>
    </row>
    <row r="5100" spans="2:14" ht="15" customHeight="1" x14ac:dyDescent="0.25">
      <c r="B5100" s="209"/>
      <c r="C5100" s="118"/>
      <c r="D5100" s="118"/>
      <c r="E5100" s="118"/>
      <c r="F5100" s="118"/>
      <c r="G5100" s="118"/>
      <c r="H5100" s="118"/>
      <c r="I5100" s="118"/>
      <c r="J5100" s="118"/>
      <c r="K5100" s="118"/>
      <c r="L5100" s="118"/>
      <c r="M5100" s="118"/>
      <c r="N5100" s="210"/>
    </row>
    <row r="5101" spans="2:14" ht="15" customHeight="1" x14ac:dyDescent="0.25">
      <c r="B5101" s="209"/>
      <c r="C5101" s="118"/>
      <c r="D5101" s="118"/>
      <c r="E5101" s="118"/>
      <c r="F5101" s="118"/>
      <c r="G5101" s="118"/>
      <c r="H5101" s="118"/>
      <c r="I5101" s="118"/>
      <c r="J5101" s="118"/>
      <c r="K5101" s="118"/>
      <c r="L5101" s="118"/>
      <c r="M5101" s="118"/>
      <c r="N5101" s="210"/>
    </row>
    <row r="5102" spans="2:14" ht="15" customHeight="1" thickBot="1" x14ac:dyDescent="0.3">
      <c r="B5102" s="725" t="s">
        <v>414</v>
      </c>
      <c r="C5102" s="726"/>
      <c r="D5102" s="726"/>
      <c r="E5102" s="147"/>
      <c r="F5102" s="147"/>
      <c r="G5102" s="147"/>
      <c r="H5102" s="147"/>
      <c r="I5102" s="727"/>
      <c r="J5102" s="726"/>
      <c r="K5102" s="726"/>
      <c r="L5102" s="130"/>
      <c r="M5102" s="130"/>
      <c r="N5102" s="131"/>
    </row>
    <row r="5103" spans="2:14" ht="15" customHeight="1" thickBot="1" x14ac:dyDescent="0.3"/>
    <row r="5104" spans="2:14" ht="54.6" customHeight="1" x14ac:dyDescent="0.25">
      <c r="B5104" s="728"/>
      <c r="C5104" s="729"/>
      <c r="D5104" s="730" t="s">
        <v>393</v>
      </c>
      <c r="E5104" s="729"/>
      <c r="F5104" s="729"/>
      <c r="G5104" s="729"/>
      <c r="H5104" s="729"/>
      <c r="I5104" s="729"/>
      <c r="J5104" s="729"/>
      <c r="K5104" s="729"/>
      <c r="L5104" s="729"/>
      <c r="M5104" s="729"/>
      <c r="N5104" s="731"/>
    </row>
    <row r="5105" spans="2:14" ht="15" customHeight="1" x14ac:dyDescent="0.25">
      <c r="B5105" s="732" t="s">
        <v>394</v>
      </c>
      <c r="C5105" s="733"/>
      <c r="D5105" s="733"/>
      <c r="E5105" s="733"/>
      <c r="F5105" s="733"/>
      <c r="G5105" s="733"/>
      <c r="H5105" s="733"/>
      <c r="I5105" s="733"/>
      <c r="J5105" s="733"/>
      <c r="K5105" s="733"/>
      <c r="L5105" s="733"/>
      <c r="M5105" s="733"/>
      <c r="N5105" s="734"/>
    </row>
    <row r="5106" spans="2:14" ht="64.150000000000006" customHeight="1" x14ac:dyDescent="0.25">
      <c r="B5106" s="735" t="s">
        <v>395</v>
      </c>
      <c r="C5106" s="736"/>
      <c r="D5106" s="737" t="str">
        <f>VLOOKUP(B5108,Buenaventura!A9:G6299,3,FALSE)</f>
        <v>Suministro, fabricación e instalación de puerta en aluminio tipo celosía, con dimensiones variables entre 0.50 m y 0.65 m de ancho y 2.00 m a 2.30 m de altura, elaborada en perfiles de aluminio, deberá contar con lamas tipo celosía. Incluye marco perimetral en aluminio, debidamente anclado al elemento estructural.
Incluye sistema de apertura con barra antipánico, que permita la apertura desde el interior mediante empuje, cerradura, manija exterior, bisagras de alta resistencia, topes y demás herrajes necesarios para su correcto funcionamiento, elementos de fijación, anclajes, refuerzos, instalación a plomo y nivel, así como todos los accesorios requeridos.
El acabado deberá ser en aluminio anodizado o con recubrimiento tipo pintura electrostática (poliéster horneado), resistente a la corrosión y apto para ambientes húmedos o marinos.</v>
      </c>
      <c r="E5106" s="738"/>
      <c r="F5106" s="738"/>
      <c r="G5106" s="738"/>
      <c r="H5106" s="738"/>
      <c r="I5106" s="738"/>
      <c r="J5106" s="738"/>
      <c r="K5106" s="738"/>
      <c r="L5106" s="738"/>
      <c r="M5106" s="738"/>
      <c r="N5106" s="739"/>
    </row>
    <row r="5107" spans="2:14" ht="30.6" customHeight="1" x14ac:dyDescent="0.25">
      <c r="B5107" s="740" t="s">
        <v>26</v>
      </c>
      <c r="C5107" s="741"/>
      <c r="D5107" s="119" t="s">
        <v>396</v>
      </c>
      <c r="E5107" s="742" t="s">
        <v>397</v>
      </c>
      <c r="F5107" s="733"/>
      <c r="G5107" s="733"/>
      <c r="H5107" s="736"/>
      <c r="I5107" s="742" t="s">
        <v>398</v>
      </c>
      <c r="J5107" s="733"/>
      <c r="K5107" s="736"/>
      <c r="L5107" s="742" t="s">
        <v>399</v>
      </c>
      <c r="M5107" s="733"/>
      <c r="N5107" s="734"/>
    </row>
    <row r="5108" spans="2:14" ht="15" customHeight="1" x14ac:dyDescent="0.25">
      <c r="B5108" s="283">
        <v>145</v>
      </c>
      <c r="C5108" s="284" t="str">
        <f>VLOOKUP(B5108,Buenaventura!A9:G6312,2,FALSE)</f>
        <v>CA-28</v>
      </c>
      <c r="D5108" s="285">
        <f>SUM(H5111:H5114)</f>
        <v>1</v>
      </c>
      <c r="E5108" s="743" t="str">
        <f>VLOOKUP(B5108,Buenaventura!A9:G6311,4,FALSE)</f>
        <v>UND</v>
      </c>
      <c r="F5108" s="743"/>
      <c r="G5108" s="743"/>
      <c r="H5108" s="743"/>
      <c r="I5108" s="744"/>
      <c r="J5108" s="745"/>
      <c r="K5108" s="741"/>
      <c r="L5108" s="744"/>
      <c r="M5108" s="745"/>
      <c r="N5108" s="752"/>
    </row>
    <row r="5109" spans="2:14" ht="15" customHeight="1" x14ac:dyDescent="0.25">
      <c r="B5109" s="755" t="s">
        <v>416</v>
      </c>
      <c r="C5109" s="733"/>
      <c r="D5109" s="733"/>
      <c r="E5109" s="733"/>
      <c r="F5109" s="733"/>
      <c r="G5109" s="733"/>
      <c r="H5109" s="736"/>
      <c r="I5109" s="746"/>
      <c r="J5109" s="747"/>
      <c r="K5109" s="748"/>
      <c r="L5109" s="746"/>
      <c r="M5109" s="747"/>
      <c r="N5109" s="753"/>
    </row>
    <row r="5110" spans="2:14" ht="15" customHeight="1" x14ac:dyDescent="0.25">
      <c r="B5110" s="121" t="s">
        <v>400</v>
      </c>
      <c r="C5110" s="122" t="s">
        <v>401</v>
      </c>
      <c r="D5110" s="123" t="s">
        <v>402</v>
      </c>
      <c r="E5110" s="123" t="s">
        <v>403</v>
      </c>
      <c r="F5110" s="123" t="s">
        <v>404</v>
      </c>
      <c r="G5110" s="123" t="s">
        <v>405</v>
      </c>
      <c r="H5110" s="123" t="s">
        <v>406</v>
      </c>
      <c r="I5110" s="746"/>
      <c r="J5110" s="747"/>
      <c r="K5110" s="748"/>
      <c r="L5110" s="746"/>
      <c r="M5110" s="747"/>
      <c r="N5110" s="753"/>
    </row>
    <row r="5111" spans="2:14" ht="15" customHeight="1" x14ac:dyDescent="0.25">
      <c r="B5111" s="124"/>
      <c r="C5111" s="145" t="s">
        <v>617</v>
      </c>
      <c r="D5111" s="125">
        <v>1</v>
      </c>
      <c r="E5111" s="125"/>
      <c r="F5111" s="125"/>
      <c r="G5111" s="125"/>
      <c r="H5111" s="125">
        <f>D5111</f>
        <v>1</v>
      </c>
      <c r="I5111" s="746"/>
      <c r="J5111" s="747"/>
      <c r="K5111" s="748"/>
      <c r="L5111" s="746"/>
      <c r="M5111" s="747"/>
      <c r="N5111" s="753"/>
    </row>
    <row r="5112" spans="2:14" ht="15" customHeight="1" x14ac:dyDescent="0.25">
      <c r="B5112" s="124"/>
      <c r="C5112" s="145"/>
      <c r="D5112" s="125"/>
      <c r="E5112" s="125"/>
      <c r="F5112" s="125"/>
      <c r="G5112" s="125"/>
      <c r="H5112" s="125"/>
      <c r="I5112" s="746"/>
      <c r="J5112" s="747"/>
      <c r="K5112" s="748"/>
      <c r="L5112" s="746"/>
      <c r="M5112" s="747"/>
      <c r="N5112" s="753"/>
    </row>
    <row r="5113" spans="2:14" ht="15" customHeight="1" x14ac:dyDescent="0.25">
      <c r="B5113" s="165"/>
      <c r="C5113" s="145"/>
      <c r="D5113" s="125"/>
      <c r="E5113" s="125"/>
      <c r="F5113" s="125"/>
      <c r="G5113" s="125"/>
      <c r="H5113" s="125"/>
      <c r="I5113" s="746"/>
      <c r="J5113" s="747"/>
      <c r="K5113" s="748"/>
      <c r="L5113" s="746"/>
      <c r="M5113" s="747"/>
      <c r="N5113" s="753"/>
    </row>
    <row r="5114" spans="2:14" ht="15" customHeight="1" x14ac:dyDescent="0.25">
      <c r="B5114" s="165"/>
      <c r="C5114" s="145"/>
      <c r="D5114" s="125"/>
      <c r="E5114" s="125"/>
      <c r="F5114" s="125"/>
      <c r="G5114" s="125"/>
      <c r="H5114" s="125"/>
      <c r="I5114" s="746"/>
      <c r="J5114" s="747"/>
      <c r="K5114" s="748"/>
      <c r="L5114" s="746"/>
      <c r="M5114" s="747"/>
      <c r="N5114" s="753"/>
    </row>
    <row r="5115" spans="2:14" ht="15" customHeight="1" x14ac:dyDescent="0.25">
      <c r="B5115" s="165"/>
      <c r="C5115" s="145"/>
      <c r="D5115" s="125"/>
      <c r="E5115" s="125"/>
      <c r="F5115" s="125"/>
      <c r="G5115" s="125"/>
      <c r="H5115" s="125"/>
      <c r="I5115" s="746"/>
      <c r="J5115" s="747"/>
      <c r="K5115" s="748"/>
      <c r="L5115" s="746"/>
      <c r="M5115" s="747"/>
      <c r="N5115" s="753"/>
    </row>
    <row r="5116" spans="2:14" ht="15" customHeight="1" x14ac:dyDescent="0.25">
      <c r="B5116" s="165"/>
      <c r="C5116" s="145"/>
      <c r="D5116" s="125"/>
      <c r="E5116" s="125"/>
      <c r="F5116" s="125"/>
      <c r="G5116" s="125"/>
      <c r="H5116" s="125"/>
      <c r="I5116" s="746"/>
      <c r="J5116" s="747"/>
      <c r="K5116" s="748"/>
      <c r="L5116" s="746"/>
      <c r="M5116" s="747"/>
      <c r="N5116" s="753"/>
    </row>
    <row r="5117" spans="2:14" ht="15" customHeight="1" x14ac:dyDescent="0.25">
      <c r="B5117" s="165"/>
      <c r="C5117" s="145"/>
      <c r="D5117" s="125"/>
      <c r="E5117" s="125"/>
      <c r="F5117" s="125"/>
      <c r="G5117" s="125"/>
      <c r="H5117" s="125"/>
      <c r="I5117" s="746"/>
      <c r="J5117" s="747"/>
      <c r="K5117" s="748"/>
      <c r="L5117" s="746"/>
      <c r="M5117" s="747"/>
      <c r="N5117" s="753"/>
    </row>
    <row r="5118" spans="2:14" ht="15" customHeight="1" x14ac:dyDescent="0.25">
      <c r="B5118" s="124"/>
      <c r="C5118" s="145"/>
      <c r="D5118" s="125"/>
      <c r="E5118" s="125"/>
      <c r="F5118" s="125"/>
      <c r="G5118" s="125"/>
      <c r="H5118" s="125"/>
      <c r="I5118" s="746"/>
      <c r="J5118" s="747"/>
      <c r="K5118" s="748"/>
      <c r="L5118" s="746"/>
      <c r="M5118" s="747"/>
      <c r="N5118" s="753"/>
    </row>
    <row r="5119" spans="2:14" ht="15" customHeight="1" x14ac:dyDescent="0.25">
      <c r="B5119" s="124"/>
      <c r="C5119" s="125"/>
      <c r="D5119" s="125"/>
      <c r="E5119" s="125"/>
      <c r="F5119" s="125"/>
      <c r="G5119" s="125"/>
      <c r="H5119" s="125"/>
      <c r="I5119" s="746"/>
      <c r="J5119" s="747"/>
      <c r="K5119" s="748"/>
      <c r="L5119" s="746"/>
      <c r="M5119" s="747"/>
      <c r="N5119" s="753"/>
    </row>
    <row r="5120" spans="2:14" ht="15" customHeight="1" x14ac:dyDescent="0.25">
      <c r="B5120" s="127"/>
      <c r="C5120" s="125"/>
      <c r="D5120" s="125"/>
      <c r="E5120" s="125"/>
      <c r="F5120" s="125"/>
      <c r="G5120" s="125"/>
      <c r="H5120" s="125"/>
      <c r="I5120" s="749"/>
      <c r="J5120" s="750"/>
      <c r="K5120" s="751"/>
      <c r="L5120" s="749"/>
      <c r="M5120" s="750"/>
      <c r="N5120" s="754"/>
    </row>
    <row r="5121" spans="2:14" ht="15" customHeight="1" x14ac:dyDescent="0.25">
      <c r="B5121" s="225"/>
      <c r="C5121" s="128"/>
      <c r="D5121" s="128"/>
      <c r="E5121" s="128"/>
      <c r="F5121" s="128"/>
      <c r="G5121" s="128"/>
      <c r="H5121" s="128"/>
      <c r="I5121" s="128"/>
      <c r="J5121" s="128"/>
      <c r="K5121" s="128"/>
      <c r="L5121" s="118"/>
      <c r="M5121" s="118"/>
      <c r="N5121" s="210"/>
    </row>
    <row r="5122" spans="2:14" ht="15" customHeight="1" x14ac:dyDescent="0.25">
      <c r="B5122" s="209"/>
      <c r="C5122" s="118"/>
      <c r="D5122" s="118"/>
      <c r="E5122" s="118"/>
      <c r="F5122" s="118"/>
      <c r="G5122" s="118"/>
      <c r="H5122" s="118"/>
      <c r="I5122" s="118"/>
      <c r="J5122" s="118"/>
      <c r="K5122" s="118"/>
      <c r="L5122" s="118"/>
      <c r="M5122" s="118"/>
      <c r="N5122" s="210"/>
    </row>
    <row r="5123" spans="2:14" ht="15" customHeight="1" x14ac:dyDescent="0.25">
      <c r="B5123" s="209"/>
      <c r="C5123" s="118"/>
      <c r="D5123" s="118"/>
      <c r="E5123" s="118"/>
      <c r="F5123" s="118"/>
      <c r="G5123" s="118"/>
      <c r="H5123" s="118"/>
      <c r="I5123" s="118"/>
      <c r="J5123" s="118"/>
      <c r="K5123" s="118"/>
      <c r="L5123" s="118"/>
      <c r="M5123" s="118"/>
      <c r="N5123" s="210"/>
    </row>
    <row r="5124" spans="2:14" ht="15" customHeight="1" thickBot="1" x14ac:dyDescent="0.3">
      <c r="B5124" s="725" t="s">
        <v>414</v>
      </c>
      <c r="C5124" s="726"/>
      <c r="D5124" s="726"/>
      <c r="E5124" s="147"/>
      <c r="F5124" s="147"/>
      <c r="G5124" s="147"/>
      <c r="H5124" s="147"/>
      <c r="I5124" s="727"/>
      <c r="J5124" s="726"/>
      <c r="K5124" s="726"/>
      <c r="L5124" s="130"/>
      <c r="M5124" s="130"/>
      <c r="N5124" s="131"/>
    </row>
    <row r="5125" spans="2:14" ht="15" customHeight="1" thickBot="1" x14ac:dyDescent="0.3"/>
    <row r="5126" spans="2:14" ht="43.15" customHeight="1" x14ac:dyDescent="0.25">
      <c r="B5126" s="728"/>
      <c r="C5126" s="729"/>
      <c r="D5126" s="730" t="s">
        <v>393</v>
      </c>
      <c r="E5126" s="729"/>
      <c r="F5126" s="729"/>
      <c r="G5126" s="729"/>
      <c r="H5126" s="729"/>
      <c r="I5126" s="729"/>
      <c r="J5126" s="729"/>
      <c r="K5126" s="729"/>
      <c r="L5126" s="729"/>
      <c r="M5126" s="729"/>
      <c r="N5126" s="731"/>
    </row>
    <row r="5127" spans="2:14" ht="15" customHeight="1" x14ac:dyDescent="0.25">
      <c r="B5127" s="732" t="s">
        <v>394</v>
      </c>
      <c r="C5127" s="733"/>
      <c r="D5127" s="733"/>
      <c r="E5127" s="733"/>
      <c r="F5127" s="733"/>
      <c r="G5127" s="733"/>
      <c r="H5127" s="733"/>
      <c r="I5127" s="733"/>
      <c r="J5127" s="733"/>
      <c r="K5127" s="733"/>
      <c r="L5127" s="733"/>
      <c r="M5127" s="733"/>
      <c r="N5127" s="734"/>
    </row>
    <row r="5128" spans="2:14" ht="54" customHeight="1" x14ac:dyDescent="0.25">
      <c r="B5128" s="735" t="s">
        <v>395</v>
      </c>
      <c r="C5128" s="736"/>
      <c r="D5128" s="737" t="str">
        <f>VLOOKUP(B5130,Buenaventura!A9:G6321,3,FALSE)</f>
        <v xml:space="preserve">Suministro e instalación de base metalica antivibratoria para equipo de presión, con dimensiones aproximadas de 0.40 m de ancho x 0.50 m de largo, conformada por elementos de aislamiento en corcho y goma (neopreno u otro elastómero equivalente), </v>
      </c>
      <c r="E5128" s="738"/>
      <c r="F5128" s="738"/>
      <c r="G5128" s="738"/>
      <c r="H5128" s="738"/>
      <c r="I5128" s="738"/>
      <c r="J5128" s="738"/>
      <c r="K5128" s="738"/>
      <c r="L5128" s="738"/>
      <c r="M5128" s="738"/>
      <c r="N5128" s="739"/>
    </row>
    <row r="5129" spans="2:14" ht="27" customHeight="1" x14ac:dyDescent="0.25">
      <c r="B5129" s="740" t="s">
        <v>26</v>
      </c>
      <c r="C5129" s="741"/>
      <c r="D5129" s="119" t="s">
        <v>396</v>
      </c>
      <c r="E5129" s="742" t="s">
        <v>397</v>
      </c>
      <c r="F5129" s="733"/>
      <c r="G5129" s="733"/>
      <c r="H5129" s="736"/>
      <c r="I5129" s="742" t="s">
        <v>398</v>
      </c>
      <c r="J5129" s="733"/>
      <c r="K5129" s="736"/>
      <c r="L5129" s="742" t="s">
        <v>399</v>
      </c>
      <c r="M5129" s="733"/>
      <c r="N5129" s="734"/>
    </row>
    <row r="5130" spans="2:14" ht="15" customHeight="1" x14ac:dyDescent="0.25">
      <c r="B5130" s="283">
        <v>146</v>
      </c>
      <c r="C5130" s="284" t="str">
        <f>VLOOKUP(B5130,Buenaventura!A9:G6334,2,FALSE)</f>
        <v>VA-38</v>
      </c>
      <c r="D5130" s="285">
        <f>SUM(H5133:H5136)</f>
        <v>1</v>
      </c>
      <c r="E5130" s="743" t="str">
        <f>VLOOKUP(B5130,Buenaventura!A9:G6333,4,FALSE)</f>
        <v>UND</v>
      </c>
      <c r="F5130" s="743"/>
      <c r="G5130" s="743"/>
      <c r="H5130" s="743"/>
      <c r="I5130" s="744"/>
      <c r="J5130" s="745"/>
      <c r="K5130" s="741"/>
      <c r="L5130" s="744"/>
      <c r="M5130" s="745"/>
      <c r="N5130" s="752"/>
    </row>
    <row r="5131" spans="2:14" ht="15" customHeight="1" x14ac:dyDescent="0.25">
      <c r="B5131" s="755" t="s">
        <v>416</v>
      </c>
      <c r="C5131" s="733"/>
      <c r="D5131" s="733"/>
      <c r="E5131" s="733"/>
      <c r="F5131" s="733"/>
      <c r="G5131" s="733"/>
      <c r="H5131" s="736"/>
      <c r="I5131" s="746"/>
      <c r="J5131" s="747"/>
      <c r="K5131" s="748"/>
      <c r="L5131" s="746"/>
      <c r="M5131" s="747"/>
      <c r="N5131" s="753"/>
    </row>
    <row r="5132" spans="2:14" ht="15" customHeight="1" x14ac:dyDescent="0.25">
      <c r="B5132" s="121" t="s">
        <v>400</v>
      </c>
      <c r="C5132" s="122" t="s">
        <v>401</v>
      </c>
      <c r="D5132" s="123" t="s">
        <v>402</v>
      </c>
      <c r="E5132" s="123" t="s">
        <v>403</v>
      </c>
      <c r="F5132" s="123" t="s">
        <v>404</v>
      </c>
      <c r="G5132" s="123" t="s">
        <v>405</v>
      </c>
      <c r="H5132" s="123" t="s">
        <v>406</v>
      </c>
      <c r="I5132" s="746"/>
      <c r="J5132" s="747"/>
      <c r="K5132" s="748"/>
      <c r="L5132" s="746"/>
      <c r="M5132" s="747"/>
      <c r="N5132" s="753"/>
    </row>
    <row r="5133" spans="2:14" ht="15" customHeight="1" x14ac:dyDescent="0.25">
      <c r="B5133" s="124"/>
      <c r="C5133" s="145" t="s">
        <v>617</v>
      </c>
      <c r="D5133" s="125">
        <v>1</v>
      </c>
      <c r="E5133" s="125"/>
      <c r="F5133" s="125"/>
      <c r="G5133" s="125"/>
      <c r="H5133" s="125">
        <f>D5133</f>
        <v>1</v>
      </c>
      <c r="I5133" s="746"/>
      <c r="J5133" s="747"/>
      <c r="K5133" s="748"/>
      <c r="L5133" s="746"/>
      <c r="M5133" s="747"/>
      <c r="N5133" s="753"/>
    </row>
    <row r="5134" spans="2:14" ht="15" customHeight="1" x14ac:dyDescent="0.25">
      <c r="B5134" s="124"/>
      <c r="C5134" s="145"/>
      <c r="D5134" s="125"/>
      <c r="E5134" s="125"/>
      <c r="F5134" s="125"/>
      <c r="G5134" s="125"/>
      <c r="H5134" s="125"/>
      <c r="I5134" s="746"/>
      <c r="J5134" s="747"/>
      <c r="K5134" s="748"/>
      <c r="L5134" s="746"/>
      <c r="M5134" s="747"/>
      <c r="N5134" s="753"/>
    </row>
    <row r="5135" spans="2:14" ht="15" customHeight="1" x14ac:dyDescent="0.25">
      <c r="B5135" s="165"/>
      <c r="C5135" s="145"/>
      <c r="D5135" s="125"/>
      <c r="E5135" s="125"/>
      <c r="F5135" s="125"/>
      <c r="G5135" s="125"/>
      <c r="H5135" s="125"/>
      <c r="I5135" s="746"/>
      <c r="J5135" s="747"/>
      <c r="K5135" s="748"/>
      <c r="L5135" s="746"/>
      <c r="M5135" s="747"/>
      <c r="N5135" s="753"/>
    </row>
    <row r="5136" spans="2:14" ht="15" customHeight="1" x14ac:dyDescent="0.25">
      <c r="B5136" s="165"/>
      <c r="C5136" s="145"/>
      <c r="D5136" s="125"/>
      <c r="E5136" s="125"/>
      <c r="F5136" s="125"/>
      <c r="G5136" s="125"/>
      <c r="H5136" s="125"/>
      <c r="I5136" s="746"/>
      <c r="J5136" s="747"/>
      <c r="K5136" s="748"/>
      <c r="L5136" s="746"/>
      <c r="M5136" s="747"/>
      <c r="N5136" s="753"/>
    </row>
    <row r="5137" spans="2:14" ht="15" customHeight="1" x14ac:dyDescent="0.25">
      <c r="B5137" s="165"/>
      <c r="C5137" s="145"/>
      <c r="D5137" s="125"/>
      <c r="E5137" s="125"/>
      <c r="F5137" s="125"/>
      <c r="G5137" s="125"/>
      <c r="H5137" s="125"/>
      <c r="I5137" s="746"/>
      <c r="J5137" s="747"/>
      <c r="K5137" s="748"/>
      <c r="L5137" s="746"/>
      <c r="M5137" s="747"/>
      <c r="N5137" s="753"/>
    </row>
    <row r="5138" spans="2:14" ht="15" customHeight="1" x14ac:dyDescent="0.25">
      <c r="B5138" s="165"/>
      <c r="C5138" s="145"/>
      <c r="D5138" s="125"/>
      <c r="E5138" s="125"/>
      <c r="F5138" s="125"/>
      <c r="G5138" s="125"/>
      <c r="H5138" s="125"/>
      <c r="I5138" s="746"/>
      <c r="J5138" s="747"/>
      <c r="K5138" s="748"/>
      <c r="L5138" s="746"/>
      <c r="M5138" s="747"/>
      <c r="N5138" s="753"/>
    </row>
    <row r="5139" spans="2:14" ht="15" customHeight="1" x14ac:dyDescent="0.25">
      <c r="B5139" s="165"/>
      <c r="C5139" s="145"/>
      <c r="D5139" s="125"/>
      <c r="E5139" s="125"/>
      <c r="F5139" s="125"/>
      <c r="G5139" s="125"/>
      <c r="H5139" s="125"/>
      <c r="I5139" s="746"/>
      <c r="J5139" s="747"/>
      <c r="K5139" s="748"/>
      <c r="L5139" s="746"/>
      <c r="M5139" s="747"/>
      <c r="N5139" s="753"/>
    </row>
    <row r="5140" spans="2:14" ht="15" customHeight="1" x14ac:dyDescent="0.25">
      <c r="B5140" s="124"/>
      <c r="C5140" s="145"/>
      <c r="D5140" s="125"/>
      <c r="E5140" s="125"/>
      <c r="F5140" s="125"/>
      <c r="G5140" s="125"/>
      <c r="H5140" s="125"/>
      <c r="I5140" s="746"/>
      <c r="J5140" s="747"/>
      <c r="K5140" s="748"/>
      <c r="L5140" s="746"/>
      <c r="M5140" s="747"/>
      <c r="N5140" s="753"/>
    </row>
    <row r="5141" spans="2:14" ht="15" customHeight="1" x14ac:dyDescent="0.25">
      <c r="B5141" s="124"/>
      <c r="C5141" s="125"/>
      <c r="D5141" s="125"/>
      <c r="E5141" s="125"/>
      <c r="F5141" s="125"/>
      <c r="G5141" s="125"/>
      <c r="H5141" s="125"/>
      <c r="I5141" s="746"/>
      <c r="J5141" s="747"/>
      <c r="K5141" s="748"/>
      <c r="L5141" s="746"/>
      <c r="M5141" s="747"/>
      <c r="N5141" s="753"/>
    </row>
    <row r="5142" spans="2:14" ht="15" customHeight="1" x14ac:dyDescent="0.25">
      <c r="B5142" s="127"/>
      <c r="C5142" s="125"/>
      <c r="D5142" s="125"/>
      <c r="E5142" s="125"/>
      <c r="F5142" s="125"/>
      <c r="G5142" s="125"/>
      <c r="H5142" s="125"/>
      <c r="I5142" s="749"/>
      <c r="J5142" s="750"/>
      <c r="K5142" s="751"/>
      <c r="L5142" s="749"/>
      <c r="M5142" s="750"/>
      <c r="N5142" s="754"/>
    </row>
    <row r="5143" spans="2:14" ht="15" customHeight="1" x14ac:dyDescent="0.25">
      <c r="B5143" s="225"/>
      <c r="C5143" s="128"/>
      <c r="D5143" s="128"/>
      <c r="E5143" s="128"/>
      <c r="F5143" s="128"/>
      <c r="G5143" s="128"/>
      <c r="H5143" s="128"/>
      <c r="I5143" s="128"/>
      <c r="J5143" s="128"/>
      <c r="K5143" s="128"/>
      <c r="L5143" s="118"/>
      <c r="M5143" s="118"/>
      <c r="N5143" s="210"/>
    </row>
    <row r="5144" spans="2:14" ht="15" customHeight="1" x14ac:dyDescent="0.25">
      <c r="B5144" s="209"/>
      <c r="C5144" s="118"/>
      <c r="D5144" s="118"/>
      <c r="E5144" s="118"/>
      <c r="F5144" s="118"/>
      <c r="G5144" s="118"/>
      <c r="H5144" s="118"/>
      <c r="I5144" s="118"/>
      <c r="J5144" s="118"/>
      <c r="K5144" s="118"/>
      <c r="L5144" s="118"/>
      <c r="M5144" s="118"/>
      <c r="N5144" s="210"/>
    </row>
    <row r="5145" spans="2:14" ht="15" customHeight="1" x14ac:dyDescent="0.25">
      <c r="B5145" s="209"/>
      <c r="C5145" s="118"/>
      <c r="D5145" s="118"/>
      <c r="E5145" s="118"/>
      <c r="F5145" s="118"/>
      <c r="G5145" s="118"/>
      <c r="H5145" s="118"/>
      <c r="I5145" s="118"/>
      <c r="J5145" s="118"/>
      <c r="K5145" s="118"/>
      <c r="L5145" s="118"/>
      <c r="M5145" s="118"/>
      <c r="N5145" s="210"/>
    </row>
    <row r="5146" spans="2:14" ht="15" customHeight="1" thickBot="1" x14ac:dyDescent="0.3">
      <c r="B5146" s="725" t="s">
        <v>414</v>
      </c>
      <c r="C5146" s="726"/>
      <c r="D5146" s="726"/>
      <c r="E5146" s="147"/>
      <c r="F5146" s="147"/>
      <c r="G5146" s="147"/>
      <c r="H5146" s="147"/>
      <c r="I5146" s="727"/>
      <c r="J5146" s="726"/>
      <c r="K5146" s="726"/>
      <c r="L5146" s="130"/>
      <c r="M5146" s="130"/>
      <c r="N5146" s="131"/>
    </row>
    <row r="5147" spans="2:14" ht="15" customHeight="1" thickBot="1" x14ac:dyDescent="0.3"/>
    <row r="5148" spans="2:14" ht="41.45" customHeight="1" x14ac:dyDescent="0.25">
      <c r="B5148" s="728"/>
      <c r="C5148" s="729"/>
      <c r="D5148" s="730" t="s">
        <v>393</v>
      </c>
      <c r="E5148" s="729"/>
      <c r="F5148" s="729"/>
      <c r="G5148" s="729"/>
      <c r="H5148" s="729"/>
      <c r="I5148" s="729"/>
      <c r="J5148" s="729"/>
      <c r="K5148" s="729"/>
      <c r="L5148" s="729"/>
      <c r="M5148" s="729"/>
      <c r="N5148" s="731"/>
    </row>
    <row r="5149" spans="2:14" ht="15" customHeight="1" x14ac:dyDescent="0.25">
      <c r="B5149" s="732" t="s">
        <v>394</v>
      </c>
      <c r="C5149" s="733"/>
      <c r="D5149" s="733"/>
      <c r="E5149" s="733"/>
      <c r="F5149" s="733"/>
      <c r="G5149" s="733"/>
      <c r="H5149" s="733"/>
      <c r="I5149" s="733"/>
      <c r="J5149" s="733"/>
      <c r="K5149" s="733"/>
      <c r="L5149" s="733"/>
      <c r="M5149" s="733"/>
      <c r="N5149" s="734"/>
    </row>
    <row r="5150" spans="2:14" ht="53.45" customHeight="1" x14ac:dyDescent="0.25">
      <c r="B5150" s="735" t="s">
        <v>395</v>
      </c>
      <c r="C5150" s="736"/>
      <c r="D5150" s="737" t="str">
        <f>VLOOKUP(B5152,Buenaventura!A9:G6343,3,FALSE)</f>
        <v>Suministro e instalación de válvula de 1” (25 mm) para sistema de distribución de agua potable, fabricada en bronce, incluye accesorios, uniones, adaptadores, sellos (teflón o equivalente), elementos de fijación y soportes, así como el corte, adecuación y limpieza de la tubería existente para su correcta instalación.</v>
      </c>
      <c r="E5150" s="738"/>
      <c r="F5150" s="738"/>
      <c r="G5150" s="738"/>
      <c r="H5150" s="738"/>
      <c r="I5150" s="738"/>
      <c r="J5150" s="738"/>
      <c r="K5150" s="738"/>
      <c r="L5150" s="738"/>
      <c r="M5150" s="738"/>
      <c r="N5150" s="739"/>
    </row>
    <row r="5151" spans="2:14" ht="28.15" customHeight="1" x14ac:dyDescent="0.25">
      <c r="B5151" s="740" t="s">
        <v>26</v>
      </c>
      <c r="C5151" s="741"/>
      <c r="D5151" s="119" t="s">
        <v>396</v>
      </c>
      <c r="E5151" s="742" t="s">
        <v>397</v>
      </c>
      <c r="F5151" s="733"/>
      <c r="G5151" s="733"/>
      <c r="H5151" s="736"/>
      <c r="I5151" s="742" t="s">
        <v>398</v>
      </c>
      <c r="J5151" s="733"/>
      <c r="K5151" s="736"/>
      <c r="L5151" s="742" t="s">
        <v>399</v>
      </c>
      <c r="M5151" s="733"/>
      <c r="N5151" s="734"/>
    </row>
    <row r="5152" spans="2:14" ht="15" customHeight="1" x14ac:dyDescent="0.25">
      <c r="B5152" s="283">
        <v>147</v>
      </c>
      <c r="C5152" s="284" t="str">
        <f>VLOOKUP(B5152,Buenaventura!A9:G6356,2,FALSE)</f>
        <v>VA-39</v>
      </c>
      <c r="D5152" s="285">
        <f>SUM(H5155:H5158)</f>
        <v>1</v>
      </c>
      <c r="E5152" s="743" t="str">
        <f>VLOOKUP(B5152,Buenaventura!A9:G6355,4,FALSE)</f>
        <v>UND</v>
      </c>
      <c r="F5152" s="743"/>
      <c r="G5152" s="743"/>
      <c r="H5152" s="743"/>
      <c r="I5152" s="744"/>
      <c r="J5152" s="745"/>
      <c r="K5152" s="741"/>
      <c r="L5152" s="744"/>
      <c r="M5152" s="745"/>
      <c r="N5152" s="752"/>
    </row>
    <row r="5153" spans="2:14" ht="15" customHeight="1" x14ac:dyDescent="0.25">
      <c r="B5153" s="755" t="s">
        <v>416</v>
      </c>
      <c r="C5153" s="733"/>
      <c r="D5153" s="733"/>
      <c r="E5153" s="733"/>
      <c r="F5153" s="733"/>
      <c r="G5153" s="733"/>
      <c r="H5153" s="736"/>
      <c r="I5153" s="746"/>
      <c r="J5153" s="747"/>
      <c r="K5153" s="748"/>
      <c r="L5153" s="746"/>
      <c r="M5153" s="747"/>
      <c r="N5153" s="753"/>
    </row>
    <row r="5154" spans="2:14" ht="15" customHeight="1" x14ac:dyDescent="0.25">
      <c r="B5154" s="121" t="s">
        <v>400</v>
      </c>
      <c r="C5154" s="122" t="s">
        <v>401</v>
      </c>
      <c r="D5154" s="123" t="s">
        <v>402</v>
      </c>
      <c r="E5154" s="123" t="s">
        <v>403</v>
      </c>
      <c r="F5154" s="123" t="s">
        <v>404</v>
      </c>
      <c r="G5154" s="123" t="s">
        <v>405</v>
      </c>
      <c r="H5154" s="123" t="s">
        <v>406</v>
      </c>
      <c r="I5154" s="746"/>
      <c r="J5154" s="747"/>
      <c r="K5154" s="748"/>
      <c r="L5154" s="746"/>
      <c r="M5154" s="747"/>
      <c r="N5154" s="753"/>
    </row>
    <row r="5155" spans="2:14" ht="15" customHeight="1" x14ac:dyDescent="0.25">
      <c r="B5155" s="124"/>
      <c r="C5155" s="145" t="s">
        <v>617</v>
      </c>
      <c r="D5155" s="125">
        <v>1</v>
      </c>
      <c r="E5155" s="125"/>
      <c r="F5155" s="125"/>
      <c r="G5155" s="125"/>
      <c r="H5155" s="125">
        <f>D5155</f>
        <v>1</v>
      </c>
      <c r="I5155" s="746"/>
      <c r="J5155" s="747"/>
      <c r="K5155" s="748"/>
      <c r="L5155" s="746"/>
      <c r="M5155" s="747"/>
      <c r="N5155" s="753"/>
    </row>
    <row r="5156" spans="2:14" ht="15" customHeight="1" x14ac:dyDescent="0.25">
      <c r="B5156" s="124"/>
      <c r="C5156" s="145"/>
      <c r="D5156" s="125"/>
      <c r="E5156" s="125"/>
      <c r="F5156" s="125"/>
      <c r="G5156" s="125"/>
      <c r="H5156" s="125"/>
      <c r="I5156" s="746"/>
      <c r="J5156" s="747"/>
      <c r="K5156" s="748"/>
      <c r="L5156" s="746"/>
      <c r="M5156" s="747"/>
      <c r="N5156" s="753"/>
    </row>
    <row r="5157" spans="2:14" ht="15" customHeight="1" x14ac:dyDescent="0.25">
      <c r="B5157" s="165"/>
      <c r="C5157" s="145"/>
      <c r="D5157" s="125"/>
      <c r="E5157" s="125"/>
      <c r="F5157" s="125"/>
      <c r="G5157" s="125"/>
      <c r="H5157" s="125"/>
      <c r="I5157" s="746"/>
      <c r="J5157" s="747"/>
      <c r="K5157" s="748"/>
      <c r="L5157" s="746"/>
      <c r="M5157" s="747"/>
      <c r="N5157" s="753"/>
    </row>
    <row r="5158" spans="2:14" ht="15" customHeight="1" x14ac:dyDescent="0.25">
      <c r="B5158" s="165"/>
      <c r="C5158" s="145"/>
      <c r="D5158" s="125"/>
      <c r="E5158" s="125"/>
      <c r="F5158" s="125"/>
      <c r="G5158" s="125"/>
      <c r="H5158" s="125"/>
      <c r="I5158" s="746"/>
      <c r="J5158" s="747"/>
      <c r="K5158" s="748"/>
      <c r="L5158" s="746"/>
      <c r="M5158" s="747"/>
      <c r="N5158" s="753"/>
    </row>
    <row r="5159" spans="2:14" ht="15" customHeight="1" x14ac:dyDescent="0.25">
      <c r="B5159" s="165"/>
      <c r="C5159" s="145"/>
      <c r="D5159" s="125"/>
      <c r="E5159" s="125"/>
      <c r="F5159" s="125"/>
      <c r="G5159" s="125"/>
      <c r="H5159" s="125"/>
      <c r="I5159" s="746"/>
      <c r="J5159" s="747"/>
      <c r="K5159" s="748"/>
      <c r="L5159" s="746"/>
      <c r="M5159" s="747"/>
      <c r="N5159" s="753"/>
    </row>
    <row r="5160" spans="2:14" ht="15" customHeight="1" x14ac:dyDescent="0.25">
      <c r="B5160" s="165"/>
      <c r="C5160" s="145"/>
      <c r="D5160" s="125"/>
      <c r="E5160" s="125"/>
      <c r="F5160" s="125"/>
      <c r="G5160" s="125"/>
      <c r="H5160" s="125"/>
      <c r="I5160" s="746"/>
      <c r="J5160" s="747"/>
      <c r="K5160" s="748"/>
      <c r="L5160" s="746"/>
      <c r="M5160" s="747"/>
      <c r="N5160" s="753"/>
    </row>
    <row r="5161" spans="2:14" ht="15" customHeight="1" x14ac:dyDescent="0.25">
      <c r="B5161" s="165"/>
      <c r="C5161" s="145"/>
      <c r="D5161" s="125"/>
      <c r="E5161" s="125"/>
      <c r="F5161" s="125"/>
      <c r="G5161" s="125"/>
      <c r="H5161" s="125"/>
      <c r="I5161" s="746"/>
      <c r="J5161" s="747"/>
      <c r="K5161" s="748"/>
      <c r="L5161" s="746"/>
      <c r="M5161" s="747"/>
      <c r="N5161" s="753"/>
    </row>
    <row r="5162" spans="2:14" ht="15" customHeight="1" x14ac:dyDescent="0.25">
      <c r="B5162" s="124"/>
      <c r="C5162" s="145"/>
      <c r="D5162" s="125"/>
      <c r="E5162" s="125"/>
      <c r="F5162" s="125"/>
      <c r="G5162" s="125"/>
      <c r="H5162" s="125"/>
      <c r="I5162" s="746"/>
      <c r="J5162" s="747"/>
      <c r="K5162" s="748"/>
      <c r="L5162" s="746"/>
      <c r="M5162" s="747"/>
      <c r="N5162" s="753"/>
    </row>
    <row r="5163" spans="2:14" ht="15" customHeight="1" x14ac:dyDescent="0.25">
      <c r="B5163" s="124"/>
      <c r="C5163" s="125"/>
      <c r="D5163" s="125"/>
      <c r="E5163" s="125"/>
      <c r="F5163" s="125"/>
      <c r="G5163" s="125"/>
      <c r="H5163" s="125"/>
      <c r="I5163" s="746"/>
      <c r="J5163" s="747"/>
      <c r="K5163" s="748"/>
      <c r="L5163" s="746"/>
      <c r="M5163" s="747"/>
      <c r="N5163" s="753"/>
    </row>
    <row r="5164" spans="2:14" ht="15" customHeight="1" x14ac:dyDescent="0.25">
      <c r="B5164" s="127"/>
      <c r="C5164" s="125"/>
      <c r="D5164" s="125"/>
      <c r="E5164" s="125"/>
      <c r="F5164" s="125"/>
      <c r="G5164" s="125"/>
      <c r="H5164" s="125"/>
      <c r="I5164" s="749"/>
      <c r="J5164" s="750"/>
      <c r="K5164" s="751"/>
      <c r="L5164" s="749"/>
      <c r="M5164" s="750"/>
      <c r="N5164" s="754"/>
    </row>
    <row r="5165" spans="2:14" ht="15" customHeight="1" x14ac:dyDescent="0.25">
      <c r="B5165" s="225"/>
      <c r="C5165" s="128"/>
      <c r="D5165" s="128"/>
      <c r="E5165" s="128"/>
      <c r="F5165" s="128"/>
      <c r="G5165" s="128"/>
      <c r="H5165" s="128"/>
      <c r="I5165" s="128"/>
      <c r="J5165" s="128"/>
      <c r="K5165" s="128"/>
      <c r="L5165" s="118"/>
      <c r="M5165" s="118"/>
      <c r="N5165" s="210"/>
    </row>
    <row r="5166" spans="2:14" ht="15" customHeight="1" x14ac:dyDescent="0.25">
      <c r="B5166" s="209"/>
      <c r="C5166" s="118"/>
      <c r="D5166" s="118"/>
      <c r="E5166" s="118"/>
      <c r="F5166" s="118"/>
      <c r="G5166" s="118"/>
      <c r="H5166" s="118"/>
      <c r="I5166" s="118"/>
      <c r="J5166" s="118"/>
      <c r="K5166" s="118"/>
      <c r="L5166" s="118"/>
      <c r="M5166" s="118"/>
      <c r="N5166" s="210"/>
    </row>
    <row r="5167" spans="2:14" ht="15" customHeight="1" x14ac:dyDescent="0.25">
      <c r="B5167" s="209"/>
      <c r="C5167" s="118"/>
      <c r="D5167" s="118"/>
      <c r="E5167" s="118"/>
      <c r="F5167" s="118"/>
      <c r="G5167" s="118"/>
      <c r="H5167" s="118"/>
      <c r="I5167" s="118"/>
      <c r="J5167" s="118"/>
      <c r="K5167" s="118"/>
      <c r="L5167" s="118"/>
      <c r="M5167" s="118"/>
      <c r="N5167" s="210"/>
    </row>
    <row r="5168" spans="2:14" ht="15" customHeight="1" thickBot="1" x14ac:dyDescent="0.3">
      <c r="B5168" s="725" t="s">
        <v>414</v>
      </c>
      <c r="C5168" s="726"/>
      <c r="D5168" s="726"/>
      <c r="E5168" s="147"/>
      <c r="F5168" s="147"/>
      <c r="G5168" s="147"/>
      <c r="H5168" s="147"/>
      <c r="I5168" s="727"/>
      <c r="J5168" s="726"/>
      <c r="K5168" s="726"/>
      <c r="L5168" s="130"/>
      <c r="M5168" s="130"/>
      <c r="N5168" s="131"/>
    </row>
    <row r="5169" spans="2:14" ht="15" customHeight="1" thickBot="1" x14ac:dyDescent="0.3"/>
    <row r="5170" spans="2:14" ht="40.9" customHeight="1" x14ac:dyDescent="0.25">
      <c r="B5170" s="728"/>
      <c r="C5170" s="729"/>
      <c r="D5170" s="730" t="s">
        <v>393</v>
      </c>
      <c r="E5170" s="729"/>
      <c r="F5170" s="729"/>
      <c r="G5170" s="729"/>
      <c r="H5170" s="729"/>
      <c r="I5170" s="729"/>
      <c r="J5170" s="729"/>
      <c r="K5170" s="729"/>
      <c r="L5170" s="729"/>
      <c r="M5170" s="729"/>
      <c r="N5170" s="731"/>
    </row>
    <row r="5171" spans="2:14" ht="15" customHeight="1" x14ac:dyDescent="0.25">
      <c r="B5171" s="732" t="s">
        <v>394</v>
      </c>
      <c r="C5171" s="733"/>
      <c r="D5171" s="733"/>
      <c r="E5171" s="733"/>
      <c r="F5171" s="733"/>
      <c r="G5171" s="733"/>
      <c r="H5171" s="733"/>
      <c r="I5171" s="733"/>
      <c r="J5171" s="733"/>
      <c r="K5171" s="733"/>
      <c r="L5171" s="733"/>
      <c r="M5171" s="733"/>
      <c r="N5171" s="734"/>
    </row>
    <row r="5172" spans="2:14" ht="60" customHeight="1" x14ac:dyDescent="0.25">
      <c r="B5172" s="735" t="s">
        <v>395</v>
      </c>
      <c r="C5172" s="736"/>
      <c r="D5172" s="737" t="str">
        <f>VLOOKUP(B5174,Buenaventura!A9:G6365,3,FALSE)</f>
        <v>Suministro e instalación de filtro tipo “Y” de 1” (25 mm) en bronce, para sistema de distribución de agua potable, incluye accesorios, uniones, adaptadores, sellos (teflón o equivalente), elementos de fijación y soportes, así como el corte, adecuación y limpieza de la tubería para su correcta instalación.</v>
      </c>
      <c r="E5172" s="738"/>
      <c r="F5172" s="738"/>
      <c r="G5172" s="738"/>
      <c r="H5172" s="738"/>
      <c r="I5172" s="738"/>
      <c r="J5172" s="738"/>
      <c r="K5172" s="738"/>
      <c r="L5172" s="738"/>
      <c r="M5172" s="738"/>
      <c r="N5172" s="739"/>
    </row>
    <row r="5173" spans="2:14" ht="34.15" customHeight="1" x14ac:dyDescent="0.25">
      <c r="B5173" s="740" t="s">
        <v>26</v>
      </c>
      <c r="C5173" s="741"/>
      <c r="D5173" s="119" t="s">
        <v>396</v>
      </c>
      <c r="E5173" s="742" t="s">
        <v>397</v>
      </c>
      <c r="F5173" s="733"/>
      <c r="G5173" s="733"/>
      <c r="H5173" s="736"/>
      <c r="I5173" s="742" t="s">
        <v>398</v>
      </c>
      <c r="J5173" s="733"/>
      <c r="K5173" s="736"/>
      <c r="L5173" s="742" t="s">
        <v>399</v>
      </c>
      <c r="M5173" s="733"/>
      <c r="N5173" s="734"/>
    </row>
    <row r="5174" spans="2:14" ht="15" customHeight="1" x14ac:dyDescent="0.25">
      <c r="B5174" s="283">
        <v>148</v>
      </c>
      <c r="C5174" s="284" t="str">
        <f>VLOOKUP(B5174,Buenaventura!A9:G6378,2,FALSE)</f>
        <v>VA-40</v>
      </c>
      <c r="D5174" s="285">
        <f>SUM(H5177:H5180)</f>
        <v>1</v>
      </c>
      <c r="E5174" s="743" t="str">
        <f>VLOOKUP(B5174,Buenaventura!A9:G6377,4,FALSE)</f>
        <v>UND</v>
      </c>
      <c r="F5174" s="743"/>
      <c r="G5174" s="743"/>
      <c r="H5174" s="743"/>
      <c r="I5174" s="744"/>
      <c r="J5174" s="745"/>
      <c r="K5174" s="741"/>
      <c r="L5174" s="744"/>
      <c r="M5174" s="745"/>
      <c r="N5174" s="752"/>
    </row>
    <row r="5175" spans="2:14" ht="15" customHeight="1" x14ac:dyDescent="0.25">
      <c r="B5175" s="755" t="s">
        <v>416</v>
      </c>
      <c r="C5175" s="733"/>
      <c r="D5175" s="733"/>
      <c r="E5175" s="733"/>
      <c r="F5175" s="733"/>
      <c r="G5175" s="733"/>
      <c r="H5175" s="736"/>
      <c r="I5175" s="746"/>
      <c r="J5175" s="747"/>
      <c r="K5175" s="748"/>
      <c r="L5175" s="746"/>
      <c r="M5175" s="747"/>
      <c r="N5175" s="753"/>
    </row>
    <row r="5176" spans="2:14" ht="15" customHeight="1" x14ac:dyDescent="0.25">
      <c r="B5176" s="121" t="s">
        <v>400</v>
      </c>
      <c r="C5176" s="122" t="s">
        <v>401</v>
      </c>
      <c r="D5176" s="123" t="s">
        <v>402</v>
      </c>
      <c r="E5176" s="123" t="s">
        <v>403</v>
      </c>
      <c r="F5176" s="123" t="s">
        <v>404</v>
      </c>
      <c r="G5176" s="123" t="s">
        <v>405</v>
      </c>
      <c r="H5176" s="123" t="s">
        <v>406</v>
      </c>
      <c r="I5176" s="746"/>
      <c r="J5176" s="747"/>
      <c r="K5176" s="748"/>
      <c r="L5176" s="746"/>
      <c r="M5176" s="747"/>
      <c r="N5176" s="753"/>
    </row>
    <row r="5177" spans="2:14" ht="15" customHeight="1" x14ac:dyDescent="0.25">
      <c r="B5177" s="124"/>
      <c r="C5177" s="145" t="s">
        <v>617</v>
      </c>
      <c r="D5177" s="125">
        <v>1</v>
      </c>
      <c r="E5177" s="125"/>
      <c r="F5177" s="125"/>
      <c r="G5177" s="125"/>
      <c r="H5177" s="125">
        <f>D5177</f>
        <v>1</v>
      </c>
      <c r="I5177" s="746"/>
      <c r="J5177" s="747"/>
      <c r="K5177" s="748"/>
      <c r="L5177" s="746"/>
      <c r="M5177" s="747"/>
      <c r="N5177" s="753"/>
    </row>
    <row r="5178" spans="2:14" ht="15" customHeight="1" x14ac:dyDescent="0.25">
      <c r="B5178" s="124"/>
      <c r="C5178" s="145"/>
      <c r="D5178" s="125"/>
      <c r="E5178" s="125"/>
      <c r="F5178" s="125"/>
      <c r="G5178" s="125"/>
      <c r="H5178" s="125"/>
      <c r="I5178" s="746"/>
      <c r="J5178" s="747"/>
      <c r="K5178" s="748"/>
      <c r="L5178" s="746"/>
      <c r="M5178" s="747"/>
      <c r="N5178" s="753"/>
    </row>
    <row r="5179" spans="2:14" ht="15" customHeight="1" x14ac:dyDescent="0.25">
      <c r="B5179" s="165"/>
      <c r="C5179" s="145"/>
      <c r="D5179" s="125"/>
      <c r="E5179" s="125"/>
      <c r="F5179" s="125"/>
      <c r="G5179" s="125"/>
      <c r="H5179" s="125"/>
      <c r="I5179" s="746"/>
      <c r="J5179" s="747"/>
      <c r="K5179" s="748"/>
      <c r="L5179" s="746"/>
      <c r="M5179" s="747"/>
      <c r="N5179" s="753"/>
    </row>
    <row r="5180" spans="2:14" ht="15" customHeight="1" x14ac:dyDescent="0.25">
      <c r="B5180" s="165"/>
      <c r="C5180" s="145"/>
      <c r="D5180" s="125"/>
      <c r="E5180" s="125"/>
      <c r="F5180" s="125"/>
      <c r="G5180" s="125"/>
      <c r="H5180" s="125"/>
      <c r="I5180" s="746"/>
      <c r="J5180" s="747"/>
      <c r="K5180" s="748"/>
      <c r="L5180" s="746"/>
      <c r="M5180" s="747"/>
      <c r="N5180" s="753"/>
    </row>
    <row r="5181" spans="2:14" ht="15" customHeight="1" x14ac:dyDescent="0.25">
      <c r="B5181" s="165"/>
      <c r="C5181" s="145"/>
      <c r="D5181" s="125"/>
      <c r="E5181" s="125"/>
      <c r="F5181" s="125"/>
      <c r="G5181" s="125"/>
      <c r="H5181" s="125"/>
      <c r="I5181" s="746"/>
      <c r="J5181" s="747"/>
      <c r="K5181" s="748"/>
      <c r="L5181" s="746"/>
      <c r="M5181" s="747"/>
      <c r="N5181" s="753"/>
    </row>
    <row r="5182" spans="2:14" ht="15" customHeight="1" x14ac:dyDescent="0.25">
      <c r="B5182" s="165"/>
      <c r="C5182" s="145"/>
      <c r="D5182" s="125"/>
      <c r="E5182" s="125"/>
      <c r="F5182" s="125"/>
      <c r="G5182" s="125"/>
      <c r="H5182" s="125"/>
      <c r="I5182" s="746"/>
      <c r="J5182" s="747"/>
      <c r="K5182" s="748"/>
      <c r="L5182" s="746"/>
      <c r="M5182" s="747"/>
      <c r="N5182" s="753"/>
    </row>
    <row r="5183" spans="2:14" ht="15" customHeight="1" x14ac:dyDescent="0.25">
      <c r="B5183" s="165"/>
      <c r="C5183" s="145"/>
      <c r="D5183" s="125"/>
      <c r="E5183" s="125"/>
      <c r="F5183" s="125"/>
      <c r="G5183" s="125"/>
      <c r="H5183" s="125"/>
      <c r="I5183" s="746"/>
      <c r="J5183" s="747"/>
      <c r="K5183" s="748"/>
      <c r="L5183" s="746"/>
      <c r="M5183" s="747"/>
      <c r="N5183" s="753"/>
    </row>
    <row r="5184" spans="2:14" ht="15" customHeight="1" x14ac:dyDescent="0.25">
      <c r="B5184" s="124"/>
      <c r="C5184" s="145"/>
      <c r="D5184" s="125"/>
      <c r="E5184" s="125"/>
      <c r="F5184" s="125"/>
      <c r="G5184" s="125"/>
      <c r="H5184" s="125"/>
      <c r="I5184" s="746"/>
      <c r="J5184" s="747"/>
      <c r="K5184" s="748"/>
      <c r="L5184" s="746"/>
      <c r="M5184" s="747"/>
      <c r="N5184" s="753"/>
    </row>
    <row r="5185" spans="2:14" ht="15" customHeight="1" x14ac:dyDescent="0.25">
      <c r="B5185" s="124"/>
      <c r="C5185" s="125"/>
      <c r="D5185" s="125"/>
      <c r="E5185" s="125"/>
      <c r="F5185" s="125"/>
      <c r="G5185" s="125"/>
      <c r="H5185" s="125"/>
      <c r="I5185" s="746"/>
      <c r="J5185" s="747"/>
      <c r="K5185" s="748"/>
      <c r="L5185" s="746"/>
      <c r="M5185" s="747"/>
      <c r="N5185" s="753"/>
    </row>
    <row r="5186" spans="2:14" ht="15" customHeight="1" x14ac:dyDescent="0.25">
      <c r="B5186" s="127"/>
      <c r="C5186" s="125"/>
      <c r="D5186" s="125"/>
      <c r="E5186" s="125"/>
      <c r="F5186" s="125"/>
      <c r="G5186" s="125"/>
      <c r="H5186" s="125"/>
      <c r="I5186" s="749"/>
      <c r="J5186" s="750"/>
      <c r="K5186" s="751"/>
      <c r="L5186" s="749"/>
      <c r="M5186" s="750"/>
      <c r="N5186" s="754"/>
    </row>
    <row r="5187" spans="2:14" ht="15" customHeight="1" x14ac:dyDescent="0.25">
      <c r="B5187" s="225"/>
      <c r="C5187" s="128"/>
      <c r="D5187" s="128"/>
      <c r="E5187" s="128"/>
      <c r="F5187" s="128"/>
      <c r="G5187" s="128"/>
      <c r="H5187" s="128"/>
      <c r="I5187" s="128"/>
      <c r="J5187" s="128"/>
      <c r="K5187" s="128"/>
      <c r="L5187" s="118"/>
      <c r="M5187" s="118"/>
      <c r="N5187" s="210"/>
    </row>
    <row r="5188" spans="2:14" ht="15" customHeight="1" x14ac:dyDescent="0.25">
      <c r="B5188" s="209"/>
      <c r="C5188" s="118"/>
      <c r="D5188" s="118"/>
      <c r="E5188" s="118"/>
      <c r="F5188" s="118"/>
      <c r="G5188" s="118"/>
      <c r="H5188" s="118"/>
      <c r="I5188" s="118"/>
      <c r="J5188" s="118"/>
      <c r="K5188" s="118"/>
      <c r="L5188" s="118"/>
      <c r="M5188" s="118"/>
      <c r="N5188" s="210"/>
    </row>
    <row r="5189" spans="2:14" ht="15" customHeight="1" x14ac:dyDescent="0.25">
      <c r="B5189" s="209"/>
      <c r="C5189" s="118"/>
      <c r="D5189" s="118"/>
      <c r="E5189" s="118"/>
      <c r="F5189" s="118"/>
      <c r="G5189" s="118"/>
      <c r="H5189" s="118"/>
      <c r="I5189" s="118"/>
      <c r="J5189" s="118"/>
      <c r="K5189" s="118"/>
      <c r="L5189" s="118"/>
      <c r="M5189" s="118"/>
      <c r="N5189" s="210"/>
    </row>
    <row r="5190" spans="2:14" ht="15" customHeight="1" thickBot="1" x14ac:dyDescent="0.3">
      <c r="B5190" s="725" t="s">
        <v>414</v>
      </c>
      <c r="C5190" s="726"/>
      <c r="D5190" s="726"/>
      <c r="E5190" s="147"/>
      <c r="F5190" s="147"/>
      <c r="G5190" s="147"/>
      <c r="H5190" s="147"/>
      <c r="I5190" s="727"/>
      <c r="J5190" s="726"/>
      <c r="K5190" s="726"/>
      <c r="L5190" s="130"/>
      <c r="M5190" s="130"/>
      <c r="N5190" s="131"/>
    </row>
    <row r="5191" spans="2:14" ht="15" customHeight="1" thickBot="1" x14ac:dyDescent="0.3"/>
    <row r="5192" spans="2:14" ht="39.6" customHeight="1" x14ac:dyDescent="0.25">
      <c r="B5192" s="728"/>
      <c r="C5192" s="729"/>
      <c r="D5192" s="730" t="s">
        <v>393</v>
      </c>
      <c r="E5192" s="729"/>
      <c r="F5192" s="729"/>
      <c r="G5192" s="729"/>
      <c r="H5192" s="729"/>
      <c r="I5192" s="729"/>
      <c r="J5192" s="729"/>
      <c r="K5192" s="729"/>
      <c r="L5192" s="729"/>
      <c r="M5192" s="729"/>
      <c r="N5192" s="731"/>
    </row>
    <row r="5193" spans="2:14" ht="15" customHeight="1" x14ac:dyDescent="0.25">
      <c r="B5193" s="732" t="s">
        <v>394</v>
      </c>
      <c r="C5193" s="733"/>
      <c r="D5193" s="733"/>
      <c r="E5193" s="733"/>
      <c r="F5193" s="733"/>
      <c r="G5193" s="733"/>
      <c r="H5193" s="733"/>
      <c r="I5193" s="733"/>
      <c r="J5193" s="733"/>
      <c r="K5193" s="733"/>
      <c r="L5193" s="733"/>
      <c r="M5193" s="733"/>
      <c r="N5193" s="734"/>
    </row>
    <row r="5194" spans="2:14" ht="61.9" customHeight="1" x14ac:dyDescent="0.25">
      <c r="B5194" s="735" t="s">
        <v>395</v>
      </c>
      <c r="C5194" s="736"/>
      <c r="D5194" s="737" t="str">
        <f>VLOOKUP(B5196,Buenaventura!A9:G6387,3,FALSE)</f>
        <v>Suministro e instalación de válvulas de paso tipo compuerta, fabricadas en material resistente a la corrosión (hierro dúctil, bronce o latón),IIncluye accesorios, uniones, empaques, tornillería, sellos (teflón o equivalente), elementos de fijación y soportes, así como el corte, adecuación y limpieza de la tubería existente para su correcta instalación.</v>
      </c>
      <c r="E5194" s="738"/>
      <c r="F5194" s="738"/>
      <c r="G5194" s="738"/>
      <c r="H5194" s="738"/>
      <c r="I5194" s="738"/>
      <c r="J5194" s="738"/>
      <c r="K5194" s="738"/>
      <c r="L5194" s="738"/>
      <c r="M5194" s="738"/>
      <c r="N5194" s="739"/>
    </row>
    <row r="5195" spans="2:14" ht="27.6" customHeight="1" x14ac:dyDescent="0.25">
      <c r="B5195" s="740" t="s">
        <v>26</v>
      </c>
      <c r="C5195" s="741"/>
      <c r="D5195" s="119" t="s">
        <v>396</v>
      </c>
      <c r="E5195" s="742" t="s">
        <v>397</v>
      </c>
      <c r="F5195" s="733"/>
      <c r="G5195" s="733"/>
      <c r="H5195" s="736"/>
      <c r="I5195" s="742" t="s">
        <v>398</v>
      </c>
      <c r="J5195" s="733"/>
      <c r="K5195" s="736"/>
      <c r="L5195" s="742" t="s">
        <v>399</v>
      </c>
      <c r="M5195" s="733"/>
      <c r="N5195" s="734"/>
    </row>
    <row r="5196" spans="2:14" ht="15" customHeight="1" x14ac:dyDescent="0.25">
      <c r="B5196" s="283">
        <v>149</v>
      </c>
      <c r="C5196" s="284" t="str">
        <f>VLOOKUP(B5196,Buenaventura!A9:G6400,2,FALSE)</f>
        <v>VA-41</v>
      </c>
      <c r="D5196" s="285">
        <f>SUM(H5199:H5202)</f>
        <v>1</v>
      </c>
      <c r="E5196" s="743" t="str">
        <f>VLOOKUP(B5196,Buenaventura!A9:G6399,4,FALSE)</f>
        <v>UND</v>
      </c>
      <c r="F5196" s="743"/>
      <c r="G5196" s="743"/>
      <c r="H5196" s="743"/>
      <c r="I5196" s="744"/>
      <c r="J5196" s="745"/>
      <c r="K5196" s="741"/>
      <c r="L5196" s="744"/>
      <c r="M5196" s="745"/>
      <c r="N5196" s="752"/>
    </row>
    <row r="5197" spans="2:14" ht="15" customHeight="1" x14ac:dyDescent="0.25">
      <c r="B5197" s="755" t="s">
        <v>416</v>
      </c>
      <c r="C5197" s="733"/>
      <c r="D5197" s="733"/>
      <c r="E5197" s="733"/>
      <c r="F5197" s="733"/>
      <c r="G5197" s="733"/>
      <c r="H5197" s="736"/>
      <c r="I5197" s="746"/>
      <c r="J5197" s="747"/>
      <c r="K5197" s="748"/>
      <c r="L5197" s="746"/>
      <c r="M5197" s="747"/>
      <c r="N5197" s="753"/>
    </row>
    <row r="5198" spans="2:14" ht="15" customHeight="1" x14ac:dyDescent="0.25">
      <c r="B5198" s="121" t="s">
        <v>400</v>
      </c>
      <c r="C5198" s="122" t="s">
        <v>401</v>
      </c>
      <c r="D5198" s="123" t="s">
        <v>402</v>
      </c>
      <c r="E5198" s="123" t="s">
        <v>403</v>
      </c>
      <c r="F5198" s="123" t="s">
        <v>404</v>
      </c>
      <c r="G5198" s="123" t="s">
        <v>405</v>
      </c>
      <c r="H5198" s="123" t="s">
        <v>406</v>
      </c>
      <c r="I5198" s="746"/>
      <c r="J5198" s="747"/>
      <c r="K5198" s="748"/>
      <c r="L5198" s="746"/>
      <c r="M5198" s="747"/>
      <c r="N5198" s="753"/>
    </row>
    <row r="5199" spans="2:14" ht="15" customHeight="1" x14ac:dyDescent="0.25">
      <c r="B5199" s="124"/>
      <c r="C5199" s="145" t="s">
        <v>617</v>
      </c>
      <c r="D5199" s="125">
        <v>1</v>
      </c>
      <c r="E5199" s="125"/>
      <c r="F5199" s="125"/>
      <c r="G5199" s="125"/>
      <c r="H5199" s="125">
        <f>D5199</f>
        <v>1</v>
      </c>
      <c r="I5199" s="746"/>
      <c r="J5199" s="747"/>
      <c r="K5199" s="748"/>
      <c r="L5199" s="746"/>
      <c r="M5199" s="747"/>
      <c r="N5199" s="753"/>
    </row>
    <row r="5200" spans="2:14" ht="15" customHeight="1" x14ac:dyDescent="0.25">
      <c r="B5200" s="124"/>
      <c r="C5200" s="145"/>
      <c r="D5200" s="125"/>
      <c r="E5200" s="125"/>
      <c r="F5200" s="125"/>
      <c r="G5200" s="125"/>
      <c r="H5200" s="125"/>
      <c r="I5200" s="746"/>
      <c r="J5200" s="747"/>
      <c r="K5200" s="748"/>
      <c r="L5200" s="746"/>
      <c r="M5200" s="747"/>
      <c r="N5200" s="753"/>
    </row>
    <row r="5201" spans="2:14" ht="15" customHeight="1" x14ac:dyDescent="0.25">
      <c r="B5201" s="165"/>
      <c r="C5201" s="145"/>
      <c r="D5201" s="125"/>
      <c r="E5201" s="125"/>
      <c r="F5201" s="125"/>
      <c r="G5201" s="125"/>
      <c r="H5201" s="125"/>
      <c r="I5201" s="746"/>
      <c r="J5201" s="747"/>
      <c r="K5201" s="748"/>
      <c r="L5201" s="746"/>
      <c r="M5201" s="747"/>
      <c r="N5201" s="753"/>
    </row>
    <row r="5202" spans="2:14" ht="15" customHeight="1" x14ac:dyDescent="0.25">
      <c r="B5202" s="165"/>
      <c r="C5202" s="145"/>
      <c r="D5202" s="125"/>
      <c r="E5202" s="125"/>
      <c r="F5202" s="125"/>
      <c r="G5202" s="125"/>
      <c r="H5202" s="125"/>
      <c r="I5202" s="746"/>
      <c r="J5202" s="747"/>
      <c r="K5202" s="748"/>
      <c r="L5202" s="746"/>
      <c r="M5202" s="747"/>
      <c r="N5202" s="753"/>
    </row>
    <row r="5203" spans="2:14" ht="15" customHeight="1" x14ac:dyDescent="0.25">
      <c r="B5203" s="165"/>
      <c r="C5203" s="145"/>
      <c r="D5203" s="125"/>
      <c r="E5203" s="125"/>
      <c r="F5203" s="125"/>
      <c r="G5203" s="125"/>
      <c r="H5203" s="125"/>
      <c r="I5203" s="746"/>
      <c r="J5203" s="747"/>
      <c r="K5203" s="748"/>
      <c r="L5203" s="746"/>
      <c r="M5203" s="747"/>
      <c r="N5203" s="753"/>
    </row>
    <row r="5204" spans="2:14" ht="15" customHeight="1" x14ac:dyDescent="0.25">
      <c r="B5204" s="165"/>
      <c r="C5204" s="145"/>
      <c r="D5204" s="125"/>
      <c r="E5204" s="125"/>
      <c r="F5204" s="125"/>
      <c r="G5204" s="125"/>
      <c r="H5204" s="125"/>
      <c r="I5204" s="746"/>
      <c r="J5204" s="747"/>
      <c r="K5204" s="748"/>
      <c r="L5204" s="746"/>
      <c r="M5204" s="747"/>
      <c r="N5204" s="753"/>
    </row>
    <row r="5205" spans="2:14" ht="15" customHeight="1" x14ac:dyDescent="0.25">
      <c r="B5205" s="165"/>
      <c r="C5205" s="145"/>
      <c r="D5205" s="125"/>
      <c r="E5205" s="125"/>
      <c r="F5205" s="125"/>
      <c r="G5205" s="125"/>
      <c r="H5205" s="125"/>
      <c r="I5205" s="746"/>
      <c r="J5205" s="747"/>
      <c r="K5205" s="748"/>
      <c r="L5205" s="746"/>
      <c r="M5205" s="747"/>
      <c r="N5205" s="753"/>
    </row>
    <row r="5206" spans="2:14" ht="15" customHeight="1" x14ac:dyDescent="0.25">
      <c r="B5206" s="124"/>
      <c r="C5206" s="145"/>
      <c r="D5206" s="125"/>
      <c r="E5206" s="125"/>
      <c r="F5206" s="125"/>
      <c r="G5206" s="125"/>
      <c r="H5206" s="125"/>
      <c r="I5206" s="746"/>
      <c r="J5206" s="747"/>
      <c r="K5206" s="748"/>
      <c r="L5206" s="746"/>
      <c r="M5206" s="747"/>
      <c r="N5206" s="753"/>
    </row>
    <row r="5207" spans="2:14" ht="15" customHeight="1" x14ac:dyDescent="0.25">
      <c r="B5207" s="124"/>
      <c r="C5207" s="125"/>
      <c r="D5207" s="125"/>
      <c r="E5207" s="125"/>
      <c r="F5207" s="125"/>
      <c r="G5207" s="125"/>
      <c r="H5207" s="125"/>
      <c r="I5207" s="746"/>
      <c r="J5207" s="747"/>
      <c r="K5207" s="748"/>
      <c r="L5207" s="746"/>
      <c r="M5207" s="747"/>
      <c r="N5207" s="753"/>
    </row>
    <row r="5208" spans="2:14" ht="15" customHeight="1" x14ac:dyDescent="0.25">
      <c r="B5208" s="127"/>
      <c r="C5208" s="125"/>
      <c r="D5208" s="125"/>
      <c r="E5208" s="125"/>
      <c r="F5208" s="125"/>
      <c r="G5208" s="125"/>
      <c r="H5208" s="125"/>
      <c r="I5208" s="749"/>
      <c r="J5208" s="750"/>
      <c r="K5208" s="751"/>
      <c r="L5208" s="749"/>
      <c r="M5208" s="750"/>
      <c r="N5208" s="754"/>
    </row>
    <row r="5209" spans="2:14" ht="15" customHeight="1" x14ac:dyDescent="0.25">
      <c r="B5209" s="225"/>
      <c r="C5209" s="128"/>
      <c r="D5209" s="128"/>
      <c r="E5209" s="128"/>
      <c r="F5209" s="128"/>
      <c r="G5209" s="128"/>
      <c r="H5209" s="128"/>
      <c r="I5209" s="128"/>
      <c r="J5209" s="128"/>
      <c r="K5209" s="128"/>
      <c r="L5209" s="118"/>
      <c r="M5209" s="118"/>
      <c r="N5209" s="210"/>
    </row>
    <row r="5210" spans="2:14" ht="15" customHeight="1" x14ac:dyDescent="0.25">
      <c r="B5210" s="209"/>
      <c r="C5210" s="118"/>
      <c r="D5210" s="118"/>
      <c r="E5210" s="118"/>
      <c r="F5210" s="118"/>
      <c r="G5210" s="118"/>
      <c r="H5210" s="118"/>
      <c r="I5210" s="118"/>
      <c r="J5210" s="118"/>
      <c r="K5210" s="118"/>
      <c r="L5210" s="118"/>
      <c r="M5210" s="118"/>
      <c r="N5210" s="210"/>
    </row>
    <row r="5211" spans="2:14" ht="15" customHeight="1" x14ac:dyDescent="0.25">
      <c r="B5211" s="209"/>
      <c r="C5211" s="118"/>
      <c r="D5211" s="118"/>
      <c r="E5211" s="118"/>
      <c r="F5211" s="118"/>
      <c r="G5211" s="118"/>
      <c r="H5211" s="118"/>
      <c r="I5211" s="118"/>
      <c r="J5211" s="118"/>
      <c r="K5211" s="118"/>
      <c r="L5211" s="118"/>
      <c r="M5211" s="118"/>
      <c r="N5211" s="210"/>
    </row>
    <row r="5212" spans="2:14" ht="15" customHeight="1" thickBot="1" x14ac:dyDescent="0.3">
      <c r="B5212" s="725" t="s">
        <v>414</v>
      </c>
      <c r="C5212" s="726"/>
      <c r="D5212" s="726"/>
      <c r="E5212" s="147"/>
      <c r="F5212" s="147"/>
      <c r="G5212" s="147"/>
      <c r="H5212" s="147"/>
      <c r="I5212" s="727"/>
      <c r="J5212" s="726"/>
      <c r="K5212" s="726"/>
      <c r="L5212" s="130"/>
      <c r="M5212" s="130"/>
      <c r="N5212" s="131"/>
    </row>
    <row r="5213" spans="2:14" ht="15" customHeight="1" thickBot="1" x14ac:dyDescent="0.3"/>
    <row r="5214" spans="2:14" ht="36" customHeight="1" x14ac:dyDescent="0.25">
      <c r="B5214" s="728"/>
      <c r="C5214" s="729"/>
      <c r="D5214" s="730" t="s">
        <v>393</v>
      </c>
      <c r="E5214" s="729"/>
      <c r="F5214" s="729"/>
      <c r="G5214" s="729"/>
      <c r="H5214" s="729"/>
      <c r="I5214" s="729"/>
      <c r="J5214" s="729"/>
      <c r="K5214" s="729"/>
      <c r="L5214" s="729"/>
      <c r="M5214" s="729"/>
      <c r="N5214" s="731"/>
    </row>
    <row r="5215" spans="2:14" ht="15" customHeight="1" x14ac:dyDescent="0.25">
      <c r="B5215" s="732" t="s">
        <v>394</v>
      </c>
      <c r="C5215" s="733"/>
      <c r="D5215" s="733"/>
      <c r="E5215" s="733"/>
      <c r="F5215" s="733"/>
      <c r="G5215" s="733"/>
      <c r="H5215" s="733"/>
      <c r="I5215" s="733"/>
      <c r="J5215" s="733"/>
      <c r="K5215" s="733"/>
      <c r="L5215" s="733"/>
      <c r="M5215" s="733"/>
      <c r="N5215" s="734"/>
    </row>
    <row r="5216" spans="2:14" ht="36.6" customHeight="1" x14ac:dyDescent="0.25">
      <c r="B5216" s="735" t="s">
        <v>395</v>
      </c>
      <c r="C5216" s="736"/>
      <c r="D5216" s="737" t="str">
        <f>VLOOKUP(B5218,Buenaventura!A9:G6409,3,FALSE)</f>
        <v>Suministro e instalación de regulador o reductor de presión en bronce, para sistema de distribución de agua potable, Incluye accesorios, uniones, adaptadores, empaques, sellos (teflón o equivalente), elementos de fijación y soportes, así como el corte, adecuación y limpieza de la tubería para su correcta instalación.</v>
      </c>
      <c r="E5216" s="738"/>
      <c r="F5216" s="738"/>
      <c r="G5216" s="738"/>
      <c r="H5216" s="738"/>
      <c r="I5216" s="738"/>
      <c r="J5216" s="738"/>
      <c r="K5216" s="738"/>
      <c r="L5216" s="738"/>
      <c r="M5216" s="738"/>
      <c r="N5216" s="739"/>
    </row>
    <row r="5217" spans="2:14" ht="30" customHeight="1" x14ac:dyDescent="0.25">
      <c r="B5217" s="740" t="s">
        <v>26</v>
      </c>
      <c r="C5217" s="741"/>
      <c r="D5217" s="119" t="s">
        <v>396</v>
      </c>
      <c r="E5217" s="742" t="s">
        <v>397</v>
      </c>
      <c r="F5217" s="733"/>
      <c r="G5217" s="733"/>
      <c r="H5217" s="736"/>
      <c r="I5217" s="742" t="s">
        <v>398</v>
      </c>
      <c r="J5217" s="733"/>
      <c r="K5217" s="736"/>
      <c r="L5217" s="742" t="s">
        <v>399</v>
      </c>
      <c r="M5217" s="733"/>
      <c r="N5217" s="734"/>
    </row>
    <row r="5218" spans="2:14" ht="15" customHeight="1" x14ac:dyDescent="0.25">
      <c r="B5218" s="283">
        <v>150</v>
      </c>
      <c r="C5218" s="284" t="str">
        <f>VLOOKUP(B5218,Buenaventura!A9:G6422,2,FALSE)</f>
        <v>VA-42</v>
      </c>
      <c r="D5218" s="285">
        <f>SUM(H5221:H5224)</f>
        <v>5</v>
      </c>
      <c r="E5218" s="743" t="str">
        <f>VLOOKUP(B5218,Buenaventura!A9:G6421,4,FALSE)</f>
        <v>UND</v>
      </c>
      <c r="F5218" s="743"/>
      <c r="G5218" s="743"/>
      <c r="H5218" s="743"/>
      <c r="I5218" s="744"/>
      <c r="J5218" s="745"/>
      <c r="K5218" s="741"/>
      <c r="L5218" s="744"/>
      <c r="M5218" s="745"/>
      <c r="N5218" s="752"/>
    </row>
    <row r="5219" spans="2:14" ht="15" customHeight="1" x14ac:dyDescent="0.25">
      <c r="B5219" s="755" t="s">
        <v>416</v>
      </c>
      <c r="C5219" s="733"/>
      <c r="D5219" s="733"/>
      <c r="E5219" s="733"/>
      <c r="F5219" s="733"/>
      <c r="G5219" s="733"/>
      <c r="H5219" s="736"/>
      <c r="I5219" s="746"/>
      <c r="J5219" s="747"/>
      <c r="K5219" s="748"/>
      <c r="L5219" s="746"/>
      <c r="M5219" s="747"/>
      <c r="N5219" s="753"/>
    </row>
    <row r="5220" spans="2:14" ht="15" customHeight="1" x14ac:dyDescent="0.25">
      <c r="B5220" s="121" t="s">
        <v>400</v>
      </c>
      <c r="C5220" s="122" t="s">
        <v>401</v>
      </c>
      <c r="D5220" s="123" t="s">
        <v>402</v>
      </c>
      <c r="E5220" s="123" t="s">
        <v>403</v>
      </c>
      <c r="F5220" s="123" t="s">
        <v>404</v>
      </c>
      <c r="G5220" s="123" t="s">
        <v>405</v>
      </c>
      <c r="H5220" s="123" t="s">
        <v>406</v>
      </c>
      <c r="I5220" s="746"/>
      <c r="J5220" s="747"/>
      <c r="K5220" s="748"/>
      <c r="L5220" s="746"/>
      <c r="M5220" s="747"/>
      <c r="N5220" s="753"/>
    </row>
    <row r="5221" spans="2:14" ht="15" customHeight="1" x14ac:dyDescent="0.25">
      <c r="B5221" s="124"/>
      <c r="C5221" s="145" t="s">
        <v>617</v>
      </c>
      <c r="D5221" s="125">
        <v>5</v>
      </c>
      <c r="E5221" s="125"/>
      <c r="F5221" s="125"/>
      <c r="G5221" s="125"/>
      <c r="H5221" s="125">
        <f>D5221</f>
        <v>5</v>
      </c>
      <c r="I5221" s="746"/>
      <c r="J5221" s="747"/>
      <c r="K5221" s="748"/>
      <c r="L5221" s="746"/>
      <c r="M5221" s="747"/>
      <c r="N5221" s="753"/>
    </row>
    <row r="5222" spans="2:14" ht="15" customHeight="1" x14ac:dyDescent="0.25">
      <c r="B5222" s="124"/>
      <c r="C5222" s="145"/>
      <c r="D5222" s="125"/>
      <c r="E5222" s="125"/>
      <c r="F5222" s="125"/>
      <c r="G5222" s="125"/>
      <c r="H5222" s="125"/>
      <c r="I5222" s="746"/>
      <c r="J5222" s="747"/>
      <c r="K5222" s="748"/>
      <c r="L5222" s="746"/>
      <c r="M5222" s="747"/>
      <c r="N5222" s="753"/>
    </row>
    <row r="5223" spans="2:14" ht="15" customHeight="1" x14ac:dyDescent="0.25">
      <c r="B5223" s="165"/>
      <c r="C5223" s="145"/>
      <c r="D5223" s="125"/>
      <c r="E5223" s="125"/>
      <c r="F5223" s="125"/>
      <c r="G5223" s="125"/>
      <c r="H5223" s="125"/>
      <c r="I5223" s="746"/>
      <c r="J5223" s="747"/>
      <c r="K5223" s="748"/>
      <c r="L5223" s="746"/>
      <c r="M5223" s="747"/>
      <c r="N5223" s="753"/>
    </row>
    <row r="5224" spans="2:14" ht="15" customHeight="1" x14ac:dyDescent="0.25">
      <c r="B5224" s="165"/>
      <c r="C5224" s="145"/>
      <c r="D5224" s="125"/>
      <c r="E5224" s="125"/>
      <c r="F5224" s="125"/>
      <c r="G5224" s="125"/>
      <c r="H5224" s="125"/>
      <c r="I5224" s="746"/>
      <c r="J5224" s="747"/>
      <c r="K5224" s="748"/>
      <c r="L5224" s="746"/>
      <c r="M5224" s="747"/>
      <c r="N5224" s="753"/>
    </row>
    <row r="5225" spans="2:14" ht="15" customHeight="1" x14ac:dyDescent="0.25">
      <c r="B5225" s="165"/>
      <c r="C5225" s="145"/>
      <c r="D5225" s="125"/>
      <c r="E5225" s="125"/>
      <c r="F5225" s="125"/>
      <c r="G5225" s="125"/>
      <c r="H5225" s="125"/>
      <c r="I5225" s="746"/>
      <c r="J5225" s="747"/>
      <c r="K5225" s="748"/>
      <c r="L5225" s="746"/>
      <c r="M5225" s="747"/>
      <c r="N5225" s="753"/>
    </row>
    <row r="5226" spans="2:14" ht="15" customHeight="1" x14ac:dyDescent="0.25">
      <c r="B5226" s="165"/>
      <c r="C5226" s="145"/>
      <c r="D5226" s="125"/>
      <c r="E5226" s="125"/>
      <c r="F5226" s="125"/>
      <c r="G5226" s="125"/>
      <c r="H5226" s="125"/>
      <c r="I5226" s="746"/>
      <c r="J5226" s="747"/>
      <c r="K5226" s="748"/>
      <c r="L5226" s="746"/>
      <c r="M5226" s="747"/>
      <c r="N5226" s="753"/>
    </row>
    <row r="5227" spans="2:14" ht="15" customHeight="1" x14ac:dyDescent="0.25">
      <c r="B5227" s="165"/>
      <c r="C5227" s="145"/>
      <c r="D5227" s="125"/>
      <c r="E5227" s="125"/>
      <c r="F5227" s="125"/>
      <c r="G5227" s="125"/>
      <c r="H5227" s="125"/>
      <c r="I5227" s="746"/>
      <c r="J5227" s="747"/>
      <c r="K5227" s="748"/>
      <c r="L5227" s="746"/>
      <c r="M5227" s="747"/>
      <c r="N5227" s="753"/>
    </row>
    <row r="5228" spans="2:14" ht="15" customHeight="1" x14ac:dyDescent="0.25">
      <c r="B5228" s="124"/>
      <c r="C5228" s="145"/>
      <c r="D5228" s="125"/>
      <c r="E5228" s="125"/>
      <c r="F5228" s="125"/>
      <c r="G5228" s="125"/>
      <c r="H5228" s="125"/>
      <c r="I5228" s="746"/>
      <c r="J5228" s="747"/>
      <c r="K5228" s="748"/>
      <c r="L5228" s="746"/>
      <c r="M5228" s="747"/>
      <c r="N5228" s="753"/>
    </row>
    <row r="5229" spans="2:14" ht="15" customHeight="1" x14ac:dyDescent="0.25">
      <c r="B5229" s="124"/>
      <c r="C5229" s="125"/>
      <c r="D5229" s="125"/>
      <c r="E5229" s="125"/>
      <c r="F5229" s="125"/>
      <c r="G5229" s="125"/>
      <c r="H5229" s="125"/>
      <c r="I5229" s="746"/>
      <c r="J5229" s="747"/>
      <c r="K5229" s="748"/>
      <c r="L5229" s="746"/>
      <c r="M5229" s="747"/>
      <c r="N5229" s="753"/>
    </row>
    <row r="5230" spans="2:14" ht="15" customHeight="1" x14ac:dyDescent="0.25">
      <c r="B5230" s="127"/>
      <c r="C5230" s="125"/>
      <c r="D5230" s="125"/>
      <c r="E5230" s="125"/>
      <c r="F5230" s="125"/>
      <c r="G5230" s="125"/>
      <c r="H5230" s="125"/>
      <c r="I5230" s="749"/>
      <c r="J5230" s="750"/>
      <c r="K5230" s="751"/>
      <c r="L5230" s="749"/>
      <c r="M5230" s="750"/>
      <c r="N5230" s="754"/>
    </row>
    <row r="5231" spans="2:14" ht="15" customHeight="1" x14ac:dyDescent="0.25">
      <c r="B5231" s="225"/>
      <c r="C5231" s="128"/>
      <c r="D5231" s="128"/>
      <c r="E5231" s="128"/>
      <c r="F5231" s="128"/>
      <c r="G5231" s="128"/>
      <c r="H5231" s="128"/>
      <c r="I5231" s="128"/>
      <c r="J5231" s="128"/>
      <c r="K5231" s="128"/>
      <c r="L5231" s="118"/>
      <c r="M5231" s="118"/>
      <c r="N5231" s="210"/>
    </row>
    <row r="5232" spans="2:14" ht="15" customHeight="1" x14ac:dyDescent="0.25">
      <c r="B5232" s="209"/>
      <c r="C5232" s="118"/>
      <c r="D5232" s="118"/>
      <c r="E5232" s="118"/>
      <c r="F5232" s="118"/>
      <c r="G5232" s="118"/>
      <c r="H5232" s="118"/>
      <c r="I5232" s="118"/>
      <c r="J5232" s="118"/>
      <c r="K5232" s="118"/>
      <c r="L5232" s="118"/>
      <c r="M5232" s="118"/>
      <c r="N5232" s="210"/>
    </row>
    <row r="5233" spans="2:14" ht="15" customHeight="1" x14ac:dyDescent="0.25">
      <c r="B5233" s="209"/>
      <c r="C5233" s="118"/>
      <c r="D5233" s="118"/>
      <c r="E5233" s="118"/>
      <c r="F5233" s="118"/>
      <c r="G5233" s="118"/>
      <c r="H5233" s="118"/>
      <c r="I5233" s="118"/>
      <c r="J5233" s="118"/>
      <c r="K5233" s="118"/>
      <c r="L5233" s="118"/>
      <c r="M5233" s="118"/>
      <c r="N5233" s="210"/>
    </row>
    <row r="5234" spans="2:14" ht="15" customHeight="1" thickBot="1" x14ac:dyDescent="0.3">
      <c r="B5234" s="725" t="s">
        <v>414</v>
      </c>
      <c r="C5234" s="726"/>
      <c r="D5234" s="726"/>
      <c r="E5234" s="147"/>
      <c r="F5234" s="147"/>
      <c r="G5234" s="147"/>
      <c r="H5234" s="147"/>
      <c r="I5234" s="727"/>
      <c r="J5234" s="726"/>
      <c r="K5234" s="726"/>
      <c r="L5234" s="130"/>
      <c r="M5234" s="130"/>
      <c r="N5234" s="131"/>
    </row>
    <row r="5235" spans="2:14" ht="15" customHeight="1" thickBot="1" x14ac:dyDescent="0.3"/>
    <row r="5236" spans="2:14" ht="42.6" customHeight="1" x14ac:dyDescent="0.25">
      <c r="B5236" s="728"/>
      <c r="C5236" s="729"/>
      <c r="D5236" s="730" t="s">
        <v>393</v>
      </c>
      <c r="E5236" s="729"/>
      <c r="F5236" s="729"/>
      <c r="G5236" s="729"/>
      <c r="H5236" s="729"/>
      <c r="I5236" s="729"/>
      <c r="J5236" s="729"/>
      <c r="K5236" s="729"/>
      <c r="L5236" s="729"/>
      <c r="M5236" s="729"/>
      <c r="N5236" s="731"/>
    </row>
    <row r="5237" spans="2:14" ht="15" customHeight="1" x14ac:dyDescent="0.25">
      <c r="B5237" s="732" t="s">
        <v>394</v>
      </c>
      <c r="C5237" s="733"/>
      <c r="D5237" s="733"/>
      <c r="E5237" s="733"/>
      <c r="F5237" s="733"/>
      <c r="G5237" s="733"/>
      <c r="H5237" s="733"/>
      <c r="I5237" s="733"/>
      <c r="J5237" s="733"/>
      <c r="K5237" s="733"/>
      <c r="L5237" s="733"/>
      <c r="M5237" s="733"/>
      <c r="N5237" s="734"/>
    </row>
    <row r="5238" spans="2:14" ht="31.15" customHeight="1" x14ac:dyDescent="0.25">
      <c r="B5238" s="735" t="s">
        <v>395</v>
      </c>
      <c r="C5238" s="736"/>
      <c r="D5238" s="737" t="str">
        <f>VLOOKUP(B5240,Buenaventura!A9:G6431,3,FALSE)</f>
        <v>Suministro e instalación de manómetro para sistema de distribución de agua potable, deberá contar con carátula de fácil lectura, escala adecuada al rango de presión del sistema, cuerpo metálico resistente a la corrosión, Incluye accesorios de instalación, tales como válvula de aislamiento (llave de paso), adaptadores, niples, sellos (teflón o equivalente), y elementos necesarios para su correcta fijación y funcionamiento.</v>
      </c>
      <c r="E5238" s="738"/>
      <c r="F5238" s="738"/>
      <c r="G5238" s="738"/>
      <c r="H5238" s="738"/>
      <c r="I5238" s="738"/>
      <c r="J5238" s="738"/>
      <c r="K5238" s="738"/>
      <c r="L5238" s="738"/>
      <c r="M5238" s="738"/>
      <c r="N5238" s="739"/>
    </row>
    <row r="5239" spans="2:14" ht="30" customHeight="1" x14ac:dyDescent="0.25">
      <c r="B5239" s="740" t="s">
        <v>26</v>
      </c>
      <c r="C5239" s="741"/>
      <c r="D5239" s="119" t="s">
        <v>396</v>
      </c>
      <c r="E5239" s="742" t="s">
        <v>397</v>
      </c>
      <c r="F5239" s="733"/>
      <c r="G5239" s="733"/>
      <c r="H5239" s="736"/>
      <c r="I5239" s="742" t="s">
        <v>398</v>
      </c>
      <c r="J5239" s="733"/>
      <c r="K5239" s="736"/>
      <c r="L5239" s="742" t="s">
        <v>399</v>
      </c>
      <c r="M5239" s="733"/>
      <c r="N5239" s="734"/>
    </row>
    <row r="5240" spans="2:14" ht="15" customHeight="1" x14ac:dyDescent="0.25">
      <c r="B5240" s="283">
        <v>151</v>
      </c>
      <c r="C5240" s="284" t="str">
        <f>VLOOKUP(B5240,Buenaventura!A9:G6444,2,FALSE)</f>
        <v>VA-43</v>
      </c>
      <c r="D5240" s="285">
        <f>SUM(H5243:H5246)</f>
        <v>5</v>
      </c>
      <c r="E5240" s="743" t="str">
        <f>VLOOKUP(B5240,Buenaventura!A9:G6443,4,FALSE)</f>
        <v>UND</v>
      </c>
      <c r="F5240" s="743"/>
      <c r="G5240" s="743"/>
      <c r="H5240" s="743"/>
      <c r="I5240" s="744"/>
      <c r="J5240" s="745"/>
      <c r="K5240" s="741"/>
      <c r="L5240" s="744"/>
      <c r="M5240" s="745"/>
      <c r="N5240" s="752"/>
    </row>
    <row r="5241" spans="2:14" ht="15" customHeight="1" x14ac:dyDescent="0.25">
      <c r="B5241" s="755" t="s">
        <v>416</v>
      </c>
      <c r="C5241" s="733"/>
      <c r="D5241" s="733"/>
      <c r="E5241" s="733"/>
      <c r="F5241" s="733"/>
      <c r="G5241" s="733"/>
      <c r="H5241" s="736"/>
      <c r="I5241" s="746"/>
      <c r="J5241" s="747"/>
      <c r="K5241" s="748"/>
      <c r="L5241" s="746"/>
      <c r="M5241" s="747"/>
      <c r="N5241" s="753"/>
    </row>
    <row r="5242" spans="2:14" ht="15" customHeight="1" x14ac:dyDescent="0.25">
      <c r="B5242" s="121" t="s">
        <v>400</v>
      </c>
      <c r="C5242" s="122" t="s">
        <v>401</v>
      </c>
      <c r="D5242" s="123" t="s">
        <v>402</v>
      </c>
      <c r="E5242" s="123" t="s">
        <v>403</v>
      </c>
      <c r="F5242" s="123" t="s">
        <v>404</v>
      </c>
      <c r="G5242" s="123" t="s">
        <v>405</v>
      </c>
      <c r="H5242" s="123" t="s">
        <v>406</v>
      </c>
      <c r="I5242" s="746"/>
      <c r="J5242" s="747"/>
      <c r="K5242" s="748"/>
      <c r="L5242" s="746"/>
      <c r="M5242" s="747"/>
      <c r="N5242" s="753"/>
    </row>
    <row r="5243" spans="2:14" ht="15" customHeight="1" x14ac:dyDescent="0.25">
      <c r="B5243" s="124"/>
      <c r="C5243" s="145" t="s">
        <v>617</v>
      </c>
      <c r="D5243" s="125">
        <v>5</v>
      </c>
      <c r="E5243" s="125"/>
      <c r="F5243" s="125"/>
      <c r="G5243" s="125"/>
      <c r="H5243" s="125">
        <f>D5243</f>
        <v>5</v>
      </c>
      <c r="I5243" s="746"/>
      <c r="J5243" s="747"/>
      <c r="K5243" s="748"/>
      <c r="L5243" s="746"/>
      <c r="M5243" s="747"/>
      <c r="N5243" s="753"/>
    </row>
    <row r="5244" spans="2:14" ht="15" customHeight="1" x14ac:dyDescent="0.25">
      <c r="B5244" s="124"/>
      <c r="C5244" s="145"/>
      <c r="D5244" s="125"/>
      <c r="E5244" s="125"/>
      <c r="F5244" s="125"/>
      <c r="G5244" s="125"/>
      <c r="H5244" s="125"/>
      <c r="I5244" s="746"/>
      <c r="J5244" s="747"/>
      <c r="K5244" s="748"/>
      <c r="L5244" s="746"/>
      <c r="M5244" s="747"/>
      <c r="N5244" s="753"/>
    </row>
    <row r="5245" spans="2:14" ht="15" customHeight="1" x14ac:dyDescent="0.25">
      <c r="B5245" s="165"/>
      <c r="C5245" s="145"/>
      <c r="D5245" s="125"/>
      <c r="E5245" s="125"/>
      <c r="F5245" s="125"/>
      <c r="G5245" s="125"/>
      <c r="H5245" s="125"/>
      <c r="I5245" s="746"/>
      <c r="J5245" s="747"/>
      <c r="K5245" s="748"/>
      <c r="L5245" s="746"/>
      <c r="M5245" s="747"/>
      <c r="N5245" s="753"/>
    </row>
    <row r="5246" spans="2:14" ht="15" customHeight="1" x14ac:dyDescent="0.25">
      <c r="B5246" s="165"/>
      <c r="C5246" s="145"/>
      <c r="D5246" s="125"/>
      <c r="E5246" s="125"/>
      <c r="F5246" s="125"/>
      <c r="G5246" s="125"/>
      <c r="H5246" s="125"/>
      <c r="I5246" s="746"/>
      <c r="J5246" s="747"/>
      <c r="K5246" s="748"/>
      <c r="L5246" s="746"/>
      <c r="M5246" s="747"/>
      <c r="N5246" s="753"/>
    </row>
    <row r="5247" spans="2:14" ht="15" customHeight="1" x14ac:dyDescent="0.25">
      <c r="B5247" s="165"/>
      <c r="C5247" s="145"/>
      <c r="D5247" s="125"/>
      <c r="E5247" s="125"/>
      <c r="F5247" s="125"/>
      <c r="G5247" s="125"/>
      <c r="H5247" s="125"/>
      <c r="I5247" s="746"/>
      <c r="J5247" s="747"/>
      <c r="K5247" s="748"/>
      <c r="L5247" s="746"/>
      <c r="M5247" s="747"/>
      <c r="N5247" s="753"/>
    </row>
    <row r="5248" spans="2:14" ht="15" customHeight="1" x14ac:dyDescent="0.25">
      <c r="B5248" s="165"/>
      <c r="C5248" s="145"/>
      <c r="D5248" s="125"/>
      <c r="E5248" s="125"/>
      <c r="F5248" s="125"/>
      <c r="G5248" s="125"/>
      <c r="H5248" s="125"/>
      <c r="I5248" s="746"/>
      <c r="J5248" s="747"/>
      <c r="K5248" s="748"/>
      <c r="L5248" s="746"/>
      <c r="M5248" s="747"/>
      <c r="N5248" s="753"/>
    </row>
    <row r="5249" spans="2:14" ht="15" customHeight="1" x14ac:dyDescent="0.25">
      <c r="B5249" s="165"/>
      <c r="C5249" s="145"/>
      <c r="D5249" s="125"/>
      <c r="E5249" s="125"/>
      <c r="F5249" s="125"/>
      <c r="G5249" s="125"/>
      <c r="H5249" s="125"/>
      <c r="I5249" s="746"/>
      <c r="J5249" s="747"/>
      <c r="K5249" s="748"/>
      <c r="L5249" s="746"/>
      <c r="M5249" s="747"/>
      <c r="N5249" s="753"/>
    </row>
    <row r="5250" spans="2:14" ht="15" customHeight="1" x14ac:dyDescent="0.25">
      <c r="B5250" s="124"/>
      <c r="C5250" s="145"/>
      <c r="D5250" s="125"/>
      <c r="E5250" s="125"/>
      <c r="F5250" s="125"/>
      <c r="G5250" s="125"/>
      <c r="H5250" s="125"/>
      <c r="I5250" s="746"/>
      <c r="J5250" s="747"/>
      <c r="K5250" s="748"/>
      <c r="L5250" s="746"/>
      <c r="M5250" s="747"/>
      <c r="N5250" s="753"/>
    </row>
    <row r="5251" spans="2:14" ht="15" customHeight="1" x14ac:dyDescent="0.25">
      <c r="B5251" s="124"/>
      <c r="C5251" s="125"/>
      <c r="D5251" s="125"/>
      <c r="E5251" s="125"/>
      <c r="F5251" s="125"/>
      <c r="G5251" s="125"/>
      <c r="H5251" s="125"/>
      <c r="I5251" s="746"/>
      <c r="J5251" s="747"/>
      <c r="K5251" s="748"/>
      <c r="L5251" s="746"/>
      <c r="M5251" s="747"/>
      <c r="N5251" s="753"/>
    </row>
    <row r="5252" spans="2:14" ht="15" customHeight="1" x14ac:dyDescent="0.25">
      <c r="B5252" s="127"/>
      <c r="C5252" s="125"/>
      <c r="D5252" s="125"/>
      <c r="E5252" s="125"/>
      <c r="F5252" s="125"/>
      <c r="G5252" s="125"/>
      <c r="H5252" s="125"/>
      <c r="I5252" s="749"/>
      <c r="J5252" s="750"/>
      <c r="K5252" s="751"/>
      <c r="L5252" s="749"/>
      <c r="M5252" s="750"/>
      <c r="N5252" s="754"/>
    </row>
    <row r="5253" spans="2:14" ht="15" customHeight="1" x14ac:dyDescent="0.25">
      <c r="B5253" s="225"/>
      <c r="C5253" s="128"/>
      <c r="D5253" s="128"/>
      <c r="E5253" s="128"/>
      <c r="F5253" s="128"/>
      <c r="G5253" s="128"/>
      <c r="H5253" s="128"/>
      <c r="I5253" s="128"/>
      <c r="J5253" s="128"/>
      <c r="K5253" s="128"/>
      <c r="L5253" s="118"/>
      <c r="M5253" s="118"/>
      <c r="N5253" s="210"/>
    </row>
    <row r="5254" spans="2:14" ht="15" customHeight="1" x14ac:dyDescent="0.25">
      <c r="B5254" s="209"/>
      <c r="C5254" s="118"/>
      <c r="D5254" s="118"/>
      <c r="E5254" s="118"/>
      <c r="F5254" s="118"/>
      <c r="G5254" s="118"/>
      <c r="H5254" s="118"/>
      <c r="I5254" s="118"/>
      <c r="J5254" s="118"/>
      <c r="K5254" s="118"/>
      <c r="L5254" s="118"/>
      <c r="M5254" s="118"/>
      <c r="N5254" s="210"/>
    </row>
    <row r="5255" spans="2:14" ht="15" customHeight="1" x14ac:dyDescent="0.25">
      <c r="B5255" s="209"/>
      <c r="C5255" s="118"/>
      <c r="D5255" s="118"/>
      <c r="E5255" s="118"/>
      <c r="F5255" s="118"/>
      <c r="G5255" s="118"/>
      <c r="H5255" s="118"/>
      <c r="I5255" s="118"/>
      <c r="J5255" s="118"/>
      <c r="K5255" s="118"/>
      <c r="L5255" s="118"/>
      <c r="M5255" s="118"/>
      <c r="N5255" s="210"/>
    </row>
    <row r="5256" spans="2:14" ht="15" customHeight="1" thickBot="1" x14ac:dyDescent="0.3">
      <c r="B5256" s="725" t="s">
        <v>414</v>
      </c>
      <c r="C5256" s="726"/>
      <c r="D5256" s="726"/>
      <c r="E5256" s="147"/>
      <c r="F5256" s="147"/>
      <c r="G5256" s="147"/>
      <c r="H5256" s="147"/>
      <c r="I5256" s="727"/>
      <c r="J5256" s="726"/>
      <c r="K5256" s="726"/>
      <c r="L5256" s="130"/>
      <c r="M5256" s="130"/>
      <c r="N5256" s="131"/>
    </row>
    <row r="5257" spans="2:14" ht="15" customHeight="1" thickBot="1" x14ac:dyDescent="0.3"/>
    <row r="5258" spans="2:14" ht="41.45" customHeight="1" x14ac:dyDescent="0.25">
      <c r="B5258" s="728"/>
      <c r="C5258" s="729"/>
      <c r="D5258" s="730" t="s">
        <v>393</v>
      </c>
      <c r="E5258" s="729"/>
      <c r="F5258" s="729"/>
      <c r="G5258" s="729"/>
      <c r="H5258" s="729"/>
      <c r="I5258" s="729"/>
      <c r="J5258" s="729"/>
      <c r="K5258" s="729"/>
      <c r="L5258" s="729"/>
      <c r="M5258" s="729"/>
      <c r="N5258" s="731"/>
    </row>
    <row r="5259" spans="2:14" ht="15" customHeight="1" x14ac:dyDescent="0.25">
      <c r="B5259" s="732" t="s">
        <v>394</v>
      </c>
      <c r="C5259" s="733"/>
      <c r="D5259" s="733"/>
      <c r="E5259" s="733"/>
      <c r="F5259" s="733"/>
      <c r="G5259" s="733"/>
      <c r="H5259" s="733"/>
      <c r="I5259" s="733"/>
      <c r="J5259" s="733"/>
      <c r="K5259" s="733"/>
      <c r="L5259" s="733"/>
      <c r="M5259" s="733"/>
      <c r="N5259" s="734"/>
    </row>
    <row r="5260" spans="2:14" ht="40.15" customHeight="1" x14ac:dyDescent="0.25">
      <c r="B5260" s="735" t="s">
        <v>395</v>
      </c>
      <c r="C5260" s="736"/>
      <c r="D5260" s="737" t="str">
        <f>VLOOKUP(B5262,Buenaventura!A9:G6453,3,FALSE)</f>
        <v>Suministro e instalación de tubería de 1” en material PVC presión, incluye accesorios del mismo material y todo lo necesario para su correcta instalación y funcionamiento.</v>
      </c>
      <c r="E5260" s="738"/>
      <c r="F5260" s="738"/>
      <c r="G5260" s="738"/>
      <c r="H5260" s="738"/>
      <c r="I5260" s="738"/>
      <c r="J5260" s="738"/>
      <c r="K5260" s="738"/>
      <c r="L5260" s="738"/>
      <c r="M5260" s="738"/>
      <c r="N5260" s="739"/>
    </row>
    <row r="5261" spans="2:14" ht="25.9" customHeight="1" x14ac:dyDescent="0.25">
      <c r="B5261" s="740" t="s">
        <v>26</v>
      </c>
      <c r="C5261" s="741"/>
      <c r="D5261" s="119" t="s">
        <v>396</v>
      </c>
      <c r="E5261" s="742" t="s">
        <v>397</v>
      </c>
      <c r="F5261" s="733"/>
      <c r="G5261" s="733"/>
      <c r="H5261" s="736"/>
      <c r="I5261" s="742" t="s">
        <v>398</v>
      </c>
      <c r="J5261" s="733"/>
      <c r="K5261" s="736"/>
      <c r="L5261" s="742" t="s">
        <v>399</v>
      </c>
      <c r="M5261" s="733"/>
      <c r="N5261" s="734"/>
    </row>
    <row r="5262" spans="2:14" ht="15" customHeight="1" x14ac:dyDescent="0.25">
      <c r="B5262" s="283">
        <v>152</v>
      </c>
      <c r="C5262" s="284" t="str">
        <f>VLOOKUP(B5262,Buenaventura!A9:G6466,2,FALSE)</f>
        <v>IH-07</v>
      </c>
      <c r="D5262" s="285">
        <f>SUM(H5265:H5268)</f>
        <v>5</v>
      </c>
      <c r="E5262" s="743" t="str">
        <f>VLOOKUP(B5262,Buenaventura!A9:G6465,4,FALSE)</f>
        <v>ML</v>
      </c>
      <c r="F5262" s="743"/>
      <c r="G5262" s="743"/>
      <c r="H5262" s="743"/>
      <c r="I5262" s="744"/>
      <c r="J5262" s="745"/>
      <c r="K5262" s="741"/>
      <c r="L5262" s="744"/>
      <c r="M5262" s="745"/>
      <c r="N5262" s="752"/>
    </row>
    <row r="5263" spans="2:14" ht="15" customHeight="1" x14ac:dyDescent="0.25">
      <c r="B5263" s="755" t="s">
        <v>416</v>
      </c>
      <c r="C5263" s="733"/>
      <c r="D5263" s="733"/>
      <c r="E5263" s="733"/>
      <c r="F5263" s="733"/>
      <c r="G5263" s="733"/>
      <c r="H5263" s="736"/>
      <c r="I5263" s="746"/>
      <c r="J5263" s="747"/>
      <c r="K5263" s="748"/>
      <c r="L5263" s="746"/>
      <c r="M5263" s="747"/>
      <c r="N5263" s="753"/>
    </row>
    <row r="5264" spans="2:14" ht="15" customHeight="1" x14ac:dyDescent="0.25">
      <c r="B5264" s="121" t="s">
        <v>400</v>
      </c>
      <c r="C5264" s="122" t="s">
        <v>401</v>
      </c>
      <c r="D5264" s="123" t="s">
        <v>402</v>
      </c>
      <c r="E5264" s="123" t="s">
        <v>403</v>
      </c>
      <c r="F5264" s="123" t="s">
        <v>404</v>
      </c>
      <c r="G5264" s="123" t="s">
        <v>405</v>
      </c>
      <c r="H5264" s="123" t="s">
        <v>406</v>
      </c>
      <c r="I5264" s="746"/>
      <c r="J5264" s="747"/>
      <c r="K5264" s="748"/>
      <c r="L5264" s="746"/>
      <c r="M5264" s="747"/>
      <c r="N5264" s="753"/>
    </row>
    <row r="5265" spans="2:14" ht="15" customHeight="1" x14ac:dyDescent="0.25">
      <c r="B5265" s="124"/>
      <c r="C5265" s="145" t="s">
        <v>617</v>
      </c>
      <c r="D5265" s="125">
        <v>5</v>
      </c>
      <c r="E5265" s="125"/>
      <c r="F5265" s="125"/>
      <c r="G5265" s="125"/>
      <c r="H5265" s="125">
        <f>D5265</f>
        <v>5</v>
      </c>
      <c r="I5265" s="746"/>
      <c r="J5265" s="747"/>
      <c r="K5265" s="748"/>
      <c r="L5265" s="746"/>
      <c r="M5265" s="747"/>
      <c r="N5265" s="753"/>
    </row>
    <row r="5266" spans="2:14" ht="15" customHeight="1" x14ac:dyDescent="0.25">
      <c r="B5266" s="124"/>
      <c r="C5266" s="145"/>
      <c r="D5266" s="125"/>
      <c r="E5266" s="125"/>
      <c r="F5266" s="125"/>
      <c r="G5266" s="125"/>
      <c r="H5266" s="125"/>
      <c r="I5266" s="746"/>
      <c r="J5266" s="747"/>
      <c r="K5266" s="748"/>
      <c r="L5266" s="746"/>
      <c r="M5266" s="747"/>
      <c r="N5266" s="753"/>
    </row>
    <row r="5267" spans="2:14" ht="15" customHeight="1" x14ac:dyDescent="0.25">
      <c r="B5267" s="165"/>
      <c r="C5267" s="145"/>
      <c r="D5267" s="125"/>
      <c r="E5267" s="125"/>
      <c r="F5267" s="125"/>
      <c r="G5267" s="125"/>
      <c r="H5267" s="125"/>
      <c r="I5267" s="746"/>
      <c r="J5267" s="747"/>
      <c r="K5267" s="748"/>
      <c r="L5267" s="746"/>
      <c r="M5267" s="747"/>
      <c r="N5267" s="753"/>
    </row>
    <row r="5268" spans="2:14" ht="15" customHeight="1" x14ac:dyDescent="0.25">
      <c r="B5268" s="165"/>
      <c r="C5268" s="145"/>
      <c r="D5268" s="125"/>
      <c r="E5268" s="125"/>
      <c r="F5268" s="125"/>
      <c r="G5268" s="125"/>
      <c r="H5268" s="125"/>
      <c r="I5268" s="746"/>
      <c r="J5268" s="747"/>
      <c r="K5268" s="748"/>
      <c r="L5268" s="746"/>
      <c r="M5268" s="747"/>
      <c r="N5268" s="753"/>
    </row>
    <row r="5269" spans="2:14" ht="15" customHeight="1" x14ac:dyDescent="0.25">
      <c r="B5269" s="165"/>
      <c r="C5269" s="145"/>
      <c r="D5269" s="125"/>
      <c r="E5269" s="125"/>
      <c r="F5269" s="125"/>
      <c r="G5269" s="125"/>
      <c r="H5269" s="125"/>
      <c r="I5269" s="746"/>
      <c r="J5269" s="747"/>
      <c r="K5269" s="748"/>
      <c r="L5269" s="746"/>
      <c r="M5269" s="747"/>
      <c r="N5269" s="753"/>
    </row>
    <row r="5270" spans="2:14" ht="15" customHeight="1" x14ac:dyDescent="0.25">
      <c r="B5270" s="165"/>
      <c r="C5270" s="145"/>
      <c r="D5270" s="125"/>
      <c r="E5270" s="125"/>
      <c r="F5270" s="125"/>
      <c r="G5270" s="125"/>
      <c r="H5270" s="125"/>
      <c r="I5270" s="746"/>
      <c r="J5270" s="747"/>
      <c r="K5270" s="748"/>
      <c r="L5270" s="746"/>
      <c r="M5270" s="747"/>
      <c r="N5270" s="753"/>
    </row>
    <row r="5271" spans="2:14" ht="15" customHeight="1" x14ac:dyDescent="0.25">
      <c r="B5271" s="165"/>
      <c r="C5271" s="145"/>
      <c r="D5271" s="125"/>
      <c r="E5271" s="125"/>
      <c r="F5271" s="125"/>
      <c r="G5271" s="125"/>
      <c r="H5271" s="125"/>
      <c r="I5271" s="746"/>
      <c r="J5271" s="747"/>
      <c r="K5271" s="748"/>
      <c r="L5271" s="746"/>
      <c r="M5271" s="747"/>
      <c r="N5271" s="753"/>
    </row>
    <row r="5272" spans="2:14" ht="15" customHeight="1" x14ac:dyDescent="0.25">
      <c r="B5272" s="124"/>
      <c r="C5272" s="145"/>
      <c r="D5272" s="125"/>
      <c r="E5272" s="125"/>
      <c r="F5272" s="125"/>
      <c r="G5272" s="125"/>
      <c r="H5272" s="125"/>
      <c r="I5272" s="746"/>
      <c r="J5272" s="747"/>
      <c r="K5272" s="748"/>
      <c r="L5272" s="746"/>
      <c r="M5272" s="747"/>
      <c r="N5272" s="753"/>
    </row>
    <row r="5273" spans="2:14" ht="15" customHeight="1" x14ac:dyDescent="0.25">
      <c r="B5273" s="124"/>
      <c r="C5273" s="125"/>
      <c r="D5273" s="125"/>
      <c r="E5273" s="125"/>
      <c r="F5273" s="125"/>
      <c r="G5273" s="125"/>
      <c r="H5273" s="125"/>
      <c r="I5273" s="746"/>
      <c r="J5273" s="747"/>
      <c r="K5273" s="748"/>
      <c r="L5273" s="746"/>
      <c r="M5273" s="747"/>
      <c r="N5273" s="753"/>
    </row>
    <row r="5274" spans="2:14" ht="15" customHeight="1" x14ac:dyDescent="0.25">
      <c r="B5274" s="127"/>
      <c r="C5274" s="125"/>
      <c r="D5274" s="125"/>
      <c r="E5274" s="125"/>
      <c r="F5274" s="125"/>
      <c r="G5274" s="125"/>
      <c r="H5274" s="125"/>
      <c r="I5274" s="749"/>
      <c r="J5274" s="750"/>
      <c r="K5274" s="751"/>
      <c r="L5274" s="749"/>
      <c r="M5274" s="750"/>
      <c r="N5274" s="754"/>
    </row>
    <row r="5275" spans="2:14" ht="15" customHeight="1" x14ac:dyDescent="0.25">
      <c r="B5275" s="225"/>
      <c r="C5275" s="128"/>
      <c r="D5275" s="128"/>
      <c r="E5275" s="128"/>
      <c r="F5275" s="128"/>
      <c r="G5275" s="128"/>
      <c r="H5275" s="128"/>
      <c r="I5275" s="128"/>
      <c r="J5275" s="128"/>
      <c r="K5275" s="128"/>
      <c r="L5275" s="118"/>
      <c r="M5275" s="118"/>
      <c r="N5275" s="210"/>
    </row>
    <row r="5276" spans="2:14" ht="15" customHeight="1" x14ac:dyDescent="0.25">
      <c r="B5276" s="209"/>
      <c r="C5276" s="118"/>
      <c r="D5276" s="118"/>
      <c r="E5276" s="118"/>
      <c r="F5276" s="118"/>
      <c r="G5276" s="118"/>
      <c r="H5276" s="118"/>
      <c r="I5276" s="118"/>
      <c r="J5276" s="118"/>
      <c r="K5276" s="118"/>
      <c r="L5276" s="118"/>
      <c r="M5276" s="118"/>
      <c r="N5276" s="210"/>
    </row>
    <row r="5277" spans="2:14" ht="15" customHeight="1" x14ac:dyDescent="0.25">
      <c r="B5277" s="209"/>
      <c r="C5277" s="118"/>
      <c r="D5277" s="118"/>
      <c r="E5277" s="118"/>
      <c r="F5277" s="118"/>
      <c r="G5277" s="118"/>
      <c r="H5277" s="118"/>
      <c r="I5277" s="118"/>
      <c r="J5277" s="118"/>
      <c r="K5277" s="118"/>
      <c r="L5277" s="118"/>
      <c r="M5277" s="118"/>
      <c r="N5277" s="210"/>
    </row>
    <row r="5278" spans="2:14" ht="15" customHeight="1" thickBot="1" x14ac:dyDescent="0.3">
      <c r="B5278" s="725" t="s">
        <v>414</v>
      </c>
      <c r="C5278" s="726"/>
      <c r="D5278" s="726"/>
      <c r="E5278" s="147"/>
      <c r="F5278" s="147"/>
      <c r="G5278" s="147"/>
      <c r="H5278" s="147"/>
      <c r="I5278" s="727"/>
      <c r="J5278" s="726"/>
      <c r="K5278" s="726"/>
      <c r="L5278" s="130"/>
      <c r="M5278" s="130"/>
      <c r="N5278" s="131"/>
    </row>
    <row r="5279" spans="2:14" ht="15" customHeight="1" thickBot="1" x14ac:dyDescent="0.3"/>
    <row r="5280" spans="2:14" ht="38.450000000000003" customHeight="1" x14ac:dyDescent="0.25">
      <c r="B5280" s="728"/>
      <c r="C5280" s="729"/>
      <c r="D5280" s="730" t="s">
        <v>393</v>
      </c>
      <c r="E5280" s="729"/>
      <c r="F5280" s="729"/>
      <c r="G5280" s="729"/>
      <c r="H5280" s="729"/>
      <c r="I5280" s="729"/>
      <c r="J5280" s="729"/>
      <c r="K5280" s="729"/>
      <c r="L5280" s="729"/>
      <c r="M5280" s="729"/>
      <c r="N5280" s="731"/>
    </row>
    <row r="5281" spans="2:14" ht="15" customHeight="1" x14ac:dyDescent="0.25">
      <c r="B5281" s="732" t="s">
        <v>394</v>
      </c>
      <c r="C5281" s="733"/>
      <c r="D5281" s="733"/>
      <c r="E5281" s="733"/>
      <c r="F5281" s="733"/>
      <c r="G5281" s="733"/>
      <c r="H5281" s="733"/>
      <c r="I5281" s="733"/>
      <c r="J5281" s="733"/>
      <c r="K5281" s="733"/>
      <c r="L5281" s="733"/>
      <c r="M5281" s="733"/>
      <c r="N5281" s="734"/>
    </row>
    <row r="5282" spans="2:14" ht="66.599999999999994" customHeight="1" x14ac:dyDescent="0.25">
      <c r="B5282" s="735" t="s">
        <v>395</v>
      </c>
      <c r="C5282" s="736"/>
      <c r="D5282" s="737" t="str">
        <f>VLOOKUP(B5284,Buenaventura!A9:G6475,3,FALSE)</f>
        <v>Suministro e instalación de tubería de 1/2” en material PVC presión, incluye accesorios del mismo material y todo lo necesario para su correcta instalación y funcionamiento.</v>
      </c>
      <c r="E5282" s="738"/>
      <c r="F5282" s="738"/>
      <c r="G5282" s="738"/>
      <c r="H5282" s="738"/>
      <c r="I5282" s="738"/>
      <c r="J5282" s="738"/>
      <c r="K5282" s="738"/>
      <c r="L5282" s="738"/>
      <c r="M5282" s="738"/>
      <c r="N5282" s="739"/>
    </row>
    <row r="5283" spans="2:14" ht="25.15" customHeight="1" x14ac:dyDescent="0.25">
      <c r="B5283" s="740" t="s">
        <v>26</v>
      </c>
      <c r="C5283" s="741"/>
      <c r="D5283" s="119" t="s">
        <v>396</v>
      </c>
      <c r="E5283" s="742" t="s">
        <v>397</v>
      </c>
      <c r="F5283" s="733"/>
      <c r="G5283" s="733"/>
      <c r="H5283" s="736"/>
      <c r="I5283" s="742" t="s">
        <v>398</v>
      </c>
      <c r="J5283" s="733"/>
      <c r="K5283" s="736"/>
      <c r="L5283" s="742" t="s">
        <v>399</v>
      </c>
      <c r="M5283" s="733"/>
      <c r="N5283" s="734"/>
    </row>
    <row r="5284" spans="2:14" ht="15" customHeight="1" x14ac:dyDescent="0.25">
      <c r="B5284" s="283">
        <v>153</v>
      </c>
      <c r="C5284" s="284" t="str">
        <f>VLOOKUP(B5284,Buenaventura!A9:G6488,2,FALSE)</f>
        <v>IH-06</v>
      </c>
      <c r="D5284" s="285">
        <f>SUM(H5287:H5290)</f>
        <v>1</v>
      </c>
      <c r="E5284" s="743" t="str">
        <f>VLOOKUP(B5284,Buenaventura!A9:G6487,4,FALSE)</f>
        <v>ML</v>
      </c>
      <c r="F5284" s="743"/>
      <c r="G5284" s="743"/>
      <c r="H5284" s="743"/>
      <c r="I5284" s="744"/>
      <c r="J5284" s="745"/>
      <c r="K5284" s="741"/>
      <c r="L5284" s="744"/>
      <c r="M5284" s="745"/>
      <c r="N5284" s="752"/>
    </row>
    <row r="5285" spans="2:14" ht="15" customHeight="1" x14ac:dyDescent="0.25">
      <c r="B5285" s="755" t="s">
        <v>416</v>
      </c>
      <c r="C5285" s="733"/>
      <c r="D5285" s="733"/>
      <c r="E5285" s="733"/>
      <c r="F5285" s="733"/>
      <c r="G5285" s="733"/>
      <c r="H5285" s="736"/>
      <c r="I5285" s="746"/>
      <c r="J5285" s="747"/>
      <c r="K5285" s="748"/>
      <c r="L5285" s="746"/>
      <c r="M5285" s="747"/>
      <c r="N5285" s="753"/>
    </row>
    <row r="5286" spans="2:14" ht="15" customHeight="1" x14ac:dyDescent="0.25">
      <c r="B5286" s="121" t="s">
        <v>400</v>
      </c>
      <c r="C5286" s="122" t="s">
        <v>401</v>
      </c>
      <c r="D5286" s="123" t="s">
        <v>402</v>
      </c>
      <c r="E5286" s="123" t="s">
        <v>403</v>
      </c>
      <c r="F5286" s="123" t="s">
        <v>404</v>
      </c>
      <c r="G5286" s="123" t="s">
        <v>405</v>
      </c>
      <c r="H5286" s="123" t="s">
        <v>406</v>
      </c>
      <c r="I5286" s="746"/>
      <c r="J5286" s="747"/>
      <c r="K5286" s="748"/>
      <c r="L5286" s="746"/>
      <c r="M5286" s="747"/>
      <c r="N5286" s="753"/>
    </row>
    <row r="5287" spans="2:14" ht="15" customHeight="1" x14ac:dyDescent="0.25">
      <c r="B5287" s="124"/>
      <c r="C5287" s="145" t="s">
        <v>617</v>
      </c>
      <c r="D5287" s="125">
        <v>1</v>
      </c>
      <c r="E5287" s="125"/>
      <c r="F5287" s="125"/>
      <c r="G5287" s="125"/>
      <c r="H5287" s="125">
        <f>D5287</f>
        <v>1</v>
      </c>
      <c r="I5287" s="746"/>
      <c r="J5287" s="747"/>
      <c r="K5287" s="748"/>
      <c r="L5287" s="746"/>
      <c r="M5287" s="747"/>
      <c r="N5287" s="753"/>
    </row>
    <row r="5288" spans="2:14" ht="15" customHeight="1" x14ac:dyDescent="0.25">
      <c r="B5288" s="124"/>
      <c r="C5288" s="145"/>
      <c r="D5288" s="125"/>
      <c r="E5288" s="125"/>
      <c r="F5288" s="125"/>
      <c r="G5288" s="125"/>
      <c r="H5288" s="125"/>
      <c r="I5288" s="746"/>
      <c r="J5288" s="747"/>
      <c r="K5288" s="748"/>
      <c r="L5288" s="746"/>
      <c r="M5288" s="747"/>
      <c r="N5288" s="753"/>
    </row>
    <row r="5289" spans="2:14" ht="15" customHeight="1" x14ac:dyDescent="0.25">
      <c r="B5289" s="165"/>
      <c r="C5289" s="145"/>
      <c r="D5289" s="125"/>
      <c r="E5289" s="125"/>
      <c r="F5289" s="125"/>
      <c r="G5289" s="125"/>
      <c r="H5289" s="125"/>
      <c r="I5289" s="746"/>
      <c r="J5289" s="747"/>
      <c r="K5289" s="748"/>
      <c r="L5289" s="746"/>
      <c r="M5289" s="747"/>
      <c r="N5289" s="753"/>
    </row>
    <row r="5290" spans="2:14" ht="15" customHeight="1" x14ac:dyDescent="0.25">
      <c r="B5290" s="165"/>
      <c r="C5290" s="145"/>
      <c r="D5290" s="125"/>
      <c r="E5290" s="125"/>
      <c r="F5290" s="125"/>
      <c r="G5290" s="125"/>
      <c r="H5290" s="125"/>
      <c r="I5290" s="746"/>
      <c r="J5290" s="747"/>
      <c r="K5290" s="748"/>
      <c r="L5290" s="746"/>
      <c r="M5290" s="747"/>
      <c r="N5290" s="753"/>
    </row>
    <row r="5291" spans="2:14" ht="15" customHeight="1" x14ac:dyDescent="0.25">
      <c r="B5291" s="165"/>
      <c r="C5291" s="145"/>
      <c r="D5291" s="125"/>
      <c r="E5291" s="125"/>
      <c r="F5291" s="125"/>
      <c r="G5291" s="125"/>
      <c r="H5291" s="125"/>
      <c r="I5291" s="746"/>
      <c r="J5291" s="747"/>
      <c r="K5291" s="748"/>
      <c r="L5291" s="746"/>
      <c r="M5291" s="747"/>
      <c r="N5291" s="753"/>
    </row>
    <row r="5292" spans="2:14" ht="15" customHeight="1" x14ac:dyDescent="0.25">
      <c r="B5292" s="165"/>
      <c r="C5292" s="145"/>
      <c r="D5292" s="125"/>
      <c r="E5292" s="125"/>
      <c r="F5292" s="125"/>
      <c r="G5292" s="125"/>
      <c r="H5292" s="125"/>
      <c r="I5292" s="746"/>
      <c r="J5292" s="747"/>
      <c r="K5292" s="748"/>
      <c r="L5292" s="746"/>
      <c r="M5292" s="747"/>
      <c r="N5292" s="753"/>
    </row>
    <row r="5293" spans="2:14" ht="15" customHeight="1" x14ac:dyDescent="0.25">
      <c r="B5293" s="165"/>
      <c r="C5293" s="145"/>
      <c r="D5293" s="125"/>
      <c r="E5293" s="125"/>
      <c r="F5293" s="125"/>
      <c r="G5293" s="125"/>
      <c r="H5293" s="125"/>
      <c r="I5293" s="746"/>
      <c r="J5293" s="747"/>
      <c r="K5293" s="748"/>
      <c r="L5293" s="746"/>
      <c r="M5293" s="747"/>
      <c r="N5293" s="753"/>
    </row>
    <row r="5294" spans="2:14" ht="15" customHeight="1" x14ac:dyDescent="0.25">
      <c r="B5294" s="124"/>
      <c r="C5294" s="145"/>
      <c r="D5294" s="125"/>
      <c r="E5294" s="125"/>
      <c r="F5294" s="125"/>
      <c r="G5294" s="125"/>
      <c r="H5294" s="125"/>
      <c r="I5294" s="746"/>
      <c r="J5294" s="747"/>
      <c r="K5294" s="748"/>
      <c r="L5294" s="746"/>
      <c r="M5294" s="747"/>
      <c r="N5294" s="753"/>
    </row>
    <row r="5295" spans="2:14" ht="15" customHeight="1" x14ac:dyDescent="0.25">
      <c r="B5295" s="124"/>
      <c r="C5295" s="125"/>
      <c r="D5295" s="125"/>
      <c r="E5295" s="125"/>
      <c r="F5295" s="125"/>
      <c r="G5295" s="125"/>
      <c r="H5295" s="125"/>
      <c r="I5295" s="746"/>
      <c r="J5295" s="747"/>
      <c r="K5295" s="748"/>
      <c r="L5295" s="746"/>
      <c r="M5295" s="747"/>
      <c r="N5295" s="753"/>
    </row>
    <row r="5296" spans="2:14" ht="15" customHeight="1" x14ac:dyDescent="0.25">
      <c r="B5296" s="127"/>
      <c r="C5296" s="125"/>
      <c r="D5296" s="125"/>
      <c r="E5296" s="125"/>
      <c r="F5296" s="125"/>
      <c r="G5296" s="125"/>
      <c r="H5296" s="125"/>
      <c r="I5296" s="749"/>
      <c r="J5296" s="750"/>
      <c r="K5296" s="751"/>
      <c r="L5296" s="749"/>
      <c r="M5296" s="750"/>
      <c r="N5296" s="754"/>
    </row>
    <row r="5297" spans="2:14" ht="15" customHeight="1" x14ac:dyDescent="0.25">
      <c r="B5297" s="225"/>
      <c r="C5297" s="128"/>
      <c r="D5297" s="128"/>
      <c r="E5297" s="128"/>
      <c r="F5297" s="128"/>
      <c r="G5297" s="128"/>
      <c r="H5297" s="128"/>
      <c r="I5297" s="128"/>
      <c r="J5297" s="128"/>
      <c r="K5297" s="128"/>
      <c r="L5297" s="118"/>
      <c r="M5297" s="118"/>
      <c r="N5297" s="210"/>
    </row>
    <row r="5298" spans="2:14" ht="15" customHeight="1" x14ac:dyDescent="0.25">
      <c r="B5298" s="209"/>
      <c r="C5298" s="118"/>
      <c r="D5298" s="118"/>
      <c r="E5298" s="118"/>
      <c r="F5298" s="118"/>
      <c r="G5298" s="118"/>
      <c r="H5298" s="118"/>
      <c r="I5298" s="118"/>
      <c r="J5298" s="118"/>
      <c r="K5298" s="118"/>
      <c r="L5298" s="118"/>
      <c r="M5298" s="118"/>
      <c r="N5298" s="210"/>
    </row>
    <row r="5299" spans="2:14" ht="15" customHeight="1" x14ac:dyDescent="0.25">
      <c r="B5299" s="209"/>
      <c r="C5299" s="118"/>
      <c r="D5299" s="118"/>
      <c r="E5299" s="118"/>
      <c r="F5299" s="118"/>
      <c r="G5299" s="118"/>
      <c r="H5299" s="118"/>
      <c r="I5299" s="118"/>
      <c r="J5299" s="118"/>
      <c r="K5299" s="118"/>
      <c r="L5299" s="118"/>
      <c r="M5299" s="118"/>
      <c r="N5299" s="210"/>
    </row>
    <row r="5300" spans="2:14" ht="15" customHeight="1" thickBot="1" x14ac:dyDescent="0.3">
      <c r="B5300" s="725" t="s">
        <v>414</v>
      </c>
      <c r="C5300" s="726"/>
      <c r="D5300" s="726"/>
      <c r="E5300" s="147"/>
      <c r="F5300" s="147"/>
      <c r="G5300" s="147"/>
      <c r="H5300" s="147"/>
      <c r="I5300" s="727"/>
      <c r="J5300" s="726"/>
      <c r="K5300" s="726"/>
      <c r="L5300" s="130"/>
      <c r="M5300" s="130"/>
      <c r="N5300" s="131"/>
    </row>
    <row r="5301" spans="2:14" ht="15" customHeight="1" thickBot="1" x14ac:dyDescent="0.3"/>
    <row r="5302" spans="2:14" ht="37.9" customHeight="1" x14ac:dyDescent="0.25">
      <c r="B5302" s="728"/>
      <c r="C5302" s="729"/>
      <c r="D5302" s="730" t="s">
        <v>393</v>
      </c>
      <c r="E5302" s="729"/>
      <c r="F5302" s="729"/>
      <c r="G5302" s="729"/>
      <c r="H5302" s="729"/>
      <c r="I5302" s="729"/>
      <c r="J5302" s="729"/>
      <c r="K5302" s="729"/>
      <c r="L5302" s="729"/>
      <c r="M5302" s="729"/>
      <c r="N5302" s="731"/>
    </row>
    <row r="5303" spans="2:14" ht="15" customHeight="1" x14ac:dyDescent="0.25">
      <c r="B5303" s="732" t="s">
        <v>394</v>
      </c>
      <c r="C5303" s="733"/>
      <c r="D5303" s="733"/>
      <c r="E5303" s="733"/>
      <c r="F5303" s="733"/>
      <c r="G5303" s="733"/>
      <c r="H5303" s="733"/>
      <c r="I5303" s="733"/>
      <c r="J5303" s="733"/>
      <c r="K5303" s="733"/>
      <c r="L5303" s="733"/>
      <c r="M5303" s="733"/>
      <c r="N5303" s="734"/>
    </row>
    <row r="5304" spans="2:14" ht="21" customHeight="1" x14ac:dyDescent="0.25">
      <c r="B5304" s="735" t="s">
        <v>395</v>
      </c>
      <c r="C5304" s="736"/>
      <c r="D5304" s="737" t="str">
        <f>VLOOKUP(B5306,Buenaventura!A31:G6497,3,FALSE)</f>
        <v>Suministro e instalación de tubería de 3/4” en material PVC presión, incluye accesorios del mismo material y todo lo necesario para su correcta instalación y funcionamiento.</v>
      </c>
      <c r="E5304" s="738"/>
      <c r="F5304" s="738"/>
      <c r="G5304" s="738"/>
      <c r="H5304" s="738"/>
      <c r="I5304" s="738"/>
      <c r="J5304" s="738"/>
      <c r="K5304" s="738"/>
      <c r="L5304" s="738"/>
      <c r="M5304" s="738"/>
      <c r="N5304" s="739"/>
    </row>
    <row r="5305" spans="2:14" ht="25.15" customHeight="1" x14ac:dyDescent="0.25">
      <c r="B5305" s="740" t="s">
        <v>26</v>
      </c>
      <c r="C5305" s="741"/>
      <c r="D5305" s="119" t="s">
        <v>396</v>
      </c>
      <c r="E5305" s="742" t="s">
        <v>397</v>
      </c>
      <c r="F5305" s="733"/>
      <c r="G5305" s="733"/>
      <c r="H5305" s="736"/>
      <c r="I5305" s="742" t="s">
        <v>398</v>
      </c>
      <c r="J5305" s="733"/>
      <c r="K5305" s="736"/>
      <c r="L5305" s="742" t="s">
        <v>399</v>
      </c>
      <c r="M5305" s="733"/>
      <c r="N5305" s="734"/>
    </row>
    <row r="5306" spans="2:14" ht="15" customHeight="1" x14ac:dyDescent="0.25">
      <c r="B5306" s="283">
        <v>154</v>
      </c>
      <c r="C5306" s="284" t="str">
        <f>VLOOKUP(B5306,Buenaventura!A31:G6510,2,FALSE)</f>
        <v>IH-26</v>
      </c>
      <c r="D5306" s="285">
        <f>SUM(H5309:H5312)</f>
        <v>8</v>
      </c>
      <c r="E5306" s="743" t="str">
        <f>VLOOKUP(B5306,Buenaventura!A31:G6509,4,FALSE)</f>
        <v>ML</v>
      </c>
      <c r="F5306" s="743"/>
      <c r="G5306" s="743"/>
      <c r="H5306" s="743"/>
      <c r="I5306" s="744"/>
      <c r="J5306" s="745"/>
      <c r="K5306" s="741"/>
      <c r="L5306" s="744"/>
      <c r="M5306" s="745"/>
      <c r="N5306" s="752"/>
    </row>
    <row r="5307" spans="2:14" ht="15" customHeight="1" x14ac:dyDescent="0.25">
      <c r="B5307" s="755" t="s">
        <v>416</v>
      </c>
      <c r="C5307" s="733"/>
      <c r="D5307" s="733"/>
      <c r="E5307" s="733"/>
      <c r="F5307" s="733"/>
      <c r="G5307" s="733"/>
      <c r="H5307" s="736"/>
      <c r="I5307" s="746"/>
      <c r="J5307" s="747"/>
      <c r="K5307" s="748"/>
      <c r="L5307" s="746"/>
      <c r="M5307" s="747"/>
      <c r="N5307" s="753"/>
    </row>
    <row r="5308" spans="2:14" ht="15" customHeight="1" x14ac:dyDescent="0.25">
      <c r="B5308" s="121" t="s">
        <v>400</v>
      </c>
      <c r="C5308" s="122" t="s">
        <v>401</v>
      </c>
      <c r="D5308" s="123" t="s">
        <v>402</v>
      </c>
      <c r="E5308" s="123" t="s">
        <v>403</v>
      </c>
      <c r="F5308" s="123" t="s">
        <v>404</v>
      </c>
      <c r="G5308" s="123" t="s">
        <v>405</v>
      </c>
      <c r="H5308" s="123" t="s">
        <v>406</v>
      </c>
      <c r="I5308" s="746"/>
      <c r="J5308" s="747"/>
      <c r="K5308" s="748"/>
      <c r="L5308" s="746"/>
      <c r="M5308" s="747"/>
      <c r="N5308" s="753"/>
    </row>
    <row r="5309" spans="2:14" ht="15" customHeight="1" x14ac:dyDescent="0.25">
      <c r="B5309" s="124"/>
      <c r="C5309" s="145" t="s">
        <v>618</v>
      </c>
      <c r="D5309" s="125">
        <v>8</v>
      </c>
      <c r="E5309" s="125"/>
      <c r="F5309" s="125"/>
      <c r="G5309" s="125"/>
      <c r="H5309" s="125">
        <f>D5309</f>
        <v>8</v>
      </c>
      <c r="I5309" s="746"/>
      <c r="J5309" s="747"/>
      <c r="K5309" s="748"/>
      <c r="L5309" s="746"/>
      <c r="M5309" s="747"/>
      <c r="N5309" s="753"/>
    </row>
    <row r="5310" spans="2:14" ht="15" customHeight="1" x14ac:dyDescent="0.25">
      <c r="B5310" s="124"/>
      <c r="C5310" s="145"/>
      <c r="D5310" s="125"/>
      <c r="E5310" s="125"/>
      <c r="F5310" s="125"/>
      <c r="G5310" s="125"/>
      <c r="H5310" s="125"/>
      <c r="I5310" s="746"/>
      <c r="J5310" s="747"/>
      <c r="K5310" s="748"/>
      <c r="L5310" s="746"/>
      <c r="M5310" s="747"/>
      <c r="N5310" s="753"/>
    </row>
    <row r="5311" spans="2:14" ht="15" customHeight="1" x14ac:dyDescent="0.25">
      <c r="B5311" s="165"/>
      <c r="C5311" s="145"/>
      <c r="D5311" s="125"/>
      <c r="E5311" s="125"/>
      <c r="F5311" s="125"/>
      <c r="G5311" s="125"/>
      <c r="H5311" s="125"/>
      <c r="I5311" s="746"/>
      <c r="J5311" s="747"/>
      <c r="K5311" s="748"/>
      <c r="L5311" s="746"/>
      <c r="M5311" s="747"/>
      <c r="N5311" s="753"/>
    </row>
    <row r="5312" spans="2:14" ht="15" customHeight="1" x14ac:dyDescent="0.25">
      <c r="B5312" s="165"/>
      <c r="C5312" s="145"/>
      <c r="D5312" s="125"/>
      <c r="E5312" s="125"/>
      <c r="F5312" s="125"/>
      <c r="G5312" s="125"/>
      <c r="H5312" s="125"/>
      <c r="I5312" s="746"/>
      <c r="J5312" s="747"/>
      <c r="K5312" s="748"/>
      <c r="L5312" s="746"/>
      <c r="M5312" s="747"/>
      <c r="N5312" s="753"/>
    </row>
    <row r="5313" spans="2:14" ht="15" customHeight="1" x14ac:dyDescent="0.25">
      <c r="B5313" s="165"/>
      <c r="C5313" s="145"/>
      <c r="D5313" s="125"/>
      <c r="E5313" s="125"/>
      <c r="F5313" s="125"/>
      <c r="G5313" s="125"/>
      <c r="H5313" s="125"/>
      <c r="I5313" s="746"/>
      <c r="J5313" s="747"/>
      <c r="K5313" s="748"/>
      <c r="L5313" s="746"/>
      <c r="M5313" s="747"/>
      <c r="N5313" s="753"/>
    </row>
    <row r="5314" spans="2:14" ht="15" customHeight="1" x14ac:dyDescent="0.25">
      <c r="B5314" s="165"/>
      <c r="C5314" s="145"/>
      <c r="D5314" s="125"/>
      <c r="E5314" s="125"/>
      <c r="F5314" s="125"/>
      <c r="G5314" s="125"/>
      <c r="H5314" s="125"/>
      <c r="I5314" s="746"/>
      <c r="J5314" s="747"/>
      <c r="K5314" s="748"/>
      <c r="L5314" s="746"/>
      <c r="M5314" s="747"/>
      <c r="N5314" s="753"/>
    </row>
    <row r="5315" spans="2:14" ht="15" customHeight="1" x14ac:dyDescent="0.25">
      <c r="B5315" s="165"/>
      <c r="C5315" s="145"/>
      <c r="D5315" s="125"/>
      <c r="E5315" s="125"/>
      <c r="F5315" s="125"/>
      <c r="G5315" s="125"/>
      <c r="H5315" s="125"/>
      <c r="I5315" s="746"/>
      <c r="J5315" s="747"/>
      <c r="K5315" s="748"/>
      <c r="L5315" s="746"/>
      <c r="M5315" s="747"/>
      <c r="N5315" s="753"/>
    </row>
    <row r="5316" spans="2:14" ht="15" customHeight="1" x14ac:dyDescent="0.25">
      <c r="B5316" s="124"/>
      <c r="C5316" s="145"/>
      <c r="D5316" s="125"/>
      <c r="E5316" s="125"/>
      <c r="F5316" s="125"/>
      <c r="G5316" s="125"/>
      <c r="H5316" s="125"/>
      <c r="I5316" s="746"/>
      <c r="J5316" s="747"/>
      <c r="K5316" s="748"/>
      <c r="L5316" s="746"/>
      <c r="M5316" s="747"/>
      <c r="N5316" s="753"/>
    </row>
    <row r="5317" spans="2:14" ht="15" customHeight="1" x14ac:dyDescent="0.25">
      <c r="B5317" s="124"/>
      <c r="C5317" s="125"/>
      <c r="D5317" s="125"/>
      <c r="E5317" s="125"/>
      <c r="F5317" s="125"/>
      <c r="G5317" s="125"/>
      <c r="H5317" s="125"/>
      <c r="I5317" s="746"/>
      <c r="J5317" s="747"/>
      <c r="K5317" s="748"/>
      <c r="L5317" s="746"/>
      <c r="M5317" s="747"/>
      <c r="N5317" s="753"/>
    </row>
    <row r="5318" spans="2:14" ht="15" customHeight="1" x14ac:dyDescent="0.25">
      <c r="B5318" s="127"/>
      <c r="C5318" s="125"/>
      <c r="D5318" s="125"/>
      <c r="E5318" s="125"/>
      <c r="F5318" s="125"/>
      <c r="G5318" s="125"/>
      <c r="H5318" s="125"/>
      <c r="I5318" s="749"/>
      <c r="J5318" s="750"/>
      <c r="K5318" s="751"/>
      <c r="L5318" s="749"/>
      <c r="M5318" s="750"/>
      <c r="N5318" s="754"/>
    </row>
    <row r="5319" spans="2:14" ht="15" customHeight="1" x14ac:dyDescent="0.25">
      <c r="B5319" s="225"/>
      <c r="C5319" s="128"/>
      <c r="D5319" s="128"/>
      <c r="E5319" s="128"/>
      <c r="F5319" s="128"/>
      <c r="G5319" s="128"/>
      <c r="H5319" s="128"/>
      <c r="I5319" s="128"/>
      <c r="J5319" s="128"/>
      <c r="K5319" s="128"/>
      <c r="L5319" s="118"/>
      <c r="M5319" s="118"/>
      <c r="N5319" s="210"/>
    </row>
    <row r="5320" spans="2:14" ht="15" customHeight="1" x14ac:dyDescent="0.25">
      <c r="B5320" s="209"/>
      <c r="C5320" s="118"/>
      <c r="D5320" s="118"/>
      <c r="E5320" s="118"/>
      <c r="F5320" s="118"/>
      <c r="G5320" s="118"/>
      <c r="H5320" s="118"/>
      <c r="I5320" s="118"/>
      <c r="J5320" s="118"/>
      <c r="K5320" s="118"/>
      <c r="L5320" s="118"/>
      <c r="M5320" s="118"/>
      <c r="N5320" s="210"/>
    </row>
    <row r="5321" spans="2:14" ht="15" customHeight="1" x14ac:dyDescent="0.25">
      <c r="B5321" s="209"/>
      <c r="C5321" s="118"/>
      <c r="D5321" s="118"/>
      <c r="E5321" s="118"/>
      <c r="F5321" s="118"/>
      <c r="G5321" s="118"/>
      <c r="H5321" s="118"/>
      <c r="I5321" s="118"/>
      <c r="J5321" s="118"/>
      <c r="K5321" s="118"/>
      <c r="L5321" s="118"/>
      <c r="M5321" s="118"/>
      <c r="N5321" s="210"/>
    </row>
    <row r="5322" spans="2:14" ht="15" customHeight="1" thickBot="1" x14ac:dyDescent="0.3">
      <c r="B5322" s="725" t="s">
        <v>414</v>
      </c>
      <c r="C5322" s="726"/>
      <c r="D5322" s="726"/>
      <c r="E5322" s="147"/>
      <c r="F5322" s="147"/>
      <c r="G5322" s="147"/>
      <c r="H5322" s="147"/>
      <c r="I5322" s="727"/>
      <c r="J5322" s="726"/>
      <c r="K5322" s="726"/>
      <c r="L5322" s="130"/>
      <c r="M5322" s="130"/>
      <c r="N5322" s="131"/>
    </row>
    <row r="5323" spans="2:14" ht="15" customHeight="1" thickBot="1" x14ac:dyDescent="0.3"/>
    <row r="5324" spans="2:14" ht="40.9" customHeight="1" x14ac:dyDescent="0.25">
      <c r="B5324" s="728"/>
      <c r="C5324" s="729"/>
      <c r="D5324" s="730" t="s">
        <v>393</v>
      </c>
      <c r="E5324" s="729"/>
      <c r="F5324" s="729"/>
      <c r="G5324" s="729"/>
      <c r="H5324" s="729"/>
      <c r="I5324" s="729"/>
      <c r="J5324" s="729"/>
      <c r="K5324" s="729"/>
      <c r="L5324" s="729"/>
      <c r="M5324" s="729"/>
      <c r="N5324" s="731"/>
    </row>
    <row r="5325" spans="2:14" ht="15" customHeight="1" x14ac:dyDescent="0.25">
      <c r="B5325" s="732" t="s">
        <v>394</v>
      </c>
      <c r="C5325" s="733"/>
      <c r="D5325" s="733"/>
      <c r="E5325" s="733"/>
      <c r="F5325" s="733"/>
      <c r="G5325" s="733"/>
      <c r="H5325" s="733"/>
      <c r="I5325" s="733"/>
      <c r="J5325" s="733"/>
      <c r="K5325" s="733"/>
      <c r="L5325" s="733"/>
      <c r="M5325" s="733"/>
      <c r="N5325" s="734"/>
    </row>
    <row r="5326" spans="2:14" ht="24" customHeight="1" x14ac:dyDescent="0.25">
      <c r="B5326" s="735" t="s">
        <v>395</v>
      </c>
      <c r="C5326" s="736"/>
      <c r="D5326" s="737" t="str">
        <f>VLOOKUP(B5328,Buenaventura!A53:G6519,3,FALSE)</f>
        <v>Suministro e instalación de tablero o gabinete para cuenta de medidor de agua, en material resistente a la intemperie y a la corrosión (lámina galvanizada, acero inoxidable, PVC o polimérico), con puerta abatible, sistema de cierre (llave o seguro), Incluye estructura de soporte, marco, elementos de fijación, anclajes, sellos y adecuación del área de instalación, garantizando estabilidad, alineación y correcto funcionamiento del conjunto.</v>
      </c>
      <c r="E5326" s="738"/>
      <c r="F5326" s="738"/>
      <c r="G5326" s="738"/>
      <c r="H5326" s="738"/>
      <c r="I5326" s="738"/>
      <c r="J5326" s="738"/>
      <c r="K5326" s="738"/>
      <c r="L5326" s="738"/>
      <c r="M5326" s="738"/>
      <c r="N5326" s="739"/>
    </row>
    <row r="5327" spans="2:14" ht="24.6" customHeight="1" x14ac:dyDescent="0.25">
      <c r="B5327" s="740" t="s">
        <v>26</v>
      </c>
      <c r="C5327" s="741"/>
      <c r="D5327" s="119" t="s">
        <v>396</v>
      </c>
      <c r="E5327" s="742" t="s">
        <v>397</v>
      </c>
      <c r="F5327" s="733"/>
      <c r="G5327" s="733"/>
      <c r="H5327" s="736"/>
      <c r="I5327" s="742" t="s">
        <v>398</v>
      </c>
      <c r="J5327" s="733"/>
      <c r="K5327" s="736"/>
      <c r="L5327" s="742" t="s">
        <v>399</v>
      </c>
      <c r="M5327" s="733"/>
      <c r="N5327" s="734"/>
    </row>
    <row r="5328" spans="2:14" ht="15" customHeight="1" x14ac:dyDescent="0.25">
      <c r="B5328" s="283">
        <v>155</v>
      </c>
      <c r="C5328" s="284" t="str">
        <f>VLOOKUP(B5328,Buenaventura!A53:G6532,2,FALSE)</f>
        <v>VA-44</v>
      </c>
      <c r="D5328" s="285">
        <f>SUM(H5331:H5334)</f>
        <v>7</v>
      </c>
      <c r="E5328" s="743" t="str">
        <f>VLOOKUP(B5328,Buenaventura!A53:G6531,4,FALSE)</f>
        <v>UND</v>
      </c>
      <c r="F5328" s="743"/>
      <c r="G5328" s="743"/>
      <c r="H5328" s="743"/>
      <c r="I5328" s="744"/>
      <c r="J5328" s="745"/>
      <c r="K5328" s="741"/>
      <c r="L5328" s="744"/>
      <c r="M5328" s="745"/>
      <c r="N5328" s="752"/>
    </row>
    <row r="5329" spans="2:14" ht="15" customHeight="1" x14ac:dyDescent="0.25">
      <c r="B5329" s="755" t="s">
        <v>416</v>
      </c>
      <c r="C5329" s="733"/>
      <c r="D5329" s="733"/>
      <c r="E5329" s="733"/>
      <c r="F5329" s="733"/>
      <c r="G5329" s="733"/>
      <c r="H5329" s="736"/>
      <c r="I5329" s="746"/>
      <c r="J5329" s="747"/>
      <c r="K5329" s="748"/>
      <c r="L5329" s="746"/>
      <c r="M5329" s="747"/>
      <c r="N5329" s="753"/>
    </row>
    <row r="5330" spans="2:14" ht="15" customHeight="1" x14ac:dyDescent="0.25">
      <c r="B5330" s="121" t="s">
        <v>400</v>
      </c>
      <c r="C5330" s="122" t="s">
        <v>401</v>
      </c>
      <c r="D5330" s="123" t="s">
        <v>402</v>
      </c>
      <c r="E5330" s="123" t="s">
        <v>403</v>
      </c>
      <c r="F5330" s="123" t="s">
        <v>404</v>
      </c>
      <c r="G5330" s="123" t="s">
        <v>405</v>
      </c>
      <c r="H5330" s="123" t="s">
        <v>406</v>
      </c>
      <c r="I5330" s="746"/>
      <c r="J5330" s="747"/>
      <c r="K5330" s="748"/>
      <c r="L5330" s="746"/>
      <c r="M5330" s="747"/>
      <c r="N5330" s="753"/>
    </row>
    <row r="5331" spans="2:14" ht="15" customHeight="1" x14ac:dyDescent="0.25">
      <c r="B5331" s="124"/>
      <c r="C5331" s="145" t="s">
        <v>529</v>
      </c>
      <c r="D5331" s="125">
        <v>1</v>
      </c>
      <c r="E5331" s="125"/>
      <c r="F5331" s="125"/>
      <c r="G5331" s="125"/>
      <c r="H5331" s="125">
        <f>D5331</f>
        <v>1</v>
      </c>
      <c r="I5331" s="746"/>
      <c r="J5331" s="747"/>
      <c r="K5331" s="748"/>
      <c r="L5331" s="746"/>
      <c r="M5331" s="747"/>
      <c r="N5331" s="753"/>
    </row>
    <row r="5332" spans="2:14" ht="15" customHeight="1" x14ac:dyDescent="0.25">
      <c r="B5332" s="124"/>
      <c r="C5332" s="145" t="s">
        <v>619</v>
      </c>
      <c r="D5332" s="125">
        <v>2</v>
      </c>
      <c r="E5332" s="125"/>
      <c r="F5332" s="125"/>
      <c r="G5332" s="125"/>
      <c r="H5332" s="125">
        <f t="shared" ref="H5332:H5334" si="84">D5332</f>
        <v>2</v>
      </c>
      <c r="I5332" s="746"/>
      <c r="J5332" s="747"/>
      <c r="K5332" s="748"/>
      <c r="L5332" s="746"/>
      <c r="M5332" s="747"/>
      <c r="N5332" s="753"/>
    </row>
    <row r="5333" spans="2:14" ht="15" customHeight="1" x14ac:dyDescent="0.25">
      <c r="B5333" s="165"/>
      <c r="C5333" s="145" t="s">
        <v>620</v>
      </c>
      <c r="D5333" s="125">
        <v>2</v>
      </c>
      <c r="E5333" s="125"/>
      <c r="F5333" s="125"/>
      <c r="G5333" s="125"/>
      <c r="H5333" s="125">
        <f t="shared" si="84"/>
        <v>2</v>
      </c>
      <c r="I5333" s="746"/>
      <c r="J5333" s="747"/>
      <c r="K5333" s="748"/>
      <c r="L5333" s="746"/>
      <c r="M5333" s="747"/>
      <c r="N5333" s="753"/>
    </row>
    <row r="5334" spans="2:14" ht="15" customHeight="1" x14ac:dyDescent="0.25">
      <c r="B5334" s="165"/>
      <c r="C5334" s="145" t="s">
        <v>621</v>
      </c>
      <c r="D5334" s="125">
        <v>2</v>
      </c>
      <c r="E5334" s="125"/>
      <c r="F5334" s="125"/>
      <c r="G5334" s="125"/>
      <c r="H5334" s="125">
        <f t="shared" si="84"/>
        <v>2</v>
      </c>
      <c r="I5334" s="746"/>
      <c r="J5334" s="747"/>
      <c r="K5334" s="748"/>
      <c r="L5334" s="746"/>
      <c r="M5334" s="747"/>
      <c r="N5334" s="753"/>
    </row>
    <row r="5335" spans="2:14" ht="15" customHeight="1" x14ac:dyDescent="0.25">
      <c r="B5335" s="165"/>
      <c r="C5335" s="145"/>
      <c r="D5335" s="125"/>
      <c r="E5335" s="125"/>
      <c r="F5335" s="125"/>
      <c r="G5335" s="125"/>
      <c r="H5335" s="125"/>
      <c r="I5335" s="746"/>
      <c r="J5335" s="747"/>
      <c r="K5335" s="748"/>
      <c r="L5335" s="746"/>
      <c r="M5335" s="747"/>
      <c r="N5335" s="753"/>
    </row>
    <row r="5336" spans="2:14" ht="15" customHeight="1" x14ac:dyDescent="0.25">
      <c r="B5336" s="165"/>
      <c r="C5336" s="145"/>
      <c r="D5336" s="125"/>
      <c r="E5336" s="125"/>
      <c r="F5336" s="125"/>
      <c r="G5336" s="125"/>
      <c r="H5336" s="125"/>
      <c r="I5336" s="746"/>
      <c r="J5336" s="747"/>
      <c r="K5336" s="748"/>
      <c r="L5336" s="746"/>
      <c r="M5336" s="747"/>
      <c r="N5336" s="753"/>
    </row>
    <row r="5337" spans="2:14" ht="15" customHeight="1" x14ac:dyDescent="0.25">
      <c r="B5337" s="165"/>
      <c r="C5337" s="145"/>
      <c r="D5337" s="125"/>
      <c r="E5337" s="125"/>
      <c r="F5337" s="125"/>
      <c r="G5337" s="125"/>
      <c r="H5337" s="125"/>
      <c r="I5337" s="746"/>
      <c r="J5337" s="747"/>
      <c r="K5337" s="748"/>
      <c r="L5337" s="746"/>
      <c r="M5337" s="747"/>
      <c r="N5337" s="753"/>
    </row>
    <row r="5338" spans="2:14" ht="15" customHeight="1" x14ac:dyDescent="0.25">
      <c r="B5338" s="124"/>
      <c r="C5338" s="145"/>
      <c r="D5338" s="125"/>
      <c r="E5338" s="125"/>
      <c r="F5338" s="125"/>
      <c r="G5338" s="125"/>
      <c r="H5338" s="125"/>
      <c r="I5338" s="746"/>
      <c r="J5338" s="747"/>
      <c r="K5338" s="748"/>
      <c r="L5338" s="746"/>
      <c r="M5338" s="747"/>
      <c r="N5338" s="753"/>
    </row>
    <row r="5339" spans="2:14" ht="15" customHeight="1" x14ac:dyDescent="0.25">
      <c r="B5339" s="124"/>
      <c r="C5339" s="125"/>
      <c r="D5339" s="125"/>
      <c r="E5339" s="125"/>
      <c r="F5339" s="125"/>
      <c r="G5339" s="125"/>
      <c r="H5339" s="125"/>
      <c r="I5339" s="746"/>
      <c r="J5339" s="747"/>
      <c r="K5339" s="748"/>
      <c r="L5339" s="746"/>
      <c r="M5339" s="747"/>
      <c r="N5339" s="753"/>
    </row>
    <row r="5340" spans="2:14" ht="15" customHeight="1" x14ac:dyDescent="0.25">
      <c r="B5340" s="127"/>
      <c r="C5340" s="125"/>
      <c r="D5340" s="125"/>
      <c r="E5340" s="125"/>
      <c r="F5340" s="125"/>
      <c r="G5340" s="125"/>
      <c r="H5340" s="125"/>
      <c r="I5340" s="749"/>
      <c r="J5340" s="750"/>
      <c r="K5340" s="751"/>
      <c r="L5340" s="749"/>
      <c r="M5340" s="750"/>
      <c r="N5340" s="754"/>
    </row>
    <row r="5341" spans="2:14" ht="15" customHeight="1" x14ac:dyDescent="0.25">
      <c r="B5341" s="225"/>
      <c r="C5341" s="128"/>
      <c r="D5341" s="128"/>
      <c r="E5341" s="128"/>
      <c r="F5341" s="128"/>
      <c r="G5341" s="128"/>
      <c r="H5341" s="128"/>
      <c r="I5341" s="128"/>
      <c r="J5341" s="128"/>
      <c r="K5341" s="128"/>
      <c r="L5341" s="118"/>
      <c r="M5341" s="118"/>
      <c r="N5341" s="210"/>
    </row>
    <row r="5342" spans="2:14" ht="15" customHeight="1" x14ac:dyDescent="0.25">
      <c r="B5342" s="209"/>
      <c r="C5342" s="118"/>
      <c r="D5342" s="118"/>
      <c r="E5342" s="118"/>
      <c r="F5342" s="118"/>
      <c r="G5342" s="118"/>
      <c r="H5342" s="118"/>
      <c r="I5342" s="118"/>
      <c r="J5342" s="118"/>
      <c r="K5342" s="118"/>
      <c r="L5342" s="118"/>
      <c r="M5342" s="118"/>
      <c r="N5342" s="210"/>
    </row>
    <row r="5343" spans="2:14" ht="15" customHeight="1" x14ac:dyDescent="0.25">
      <c r="B5343" s="209"/>
      <c r="C5343" s="118"/>
      <c r="D5343" s="118"/>
      <c r="E5343" s="118"/>
      <c r="F5343" s="118"/>
      <c r="G5343" s="118"/>
      <c r="H5343" s="118"/>
      <c r="I5343" s="118"/>
      <c r="J5343" s="118"/>
      <c r="K5343" s="118"/>
      <c r="L5343" s="118"/>
      <c r="M5343" s="118"/>
      <c r="N5343" s="210"/>
    </row>
    <row r="5344" spans="2:14" ht="15" customHeight="1" thickBot="1" x14ac:dyDescent="0.3">
      <c r="B5344" s="725" t="s">
        <v>414</v>
      </c>
      <c r="C5344" s="726"/>
      <c r="D5344" s="726"/>
      <c r="E5344" s="147"/>
      <c r="F5344" s="147"/>
      <c r="G5344" s="147"/>
      <c r="H5344" s="147"/>
      <c r="I5344" s="727"/>
      <c r="J5344" s="726"/>
      <c r="K5344" s="726"/>
      <c r="L5344" s="130"/>
      <c r="M5344" s="130"/>
      <c r="N5344" s="131"/>
    </row>
    <row r="5345" spans="2:14" ht="15" customHeight="1" thickBot="1" x14ac:dyDescent="0.3"/>
    <row r="5346" spans="2:14" ht="38.450000000000003" customHeight="1" x14ac:dyDescent="0.25">
      <c r="B5346" s="728"/>
      <c r="C5346" s="729"/>
      <c r="D5346" s="730" t="s">
        <v>393</v>
      </c>
      <c r="E5346" s="729"/>
      <c r="F5346" s="729"/>
      <c r="G5346" s="729"/>
      <c r="H5346" s="729"/>
      <c r="I5346" s="729"/>
      <c r="J5346" s="729"/>
      <c r="K5346" s="729"/>
      <c r="L5346" s="729"/>
      <c r="M5346" s="729"/>
      <c r="N5346" s="731"/>
    </row>
    <row r="5347" spans="2:14" ht="15" customHeight="1" x14ac:dyDescent="0.25">
      <c r="B5347" s="732" t="s">
        <v>394</v>
      </c>
      <c r="C5347" s="733"/>
      <c r="D5347" s="733"/>
      <c r="E5347" s="733"/>
      <c r="F5347" s="733"/>
      <c r="G5347" s="733"/>
      <c r="H5347" s="733"/>
      <c r="I5347" s="733"/>
      <c r="J5347" s="733"/>
      <c r="K5347" s="733"/>
      <c r="L5347" s="733"/>
      <c r="M5347" s="733"/>
      <c r="N5347" s="734"/>
    </row>
    <row r="5348" spans="2:14" ht="28.5" customHeight="1" x14ac:dyDescent="0.25">
      <c r="B5348" s="735" t="s">
        <v>395</v>
      </c>
      <c r="C5348" s="736"/>
      <c r="D5348" s="737" t="str">
        <f>VLOOKUP(B5350,Buenaventura!A73:G6541,3,FALSE)</f>
        <v>Suministro e instalación de Detector de humo direccionable UL/FM</v>
      </c>
      <c r="E5348" s="738"/>
      <c r="F5348" s="738"/>
      <c r="G5348" s="738"/>
      <c r="H5348" s="738"/>
      <c r="I5348" s="738"/>
      <c r="J5348" s="738"/>
      <c r="K5348" s="738"/>
      <c r="L5348" s="738"/>
      <c r="M5348" s="738"/>
      <c r="N5348" s="739"/>
    </row>
    <row r="5349" spans="2:14" ht="27.6" customHeight="1" x14ac:dyDescent="0.25">
      <c r="B5349" s="740" t="s">
        <v>26</v>
      </c>
      <c r="C5349" s="741"/>
      <c r="D5349" s="119" t="s">
        <v>396</v>
      </c>
      <c r="E5349" s="742" t="s">
        <v>397</v>
      </c>
      <c r="F5349" s="733"/>
      <c r="G5349" s="733"/>
      <c r="H5349" s="736"/>
      <c r="I5349" s="742" t="s">
        <v>398</v>
      </c>
      <c r="J5349" s="733"/>
      <c r="K5349" s="736"/>
      <c r="L5349" s="742" t="s">
        <v>399</v>
      </c>
      <c r="M5349" s="733"/>
      <c r="N5349" s="734"/>
    </row>
    <row r="5350" spans="2:14" ht="22.9" customHeight="1" x14ac:dyDescent="0.25">
      <c r="B5350" s="283">
        <v>156</v>
      </c>
      <c r="C5350" s="284" t="str">
        <f>VLOOKUP(B5350,Buenaventura!A73:G6554,2,FALSE)</f>
        <v>VA-45</v>
      </c>
      <c r="D5350" s="285">
        <f>SUM(H5353:H5356)</f>
        <v>1</v>
      </c>
      <c r="E5350" s="743" t="str">
        <f>VLOOKUP(B5350,Buenaventura!A73:G6553,4,FALSE)</f>
        <v>UND</v>
      </c>
      <c r="F5350" s="743"/>
      <c r="G5350" s="743"/>
      <c r="H5350" s="743"/>
      <c r="I5350" s="744"/>
      <c r="J5350" s="745"/>
      <c r="K5350" s="741"/>
      <c r="L5350" s="744"/>
      <c r="M5350" s="745"/>
      <c r="N5350" s="752"/>
    </row>
    <row r="5351" spans="2:14" ht="15" customHeight="1" x14ac:dyDescent="0.25">
      <c r="B5351" s="755" t="s">
        <v>416</v>
      </c>
      <c r="C5351" s="733"/>
      <c r="D5351" s="733"/>
      <c r="E5351" s="733"/>
      <c r="F5351" s="733"/>
      <c r="G5351" s="733"/>
      <c r="H5351" s="736"/>
      <c r="I5351" s="746"/>
      <c r="J5351" s="747"/>
      <c r="K5351" s="748"/>
      <c r="L5351" s="746"/>
      <c r="M5351" s="747"/>
      <c r="N5351" s="753"/>
    </row>
    <row r="5352" spans="2:14" ht="15" customHeight="1" x14ac:dyDescent="0.25">
      <c r="B5352" s="121" t="s">
        <v>400</v>
      </c>
      <c r="C5352" s="122" t="s">
        <v>401</v>
      </c>
      <c r="D5352" s="123" t="s">
        <v>402</v>
      </c>
      <c r="E5352" s="123" t="s">
        <v>403</v>
      </c>
      <c r="F5352" s="123" t="s">
        <v>404</v>
      </c>
      <c r="G5352" s="123" t="s">
        <v>405</v>
      </c>
      <c r="H5352" s="123" t="s">
        <v>406</v>
      </c>
      <c r="I5352" s="746"/>
      <c r="J5352" s="747"/>
      <c r="K5352" s="748"/>
      <c r="L5352" s="746"/>
      <c r="M5352" s="747"/>
      <c r="N5352" s="753"/>
    </row>
    <row r="5353" spans="2:14" ht="15" customHeight="1" x14ac:dyDescent="0.25">
      <c r="B5353" s="124"/>
      <c r="C5353" s="145" t="s">
        <v>622</v>
      </c>
      <c r="D5353" s="125">
        <v>1</v>
      </c>
      <c r="E5353" s="125"/>
      <c r="F5353" s="125"/>
      <c r="G5353" s="125"/>
      <c r="H5353" s="125">
        <f>D5353</f>
        <v>1</v>
      </c>
      <c r="I5353" s="746"/>
      <c r="J5353" s="747"/>
      <c r="K5353" s="748"/>
      <c r="L5353" s="746"/>
      <c r="M5353" s="747"/>
      <c r="N5353" s="753"/>
    </row>
    <row r="5354" spans="2:14" ht="15" customHeight="1" x14ac:dyDescent="0.25">
      <c r="B5354" s="124"/>
      <c r="C5354" s="145"/>
      <c r="D5354" s="125"/>
      <c r="E5354" s="125"/>
      <c r="F5354" s="125"/>
      <c r="G5354" s="125"/>
      <c r="H5354" s="125"/>
      <c r="I5354" s="746"/>
      <c r="J5354" s="747"/>
      <c r="K5354" s="748"/>
      <c r="L5354" s="746"/>
      <c r="M5354" s="747"/>
      <c r="N5354" s="753"/>
    </row>
    <row r="5355" spans="2:14" ht="15" customHeight="1" x14ac:dyDescent="0.25">
      <c r="B5355" s="165"/>
      <c r="C5355" s="145"/>
      <c r="D5355" s="125"/>
      <c r="E5355" s="125"/>
      <c r="F5355" s="125"/>
      <c r="G5355" s="125"/>
      <c r="H5355" s="125"/>
      <c r="I5355" s="746"/>
      <c r="J5355" s="747"/>
      <c r="K5355" s="748"/>
      <c r="L5355" s="746"/>
      <c r="M5355" s="747"/>
      <c r="N5355" s="753"/>
    </row>
    <row r="5356" spans="2:14" ht="15" customHeight="1" x14ac:dyDescent="0.25">
      <c r="B5356" s="165"/>
      <c r="C5356" s="145"/>
      <c r="D5356" s="125"/>
      <c r="E5356" s="125"/>
      <c r="F5356" s="125"/>
      <c r="G5356" s="125"/>
      <c r="H5356" s="125"/>
      <c r="I5356" s="746"/>
      <c r="J5356" s="747"/>
      <c r="K5356" s="748"/>
      <c r="L5356" s="746"/>
      <c r="M5356" s="747"/>
      <c r="N5356" s="753"/>
    </row>
    <row r="5357" spans="2:14" ht="15" customHeight="1" x14ac:dyDescent="0.25">
      <c r="B5357" s="165"/>
      <c r="C5357" s="145"/>
      <c r="D5357" s="125"/>
      <c r="E5357" s="125"/>
      <c r="F5357" s="125"/>
      <c r="G5357" s="125"/>
      <c r="H5357" s="125"/>
      <c r="I5357" s="746"/>
      <c r="J5357" s="747"/>
      <c r="K5357" s="748"/>
      <c r="L5357" s="746"/>
      <c r="M5357" s="747"/>
      <c r="N5357" s="753"/>
    </row>
    <row r="5358" spans="2:14" ht="15" customHeight="1" x14ac:dyDescent="0.25">
      <c r="B5358" s="165"/>
      <c r="C5358" s="145"/>
      <c r="D5358" s="125"/>
      <c r="E5358" s="125"/>
      <c r="F5358" s="125"/>
      <c r="G5358" s="125"/>
      <c r="H5358" s="125"/>
      <c r="I5358" s="746"/>
      <c r="J5358" s="747"/>
      <c r="K5358" s="748"/>
      <c r="L5358" s="746"/>
      <c r="M5358" s="747"/>
      <c r="N5358" s="753"/>
    </row>
    <row r="5359" spans="2:14" ht="15" customHeight="1" x14ac:dyDescent="0.25">
      <c r="B5359" s="165"/>
      <c r="C5359" s="145"/>
      <c r="D5359" s="125"/>
      <c r="E5359" s="125"/>
      <c r="F5359" s="125"/>
      <c r="G5359" s="125"/>
      <c r="H5359" s="125"/>
      <c r="I5359" s="746"/>
      <c r="J5359" s="747"/>
      <c r="K5359" s="748"/>
      <c r="L5359" s="746"/>
      <c r="M5359" s="747"/>
      <c r="N5359" s="753"/>
    </row>
    <row r="5360" spans="2:14" ht="15" customHeight="1" x14ac:dyDescent="0.25">
      <c r="B5360" s="124"/>
      <c r="C5360" s="145"/>
      <c r="D5360" s="125"/>
      <c r="E5360" s="125"/>
      <c r="F5360" s="125"/>
      <c r="G5360" s="125"/>
      <c r="H5360" s="125"/>
      <c r="I5360" s="746"/>
      <c r="J5360" s="747"/>
      <c r="K5360" s="748"/>
      <c r="L5360" s="746"/>
      <c r="M5360" s="747"/>
      <c r="N5360" s="753"/>
    </row>
    <row r="5361" spans="2:14" ht="15" customHeight="1" x14ac:dyDescent="0.25">
      <c r="B5361" s="124"/>
      <c r="C5361" s="125"/>
      <c r="D5361" s="125"/>
      <c r="E5361" s="125"/>
      <c r="F5361" s="125"/>
      <c r="G5361" s="125"/>
      <c r="H5361" s="125"/>
      <c r="I5361" s="746"/>
      <c r="J5361" s="747"/>
      <c r="K5361" s="748"/>
      <c r="L5361" s="746"/>
      <c r="M5361" s="747"/>
      <c r="N5361" s="753"/>
    </row>
    <row r="5362" spans="2:14" ht="15" customHeight="1" x14ac:dyDescent="0.25">
      <c r="B5362" s="127"/>
      <c r="C5362" s="125"/>
      <c r="D5362" s="125"/>
      <c r="E5362" s="125"/>
      <c r="F5362" s="125"/>
      <c r="G5362" s="125"/>
      <c r="H5362" s="125"/>
      <c r="I5362" s="749"/>
      <c r="J5362" s="750"/>
      <c r="K5362" s="751"/>
      <c r="L5362" s="749"/>
      <c r="M5362" s="750"/>
      <c r="N5362" s="754"/>
    </row>
    <row r="5363" spans="2:14" ht="15" customHeight="1" x14ac:dyDescent="0.25">
      <c r="B5363" s="225"/>
      <c r="C5363" s="128"/>
      <c r="D5363" s="128"/>
      <c r="E5363" s="128"/>
      <c r="F5363" s="128"/>
      <c r="G5363" s="128"/>
      <c r="H5363" s="128"/>
      <c r="I5363" s="128"/>
      <c r="J5363" s="128"/>
      <c r="K5363" s="128"/>
      <c r="L5363" s="118"/>
      <c r="M5363" s="118"/>
      <c r="N5363" s="210"/>
    </row>
    <row r="5364" spans="2:14" ht="15" customHeight="1" x14ac:dyDescent="0.25">
      <c r="B5364" s="209"/>
      <c r="C5364" s="118"/>
      <c r="D5364" s="118"/>
      <c r="E5364" s="118"/>
      <c r="F5364" s="118"/>
      <c r="G5364" s="118"/>
      <c r="H5364" s="118"/>
      <c r="I5364" s="118"/>
      <c r="J5364" s="118"/>
      <c r="K5364" s="118"/>
      <c r="L5364" s="118"/>
      <c r="M5364" s="118"/>
      <c r="N5364" s="210"/>
    </row>
    <row r="5365" spans="2:14" ht="15" customHeight="1" x14ac:dyDescent="0.25">
      <c r="B5365" s="209"/>
      <c r="C5365" s="118"/>
      <c r="D5365" s="118"/>
      <c r="E5365" s="118"/>
      <c r="F5365" s="118"/>
      <c r="G5365" s="118"/>
      <c r="H5365" s="118"/>
      <c r="I5365" s="118"/>
      <c r="J5365" s="118"/>
      <c r="K5365" s="118"/>
      <c r="L5365" s="118"/>
      <c r="M5365" s="118"/>
      <c r="N5365" s="210"/>
    </row>
    <row r="5366" spans="2:14" ht="15" customHeight="1" thickBot="1" x14ac:dyDescent="0.3">
      <c r="B5366" s="725" t="s">
        <v>414</v>
      </c>
      <c r="C5366" s="726"/>
      <c r="D5366" s="726"/>
      <c r="E5366" s="147"/>
      <c r="F5366" s="147"/>
      <c r="G5366" s="147"/>
      <c r="H5366" s="147"/>
      <c r="I5366" s="727"/>
      <c r="J5366" s="726"/>
      <c r="K5366" s="726"/>
      <c r="L5366" s="130"/>
      <c r="M5366" s="130"/>
      <c r="N5366" s="131"/>
    </row>
    <row r="5367" spans="2:14" ht="15" customHeight="1" thickBot="1" x14ac:dyDescent="0.3"/>
    <row r="5368" spans="2:14" ht="44.45" customHeight="1" x14ac:dyDescent="0.25">
      <c r="B5368" s="728"/>
      <c r="C5368" s="729"/>
      <c r="D5368" s="730" t="s">
        <v>393</v>
      </c>
      <c r="E5368" s="729"/>
      <c r="F5368" s="729"/>
      <c r="G5368" s="729"/>
      <c r="H5368" s="729"/>
      <c r="I5368" s="729"/>
      <c r="J5368" s="729"/>
      <c r="K5368" s="729"/>
      <c r="L5368" s="729"/>
      <c r="M5368" s="729"/>
      <c r="N5368" s="731"/>
    </row>
    <row r="5369" spans="2:14" ht="15" customHeight="1" x14ac:dyDescent="0.25">
      <c r="B5369" s="732" t="s">
        <v>394</v>
      </c>
      <c r="C5369" s="733"/>
      <c r="D5369" s="733"/>
      <c r="E5369" s="733"/>
      <c r="F5369" s="733"/>
      <c r="G5369" s="733"/>
      <c r="H5369" s="733"/>
      <c r="I5369" s="733"/>
      <c r="J5369" s="733"/>
      <c r="K5369" s="733"/>
      <c r="L5369" s="733"/>
      <c r="M5369" s="733"/>
      <c r="N5369" s="734"/>
    </row>
    <row r="5370" spans="2:14" ht="41.45" customHeight="1" x14ac:dyDescent="0.25">
      <c r="B5370" s="735" t="s">
        <v>395</v>
      </c>
      <c r="C5370" s="736"/>
      <c r="D5370" s="737" t="str">
        <f>VLOOKUP(B5372,Buenaventura!A82:G6563,3,FALSE)</f>
        <v xml:space="preserve">Suministro e instalación de detector térmico UL/FM direccionable incluye base  </v>
      </c>
      <c r="E5370" s="738"/>
      <c r="F5370" s="738"/>
      <c r="G5370" s="738"/>
      <c r="H5370" s="738"/>
      <c r="I5370" s="738"/>
      <c r="J5370" s="738"/>
      <c r="K5370" s="738"/>
      <c r="L5370" s="738"/>
      <c r="M5370" s="738"/>
      <c r="N5370" s="739"/>
    </row>
    <row r="5371" spans="2:14" ht="26.45" customHeight="1" x14ac:dyDescent="0.25">
      <c r="B5371" s="740" t="s">
        <v>26</v>
      </c>
      <c r="C5371" s="741"/>
      <c r="D5371" s="119" t="s">
        <v>396</v>
      </c>
      <c r="E5371" s="742" t="s">
        <v>397</v>
      </c>
      <c r="F5371" s="733"/>
      <c r="G5371" s="733"/>
      <c r="H5371" s="736"/>
      <c r="I5371" s="742" t="s">
        <v>398</v>
      </c>
      <c r="J5371" s="733"/>
      <c r="K5371" s="736"/>
      <c r="L5371" s="742" t="s">
        <v>399</v>
      </c>
      <c r="M5371" s="733"/>
      <c r="N5371" s="734"/>
    </row>
    <row r="5372" spans="2:14" ht="15" customHeight="1" x14ac:dyDescent="0.25">
      <c r="B5372" s="283">
        <v>157</v>
      </c>
      <c r="C5372" s="284" t="str">
        <f>VLOOKUP(B5372,Buenaventura!A82:G6576,2,FALSE)</f>
        <v>VA-46</v>
      </c>
      <c r="D5372" s="285">
        <f>SUM(H5375:H5378)</f>
        <v>2</v>
      </c>
      <c r="E5372" s="743" t="str">
        <f>VLOOKUP(B5372,Buenaventura!A82:G6575,4,FALSE)</f>
        <v>UND</v>
      </c>
      <c r="F5372" s="743"/>
      <c r="G5372" s="743"/>
      <c r="H5372" s="743"/>
      <c r="I5372" s="744"/>
      <c r="J5372" s="745"/>
      <c r="K5372" s="741"/>
      <c r="L5372" s="744"/>
      <c r="M5372" s="745"/>
      <c r="N5372" s="752"/>
    </row>
    <row r="5373" spans="2:14" ht="15" customHeight="1" x14ac:dyDescent="0.25">
      <c r="B5373" s="755" t="s">
        <v>416</v>
      </c>
      <c r="C5373" s="733"/>
      <c r="D5373" s="733"/>
      <c r="E5373" s="733"/>
      <c r="F5373" s="733"/>
      <c r="G5373" s="733"/>
      <c r="H5373" s="736"/>
      <c r="I5373" s="746"/>
      <c r="J5373" s="747"/>
      <c r="K5373" s="748"/>
      <c r="L5373" s="746"/>
      <c r="M5373" s="747"/>
      <c r="N5373" s="753"/>
    </row>
    <row r="5374" spans="2:14" ht="15" customHeight="1" x14ac:dyDescent="0.25">
      <c r="B5374" s="121" t="s">
        <v>400</v>
      </c>
      <c r="C5374" s="122" t="s">
        <v>401</v>
      </c>
      <c r="D5374" s="123" t="s">
        <v>402</v>
      </c>
      <c r="E5374" s="123" t="s">
        <v>403</v>
      </c>
      <c r="F5374" s="123" t="s">
        <v>404</v>
      </c>
      <c r="G5374" s="123" t="s">
        <v>405</v>
      </c>
      <c r="H5374" s="123" t="s">
        <v>406</v>
      </c>
      <c r="I5374" s="746"/>
      <c r="J5374" s="747"/>
      <c r="K5374" s="748"/>
      <c r="L5374" s="746"/>
      <c r="M5374" s="747"/>
      <c r="N5374" s="753"/>
    </row>
    <row r="5375" spans="2:14" ht="15" customHeight="1" x14ac:dyDescent="0.25">
      <c r="B5375" s="124"/>
      <c r="C5375" s="145" t="s">
        <v>622</v>
      </c>
      <c r="D5375" s="125">
        <v>1</v>
      </c>
      <c r="E5375" s="125"/>
      <c r="F5375" s="125"/>
      <c r="G5375" s="125"/>
      <c r="H5375" s="125">
        <f>D5375</f>
        <v>1</v>
      </c>
      <c r="I5375" s="746"/>
      <c r="J5375" s="747"/>
      <c r="K5375" s="748"/>
      <c r="L5375" s="746"/>
      <c r="M5375" s="747"/>
      <c r="N5375" s="753"/>
    </row>
    <row r="5376" spans="2:14" ht="15" customHeight="1" x14ac:dyDescent="0.25">
      <c r="B5376" s="124"/>
      <c r="C5376" s="145" t="s">
        <v>623</v>
      </c>
      <c r="D5376" s="125">
        <v>1</v>
      </c>
      <c r="E5376" s="125"/>
      <c r="F5376" s="125"/>
      <c r="G5376" s="125"/>
      <c r="H5376" s="125">
        <f>D5376</f>
        <v>1</v>
      </c>
      <c r="I5376" s="746"/>
      <c r="J5376" s="747"/>
      <c r="K5376" s="748"/>
      <c r="L5376" s="746"/>
      <c r="M5376" s="747"/>
      <c r="N5376" s="753"/>
    </row>
    <row r="5377" spans="2:14" ht="15" customHeight="1" x14ac:dyDescent="0.25">
      <c r="B5377" s="165"/>
      <c r="C5377" s="145"/>
      <c r="D5377" s="125"/>
      <c r="E5377" s="125"/>
      <c r="F5377" s="125"/>
      <c r="G5377" s="125"/>
      <c r="H5377" s="125"/>
      <c r="I5377" s="746"/>
      <c r="J5377" s="747"/>
      <c r="K5377" s="748"/>
      <c r="L5377" s="746"/>
      <c r="M5377" s="747"/>
      <c r="N5377" s="753"/>
    </row>
    <row r="5378" spans="2:14" ht="15" customHeight="1" x14ac:dyDescent="0.25">
      <c r="B5378" s="165"/>
      <c r="C5378" s="145"/>
      <c r="D5378" s="125"/>
      <c r="E5378" s="125"/>
      <c r="F5378" s="125"/>
      <c r="G5378" s="125"/>
      <c r="H5378" s="125"/>
      <c r="I5378" s="746"/>
      <c r="J5378" s="747"/>
      <c r="K5378" s="748"/>
      <c r="L5378" s="746"/>
      <c r="M5378" s="747"/>
      <c r="N5378" s="753"/>
    </row>
    <row r="5379" spans="2:14" ht="15" customHeight="1" x14ac:dyDescent="0.25">
      <c r="B5379" s="165"/>
      <c r="C5379" s="145"/>
      <c r="D5379" s="125"/>
      <c r="E5379" s="125"/>
      <c r="F5379" s="125"/>
      <c r="G5379" s="125"/>
      <c r="H5379" s="125"/>
      <c r="I5379" s="746"/>
      <c r="J5379" s="747"/>
      <c r="K5379" s="748"/>
      <c r="L5379" s="746"/>
      <c r="M5379" s="747"/>
      <c r="N5379" s="753"/>
    </row>
    <row r="5380" spans="2:14" ht="15" customHeight="1" x14ac:dyDescent="0.25">
      <c r="B5380" s="165"/>
      <c r="C5380" s="145"/>
      <c r="D5380" s="125"/>
      <c r="E5380" s="125"/>
      <c r="F5380" s="125"/>
      <c r="G5380" s="125"/>
      <c r="H5380" s="125"/>
      <c r="I5380" s="746"/>
      <c r="J5380" s="747"/>
      <c r="K5380" s="748"/>
      <c r="L5380" s="746"/>
      <c r="M5380" s="747"/>
      <c r="N5380" s="753"/>
    </row>
    <row r="5381" spans="2:14" ht="15" customHeight="1" x14ac:dyDescent="0.25">
      <c r="B5381" s="165"/>
      <c r="C5381" s="145"/>
      <c r="D5381" s="125"/>
      <c r="E5381" s="125"/>
      <c r="F5381" s="125"/>
      <c r="G5381" s="125"/>
      <c r="H5381" s="125"/>
      <c r="I5381" s="746"/>
      <c r="J5381" s="747"/>
      <c r="K5381" s="748"/>
      <c r="L5381" s="746"/>
      <c r="M5381" s="747"/>
      <c r="N5381" s="753"/>
    </row>
    <row r="5382" spans="2:14" ht="15" customHeight="1" x14ac:dyDescent="0.25">
      <c r="B5382" s="124"/>
      <c r="C5382" s="145"/>
      <c r="D5382" s="125"/>
      <c r="E5382" s="125"/>
      <c r="F5382" s="125"/>
      <c r="G5382" s="125"/>
      <c r="H5382" s="125"/>
      <c r="I5382" s="746"/>
      <c r="J5382" s="747"/>
      <c r="K5382" s="748"/>
      <c r="L5382" s="746"/>
      <c r="M5382" s="747"/>
      <c r="N5382" s="753"/>
    </row>
    <row r="5383" spans="2:14" ht="15" customHeight="1" x14ac:dyDescent="0.25">
      <c r="B5383" s="124"/>
      <c r="C5383" s="125"/>
      <c r="D5383" s="125"/>
      <c r="E5383" s="125"/>
      <c r="F5383" s="125"/>
      <c r="G5383" s="125"/>
      <c r="H5383" s="125"/>
      <c r="I5383" s="746"/>
      <c r="J5383" s="747"/>
      <c r="K5383" s="748"/>
      <c r="L5383" s="746"/>
      <c r="M5383" s="747"/>
      <c r="N5383" s="753"/>
    </row>
    <row r="5384" spans="2:14" ht="15" customHeight="1" x14ac:dyDescent="0.25">
      <c r="B5384" s="127"/>
      <c r="C5384" s="125"/>
      <c r="D5384" s="125"/>
      <c r="E5384" s="125"/>
      <c r="F5384" s="125"/>
      <c r="G5384" s="125"/>
      <c r="H5384" s="125"/>
      <c r="I5384" s="749"/>
      <c r="J5384" s="750"/>
      <c r="K5384" s="751"/>
      <c r="L5384" s="749"/>
      <c r="M5384" s="750"/>
      <c r="N5384" s="754"/>
    </row>
    <row r="5385" spans="2:14" ht="15" customHeight="1" x14ac:dyDescent="0.25">
      <c r="B5385" s="225"/>
      <c r="C5385" s="128"/>
      <c r="D5385" s="128"/>
      <c r="E5385" s="128"/>
      <c r="F5385" s="128"/>
      <c r="G5385" s="128"/>
      <c r="H5385" s="128"/>
      <c r="I5385" s="128"/>
      <c r="J5385" s="128"/>
      <c r="K5385" s="128"/>
      <c r="L5385" s="118"/>
      <c r="M5385" s="118"/>
      <c r="N5385" s="210"/>
    </row>
    <row r="5386" spans="2:14" ht="15" customHeight="1" x14ac:dyDescent="0.25">
      <c r="B5386" s="209"/>
      <c r="C5386" s="118"/>
      <c r="D5386" s="118"/>
      <c r="E5386" s="118"/>
      <c r="F5386" s="118"/>
      <c r="G5386" s="118"/>
      <c r="H5386" s="118"/>
      <c r="I5386" s="118"/>
      <c r="J5386" s="118"/>
      <c r="K5386" s="118"/>
      <c r="L5386" s="118"/>
      <c r="M5386" s="118"/>
      <c r="N5386" s="210"/>
    </row>
    <row r="5387" spans="2:14" ht="15" customHeight="1" x14ac:dyDescent="0.25">
      <c r="B5387" s="209"/>
      <c r="C5387" s="118"/>
      <c r="D5387" s="118"/>
      <c r="E5387" s="118"/>
      <c r="F5387" s="118"/>
      <c r="G5387" s="118"/>
      <c r="H5387" s="118"/>
      <c r="I5387" s="118"/>
      <c r="J5387" s="118"/>
      <c r="K5387" s="118"/>
      <c r="L5387" s="118"/>
      <c r="M5387" s="118"/>
      <c r="N5387" s="210"/>
    </row>
    <row r="5388" spans="2:14" ht="15" customHeight="1" thickBot="1" x14ac:dyDescent="0.3">
      <c r="B5388" s="725" t="s">
        <v>414</v>
      </c>
      <c r="C5388" s="726"/>
      <c r="D5388" s="726"/>
      <c r="E5388" s="147"/>
      <c r="F5388" s="147"/>
      <c r="G5388" s="147"/>
      <c r="H5388" s="147"/>
      <c r="I5388" s="727"/>
      <c r="J5388" s="726"/>
      <c r="K5388" s="726"/>
      <c r="L5388" s="130"/>
      <c r="M5388" s="130"/>
      <c r="N5388" s="131"/>
    </row>
    <row r="5389" spans="2:14" ht="15" customHeight="1" thickBot="1" x14ac:dyDescent="0.3"/>
    <row r="5390" spans="2:14" ht="39.6" customHeight="1" x14ac:dyDescent="0.25">
      <c r="B5390" s="728"/>
      <c r="C5390" s="729"/>
      <c r="D5390" s="730" t="s">
        <v>393</v>
      </c>
      <c r="E5390" s="729"/>
      <c r="F5390" s="729"/>
      <c r="G5390" s="729"/>
      <c r="H5390" s="729"/>
      <c r="I5390" s="729"/>
      <c r="J5390" s="729"/>
      <c r="K5390" s="729"/>
      <c r="L5390" s="729"/>
      <c r="M5390" s="729"/>
      <c r="N5390" s="731"/>
    </row>
    <row r="5391" spans="2:14" ht="15" customHeight="1" x14ac:dyDescent="0.25">
      <c r="B5391" s="732" t="s">
        <v>394</v>
      </c>
      <c r="C5391" s="733"/>
      <c r="D5391" s="733"/>
      <c r="E5391" s="733"/>
      <c r="F5391" s="733"/>
      <c r="G5391" s="733"/>
      <c r="H5391" s="733"/>
      <c r="I5391" s="733"/>
      <c r="J5391" s="733"/>
      <c r="K5391" s="733"/>
      <c r="L5391" s="733"/>
      <c r="M5391" s="733"/>
      <c r="N5391" s="734"/>
    </row>
    <row r="5392" spans="2:14" ht="35.450000000000003" customHeight="1" x14ac:dyDescent="0.25">
      <c r="B5392" s="735" t="s">
        <v>395</v>
      </c>
      <c r="C5392" s="736"/>
      <c r="D5392" s="737" t="str">
        <f>VLOOKUP(B5394,Buenaventura!A104:G6585,3,FALSE)</f>
        <v>Suministro e instalación Panel de alarma de incendios  listado UL.  Hasta 1000 puntos, 4 lazos inteligentes. Incluye programación.</v>
      </c>
      <c r="E5392" s="738"/>
      <c r="F5392" s="738"/>
      <c r="G5392" s="738"/>
      <c r="H5392" s="738"/>
      <c r="I5392" s="738"/>
      <c r="J5392" s="738"/>
      <c r="K5392" s="738"/>
      <c r="L5392" s="738"/>
      <c r="M5392" s="738"/>
      <c r="N5392" s="739"/>
    </row>
    <row r="5393" spans="2:14" ht="24.6" customHeight="1" x14ac:dyDescent="0.25">
      <c r="B5393" s="740" t="s">
        <v>26</v>
      </c>
      <c r="C5393" s="741"/>
      <c r="D5393" s="119" t="s">
        <v>396</v>
      </c>
      <c r="E5393" s="742" t="s">
        <v>397</v>
      </c>
      <c r="F5393" s="733"/>
      <c r="G5393" s="733"/>
      <c r="H5393" s="736"/>
      <c r="I5393" s="742" t="s">
        <v>398</v>
      </c>
      <c r="J5393" s="733"/>
      <c r="K5393" s="736"/>
      <c r="L5393" s="742" t="s">
        <v>399</v>
      </c>
      <c r="M5393" s="733"/>
      <c r="N5393" s="734"/>
    </row>
    <row r="5394" spans="2:14" ht="15" customHeight="1" x14ac:dyDescent="0.25">
      <c r="B5394" s="283">
        <v>158</v>
      </c>
      <c r="C5394" s="284" t="str">
        <f>VLOOKUP(B5394,Buenaventura!A104:G6598,2,FALSE)</f>
        <v>VA-47</v>
      </c>
      <c r="D5394" s="285">
        <f>SUM(H5397:H5400)</f>
        <v>4</v>
      </c>
      <c r="E5394" s="743" t="str">
        <f>VLOOKUP(B5394,Buenaventura!A104:G6597,4,FALSE)</f>
        <v>UND</v>
      </c>
      <c r="F5394" s="743"/>
      <c r="G5394" s="743"/>
      <c r="H5394" s="743"/>
      <c r="I5394" s="744"/>
      <c r="J5394" s="745"/>
      <c r="K5394" s="741"/>
      <c r="L5394" s="744"/>
      <c r="M5394" s="745"/>
      <c r="N5394" s="752"/>
    </row>
    <row r="5395" spans="2:14" ht="15" customHeight="1" x14ac:dyDescent="0.25">
      <c r="B5395" s="755" t="s">
        <v>416</v>
      </c>
      <c r="C5395" s="733"/>
      <c r="D5395" s="733"/>
      <c r="E5395" s="733"/>
      <c r="F5395" s="733"/>
      <c r="G5395" s="733"/>
      <c r="H5395" s="736"/>
      <c r="I5395" s="746"/>
      <c r="J5395" s="747"/>
      <c r="K5395" s="748"/>
      <c r="L5395" s="746"/>
      <c r="M5395" s="747"/>
      <c r="N5395" s="753"/>
    </row>
    <row r="5396" spans="2:14" ht="15" customHeight="1" x14ac:dyDescent="0.25">
      <c r="B5396" s="121" t="s">
        <v>400</v>
      </c>
      <c r="C5396" s="122" t="s">
        <v>401</v>
      </c>
      <c r="D5396" s="123" t="s">
        <v>402</v>
      </c>
      <c r="E5396" s="123" t="s">
        <v>403</v>
      </c>
      <c r="F5396" s="123" t="s">
        <v>404</v>
      </c>
      <c r="G5396" s="123" t="s">
        <v>405</v>
      </c>
      <c r="H5396" s="123" t="s">
        <v>406</v>
      </c>
      <c r="I5396" s="746"/>
      <c r="J5396" s="747"/>
      <c r="K5396" s="748"/>
      <c r="L5396" s="746"/>
      <c r="M5396" s="747"/>
      <c r="N5396" s="753"/>
    </row>
    <row r="5397" spans="2:14" ht="15" customHeight="1" x14ac:dyDescent="0.25">
      <c r="B5397" s="124"/>
      <c r="C5397" s="145" t="s">
        <v>622</v>
      </c>
      <c r="D5397" s="125">
        <v>2</v>
      </c>
      <c r="E5397" s="125"/>
      <c r="F5397" s="125"/>
      <c r="G5397" s="125"/>
      <c r="H5397" s="125">
        <f>D5397</f>
        <v>2</v>
      </c>
      <c r="I5397" s="746"/>
      <c r="J5397" s="747"/>
      <c r="K5397" s="748"/>
      <c r="L5397" s="746"/>
      <c r="M5397" s="747"/>
      <c r="N5397" s="753"/>
    </row>
    <row r="5398" spans="2:14" ht="15" customHeight="1" x14ac:dyDescent="0.25">
      <c r="B5398" s="124"/>
      <c r="C5398" s="145" t="s">
        <v>621</v>
      </c>
      <c r="D5398" s="125">
        <v>2</v>
      </c>
      <c r="E5398" s="125"/>
      <c r="F5398" s="125"/>
      <c r="G5398" s="125"/>
      <c r="H5398" s="125">
        <f t="shared" ref="H5398:H5399" si="85">D5398</f>
        <v>2</v>
      </c>
      <c r="I5398" s="746"/>
      <c r="J5398" s="747"/>
      <c r="K5398" s="748"/>
      <c r="L5398" s="746"/>
      <c r="M5398" s="747"/>
      <c r="N5398" s="753"/>
    </row>
    <row r="5399" spans="2:14" ht="15" customHeight="1" x14ac:dyDescent="0.25">
      <c r="B5399" s="165"/>
      <c r="C5399" s="145"/>
      <c r="D5399" s="125"/>
      <c r="E5399" s="125"/>
      <c r="F5399" s="125"/>
      <c r="G5399" s="125"/>
      <c r="H5399" s="125">
        <f t="shared" si="85"/>
        <v>0</v>
      </c>
      <c r="I5399" s="746"/>
      <c r="J5399" s="747"/>
      <c r="K5399" s="748"/>
      <c r="L5399" s="746"/>
      <c r="M5399" s="747"/>
      <c r="N5399" s="753"/>
    </row>
    <row r="5400" spans="2:14" ht="15" customHeight="1" x14ac:dyDescent="0.25">
      <c r="B5400" s="165"/>
      <c r="C5400" s="145"/>
      <c r="D5400" s="125"/>
      <c r="E5400" s="125"/>
      <c r="F5400" s="125"/>
      <c r="G5400" s="125"/>
      <c r="H5400" s="125"/>
      <c r="I5400" s="746"/>
      <c r="J5400" s="747"/>
      <c r="K5400" s="748"/>
      <c r="L5400" s="746"/>
      <c r="M5400" s="747"/>
      <c r="N5400" s="753"/>
    </row>
    <row r="5401" spans="2:14" ht="15" customHeight="1" x14ac:dyDescent="0.25">
      <c r="B5401" s="165"/>
      <c r="C5401" s="145"/>
      <c r="D5401" s="125"/>
      <c r="E5401" s="125"/>
      <c r="F5401" s="125"/>
      <c r="G5401" s="125"/>
      <c r="H5401" s="125"/>
      <c r="I5401" s="746"/>
      <c r="J5401" s="747"/>
      <c r="K5401" s="748"/>
      <c r="L5401" s="746"/>
      <c r="M5401" s="747"/>
      <c r="N5401" s="753"/>
    </row>
    <row r="5402" spans="2:14" ht="15" customHeight="1" x14ac:dyDescent="0.25">
      <c r="B5402" s="165"/>
      <c r="C5402" s="145"/>
      <c r="D5402" s="125"/>
      <c r="E5402" s="125"/>
      <c r="F5402" s="125"/>
      <c r="G5402" s="125"/>
      <c r="H5402" s="125"/>
      <c r="I5402" s="746"/>
      <c r="J5402" s="747"/>
      <c r="K5402" s="748"/>
      <c r="L5402" s="746"/>
      <c r="M5402" s="747"/>
      <c r="N5402" s="753"/>
    </row>
    <row r="5403" spans="2:14" ht="15" customHeight="1" x14ac:dyDescent="0.25">
      <c r="B5403" s="165"/>
      <c r="C5403" s="145"/>
      <c r="D5403" s="125"/>
      <c r="E5403" s="125"/>
      <c r="F5403" s="125"/>
      <c r="G5403" s="125"/>
      <c r="H5403" s="125"/>
      <c r="I5403" s="746"/>
      <c r="J5403" s="747"/>
      <c r="K5403" s="748"/>
      <c r="L5403" s="746"/>
      <c r="M5403" s="747"/>
      <c r="N5403" s="753"/>
    </row>
    <row r="5404" spans="2:14" ht="15" customHeight="1" x14ac:dyDescent="0.25">
      <c r="B5404" s="124"/>
      <c r="C5404" s="145"/>
      <c r="D5404" s="125"/>
      <c r="E5404" s="125"/>
      <c r="F5404" s="125"/>
      <c r="G5404" s="125"/>
      <c r="H5404" s="125"/>
      <c r="I5404" s="746"/>
      <c r="J5404" s="747"/>
      <c r="K5404" s="748"/>
      <c r="L5404" s="746"/>
      <c r="M5404" s="747"/>
      <c r="N5404" s="753"/>
    </row>
    <row r="5405" spans="2:14" ht="15" customHeight="1" x14ac:dyDescent="0.25">
      <c r="B5405" s="124"/>
      <c r="C5405" s="125"/>
      <c r="D5405" s="125"/>
      <c r="E5405" s="125"/>
      <c r="F5405" s="125"/>
      <c r="G5405" s="125"/>
      <c r="H5405" s="125"/>
      <c r="I5405" s="746"/>
      <c r="J5405" s="747"/>
      <c r="K5405" s="748"/>
      <c r="L5405" s="746"/>
      <c r="M5405" s="747"/>
      <c r="N5405" s="753"/>
    </row>
    <row r="5406" spans="2:14" ht="15" customHeight="1" x14ac:dyDescent="0.25">
      <c r="B5406" s="127"/>
      <c r="C5406" s="125"/>
      <c r="D5406" s="125"/>
      <c r="E5406" s="125"/>
      <c r="F5406" s="125"/>
      <c r="G5406" s="125"/>
      <c r="H5406" s="125"/>
      <c r="I5406" s="749"/>
      <c r="J5406" s="750"/>
      <c r="K5406" s="751"/>
      <c r="L5406" s="749"/>
      <c r="M5406" s="750"/>
      <c r="N5406" s="754"/>
    </row>
    <row r="5407" spans="2:14" ht="15" customHeight="1" x14ac:dyDescent="0.25">
      <c r="B5407" s="225"/>
      <c r="C5407" s="128"/>
      <c r="D5407" s="128"/>
      <c r="E5407" s="128"/>
      <c r="F5407" s="128"/>
      <c r="G5407" s="128"/>
      <c r="H5407" s="128"/>
      <c r="I5407" s="128"/>
      <c r="J5407" s="128"/>
      <c r="K5407" s="128"/>
      <c r="L5407" s="118"/>
      <c r="M5407" s="118"/>
      <c r="N5407" s="210"/>
    </row>
    <row r="5408" spans="2:14" ht="15" customHeight="1" x14ac:dyDescent="0.25">
      <c r="B5408" s="209"/>
      <c r="C5408" s="118"/>
      <c r="D5408" s="118"/>
      <c r="E5408" s="118"/>
      <c r="F5408" s="118"/>
      <c r="G5408" s="118"/>
      <c r="H5408" s="118"/>
      <c r="I5408" s="118"/>
      <c r="J5408" s="118"/>
      <c r="K5408" s="118"/>
      <c r="L5408" s="118"/>
      <c r="M5408" s="118"/>
      <c r="N5408" s="210"/>
    </row>
    <row r="5409" spans="2:14" ht="15" customHeight="1" x14ac:dyDescent="0.25">
      <c r="B5409" s="209"/>
      <c r="C5409" s="118"/>
      <c r="D5409" s="118"/>
      <c r="E5409" s="118"/>
      <c r="F5409" s="118"/>
      <c r="G5409" s="118"/>
      <c r="H5409" s="118"/>
      <c r="I5409" s="118"/>
      <c r="J5409" s="118"/>
      <c r="K5409" s="118"/>
      <c r="L5409" s="118"/>
      <c r="M5409" s="118"/>
      <c r="N5409" s="210"/>
    </row>
    <row r="5410" spans="2:14" ht="15" customHeight="1" thickBot="1" x14ac:dyDescent="0.3">
      <c r="B5410" s="725" t="s">
        <v>414</v>
      </c>
      <c r="C5410" s="726"/>
      <c r="D5410" s="726"/>
      <c r="E5410" s="147"/>
      <c r="F5410" s="147"/>
      <c r="G5410" s="147"/>
      <c r="H5410" s="147"/>
      <c r="I5410" s="727"/>
      <c r="J5410" s="726"/>
      <c r="K5410" s="726"/>
      <c r="L5410" s="130"/>
      <c r="M5410" s="130"/>
      <c r="N5410" s="131"/>
    </row>
    <row r="5411" spans="2:14" ht="15" customHeight="1" thickBot="1" x14ac:dyDescent="0.3"/>
    <row r="5412" spans="2:14" ht="45" customHeight="1" x14ac:dyDescent="0.25">
      <c r="B5412" s="728"/>
      <c r="C5412" s="729"/>
      <c r="D5412" s="730" t="s">
        <v>393</v>
      </c>
      <c r="E5412" s="729"/>
      <c r="F5412" s="729"/>
      <c r="G5412" s="729"/>
      <c r="H5412" s="729"/>
      <c r="I5412" s="729"/>
      <c r="J5412" s="729"/>
      <c r="K5412" s="729"/>
      <c r="L5412" s="729"/>
      <c r="M5412" s="729"/>
      <c r="N5412" s="731"/>
    </row>
    <row r="5413" spans="2:14" ht="15" customHeight="1" x14ac:dyDescent="0.25">
      <c r="B5413" s="732" t="s">
        <v>394</v>
      </c>
      <c r="C5413" s="733"/>
      <c r="D5413" s="733"/>
      <c r="E5413" s="733"/>
      <c r="F5413" s="733"/>
      <c r="G5413" s="733"/>
      <c r="H5413" s="733"/>
      <c r="I5413" s="733"/>
      <c r="J5413" s="733"/>
      <c r="K5413" s="733"/>
      <c r="L5413" s="733"/>
      <c r="M5413" s="733"/>
      <c r="N5413" s="734"/>
    </row>
    <row r="5414" spans="2:14" ht="56.45" customHeight="1" x14ac:dyDescent="0.25">
      <c r="B5414" s="735" t="s">
        <v>395</v>
      </c>
      <c r="C5414" s="736"/>
      <c r="D5414" s="737" t="str">
        <f>VLOOKUP(B5416,Buenaventura!A126:G6607,3,FALSE)</f>
        <v>Suministro e instalación de estación manual tipo pulsador con carcasa resistente, incluye caja de montaje sobrepuesta, cableado, canalización, accesorios de conexión, elementos de fijación y soportes, así como su integración al sistema de alarma.</v>
      </c>
      <c r="E5414" s="738"/>
      <c r="F5414" s="738"/>
      <c r="G5414" s="738"/>
      <c r="H5414" s="738"/>
      <c r="I5414" s="738"/>
      <c r="J5414" s="738"/>
      <c r="K5414" s="738"/>
      <c r="L5414" s="738"/>
      <c r="M5414" s="738"/>
      <c r="N5414" s="739"/>
    </row>
    <row r="5415" spans="2:14" ht="29.45" customHeight="1" x14ac:dyDescent="0.25">
      <c r="B5415" s="740" t="s">
        <v>26</v>
      </c>
      <c r="C5415" s="741"/>
      <c r="D5415" s="119" t="s">
        <v>396</v>
      </c>
      <c r="E5415" s="742" t="s">
        <v>397</v>
      </c>
      <c r="F5415" s="733"/>
      <c r="G5415" s="733"/>
      <c r="H5415" s="736"/>
      <c r="I5415" s="742" t="s">
        <v>398</v>
      </c>
      <c r="J5415" s="733"/>
      <c r="K5415" s="736"/>
      <c r="L5415" s="742" t="s">
        <v>399</v>
      </c>
      <c r="M5415" s="733"/>
      <c r="N5415" s="734"/>
    </row>
    <row r="5416" spans="2:14" ht="15" customHeight="1" x14ac:dyDescent="0.25">
      <c r="B5416" s="283">
        <v>159</v>
      </c>
      <c r="C5416" s="284" t="str">
        <f>VLOOKUP(B5416,Buenaventura!A126:G6620,2,FALSE)</f>
        <v>VA-48</v>
      </c>
      <c r="D5416" s="285">
        <f>SUM(H5419:H5422)</f>
        <v>90</v>
      </c>
      <c r="E5416" s="743" t="str">
        <f>VLOOKUP(B5416,Buenaventura!A126:G6619,4,FALSE)</f>
        <v>UND</v>
      </c>
      <c r="F5416" s="743"/>
      <c r="G5416" s="743"/>
      <c r="H5416" s="743"/>
      <c r="I5416" s="744"/>
      <c r="J5416" s="745"/>
      <c r="K5416" s="741"/>
      <c r="L5416" s="744"/>
      <c r="M5416" s="745"/>
      <c r="N5416" s="752"/>
    </row>
    <row r="5417" spans="2:14" ht="15" customHeight="1" x14ac:dyDescent="0.25">
      <c r="B5417" s="755" t="s">
        <v>416</v>
      </c>
      <c r="C5417" s="733"/>
      <c r="D5417" s="733"/>
      <c r="E5417" s="733"/>
      <c r="F5417" s="733"/>
      <c r="G5417" s="733"/>
      <c r="H5417" s="736"/>
      <c r="I5417" s="746"/>
      <c r="J5417" s="747"/>
      <c r="K5417" s="748"/>
      <c r="L5417" s="746"/>
      <c r="M5417" s="747"/>
      <c r="N5417" s="753"/>
    </row>
    <row r="5418" spans="2:14" ht="15" customHeight="1" x14ac:dyDescent="0.25">
      <c r="B5418" s="121" t="s">
        <v>400</v>
      </c>
      <c r="C5418" s="122" t="s">
        <v>401</v>
      </c>
      <c r="D5418" s="123" t="s">
        <v>402</v>
      </c>
      <c r="E5418" s="123" t="s">
        <v>403</v>
      </c>
      <c r="F5418" s="123" t="s">
        <v>404</v>
      </c>
      <c r="G5418" s="123" t="s">
        <v>405</v>
      </c>
      <c r="H5418" s="123" t="s">
        <v>406</v>
      </c>
      <c r="I5418" s="746"/>
      <c r="J5418" s="747"/>
      <c r="K5418" s="748"/>
      <c r="L5418" s="746"/>
      <c r="M5418" s="747"/>
      <c r="N5418" s="753"/>
    </row>
    <row r="5419" spans="2:14" ht="15" customHeight="1" x14ac:dyDescent="0.25">
      <c r="B5419" s="124"/>
      <c r="C5419" s="145" t="s">
        <v>622</v>
      </c>
      <c r="D5419" s="125">
        <v>90</v>
      </c>
      <c r="E5419" s="125"/>
      <c r="F5419" s="125"/>
      <c r="G5419" s="125"/>
      <c r="H5419" s="125">
        <f>D5419</f>
        <v>90</v>
      </c>
      <c r="I5419" s="746"/>
      <c r="J5419" s="747"/>
      <c r="K5419" s="748"/>
      <c r="L5419" s="746"/>
      <c r="M5419" s="747"/>
      <c r="N5419" s="753"/>
    </row>
    <row r="5420" spans="2:14" ht="15" customHeight="1" x14ac:dyDescent="0.25">
      <c r="B5420" s="124"/>
      <c r="C5420" s="145"/>
      <c r="D5420" s="125"/>
      <c r="E5420" s="125"/>
      <c r="F5420" s="125"/>
      <c r="G5420" s="125"/>
      <c r="H5420" s="125"/>
      <c r="I5420" s="746"/>
      <c r="J5420" s="747"/>
      <c r="K5420" s="748"/>
      <c r="L5420" s="746"/>
      <c r="M5420" s="747"/>
      <c r="N5420" s="753"/>
    </row>
    <row r="5421" spans="2:14" ht="15" customHeight="1" x14ac:dyDescent="0.25">
      <c r="B5421" s="165"/>
      <c r="C5421" s="145"/>
      <c r="D5421" s="125"/>
      <c r="E5421" s="125"/>
      <c r="F5421" s="125"/>
      <c r="G5421" s="125"/>
      <c r="H5421" s="125"/>
      <c r="I5421" s="746"/>
      <c r="J5421" s="747"/>
      <c r="K5421" s="748"/>
      <c r="L5421" s="746"/>
      <c r="M5421" s="747"/>
      <c r="N5421" s="753"/>
    </row>
    <row r="5422" spans="2:14" ht="15" customHeight="1" x14ac:dyDescent="0.25">
      <c r="B5422" s="165"/>
      <c r="C5422" s="145"/>
      <c r="D5422" s="125"/>
      <c r="E5422" s="125"/>
      <c r="F5422" s="125"/>
      <c r="G5422" s="125"/>
      <c r="H5422" s="125"/>
      <c r="I5422" s="746"/>
      <c r="J5422" s="747"/>
      <c r="K5422" s="748"/>
      <c r="L5422" s="746"/>
      <c r="M5422" s="747"/>
      <c r="N5422" s="753"/>
    </row>
    <row r="5423" spans="2:14" ht="15" customHeight="1" x14ac:dyDescent="0.25">
      <c r="B5423" s="165"/>
      <c r="C5423" s="145"/>
      <c r="D5423" s="125"/>
      <c r="E5423" s="125"/>
      <c r="F5423" s="125"/>
      <c r="G5423" s="125"/>
      <c r="H5423" s="125"/>
      <c r="I5423" s="746"/>
      <c r="J5423" s="747"/>
      <c r="K5423" s="748"/>
      <c r="L5423" s="746"/>
      <c r="M5423" s="747"/>
      <c r="N5423" s="753"/>
    </row>
    <row r="5424" spans="2:14" ht="15" customHeight="1" x14ac:dyDescent="0.25">
      <c r="B5424" s="165"/>
      <c r="C5424" s="145"/>
      <c r="D5424" s="125"/>
      <c r="E5424" s="125"/>
      <c r="F5424" s="125"/>
      <c r="G5424" s="125"/>
      <c r="H5424" s="125"/>
      <c r="I5424" s="746"/>
      <c r="J5424" s="747"/>
      <c r="K5424" s="748"/>
      <c r="L5424" s="746"/>
      <c r="M5424" s="747"/>
      <c r="N5424" s="753"/>
    </row>
    <row r="5425" spans="2:14" ht="15" customHeight="1" x14ac:dyDescent="0.25">
      <c r="B5425" s="165"/>
      <c r="C5425" s="145"/>
      <c r="D5425" s="125"/>
      <c r="E5425" s="125"/>
      <c r="F5425" s="125"/>
      <c r="G5425" s="125"/>
      <c r="H5425" s="125"/>
      <c r="I5425" s="746"/>
      <c r="J5425" s="747"/>
      <c r="K5425" s="748"/>
      <c r="L5425" s="746"/>
      <c r="M5425" s="747"/>
      <c r="N5425" s="753"/>
    </row>
    <row r="5426" spans="2:14" ht="15" customHeight="1" x14ac:dyDescent="0.25">
      <c r="B5426" s="124"/>
      <c r="C5426" s="145"/>
      <c r="D5426" s="125"/>
      <c r="E5426" s="125"/>
      <c r="F5426" s="125"/>
      <c r="G5426" s="125"/>
      <c r="H5426" s="125"/>
      <c r="I5426" s="746"/>
      <c r="J5426" s="747"/>
      <c r="K5426" s="748"/>
      <c r="L5426" s="746"/>
      <c r="M5426" s="747"/>
      <c r="N5426" s="753"/>
    </row>
    <row r="5427" spans="2:14" ht="15" customHeight="1" x14ac:dyDescent="0.25">
      <c r="B5427" s="124"/>
      <c r="C5427" s="125"/>
      <c r="D5427" s="125"/>
      <c r="E5427" s="125"/>
      <c r="F5427" s="125"/>
      <c r="G5427" s="125"/>
      <c r="H5427" s="125"/>
      <c r="I5427" s="746"/>
      <c r="J5427" s="747"/>
      <c r="K5427" s="748"/>
      <c r="L5427" s="746"/>
      <c r="M5427" s="747"/>
      <c r="N5427" s="753"/>
    </row>
    <row r="5428" spans="2:14" ht="15" customHeight="1" x14ac:dyDescent="0.25">
      <c r="B5428" s="127"/>
      <c r="C5428" s="125"/>
      <c r="D5428" s="125"/>
      <c r="E5428" s="125"/>
      <c r="F5428" s="125"/>
      <c r="G5428" s="125"/>
      <c r="H5428" s="125"/>
      <c r="I5428" s="749"/>
      <c r="J5428" s="750"/>
      <c r="K5428" s="751"/>
      <c r="L5428" s="749"/>
      <c r="M5428" s="750"/>
      <c r="N5428" s="754"/>
    </row>
    <row r="5429" spans="2:14" ht="15" customHeight="1" x14ac:dyDescent="0.25">
      <c r="B5429" s="225"/>
      <c r="C5429" s="128"/>
      <c r="D5429" s="128"/>
      <c r="E5429" s="128"/>
      <c r="F5429" s="128"/>
      <c r="G5429" s="128"/>
      <c r="H5429" s="128"/>
      <c r="I5429" s="128"/>
      <c r="J5429" s="128"/>
      <c r="K5429" s="128"/>
      <c r="L5429" s="118"/>
      <c r="M5429" s="118"/>
      <c r="N5429" s="210"/>
    </row>
    <row r="5430" spans="2:14" ht="15" customHeight="1" x14ac:dyDescent="0.25">
      <c r="B5430" s="209"/>
      <c r="C5430" s="118"/>
      <c r="D5430" s="118"/>
      <c r="E5430" s="118"/>
      <c r="F5430" s="118"/>
      <c r="G5430" s="118"/>
      <c r="H5430" s="118"/>
      <c r="I5430" s="118"/>
      <c r="J5430" s="118"/>
      <c r="K5430" s="118"/>
      <c r="L5430" s="118"/>
      <c r="M5430" s="118"/>
      <c r="N5430" s="210"/>
    </row>
    <row r="5431" spans="2:14" ht="15" customHeight="1" x14ac:dyDescent="0.25">
      <c r="B5431" s="209"/>
      <c r="C5431" s="118"/>
      <c r="D5431" s="118"/>
      <c r="E5431" s="118"/>
      <c r="F5431" s="118"/>
      <c r="G5431" s="118"/>
      <c r="H5431" s="118"/>
      <c r="I5431" s="118"/>
      <c r="J5431" s="118"/>
      <c r="K5431" s="118"/>
      <c r="L5431" s="118"/>
      <c r="M5431" s="118"/>
      <c r="N5431" s="210"/>
    </row>
    <row r="5432" spans="2:14" ht="15" customHeight="1" thickBot="1" x14ac:dyDescent="0.3">
      <c r="B5432" s="725" t="s">
        <v>414</v>
      </c>
      <c r="C5432" s="726"/>
      <c r="D5432" s="726"/>
      <c r="E5432" s="147"/>
      <c r="F5432" s="147"/>
      <c r="G5432" s="147"/>
      <c r="H5432" s="147"/>
      <c r="I5432" s="727"/>
      <c r="J5432" s="726"/>
      <c r="K5432" s="726"/>
      <c r="L5432" s="130"/>
      <c r="M5432" s="130"/>
      <c r="N5432" s="131"/>
    </row>
    <row r="5433" spans="2:14" ht="15" customHeight="1" thickBot="1" x14ac:dyDescent="0.3"/>
    <row r="5434" spans="2:14" ht="45.6" customHeight="1" x14ac:dyDescent="0.25">
      <c r="B5434" s="728"/>
      <c r="C5434" s="729"/>
      <c r="D5434" s="730" t="s">
        <v>393</v>
      </c>
      <c r="E5434" s="729"/>
      <c r="F5434" s="729"/>
      <c r="G5434" s="729"/>
      <c r="H5434" s="729"/>
      <c r="I5434" s="729"/>
      <c r="J5434" s="729"/>
      <c r="K5434" s="729"/>
      <c r="L5434" s="729"/>
      <c r="M5434" s="729"/>
      <c r="N5434" s="731"/>
    </row>
    <row r="5435" spans="2:14" ht="15" customHeight="1" x14ac:dyDescent="0.25">
      <c r="B5435" s="732" t="s">
        <v>394</v>
      </c>
      <c r="C5435" s="733"/>
      <c r="D5435" s="733"/>
      <c r="E5435" s="733"/>
      <c r="F5435" s="733"/>
      <c r="G5435" s="733"/>
      <c r="H5435" s="733"/>
      <c r="I5435" s="733"/>
      <c r="J5435" s="733"/>
      <c r="K5435" s="733"/>
      <c r="L5435" s="733"/>
      <c r="M5435" s="733"/>
      <c r="N5435" s="734"/>
    </row>
    <row r="5436" spans="2:14" ht="63" customHeight="1" x14ac:dyDescent="0.25">
      <c r="B5436" s="735" t="s">
        <v>395</v>
      </c>
      <c r="C5436" s="736"/>
      <c r="D5436" s="737" t="str">
        <f>VLOOKUP(B5438,Buenaventura!A148:G6629,3,FALSE)</f>
        <v>Suministro e instalación de sirena estroboscópica (sirena con luz tipo strobe), incluye base de montaje, cableado, canalización, accesorios de conexión, elementos de fijación y soportes, así como su integración al sistema de alarma.</v>
      </c>
      <c r="E5436" s="738"/>
      <c r="F5436" s="738"/>
      <c r="G5436" s="738"/>
      <c r="H5436" s="738"/>
      <c r="I5436" s="738"/>
      <c r="J5436" s="738"/>
      <c r="K5436" s="738"/>
      <c r="L5436" s="738"/>
      <c r="M5436" s="738"/>
      <c r="N5436" s="739"/>
    </row>
    <row r="5437" spans="2:14" ht="32.450000000000003" customHeight="1" x14ac:dyDescent="0.25">
      <c r="B5437" s="740" t="s">
        <v>26</v>
      </c>
      <c r="C5437" s="741"/>
      <c r="D5437" s="119" t="s">
        <v>396</v>
      </c>
      <c r="E5437" s="742" t="s">
        <v>397</v>
      </c>
      <c r="F5437" s="733"/>
      <c r="G5437" s="733"/>
      <c r="H5437" s="736"/>
      <c r="I5437" s="742" t="s">
        <v>398</v>
      </c>
      <c r="J5437" s="733"/>
      <c r="K5437" s="736"/>
      <c r="L5437" s="742" t="s">
        <v>399</v>
      </c>
      <c r="M5437" s="733"/>
      <c r="N5437" s="734"/>
    </row>
    <row r="5438" spans="2:14" ht="15" customHeight="1" x14ac:dyDescent="0.25">
      <c r="B5438" s="283">
        <v>160</v>
      </c>
      <c r="C5438" s="284" t="str">
        <f>VLOOKUP(B5438,Buenaventura!A148:G6642,2,FALSE)</f>
        <v>VA-49</v>
      </c>
      <c r="D5438" s="285">
        <f>SUM(H5441:H5444)</f>
        <v>90</v>
      </c>
      <c r="E5438" s="743" t="str">
        <f>VLOOKUP(B5438,Buenaventura!A148:G6641,4,FALSE)</f>
        <v>UND</v>
      </c>
      <c r="F5438" s="743"/>
      <c r="G5438" s="743"/>
      <c r="H5438" s="743"/>
      <c r="I5438" s="744"/>
      <c r="J5438" s="745"/>
      <c r="K5438" s="741"/>
      <c r="L5438" s="744"/>
      <c r="M5438" s="745"/>
      <c r="N5438" s="752"/>
    </row>
    <row r="5439" spans="2:14" ht="15" customHeight="1" x14ac:dyDescent="0.25">
      <c r="B5439" s="755" t="s">
        <v>416</v>
      </c>
      <c r="C5439" s="733"/>
      <c r="D5439" s="733"/>
      <c r="E5439" s="733"/>
      <c r="F5439" s="733"/>
      <c r="G5439" s="733"/>
      <c r="H5439" s="736"/>
      <c r="I5439" s="746"/>
      <c r="J5439" s="747"/>
      <c r="K5439" s="748"/>
      <c r="L5439" s="746"/>
      <c r="M5439" s="747"/>
      <c r="N5439" s="753"/>
    </row>
    <row r="5440" spans="2:14" ht="15" customHeight="1" x14ac:dyDescent="0.25">
      <c r="B5440" s="121" t="s">
        <v>400</v>
      </c>
      <c r="C5440" s="122" t="s">
        <v>401</v>
      </c>
      <c r="D5440" s="123" t="s">
        <v>402</v>
      </c>
      <c r="E5440" s="123" t="s">
        <v>403</v>
      </c>
      <c r="F5440" s="123" t="s">
        <v>404</v>
      </c>
      <c r="G5440" s="123" t="s">
        <v>405</v>
      </c>
      <c r="H5440" s="123" t="s">
        <v>406</v>
      </c>
      <c r="I5440" s="746"/>
      <c r="J5440" s="747"/>
      <c r="K5440" s="748"/>
      <c r="L5440" s="746"/>
      <c r="M5440" s="747"/>
      <c r="N5440" s="753"/>
    </row>
    <row r="5441" spans="2:14" ht="15" customHeight="1" x14ac:dyDescent="0.25">
      <c r="B5441" s="124"/>
      <c r="C5441" s="145" t="s">
        <v>622</v>
      </c>
      <c r="D5441" s="125">
        <v>90</v>
      </c>
      <c r="E5441" s="125"/>
      <c r="F5441" s="125"/>
      <c r="G5441" s="125"/>
      <c r="H5441" s="125">
        <f>D5441</f>
        <v>90</v>
      </c>
      <c r="I5441" s="746"/>
      <c r="J5441" s="747"/>
      <c r="K5441" s="748"/>
      <c r="L5441" s="746"/>
      <c r="M5441" s="747"/>
      <c r="N5441" s="753"/>
    </row>
    <row r="5442" spans="2:14" ht="15" customHeight="1" x14ac:dyDescent="0.25">
      <c r="B5442" s="124"/>
      <c r="C5442" s="145"/>
      <c r="D5442" s="125"/>
      <c r="E5442" s="125"/>
      <c r="F5442" s="125"/>
      <c r="G5442" s="125"/>
      <c r="H5442" s="125"/>
      <c r="I5442" s="746"/>
      <c r="J5442" s="747"/>
      <c r="K5442" s="748"/>
      <c r="L5442" s="746"/>
      <c r="M5442" s="747"/>
      <c r="N5442" s="753"/>
    </row>
    <row r="5443" spans="2:14" ht="15" customHeight="1" x14ac:dyDescent="0.25">
      <c r="B5443" s="165"/>
      <c r="C5443" s="145"/>
      <c r="D5443" s="125"/>
      <c r="E5443" s="125"/>
      <c r="F5443" s="125"/>
      <c r="G5443" s="125"/>
      <c r="H5443" s="125"/>
      <c r="I5443" s="746"/>
      <c r="J5443" s="747"/>
      <c r="K5443" s="748"/>
      <c r="L5443" s="746"/>
      <c r="M5443" s="747"/>
      <c r="N5443" s="753"/>
    </row>
    <row r="5444" spans="2:14" ht="15" customHeight="1" x14ac:dyDescent="0.25">
      <c r="B5444" s="165"/>
      <c r="C5444" s="145"/>
      <c r="D5444" s="125"/>
      <c r="E5444" s="125"/>
      <c r="F5444" s="125"/>
      <c r="G5444" s="125"/>
      <c r="H5444" s="125"/>
      <c r="I5444" s="746"/>
      <c r="J5444" s="747"/>
      <c r="K5444" s="748"/>
      <c r="L5444" s="746"/>
      <c r="M5444" s="747"/>
      <c r="N5444" s="753"/>
    </row>
    <row r="5445" spans="2:14" ht="15" customHeight="1" x14ac:dyDescent="0.25">
      <c r="B5445" s="165"/>
      <c r="C5445" s="145"/>
      <c r="D5445" s="125"/>
      <c r="E5445" s="125"/>
      <c r="F5445" s="125"/>
      <c r="G5445" s="125"/>
      <c r="H5445" s="125"/>
      <c r="I5445" s="746"/>
      <c r="J5445" s="747"/>
      <c r="K5445" s="748"/>
      <c r="L5445" s="746"/>
      <c r="M5445" s="747"/>
      <c r="N5445" s="753"/>
    </row>
    <row r="5446" spans="2:14" ht="15" customHeight="1" x14ac:dyDescent="0.25">
      <c r="B5446" s="165"/>
      <c r="C5446" s="145"/>
      <c r="D5446" s="125"/>
      <c r="E5446" s="125"/>
      <c r="F5446" s="125"/>
      <c r="G5446" s="125"/>
      <c r="H5446" s="125"/>
      <c r="I5446" s="746"/>
      <c r="J5446" s="747"/>
      <c r="K5446" s="748"/>
      <c r="L5446" s="746"/>
      <c r="M5446" s="747"/>
      <c r="N5446" s="753"/>
    </row>
    <row r="5447" spans="2:14" ht="15" customHeight="1" x14ac:dyDescent="0.25">
      <c r="B5447" s="165"/>
      <c r="C5447" s="145"/>
      <c r="D5447" s="125"/>
      <c r="E5447" s="125"/>
      <c r="F5447" s="125"/>
      <c r="G5447" s="125"/>
      <c r="H5447" s="125"/>
      <c r="I5447" s="746"/>
      <c r="J5447" s="747"/>
      <c r="K5447" s="748"/>
      <c r="L5447" s="746"/>
      <c r="M5447" s="747"/>
      <c r="N5447" s="753"/>
    </row>
    <row r="5448" spans="2:14" ht="15" customHeight="1" x14ac:dyDescent="0.25">
      <c r="B5448" s="124"/>
      <c r="C5448" s="145"/>
      <c r="D5448" s="125"/>
      <c r="E5448" s="125"/>
      <c r="F5448" s="125"/>
      <c r="G5448" s="125"/>
      <c r="H5448" s="125"/>
      <c r="I5448" s="746"/>
      <c r="J5448" s="747"/>
      <c r="K5448" s="748"/>
      <c r="L5448" s="746"/>
      <c r="M5448" s="747"/>
      <c r="N5448" s="753"/>
    </row>
    <row r="5449" spans="2:14" ht="15" customHeight="1" x14ac:dyDescent="0.25">
      <c r="B5449" s="124"/>
      <c r="C5449" s="125"/>
      <c r="D5449" s="125"/>
      <c r="E5449" s="125"/>
      <c r="F5449" s="125"/>
      <c r="G5449" s="125"/>
      <c r="H5449" s="125"/>
      <c r="I5449" s="746"/>
      <c r="J5449" s="747"/>
      <c r="K5449" s="748"/>
      <c r="L5449" s="746"/>
      <c r="M5449" s="747"/>
      <c r="N5449" s="753"/>
    </row>
    <row r="5450" spans="2:14" ht="15" customHeight="1" x14ac:dyDescent="0.25">
      <c r="B5450" s="127"/>
      <c r="C5450" s="125"/>
      <c r="D5450" s="125"/>
      <c r="E5450" s="125"/>
      <c r="F5450" s="125"/>
      <c r="G5450" s="125"/>
      <c r="H5450" s="125"/>
      <c r="I5450" s="749"/>
      <c r="J5450" s="750"/>
      <c r="K5450" s="751"/>
      <c r="L5450" s="749"/>
      <c r="M5450" s="750"/>
      <c r="N5450" s="754"/>
    </row>
    <row r="5451" spans="2:14" ht="15" customHeight="1" x14ac:dyDescent="0.25">
      <c r="B5451" s="225"/>
      <c r="C5451" s="128"/>
      <c r="D5451" s="128"/>
      <c r="E5451" s="128"/>
      <c r="F5451" s="128"/>
      <c r="G5451" s="128"/>
      <c r="H5451" s="128"/>
      <c r="I5451" s="128"/>
      <c r="J5451" s="128"/>
      <c r="K5451" s="128"/>
      <c r="L5451" s="118"/>
      <c r="M5451" s="118"/>
      <c r="N5451" s="210"/>
    </row>
    <row r="5452" spans="2:14" ht="15" customHeight="1" x14ac:dyDescent="0.25">
      <c r="B5452" s="209"/>
      <c r="C5452" s="118"/>
      <c r="D5452" s="118"/>
      <c r="E5452" s="118"/>
      <c r="F5452" s="118"/>
      <c r="G5452" s="118"/>
      <c r="H5452" s="118"/>
      <c r="I5452" s="118"/>
      <c r="J5452" s="118"/>
      <c r="K5452" s="118"/>
      <c r="L5452" s="118"/>
      <c r="M5452" s="118"/>
      <c r="N5452" s="210"/>
    </row>
    <row r="5453" spans="2:14" ht="15" customHeight="1" x14ac:dyDescent="0.25">
      <c r="B5453" s="209"/>
      <c r="C5453" s="118"/>
      <c r="D5453" s="118"/>
      <c r="E5453" s="118"/>
      <c r="F5453" s="118"/>
      <c r="G5453" s="118"/>
      <c r="H5453" s="118"/>
      <c r="I5453" s="118"/>
      <c r="J5453" s="118"/>
      <c r="K5453" s="118"/>
      <c r="L5453" s="118"/>
      <c r="M5453" s="118"/>
      <c r="N5453" s="210"/>
    </row>
    <row r="5454" spans="2:14" ht="15" customHeight="1" thickBot="1" x14ac:dyDescent="0.3">
      <c r="B5454" s="725" t="s">
        <v>414</v>
      </c>
      <c r="C5454" s="726"/>
      <c r="D5454" s="726"/>
      <c r="E5454" s="147"/>
      <c r="F5454" s="147"/>
      <c r="G5454" s="147"/>
      <c r="H5454" s="147"/>
      <c r="I5454" s="727"/>
      <c r="J5454" s="726"/>
      <c r="K5454" s="726"/>
      <c r="L5454" s="130"/>
      <c r="M5454" s="130"/>
      <c r="N5454" s="131"/>
    </row>
    <row r="5455" spans="2:14" ht="15" customHeight="1" thickBot="1" x14ac:dyDescent="0.3"/>
    <row r="5456" spans="2:14" ht="49.9" customHeight="1" x14ac:dyDescent="0.25">
      <c r="B5456" s="728"/>
      <c r="C5456" s="729"/>
      <c r="D5456" s="730" t="s">
        <v>393</v>
      </c>
      <c r="E5456" s="729"/>
      <c r="F5456" s="729"/>
      <c r="G5456" s="729"/>
      <c r="H5456" s="729"/>
      <c r="I5456" s="729"/>
      <c r="J5456" s="729"/>
      <c r="K5456" s="729"/>
      <c r="L5456" s="729"/>
      <c r="M5456" s="729"/>
      <c r="N5456" s="731"/>
    </row>
    <row r="5457" spans="2:14" ht="15" customHeight="1" x14ac:dyDescent="0.25">
      <c r="B5457" s="732" t="s">
        <v>394</v>
      </c>
      <c r="C5457" s="733"/>
      <c r="D5457" s="733"/>
      <c r="E5457" s="733"/>
      <c r="F5457" s="733"/>
      <c r="G5457" s="733"/>
      <c r="H5457" s="733"/>
      <c r="I5457" s="733"/>
      <c r="J5457" s="733"/>
      <c r="K5457" s="733"/>
      <c r="L5457" s="733"/>
      <c r="M5457" s="733"/>
      <c r="N5457" s="734"/>
    </row>
    <row r="5458" spans="2:14" ht="25.15" customHeight="1" x14ac:dyDescent="0.25">
      <c r="B5458" s="735" t="s">
        <v>395</v>
      </c>
      <c r="C5458" s="736"/>
      <c r="D5458" s="737" t="str">
        <f>VLOOKUP(B5460,Buenaventura!A170:G6651,3,FALSE)</f>
        <v>Suministro e instalación de cable de señal, para sistemas de control, monitoreo y/o detección cable deberá ser retardante a la llama y/o libre de halógenos (LSZH) La instalación deberá garantizar continuidad, correcta polaridad, aislamiento, protección mecánica y orden del sistema, evitando interferencias electromagnéticas y daños al cable.</v>
      </c>
      <c r="E5458" s="738"/>
      <c r="F5458" s="738"/>
      <c r="G5458" s="738"/>
      <c r="H5458" s="738"/>
      <c r="I5458" s="738"/>
      <c r="J5458" s="738"/>
      <c r="K5458" s="738"/>
      <c r="L5458" s="738"/>
      <c r="M5458" s="738"/>
      <c r="N5458" s="739"/>
    </row>
    <row r="5459" spans="2:14" ht="25.9" customHeight="1" x14ac:dyDescent="0.25">
      <c r="B5459" s="740" t="s">
        <v>26</v>
      </c>
      <c r="C5459" s="741"/>
      <c r="D5459" s="119" t="s">
        <v>396</v>
      </c>
      <c r="E5459" s="742" t="s">
        <v>397</v>
      </c>
      <c r="F5459" s="733"/>
      <c r="G5459" s="733"/>
      <c r="H5459" s="736"/>
      <c r="I5459" s="742" t="s">
        <v>398</v>
      </c>
      <c r="J5459" s="733"/>
      <c r="K5459" s="736"/>
      <c r="L5459" s="742" t="s">
        <v>399</v>
      </c>
      <c r="M5459" s="733"/>
      <c r="N5459" s="734"/>
    </row>
    <row r="5460" spans="2:14" ht="15" customHeight="1" x14ac:dyDescent="0.25">
      <c r="B5460" s="283">
        <v>161</v>
      </c>
      <c r="C5460" s="284" t="str">
        <f>VLOOKUP(B5460,Buenaventura!A170:G6664,2,FALSE)</f>
        <v>VA-50</v>
      </c>
      <c r="D5460" s="285">
        <f>SUM(H5463:H5466)</f>
        <v>3</v>
      </c>
      <c r="E5460" s="743" t="str">
        <f>VLOOKUP(B5460,Buenaventura!A170:G6663,4,FALSE)</f>
        <v>ML</v>
      </c>
      <c r="F5460" s="743"/>
      <c r="G5460" s="743"/>
      <c r="H5460" s="743"/>
      <c r="I5460" s="744"/>
      <c r="J5460" s="745"/>
      <c r="K5460" s="741"/>
      <c r="L5460" s="744"/>
      <c r="M5460" s="745"/>
      <c r="N5460" s="752"/>
    </row>
    <row r="5461" spans="2:14" ht="15" customHeight="1" x14ac:dyDescent="0.25">
      <c r="B5461" s="755" t="s">
        <v>416</v>
      </c>
      <c r="C5461" s="733"/>
      <c r="D5461" s="733"/>
      <c r="E5461" s="733"/>
      <c r="F5461" s="733"/>
      <c r="G5461" s="733"/>
      <c r="H5461" s="736"/>
      <c r="I5461" s="746"/>
      <c r="J5461" s="747"/>
      <c r="K5461" s="748"/>
      <c r="L5461" s="746"/>
      <c r="M5461" s="747"/>
      <c r="N5461" s="753"/>
    </row>
    <row r="5462" spans="2:14" ht="15" customHeight="1" x14ac:dyDescent="0.25">
      <c r="B5462" s="121" t="s">
        <v>400</v>
      </c>
      <c r="C5462" s="122" t="s">
        <v>401</v>
      </c>
      <c r="D5462" s="123" t="s">
        <v>402</v>
      </c>
      <c r="E5462" s="123" t="s">
        <v>403</v>
      </c>
      <c r="F5462" s="123" t="s">
        <v>404</v>
      </c>
      <c r="G5462" s="123" t="s">
        <v>405</v>
      </c>
      <c r="H5462" s="123" t="s">
        <v>406</v>
      </c>
      <c r="I5462" s="746"/>
      <c r="J5462" s="747"/>
      <c r="K5462" s="748"/>
      <c r="L5462" s="746"/>
      <c r="M5462" s="747"/>
      <c r="N5462" s="753"/>
    </row>
    <row r="5463" spans="2:14" ht="15" customHeight="1" x14ac:dyDescent="0.25">
      <c r="B5463" s="124"/>
      <c r="C5463" s="145" t="s">
        <v>622</v>
      </c>
      <c r="D5463" s="125">
        <v>2</v>
      </c>
      <c r="E5463" s="125"/>
      <c r="F5463" s="125"/>
      <c r="G5463" s="125"/>
      <c r="H5463" s="125">
        <f>D5463</f>
        <v>2</v>
      </c>
      <c r="I5463" s="746"/>
      <c r="J5463" s="747"/>
      <c r="K5463" s="748"/>
      <c r="L5463" s="746"/>
      <c r="M5463" s="747"/>
      <c r="N5463" s="753"/>
    </row>
    <row r="5464" spans="2:14" ht="15" customHeight="1" x14ac:dyDescent="0.25">
      <c r="B5464" s="124"/>
      <c r="C5464" s="145" t="s">
        <v>621</v>
      </c>
      <c r="D5464" s="125">
        <v>1</v>
      </c>
      <c r="E5464" s="125"/>
      <c r="F5464" s="125"/>
      <c r="G5464" s="125"/>
      <c r="H5464" s="125">
        <f>D5464</f>
        <v>1</v>
      </c>
      <c r="I5464" s="746"/>
      <c r="J5464" s="747"/>
      <c r="K5464" s="748"/>
      <c r="L5464" s="746"/>
      <c r="M5464" s="747"/>
      <c r="N5464" s="753"/>
    </row>
    <row r="5465" spans="2:14" ht="15" customHeight="1" x14ac:dyDescent="0.25">
      <c r="B5465" s="165"/>
      <c r="C5465" s="145"/>
      <c r="D5465" s="125"/>
      <c r="E5465" s="125"/>
      <c r="F5465" s="125"/>
      <c r="G5465" s="125"/>
      <c r="H5465" s="125"/>
      <c r="I5465" s="746"/>
      <c r="J5465" s="747"/>
      <c r="K5465" s="748"/>
      <c r="L5465" s="746"/>
      <c r="M5465" s="747"/>
      <c r="N5465" s="753"/>
    </row>
    <row r="5466" spans="2:14" ht="15" customHeight="1" x14ac:dyDescent="0.25">
      <c r="B5466" s="165"/>
      <c r="C5466" s="145"/>
      <c r="D5466" s="125"/>
      <c r="E5466" s="125"/>
      <c r="F5466" s="125"/>
      <c r="G5466" s="125"/>
      <c r="H5466" s="125"/>
      <c r="I5466" s="746"/>
      <c r="J5466" s="747"/>
      <c r="K5466" s="748"/>
      <c r="L5466" s="746"/>
      <c r="M5466" s="747"/>
      <c r="N5466" s="753"/>
    </row>
    <row r="5467" spans="2:14" ht="15" customHeight="1" x14ac:dyDescent="0.25">
      <c r="B5467" s="165"/>
      <c r="C5467" s="145"/>
      <c r="D5467" s="125"/>
      <c r="E5467" s="125"/>
      <c r="F5467" s="125"/>
      <c r="G5467" s="125"/>
      <c r="H5467" s="125"/>
      <c r="I5467" s="746"/>
      <c r="J5467" s="747"/>
      <c r="K5467" s="748"/>
      <c r="L5467" s="746"/>
      <c r="M5467" s="747"/>
      <c r="N5467" s="753"/>
    </row>
    <row r="5468" spans="2:14" ht="15" customHeight="1" x14ac:dyDescent="0.25">
      <c r="B5468" s="165"/>
      <c r="C5468" s="145"/>
      <c r="D5468" s="125"/>
      <c r="E5468" s="125"/>
      <c r="F5468" s="125"/>
      <c r="G5468" s="125"/>
      <c r="H5468" s="125"/>
      <c r="I5468" s="746"/>
      <c r="J5468" s="747"/>
      <c r="K5468" s="748"/>
      <c r="L5468" s="746"/>
      <c r="M5468" s="747"/>
      <c r="N5468" s="753"/>
    </row>
    <row r="5469" spans="2:14" ht="15" customHeight="1" x14ac:dyDescent="0.25">
      <c r="B5469" s="165"/>
      <c r="C5469" s="145"/>
      <c r="D5469" s="125"/>
      <c r="E5469" s="125"/>
      <c r="F5469" s="125"/>
      <c r="G5469" s="125"/>
      <c r="H5469" s="125"/>
      <c r="I5469" s="746"/>
      <c r="J5469" s="747"/>
      <c r="K5469" s="748"/>
      <c r="L5469" s="746"/>
      <c r="M5469" s="747"/>
      <c r="N5469" s="753"/>
    </row>
    <row r="5470" spans="2:14" ht="15" customHeight="1" x14ac:dyDescent="0.25">
      <c r="B5470" s="124"/>
      <c r="C5470" s="145"/>
      <c r="D5470" s="125"/>
      <c r="E5470" s="125"/>
      <c r="F5470" s="125"/>
      <c r="G5470" s="125"/>
      <c r="H5470" s="125"/>
      <c r="I5470" s="746"/>
      <c r="J5470" s="747"/>
      <c r="K5470" s="748"/>
      <c r="L5470" s="746"/>
      <c r="M5470" s="747"/>
      <c r="N5470" s="753"/>
    </row>
    <row r="5471" spans="2:14" ht="15" customHeight="1" x14ac:dyDescent="0.25">
      <c r="B5471" s="124"/>
      <c r="C5471" s="125"/>
      <c r="D5471" s="125"/>
      <c r="E5471" s="125"/>
      <c r="F5471" s="125"/>
      <c r="G5471" s="125"/>
      <c r="H5471" s="125"/>
      <c r="I5471" s="746"/>
      <c r="J5471" s="747"/>
      <c r="K5471" s="748"/>
      <c r="L5471" s="746"/>
      <c r="M5471" s="747"/>
      <c r="N5471" s="753"/>
    </row>
    <row r="5472" spans="2:14" ht="15" customHeight="1" x14ac:dyDescent="0.25">
      <c r="B5472" s="127"/>
      <c r="C5472" s="125"/>
      <c r="D5472" s="125"/>
      <c r="E5472" s="125"/>
      <c r="F5472" s="125"/>
      <c r="G5472" s="125"/>
      <c r="H5472" s="125"/>
      <c r="I5472" s="749"/>
      <c r="J5472" s="750"/>
      <c r="K5472" s="751"/>
      <c r="L5472" s="749"/>
      <c r="M5472" s="750"/>
      <c r="N5472" s="754"/>
    </row>
    <row r="5473" spans="2:14" ht="15" customHeight="1" x14ac:dyDescent="0.25">
      <c r="B5473" s="225"/>
      <c r="C5473" s="128"/>
      <c r="D5473" s="128"/>
      <c r="E5473" s="128"/>
      <c r="F5473" s="128"/>
      <c r="G5473" s="128"/>
      <c r="H5473" s="128"/>
      <c r="I5473" s="128"/>
      <c r="J5473" s="128"/>
      <c r="K5473" s="128"/>
      <c r="L5473" s="118"/>
      <c r="M5473" s="118"/>
      <c r="N5473" s="210"/>
    </row>
    <row r="5474" spans="2:14" ht="15" customHeight="1" x14ac:dyDescent="0.25">
      <c r="B5474" s="209"/>
      <c r="C5474" s="118"/>
      <c r="D5474" s="118"/>
      <c r="E5474" s="118"/>
      <c r="F5474" s="118"/>
      <c r="G5474" s="118"/>
      <c r="H5474" s="118"/>
      <c r="I5474" s="118"/>
      <c r="J5474" s="118"/>
      <c r="K5474" s="118"/>
      <c r="L5474" s="118"/>
      <c r="M5474" s="118"/>
      <c r="N5474" s="210"/>
    </row>
    <row r="5475" spans="2:14" ht="15" customHeight="1" x14ac:dyDescent="0.25">
      <c r="B5475" s="209"/>
      <c r="C5475" s="118"/>
      <c r="D5475" s="118"/>
      <c r="E5475" s="118"/>
      <c r="F5475" s="118"/>
      <c r="G5475" s="118"/>
      <c r="H5475" s="118"/>
      <c r="I5475" s="118"/>
      <c r="J5475" s="118"/>
      <c r="K5475" s="118"/>
      <c r="L5475" s="118"/>
      <c r="M5475" s="118"/>
      <c r="N5475" s="210"/>
    </row>
    <row r="5476" spans="2:14" ht="15" customHeight="1" thickBot="1" x14ac:dyDescent="0.3">
      <c r="B5476" s="725" t="s">
        <v>414</v>
      </c>
      <c r="C5476" s="726"/>
      <c r="D5476" s="726"/>
      <c r="E5476" s="147"/>
      <c r="F5476" s="147"/>
      <c r="G5476" s="147"/>
      <c r="H5476" s="147"/>
      <c r="I5476" s="727"/>
      <c r="J5476" s="726"/>
      <c r="K5476" s="726"/>
      <c r="L5476" s="130"/>
      <c r="M5476" s="130"/>
      <c r="N5476" s="131"/>
    </row>
    <row r="5477" spans="2:14" ht="15" customHeight="1" thickBot="1" x14ac:dyDescent="0.3">
      <c r="B5477" s="364"/>
      <c r="C5477" s="365"/>
      <c r="D5477" s="365"/>
      <c r="E5477" s="364"/>
      <c r="F5477" s="364"/>
      <c r="G5477" s="364"/>
      <c r="H5477" s="364"/>
      <c r="I5477" s="364"/>
      <c r="J5477" s="365"/>
      <c r="K5477" s="365"/>
      <c r="L5477" s="232"/>
      <c r="M5477" s="232"/>
      <c r="N5477" s="232"/>
    </row>
    <row r="5478" spans="2:14" ht="44.25" customHeight="1" x14ac:dyDescent="0.25">
      <c r="B5478" s="728"/>
      <c r="C5478" s="729"/>
      <c r="D5478" s="730" t="s">
        <v>393</v>
      </c>
      <c r="E5478" s="729"/>
      <c r="F5478" s="729"/>
      <c r="G5478" s="729"/>
      <c r="H5478" s="729"/>
      <c r="I5478" s="729"/>
      <c r="J5478" s="729"/>
      <c r="K5478" s="729"/>
      <c r="L5478" s="729"/>
      <c r="M5478" s="729"/>
      <c r="N5478" s="731"/>
    </row>
    <row r="5479" spans="2:14" ht="15" customHeight="1" x14ac:dyDescent="0.25">
      <c r="B5479" s="732" t="s">
        <v>394</v>
      </c>
      <c r="C5479" s="733"/>
      <c r="D5479" s="733"/>
      <c r="E5479" s="733"/>
      <c r="F5479" s="733"/>
      <c r="G5479" s="733"/>
      <c r="H5479" s="733"/>
      <c r="I5479" s="733"/>
      <c r="J5479" s="733"/>
      <c r="K5479" s="733"/>
      <c r="L5479" s="733"/>
      <c r="M5479" s="733"/>
      <c r="N5479" s="734"/>
    </row>
    <row r="5480" spans="2:14" ht="15" customHeight="1" x14ac:dyDescent="0.25">
      <c r="B5480" s="735" t="s">
        <v>395</v>
      </c>
      <c r="C5480" s="736"/>
      <c r="D5480" s="737" t="str">
        <f>VLOOKUP(B5482,Buenaventura!A193:G6673,3,FALSE)</f>
        <v>Suministro e instalación de tubería metálica galvanizada de 3/4”  para canalización de cableado en sistema de detección y alarma contra incendios, tipo conduit metálico EMT, con accesorios galvanizados, incluye soportes, abrazaderas, elementos de fijación, anclajes, cajas de paso, accesorios de conexión y todos los elementos necesarios, así como el corte, roscado, doblado y fijación de la tubería.</v>
      </c>
      <c r="E5480" s="738"/>
      <c r="F5480" s="738"/>
      <c r="G5480" s="738"/>
      <c r="H5480" s="738"/>
      <c r="I5480" s="738"/>
      <c r="J5480" s="738"/>
      <c r="K5480" s="738"/>
      <c r="L5480" s="738"/>
      <c r="M5480" s="738"/>
      <c r="N5480" s="739"/>
    </row>
    <row r="5481" spans="2:14" ht="15" customHeight="1" x14ac:dyDescent="0.25">
      <c r="B5481" s="740" t="s">
        <v>26</v>
      </c>
      <c r="C5481" s="741"/>
      <c r="D5481" s="119" t="s">
        <v>396</v>
      </c>
      <c r="E5481" s="742" t="s">
        <v>397</v>
      </c>
      <c r="F5481" s="733"/>
      <c r="G5481" s="733"/>
      <c r="H5481" s="736"/>
      <c r="I5481" s="742" t="s">
        <v>398</v>
      </c>
      <c r="J5481" s="733"/>
      <c r="K5481" s="736"/>
      <c r="L5481" s="742" t="s">
        <v>399</v>
      </c>
      <c r="M5481" s="733"/>
      <c r="N5481" s="734"/>
    </row>
    <row r="5482" spans="2:14" ht="15" customHeight="1" x14ac:dyDescent="0.25">
      <c r="B5482" s="283">
        <v>162</v>
      </c>
      <c r="C5482" s="284" t="str">
        <f>VLOOKUP(B5482,Buenaventura!A193:G6686,2,FALSE)</f>
        <v>VA-51</v>
      </c>
      <c r="D5482" s="285">
        <f>SUM(H5485:H5488)</f>
        <v>7</v>
      </c>
      <c r="E5482" s="743" t="str">
        <f>VLOOKUP(B5482,Buenaventura!A193:G6685,4,FALSE)</f>
        <v>ML</v>
      </c>
      <c r="F5482" s="743"/>
      <c r="G5482" s="743"/>
      <c r="H5482" s="743"/>
      <c r="I5482" s="744"/>
      <c r="J5482" s="745"/>
      <c r="K5482" s="741"/>
      <c r="L5482" s="744"/>
      <c r="M5482" s="745"/>
      <c r="N5482" s="752"/>
    </row>
    <row r="5483" spans="2:14" ht="15" customHeight="1" x14ac:dyDescent="0.25">
      <c r="B5483" s="755" t="s">
        <v>416</v>
      </c>
      <c r="C5483" s="733"/>
      <c r="D5483" s="733"/>
      <c r="E5483" s="733"/>
      <c r="F5483" s="733"/>
      <c r="G5483" s="733"/>
      <c r="H5483" s="736"/>
      <c r="I5483" s="746"/>
      <c r="J5483" s="747"/>
      <c r="K5483" s="748"/>
      <c r="L5483" s="746"/>
      <c r="M5483" s="747"/>
      <c r="N5483" s="753"/>
    </row>
    <row r="5484" spans="2:14" ht="15" customHeight="1" x14ac:dyDescent="0.25">
      <c r="B5484" s="121" t="s">
        <v>400</v>
      </c>
      <c r="C5484" s="122" t="s">
        <v>401</v>
      </c>
      <c r="D5484" s="123" t="s">
        <v>402</v>
      </c>
      <c r="E5484" s="123" t="s">
        <v>403</v>
      </c>
      <c r="F5484" s="123" t="s">
        <v>404</v>
      </c>
      <c r="G5484" s="123" t="s">
        <v>405</v>
      </c>
      <c r="H5484" s="123" t="s">
        <v>406</v>
      </c>
      <c r="I5484" s="746"/>
      <c r="J5484" s="747"/>
      <c r="K5484" s="748"/>
      <c r="L5484" s="746"/>
      <c r="M5484" s="747"/>
      <c r="N5484" s="753"/>
    </row>
    <row r="5485" spans="2:14" ht="15" customHeight="1" x14ac:dyDescent="0.25">
      <c r="B5485" s="124"/>
      <c r="C5485" s="145"/>
      <c r="D5485" s="125">
        <v>7</v>
      </c>
      <c r="E5485" s="125"/>
      <c r="F5485" s="125"/>
      <c r="G5485" s="125"/>
      <c r="H5485" s="125">
        <f>D5485</f>
        <v>7</v>
      </c>
      <c r="I5485" s="746"/>
      <c r="J5485" s="747"/>
      <c r="K5485" s="748"/>
      <c r="L5485" s="746"/>
      <c r="M5485" s="747"/>
      <c r="N5485" s="753"/>
    </row>
    <row r="5486" spans="2:14" ht="15" customHeight="1" x14ac:dyDescent="0.25">
      <c r="B5486" s="124"/>
      <c r="C5486" s="145"/>
      <c r="D5486" s="125"/>
      <c r="E5486" s="125"/>
      <c r="F5486" s="125"/>
      <c r="G5486" s="125"/>
      <c r="H5486" s="125"/>
      <c r="I5486" s="746"/>
      <c r="J5486" s="747"/>
      <c r="K5486" s="748"/>
      <c r="L5486" s="746"/>
      <c r="M5486" s="747"/>
      <c r="N5486" s="753"/>
    </row>
    <row r="5487" spans="2:14" ht="15" customHeight="1" x14ac:dyDescent="0.25">
      <c r="B5487" s="165"/>
      <c r="C5487" s="145"/>
      <c r="D5487" s="125"/>
      <c r="E5487" s="125"/>
      <c r="F5487" s="125"/>
      <c r="G5487" s="125"/>
      <c r="H5487" s="125"/>
      <c r="I5487" s="746"/>
      <c r="J5487" s="747"/>
      <c r="K5487" s="748"/>
      <c r="L5487" s="746"/>
      <c r="M5487" s="747"/>
      <c r="N5487" s="753"/>
    </row>
    <row r="5488" spans="2:14" ht="15" customHeight="1" x14ac:dyDescent="0.25">
      <c r="B5488" s="165"/>
      <c r="C5488" s="145"/>
      <c r="D5488" s="125"/>
      <c r="E5488" s="125"/>
      <c r="F5488" s="125"/>
      <c r="G5488" s="125"/>
      <c r="H5488" s="125"/>
      <c r="I5488" s="746"/>
      <c r="J5488" s="747"/>
      <c r="K5488" s="748"/>
      <c r="L5488" s="746"/>
      <c r="M5488" s="747"/>
      <c r="N5488" s="753"/>
    </row>
    <row r="5489" spans="2:14" ht="15" customHeight="1" x14ac:dyDescent="0.25">
      <c r="B5489" s="165"/>
      <c r="C5489" s="145"/>
      <c r="D5489" s="125"/>
      <c r="E5489" s="125"/>
      <c r="F5489" s="125"/>
      <c r="G5489" s="125"/>
      <c r="H5489" s="125"/>
      <c r="I5489" s="746"/>
      <c r="J5489" s="747"/>
      <c r="K5489" s="748"/>
      <c r="L5489" s="746"/>
      <c r="M5489" s="747"/>
      <c r="N5489" s="753"/>
    </row>
    <row r="5490" spans="2:14" ht="15" customHeight="1" x14ac:dyDescent="0.25">
      <c r="B5490" s="165"/>
      <c r="C5490" s="145"/>
      <c r="D5490" s="125"/>
      <c r="E5490" s="125"/>
      <c r="F5490" s="125"/>
      <c r="G5490" s="125"/>
      <c r="H5490" s="125"/>
      <c r="I5490" s="746"/>
      <c r="J5490" s="747"/>
      <c r="K5490" s="748"/>
      <c r="L5490" s="746"/>
      <c r="M5490" s="747"/>
      <c r="N5490" s="753"/>
    </row>
    <row r="5491" spans="2:14" ht="15" customHeight="1" x14ac:dyDescent="0.25">
      <c r="B5491" s="165"/>
      <c r="C5491" s="145"/>
      <c r="D5491" s="125"/>
      <c r="E5491" s="125"/>
      <c r="F5491" s="125"/>
      <c r="G5491" s="125"/>
      <c r="H5491" s="125"/>
      <c r="I5491" s="746"/>
      <c r="J5491" s="747"/>
      <c r="K5491" s="748"/>
      <c r="L5491" s="746"/>
      <c r="M5491" s="747"/>
      <c r="N5491" s="753"/>
    </row>
    <row r="5492" spans="2:14" ht="15" customHeight="1" x14ac:dyDescent="0.25">
      <c r="B5492" s="124"/>
      <c r="C5492" s="145"/>
      <c r="D5492" s="125"/>
      <c r="E5492" s="125"/>
      <c r="F5492" s="125"/>
      <c r="G5492" s="125"/>
      <c r="H5492" s="125"/>
      <c r="I5492" s="746"/>
      <c r="J5492" s="747"/>
      <c r="K5492" s="748"/>
      <c r="L5492" s="746"/>
      <c r="M5492" s="747"/>
      <c r="N5492" s="753"/>
    </row>
    <row r="5493" spans="2:14" ht="15" customHeight="1" x14ac:dyDescent="0.25">
      <c r="B5493" s="124"/>
      <c r="C5493" s="125"/>
      <c r="D5493" s="125"/>
      <c r="E5493" s="125"/>
      <c r="F5493" s="125"/>
      <c r="G5493" s="125"/>
      <c r="H5493" s="125"/>
      <c r="I5493" s="746"/>
      <c r="J5493" s="747"/>
      <c r="K5493" s="748"/>
      <c r="L5493" s="746"/>
      <c r="M5493" s="747"/>
      <c r="N5493" s="753"/>
    </row>
    <row r="5494" spans="2:14" ht="15" customHeight="1" x14ac:dyDescent="0.25">
      <c r="B5494" s="127"/>
      <c r="C5494" s="125"/>
      <c r="D5494" s="125"/>
      <c r="E5494" s="125"/>
      <c r="F5494" s="125"/>
      <c r="G5494" s="125"/>
      <c r="H5494" s="125"/>
      <c r="I5494" s="749"/>
      <c r="J5494" s="750"/>
      <c r="K5494" s="751"/>
      <c r="L5494" s="749"/>
      <c r="M5494" s="750"/>
      <c r="N5494" s="754"/>
    </row>
    <row r="5495" spans="2:14" ht="15" customHeight="1" x14ac:dyDescent="0.25">
      <c r="B5495" s="225"/>
      <c r="C5495" s="128"/>
      <c r="D5495" s="128"/>
      <c r="E5495" s="128"/>
      <c r="F5495" s="128"/>
      <c r="G5495" s="128"/>
      <c r="H5495" s="128"/>
      <c r="I5495" s="128"/>
      <c r="J5495" s="128"/>
      <c r="K5495" s="128"/>
      <c r="L5495" s="118"/>
      <c r="M5495" s="118"/>
      <c r="N5495" s="210"/>
    </row>
    <row r="5496" spans="2:14" ht="15" customHeight="1" x14ac:dyDescent="0.25">
      <c r="B5496" s="209"/>
      <c r="C5496" s="118"/>
      <c r="D5496" s="118"/>
      <c r="E5496" s="118"/>
      <c r="F5496" s="118"/>
      <c r="G5496" s="118"/>
      <c r="H5496" s="118"/>
      <c r="I5496" s="118"/>
      <c r="J5496" s="118"/>
      <c r="K5496" s="118"/>
      <c r="L5496" s="118"/>
      <c r="M5496" s="118"/>
      <c r="N5496" s="210"/>
    </row>
    <row r="5497" spans="2:14" ht="15" customHeight="1" x14ac:dyDescent="0.25">
      <c r="B5497" s="209"/>
      <c r="C5497" s="118"/>
      <c r="D5497" s="118"/>
      <c r="E5497" s="118"/>
      <c r="F5497" s="118"/>
      <c r="G5497" s="118"/>
      <c r="H5497" s="118"/>
      <c r="I5497" s="118"/>
      <c r="J5497" s="118"/>
      <c r="K5497" s="118"/>
      <c r="L5497" s="118"/>
      <c r="M5497" s="118"/>
      <c r="N5497" s="210"/>
    </row>
    <row r="5498" spans="2:14" ht="15" customHeight="1" thickBot="1" x14ac:dyDescent="0.3">
      <c r="B5498" s="725" t="s">
        <v>414</v>
      </c>
      <c r="C5498" s="726"/>
      <c r="D5498" s="726"/>
      <c r="E5498" s="147"/>
      <c r="F5498" s="147"/>
      <c r="G5498" s="147"/>
      <c r="H5498" s="147"/>
      <c r="I5498" s="727"/>
      <c r="J5498" s="726"/>
      <c r="K5498" s="726"/>
      <c r="L5498" s="130"/>
      <c r="M5498" s="130"/>
      <c r="N5498" s="131"/>
    </row>
    <row r="5499" spans="2:14" ht="15" customHeight="1" thickBot="1" x14ac:dyDescent="0.3"/>
    <row r="5500" spans="2:14" ht="44.45" customHeight="1" x14ac:dyDescent="0.25">
      <c r="B5500" s="728"/>
      <c r="C5500" s="729"/>
      <c r="D5500" s="730" t="s">
        <v>393</v>
      </c>
      <c r="E5500" s="729"/>
      <c r="F5500" s="729"/>
      <c r="G5500" s="729"/>
      <c r="H5500" s="729"/>
      <c r="I5500" s="729"/>
      <c r="J5500" s="729"/>
      <c r="K5500" s="729"/>
      <c r="L5500" s="729"/>
      <c r="M5500" s="729"/>
      <c r="N5500" s="731"/>
    </row>
    <row r="5501" spans="2:14" ht="21" customHeight="1" x14ac:dyDescent="0.25">
      <c r="B5501" s="732" t="s">
        <v>394</v>
      </c>
      <c r="C5501" s="733"/>
      <c r="D5501" s="733"/>
      <c r="E5501" s="733"/>
      <c r="F5501" s="733"/>
      <c r="G5501" s="733"/>
      <c r="H5501" s="733"/>
      <c r="I5501" s="733"/>
      <c r="J5501" s="733"/>
      <c r="K5501" s="733"/>
      <c r="L5501" s="733"/>
      <c r="M5501" s="733"/>
      <c r="N5501" s="734"/>
    </row>
    <row r="5502" spans="2:14" ht="28.15" customHeight="1" x14ac:dyDescent="0.25">
      <c r="B5502" s="735" t="s">
        <v>395</v>
      </c>
      <c r="C5502" s="736"/>
      <c r="D5502" s="737" t="str">
        <f>VLOOKUP(B5504,Buenaventura!A193:G6673,3,FALSE)</f>
        <v>Perforación de muro para paso de tuberia 3/4"</v>
      </c>
      <c r="E5502" s="738"/>
      <c r="F5502" s="738"/>
      <c r="G5502" s="738"/>
      <c r="H5502" s="738"/>
      <c r="I5502" s="738"/>
      <c r="J5502" s="738"/>
      <c r="K5502" s="738"/>
      <c r="L5502" s="738"/>
      <c r="M5502" s="738"/>
      <c r="N5502" s="739"/>
    </row>
    <row r="5503" spans="2:14" ht="25.9" customHeight="1" x14ac:dyDescent="0.25">
      <c r="B5503" s="740" t="s">
        <v>26</v>
      </c>
      <c r="C5503" s="741"/>
      <c r="D5503" s="119" t="s">
        <v>396</v>
      </c>
      <c r="E5503" s="742" t="s">
        <v>397</v>
      </c>
      <c r="F5503" s="733"/>
      <c r="G5503" s="733"/>
      <c r="H5503" s="736"/>
      <c r="I5503" s="742" t="s">
        <v>398</v>
      </c>
      <c r="J5503" s="733"/>
      <c r="K5503" s="736"/>
      <c r="L5503" s="742" t="s">
        <v>399</v>
      </c>
      <c r="M5503" s="733"/>
      <c r="N5503" s="734"/>
    </row>
    <row r="5504" spans="2:14" ht="15" customHeight="1" x14ac:dyDescent="0.25">
      <c r="B5504" s="283">
        <v>163</v>
      </c>
      <c r="C5504" s="284" t="str">
        <f>VLOOKUP(B5504,Buenaventura!A193:G6686,2,FALSE)</f>
        <v>PR-04</v>
      </c>
      <c r="D5504" s="285">
        <f>SUM(H5507:H5510)*50%</f>
        <v>58.199999999999996</v>
      </c>
      <c r="E5504" s="743" t="str">
        <f>VLOOKUP(B5504,Buenaventura!A193:G6685,4,FALSE)</f>
        <v xml:space="preserve">UND </v>
      </c>
      <c r="F5504" s="743"/>
      <c r="G5504" s="743"/>
      <c r="H5504" s="743"/>
      <c r="I5504" s="744"/>
      <c r="J5504" s="745"/>
      <c r="K5504" s="741"/>
      <c r="L5504" s="744"/>
      <c r="M5504" s="745"/>
      <c r="N5504" s="752"/>
    </row>
    <row r="5505" spans="2:14" ht="15" customHeight="1" x14ac:dyDescent="0.25">
      <c r="B5505" s="755" t="s">
        <v>416</v>
      </c>
      <c r="C5505" s="733"/>
      <c r="D5505" s="733"/>
      <c r="E5505" s="733"/>
      <c r="F5505" s="733"/>
      <c r="G5505" s="733"/>
      <c r="H5505" s="736"/>
      <c r="I5505" s="746"/>
      <c r="J5505" s="747"/>
      <c r="K5505" s="748"/>
      <c r="L5505" s="746"/>
      <c r="M5505" s="747"/>
      <c r="N5505" s="753"/>
    </row>
    <row r="5506" spans="2:14" ht="15" customHeight="1" x14ac:dyDescent="0.25">
      <c r="B5506" s="121" t="s">
        <v>400</v>
      </c>
      <c r="C5506" s="122" t="s">
        <v>401</v>
      </c>
      <c r="D5506" s="123" t="s">
        <v>402</v>
      </c>
      <c r="E5506" s="123" t="s">
        <v>403</v>
      </c>
      <c r="F5506" s="123" t="s">
        <v>404</v>
      </c>
      <c r="G5506" s="123" t="s">
        <v>405</v>
      </c>
      <c r="H5506" s="123" t="s">
        <v>406</v>
      </c>
      <c r="I5506" s="746"/>
      <c r="J5506" s="747"/>
      <c r="K5506" s="748"/>
      <c r="L5506" s="746"/>
      <c r="M5506" s="747"/>
      <c r="N5506" s="753"/>
    </row>
    <row r="5507" spans="2:14" ht="15" customHeight="1" x14ac:dyDescent="0.25">
      <c r="B5507" s="124"/>
      <c r="C5507" s="145" t="s">
        <v>624</v>
      </c>
      <c r="D5507" s="125"/>
      <c r="E5507" s="125">
        <v>12.5</v>
      </c>
      <c r="F5507" s="125"/>
      <c r="G5507" s="125">
        <v>2.4</v>
      </c>
      <c r="H5507" s="125">
        <f>G5507*E5507</f>
        <v>30</v>
      </c>
      <c r="I5507" s="746"/>
      <c r="J5507" s="747"/>
      <c r="K5507" s="748"/>
      <c r="L5507" s="746"/>
      <c r="M5507" s="747"/>
      <c r="N5507" s="753"/>
    </row>
    <row r="5508" spans="2:14" ht="15" customHeight="1" x14ac:dyDescent="0.25">
      <c r="B5508" s="124"/>
      <c r="C5508" s="145"/>
      <c r="D5508" s="125"/>
      <c r="E5508" s="125"/>
      <c r="F5508" s="125"/>
      <c r="G5508" s="125"/>
      <c r="H5508" s="125">
        <f t="shared" ref="H5508" si="86">G5508*E5508</f>
        <v>0</v>
      </c>
      <c r="I5508" s="746"/>
      <c r="J5508" s="747"/>
      <c r="K5508" s="748"/>
      <c r="L5508" s="746"/>
      <c r="M5508" s="747"/>
      <c r="N5508" s="753"/>
    </row>
    <row r="5509" spans="2:14" ht="15" customHeight="1" x14ac:dyDescent="0.25">
      <c r="B5509" s="165"/>
      <c r="C5509" s="145" t="s">
        <v>530</v>
      </c>
      <c r="D5509" s="125">
        <v>3</v>
      </c>
      <c r="E5509" s="125"/>
      <c r="F5509" s="125">
        <v>12</v>
      </c>
      <c r="G5509" s="125">
        <v>2.4</v>
      </c>
      <c r="H5509" s="125">
        <f>D5509*F5509*G5509</f>
        <v>86.399999999999991</v>
      </c>
      <c r="I5509" s="746"/>
      <c r="J5509" s="747"/>
      <c r="K5509" s="748"/>
      <c r="L5509" s="746"/>
      <c r="M5509" s="747"/>
      <c r="N5509" s="753"/>
    </row>
    <row r="5510" spans="2:14" ht="15" customHeight="1" x14ac:dyDescent="0.25">
      <c r="B5510" s="165"/>
      <c r="C5510" s="145"/>
      <c r="D5510" s="125"/>
      <c r="E5510" s="125"/>
      <c r="F5510" s="125"/>
      <c r="G5510" s="125"/>
      <c r="H5510" s="125"/>
      <c r="I5510" s="746"/>
      <c r="J5510" s="747"/>
      <c r="K5510" s="748"/>
      <c r="L5510" s="746"/>
      <c r="M5510" s="747"/>
      <c r="N5510" s="753"/>
    </row>
    <row r="5511" spans="2:14" ht="15" customHeight="1" x14ac:dyDescent="0.25">
      <c r="B5511" s="165"/>
      <c r="C5511" s="145"/>
      <c r="D5511" s="125"/>
      <c r="E5511" s="125"/>
      <c r="F5511" s="125"/>
      <c r="G5511" s="125"/>
      <c r="H5511" s="125"/>
      <c r="I5511" s="746"/>
      <c r="J5511" s="747"/>
      <c r="K5511" s="748"/>
      <c r="L5511" s="746"/>
      <c r="M5511" s="747"/>
      <c r="N5511" s="753"/>
    </row>
    <row r="5512" spans="2:14" ht="15" customHeight="1" x14ac:dyDescent="0.25">
      <c r="B5512" s="165"/>
      <c r="C5512" s="145"/>
      <c r="D5512" s="125"/>
      <c r="E5512" s="125"/>
      <c r="F5512" s="125"/>
      <c r="G5512" s="125"/>
      <c r="H5512" s="125"/>
      <c r="I5512" s="746"/>
      <c r="J5512" s="747"/>
      <c r="K5512" s="748"/>
      <c r="L5512" s="746"/>
      <c r="M5512" s="747"/>
      <c r="N5512" s="753"/>
    </row>
    <row r="5513" spans="2:14" ht="15" customHeight="1" x14ac:dyDescent="0.25">
      <c r="B5513" s="165"/>
      <c r="C5513" s="145"/>
      <c r="D5513" s="125"/>
      <c r="E5513" s="125"/>
      <c r="F5513" s="125"/>
      <c r="G5513" s="125"/>
      <c r="H5513" s="125"/>
      <c r="I5513" s="746"/>
      <c r="J5513" s="747"/>
      <c r="K5513" s="748"/>
      <c r="L5513" s="746"/>
      <c r="M5513" s="747"/>
      <c r="N5513" s="753"/>
    </row>
    <row r="5514" spans="2:14" ht="15" customHeight="1" x14ac:dyDescent="0.25">
      <c r="B5514" s="124"/>
      <c r="C5514" s="145"/>
      <c r="D5514" s="125"/>
      <c r="E5514" s="125"/>
      <c r="F5514" s="125"/>
      <c r="G5514" s="125"/>
      <c r="H5514" s="125"/>
      <c r="I5514" s="746"/>
      <c r="J5514" s="747"/>
      <c r="K5514" s="748"/>
      <c r="L5514" s="746"/>
      <c r="M5514" s="747"/>
      <c r="N5514" s="753"/>
    </row>
    <row r="5515" spans="2:14" ht="15" customHeight="1" x14ac:dyDescent="0.25">
      <c r="B5515" s="124"/>
      <c r="C5515" s="125"/>
      <c r="D5515" s="125"/>
      <c r="E5515" s="125"/>
      <c r="F5515" s="125"/>
      <c r="G5515" s="125"/>
      <c r="H5515" s="125"/>
      <c r="I5515" s="746"/>
      <c r="J5515" s="747"/>
      <c r="K5515" s="748"/>
      <c r="L5515" s="746"/>
      <c r="M5515" s="747"/>
      <c r="N5515" s="753"/>
    </row>
    <row r="5516" spans="2:14" ht="15" customHeight="1" x14ac:dyDescent="0.25">
      <c r="B5516" s="127"/>
      <c r="C5516" s="125"/>
      <c r="D5516" s="125"/>
      <c r="E5516" s="125"/>
      <c r="F5516" s="125"/>
      <c r="G5516" s="125"/>
      <c r="H5516" s="125"/>
      <c r="I5516" s="749"/>
      <c r="J5516" s="750"/>
      <c r="K5516" s="751"/>
      <c r="L5516" s="749"/>
      <c r="M5516" s="750"/>
      <c r="N5516" s="754"/>
    </row>
    <row r="5517" spans="2:14" ht="15" customHeight="1" x14ac:dyDescent="0.25">
      <c r="B5517" s="225"/>
      <c r="C5517" s="128"/>
      <c r="D5517" s="128"/>
      <c r="E5517" s="128"/>
      <c r="F5517" s="128"/>
      <c r="G5517" s="128"/>
      <c r="H5517" s="128"/>
      <c r="I5517" s="128"/>
      <c r="J5517" s="128"/>
      <c r="K5517" s="128"/>
      <c r="L5517" s="118"/>
      <c r="M5517" s="118"/>
      <c r="N5517" s="210"/>
    </row>
    <row r="5518" spans="2:14" ht="15" customHeight="1" x14ac:dyDescent="0.25">
      <c r="B5518" s="209"/>
      <c r="C5518" s="118"/>
      <c r="D5518" s="118"/>
      <c r="E5518" s="118"/>
      <c r="F5518" s="118"/>
      <c r="G5518" s="118"/>
      <c r="H5518" s="118"/>
      <c r="I5518" s="118"/>
      <c r="J5518" s="118"/>
      <c r="K5518" s="118"/>
      <c r="L5518" s="118"/>
      <c r="M5518" s="118"/>
      <c r="N5518" s="210"/>
    </row>
    <row r="5519" spans="2:14" ht="15" customHeight="1" x14ac:dyDescent="0.25">
      <c r="B5519" s="209"/>
      <c r="C5519" s="118"/>
      <c r="D5519" s="118"/>
      <c r="E5519" s="118"/>
      <c r="F5519" s="118"/>
      <c r="G5519" s="118"/>
      <c r="H5519" s="118"/>
      <c r="I5519" s="118"/>
      <c r="J5519" s="118"/>
      <c r="K5519" s="118"/>
      <c r="L5519" s="118"/>
      <c r="M5519" s="118"/>
      <c r="N5519" s="210"/>
    </row>
    <row r="5520" spans="2:14" ht="15" customHeight="1" thickBot="1" x14ac:dyDescent="0.3">
      <c r="B5520" s="725" t="s">
        <v>414</v>
      </c>
      <c r="C5520" s="726"/>
      <c r="D5520" s="726"/>
      <c r="E5520" s="147"/>
      <c r="F5520" s="147"/>
      <c r="G5520" s="147"/>
      <c r="H5520" s="147"/>
      <c r="I5520" s="727"/>
      <c r="J5520" s="726"/>
      <c r="K5520" s="726"/>
      <c r="L5520" s="130"/>
      <c r="M5520" s="130"/>
      <c r="N5520" s="131"/>
    </row>
    <row r="5521" spans="2:14" ht="15" customHeight="1" thickBot="1" x14ac:dyDescent="0.3"/>
    <row r="5522" spans="2:14" ht="41.45" customHeight="1" x14ac:dyDescent="0.25">
      <c r="B5522" s="728"/>
      <c r="C5522" s="729"/>
      <c r="D5522" s="730" t="s">
        <v>393</v>
      </c>
      <c r="E5522" s="729"/>
      <c r="F5522" s="729"/>
      <c r="G5522" s="729"/>
      <c r="H5522" s="729"/>
      <c r="I5522" s="729"/>
      <c r="J5522" s="729"/>
      <c r="K5522" s="729"/>
      <c r="L5522" s="729"/>
      <c r="M5522" s="729"/>
      <c r="N5522" s="731"/>
    </row>
    <row r="5523" spans="2:14" ht="15" customHeight="1" x14ac:dyDescent="0.25">
      <c r="B5523" s="732" t="s">
        <v>394</v>
      </c>
      <c r="C5523" s="733"/>
      <c r="D5523" s="733"/>
      <c r="E5523" s="733"/>
      <c r="F5523" s="733"/>
      <c r="G5523" s="733"/>
      <c r="H5523" s="733"/>
      <c r="I5523" s="733"/>
      <c r="J5523" s="733"/>
      <c r="K5523" s="733"/>
      <c r="L5523" s="733"/>
      <c r="M5523" s="733"/>
      <c r="N5523" s="734"/>
    </row>
    <row r="5524" spans="2:14" ht="30" customHeight="1" x14ac:dyDescent="0.25">
      <c r="B5524" s="735" t="s">
        <v>395</v>
      </c>
      <c r="C5524" s="736"/>
      <c r="D5524" s="737" t="str">
        <f>VLOOKUP(B5526,Buenaventura!A9:G6695,3,FALSE)</f>
        <v>Suministro e instalación de  caja de Conexión 4" x 4" (Tipo Redwell/Intemperie)</v>
      </c>
      <c r="E5524" s="738"/>
      <c r="F5524" s="738"/>
      <c r="G5524" s="738"/>
      <c r="H5524" s="738"/>
      <c r="I5524" s="738"/>
      <c r="J5524" s="738"/>
      <c r="K5524" s="738"/>
      <c r="L5524" s="738"/>
      <c r="M5524" s="738"/>
      <c r="N5524" s="739"/>
    </row>
    <row r="5525" spans="2:14" ht="29.45" customHeight="1" x14ac:dyDescent="0.25">
      <c r="B5525" s="740" t="s">
        <v>26</v>
      </c>
      <c r="C5525" s="741"/>
      <c r="D5525" s="119" t="s">
        <v>396</v>
      </c>
      <c r="E5525" s="742" t="s">
        <v>397</v>
      </c>
      <c r="F5525" s="733"/>
      <c r="G5525" s="733"/>
      <c r="H5525" s="736"/>
      <c r="I5525" s="742" t="s">
        <v>398</v>
      </c>
      <c r="J5525" s="733"/>
      <c r="K5525" s="736"/>
      <c r="L5525" s="742" t="s">
        <v>399</v>
      </c>
      <c r="M5525" s="733"/>
      <c r="N5525" s="734"/>
    </row>
    <row r="5526" spans="2:14" ht="15" customHeight="1" x14ac:dyDescent="0.25">
      <c r="B5526" s="283">
        <v>164</v>
      </c>
      <c r="C5526" s="284" t="str">
        <f>VLOOKUP(B5526,Buenaventura!A9:G6708,2,FALSE)</f>
        <v>IE-65</v>
      </c>
      <c r="D5526" s="285">
        <f>SUM(H5529:H5532)*50%</f>
        <v>58.199999999999996</v>
      </c>
      <c r="E5526" s="743" t="str">
        <f>VLOOKUP(B5526,Buenaventura!A9:G6707,4,FALSE)</f>
        <v xml:space="preserve">UND </v>
      </c>
      <c r="F5526" s="743"/>
      <c r="G5526" s="743"/>
      <c r="H5526" s="743"/>
      <c r="I5526" s="744"/>
      <c r="J5526" s="745"/>
      <c r="K5526" s="741"/>
      <c r="L5526" s="744"/>
      <c r="M5526" s="745"/>
      <c r="N5526" s="752"/>
    </row>
    <row r="5527" spans="2:14" ht="15" customHeight="1" x14ac:dyDescent="0.25">
      <c r="B5527" s="755" t="s">
        <v>416</v>
      </c>
      <c r="C5527" s="733"/>
      <c r="D5527" s="733"/>
      <c r="E5527" s="733"/>
      <c r="F5527" s="733"/>
      <c r="G5527" s="733"/>
      <c r="H5527" s="736"/>
      <c r="I5527" s="746"/>
      <c r="J5527" s="747"/>
      <c r="K5527" s="748"/>
      <c r="L5527" s="746"/>
      <c r="M5527" s="747"/>
      <c r="N5527" s="753"/>
    </row>
    <row r="5528" spans="2:14" ht="15" customHeight="1" x14ac:dyDescent="0.25">
      <c r="B5528" s="121" t="s">
        <v>400</v>
      </c>
      <c r="C5528" s="122" t="s">
        <v>401</v>
      </c>
      <c r="D5528" s="123" t="s">
        <v>402</v>
      </c>
      <c r="E5528" s="123" t="s">
        <v>403</v>
      </c>
      <c r="F5528" s="123" t="s">
        <v>404</v>
      </c>
      <c r="G5528" s="123" t="s">
        <v>405</v>
      </c>
      <c r="H5528" s="123" t="s">
        <v>406</v>
      </c>
      <c r="I5528" s="746"/>
      <c r="J5528" s="747"/>
      <c r="K5528" s="748"/>
      <c r="L5528" s="746"/>
      <c r="M5528" s="747"/>
      <c r="N5528" s="753"/>
    </row>
    <row r="5529" spans="2:14" ht="15" customHeight="1" x14ac:dyDescent="0.25">
      <c r="B5529" s="124"/>
      <c r="C5529" s="145" t="s">
        <v>624</v>
      </c>
      <c r="D5529" s="125"/>
      <c r="E5529" s="125">
        <v>12.5</v>
      </c>
      <c r="F5529" s="125"/>
      <c r="G5529" s="125">
        <v>2.4</v>
      </c>
      <c r="H5529" s="125">
        <f>G5529*E5529</f>
        <v>30</v>
      </c>
      <c r="I5529" s="746"/>
      <c r="J5529" s="747"/>
      <c r="K5529" s="748"/>
      <c r="L5529" s="746"/>
      <c r="M5529" s="747"/>
      <c r="N5529" s="753"/>
    </row>
    <row r="5530" spans="2:14" ht="15" customHeight="1" x14ac:dyDescent="0.25">
      <c r="B5530" s="124"/>
      <c r="C5530" s="145"/>
      <c r="D5530" s="125"/>
      <c r="E5530" s="125"/>
      <c r="F5530" s="125"/>
      <c r="G5530" s="125"/>
      <c r="H5530" s="125">
        <f t="shared" ref="H5530" si="87">G5530*E5530</f>
        <v>0</v>
      </c>
      <c r="I5530" s="746"/>
      <c r="J5530" s="747"/>
      <c r="K5530" s="748"/>
      <c r="L5530" s="746"/>
      <c r="M5530" s="747"/>
      <c r="N5530" s="753"/>
    </row>
    <row r="5531" spans="2:14" ht="15" customHeight="1" x14ac:dyDescent="0.25">
      <c r="B5531" s="165"/>
      <c r="C5531" s="145" t="s">
        <v>530</v>
      </c>
      <c r="D5531" s="125">
        <v>3</v>
      </c>
      <c r="E5531" s="125"/>
      <c r="F5531" s="125">
        <v>12</v>
      </c>
      <c r="G5531" s="125">
        <v>2.4</v>
      </c>
      <c r="H5531" s="125">
        <f>D5531*F5531*G5531</f>
        <v>86.399999999999991</v>
      </c>
      <c r="I5531" s="746"/>
      <c r="J5531" s="747"/>
      <c r="K5531" s="748"/>
      <c r="L5531" s="746"/>
      <c r="M5531" s="747"/>
      <c r="N5531" s="753"/>
    </row>
    <row r="5532" spans="2:14" ht="15" customHeight="1" x14ac:dyDescent="0.25">
      <c r="B5532" s="165"/>
      <c r="C5532" s="145"/>
      <c r="D5532" s="125"/>
      <c r="E5532" s="125"/>
      <c r="F5532" s="125"/>
      <c r="G5532" s="125"/>
      <c r="H5532" s="125"/>
      <c r="I5532" s="746"/>
      <c r="J5532" s="747"/>
      <c r="K5532" s="748"/>
      <c r="L5532" s="746"/>
      <c r="M5532" s="747"/>
      <c r="N5532" s="753"/>
    </row>
    <row r="5533" spans="2:14" ht="15" customHeight="1" x14ac:dyDescent="0.25">
      <c r="B5533" s="165"/>
      <c r="C5533" s="145"/>
      <c r="D5533" s="125"/>
      <c r="E5533" s="125"/>
      <c r="F5533" s="125"/>
      <c r="G5533" s="125"/>
      <c r="H5533" s="125"/>
      <c r="I5533" s="746"/>
      <c r="J5533" s="747"/>
      <c r="K5533" s="748"/>
      <c r="L5533" s="746"/>
      <c r="M5533" s="747"/>
      <c r="N5533" s="753"/>
    </row>
    <row r="5534" spans="2:14" ht="15" customHeight="1" x14ac:dyDescent="0.25">
      <c r="B5534" s="165"/>
      <c r="C5534" s="145"/>
      <c r="D5534" s="125"/>
      <c r="E5534" s="125"/>
      <c r="F5534" s="125"/>
      <c r="G5534" s="125"/>
      <c r="H5534" s="125"/>
      <c r="I5534" s="746"/>
      <c r="J5534" s="747"/>
      <c r="K5534" s="748"/>
      <c r="L5534" s="746"/>
      <c r="M5534" s="747"/>
      <c r="N5534" s="753"/>
    </row>
    <row r="5535" spans="2:14" ht="15" customHeight="1" x14ac:dyDescent="0.25">
      <c r="B5535" s="165"/>
      <c r="C5535" s="145"/>
      <c r="D5535" s="125"/>
      <c r="E5535" s="125"/>
      <c r="F5535" s="125"/>
      <c r="G5535" s="125"/>
      <c r="H5535" s="125"/>
      <c r="I5535" s="746"/>
      <c r="J5535" s="747"/>
      <c r="K5535" s="748"/>
      <c r="L5535" s="746"/>
      <c r="M5535" s="747"/>
      <c r="N5535" s="753"/>
    </row>
    <row r="5536" spans="2:14" ht="15" customHeight="1" x14ac:dyDescent="0.25">
      <c r="B5536" s="124"/>
      <c r="C5536" s="145"/>
      <c r="D5536" s="125"/>
      <c r="E5536" s="125"/>
      <c r="F5536" s="125"/>
      <c r="G5536" s="125"/>
      <c r="H5536" s="125"/>
      <c r="I5536" s="746"/>
      <c r="J5536" s="747"/>
      <c r="K5536" s="748"/>
      <c r="L5536" s="746"/>
      <c r="M5536" s="747"/>
      <c r="N5536" s="753"/>
    </row>
    <row r="5537" spans="2:14" ht="15" customHeight="1" x14ac:dyDescent="0.25">
      <c r="B5537" s="124"/>
      <c r="C5537" s="125"/>
      <c r="D5537" s="125"/>
      <c r="E5537" s="125"/>
      <c r="F5537" s="125"/>
      <c r="G5537" s="125"/>
      <c r="H5537" s="125"/>
      <c r="I5537" s="746"/>
      <c r="J5537" s="747"/>
      <c r="K5537" s="748"/>
      <c r="L5537" s="746"/>
      <c r="M5537" s="747"/>
      <c r="N5537" s="753"/>
    </row>
    <row r="5538" spans="2:14" ht="15" customHeight="1" x14ac:dyDescent="0.25">
      <c r="B5538" s="127"/>
      <c r="C5538" s="125"/>
      <c r="D5538" s="125"/>
      <c r="E5538" s="125"/>
      <c r="F5538" s="125"/>
      <c r="G5538" s="125"/>
      <c r="H5538" s="125"/>
      <c r="I5538" s="749"/>
      <c r="J5538" s="750"/>
      <c r="K5538" s="751"/>
      <c r="L5538" s="749"/>
      <c r="M5538" s="750"/>
      <c r="N5538" s="754"/>
    </row>
    <row r="5539" spans="2:14" ht="15" customHeight="1" x14ac:dyDescent="0.25">
      <c r="B5539" s="225"/>
      <c r="C5539" s="128"/>
      <c r="D5539" s="128"/>
      <c r="E5539" s="128"/>
      <c r="F5539" s="128"/>
      <c r="G5539" s="128"/>
      <c r="H5539" s="128"/>
      <c r="I5539" s="128"/>
      <c r="J5539" s="128"/>
      <c r="K5539" s="128"/>
      <c r="L5539" s="118"/>
      <c r="M5539" s="118"/>
      <c r="N5539" s="210"/>
    </row>
    <row r="5540" spans="2:14" ht="15" customHeight="1" x14ac:dyDescent="0.25">
      <c r="B5540" s="209"/>
      <c r="C5540" s="118"/>
      <c r="D5540" s="118"/>
      <c r="E5540" s="118"/>
      <c r="F5540" s="118"/>
      <c r="G5540" s="118"/>
      <c r="H5540" s="118"/>
      <c r="I5540" s="118"/>
      <c r="J5540" s="118"/>
      <c r="K5540" s="118"/>
      <c r="L5540" s="118"/>
      <c r="M5540" s="118"/>
      <c r="N5540" s="210"/>
    </row>
    <row r="5541" spans="2:14" ht="15" customHeight="1" x14ac:dyDescent="0.25">
      <c r="B5541" s="209"/>
      <c r="C5541" s="118"/>
      <c r="D5541" s="118"/>
      <c r="E5541" s="118"/>
      <c r="F5541" s="118"/>
      <c r="G5541" s="118"/>
      <c r="H5541" s="118"/>
      <c r="I5541" s="118"/>
      <c r="J5541" s="118"/>
      <c r="K5541" s="118"/>
      <c r="L5541" s="118"/>
      <c r="M5541" s="118"/>
      <c r="N5541" s="210"/>
    </row>
    <row r="5542" spans="2:14" ht="15" customHeight="1" thickBot="1" x14ac:dyDescent="0.3">
      <c r="B5542" s="725" t="s">
        <v>414</v>
      </c>
      <c r="C5542" s="726"/>
      <c r="D5542" s="726"/>
      <c r="E5542" s="147"/>
      <c r="F5542" s="147"/>
      <c r="G5542" s="147"/>
      <c r="H5542" s="147"/>
      <c r="I5542" s="727"/>
      <c r="J5542" s="726"/>
      <c r="K5542" s="726"/>
      <c r="L5542" s="130"/>
      <c r="M5542" s="130"/>
      <c r="N5542" s="131"/>
    </row>
    <row r="5543" spans="2:14" ht="15" customHeight="1" thickBot="1" x14ac:dyDescent="0.3"/>
    <row r="5544" spans="2:14" ht="43.15" customHeight="1" x14ac:dyDescent="0.25">
      <c r="B5544" s="728"/>
      <c r="C5544" s="729"/>
      <c r="D5544" s="730" t="s">
        <v>393</v>
      </c>
      <c r="E5544" s="729"/>
      <c r="F5544" s="729"/>
      <c r="G5544" s="729"/>
      <c r="H5544" s="729"/>
      <c r="I5544" s="729"/>
      <c r="J5544" s="729"/>
      <c r="K5544" s="729"/>
      <c r="L5544" s="729"/>
      <c r="M5544" s="729"/>
      <c r="N5544" s="731"/>
    </row>
    <row r="5545" spans="2:14" ht="15" customHeight="1" x14ac:dyDescent="0.25">
      <c r="B5545" s="732" t="s">
        <v>394</v>
      </c>
      <c r="C5545" s="733"/>
      <c r="D5545" s="733"/>
      <c r="E5545" s="733"/>
      <c r="F5545" s="733"/>
      <c r="G5545" s="733"/>
      <c r="H5545" s="733"/>
      <c r="I5545" s="733"/>
      <c r="J5545" s="733"/>
      <c r="K5545" s="733"/>
      <c r="L5545" s="733"/>
      <c r="M5545" s="733"/>
      <c r="N5545" s="734"/>
    </row>
    <row r="5546" spans="2:14" ht="18" customHeight="1" x14ac:dyDescent="0.25">
      <c r="B5546" s="735" t="s">
        <v>395</v>
      </c>
      <c r="C5546" s="736"/>
      <c r="D5546" s="737" t="str">
        <f>VLOOKUP(B5548,Buenaventura!A9:G6717,3,FALSE)</f>
        <v xml:space="preserve">Rasqueteada de pintura y retiro de mortero en mal estado  </v>
      </c>
      <c r="E5546" s="738"/>
      <c r="F5546" s="738"/>
      <c r="G5546" s="738"/>
      <c r="H5546" s="738"/>
      <c r="I5546" s="738"/>
      <c r="J5546" s="738"/>
      <c r="K5546" s="738"/>
      <c r="L5546" s="738"/>
      <c r="M5546" s="738"/>
      <c r="N5546" s="739"/>
    </row>
    <row r="5547" spans="2:14" ht="27.6" customHeight="1" x14ac:dyDescent="0.25">
      <c r="B5547" s="740" t="s">
        <v>26</v>
      </c>
      <c r="C5547" s="741"/>
      <c r="D5547" s="119" t="s">
        <v>396</v>
      </c>
      <c r="E5547" s="742" t="s">
        <v>397</v>
      </c>
      <c r="F5547" s="733"/>
      <c r="G5547" s="733"/>
      <c r="H5547" s="736"/>
      <c r="I5547" s="742" t="s">
        <v>398</v>
      </c>
      <c r="J5547" s="733"/>
      <c r="K5547" s="736"/>
      <c r="L5547" s="742" t="s">
        <v>399</v>
      </c>
      <c r="M5547" s="733"/>
      <c r="N5547" s="734"/>
    </row>
    <row r="5548" spans="2:14" ht="15" customHeight="1" x14ac:dyDescent="0.25">
      <c r="B5548" s="283">
        <v>165</v>
      </c>
      <c r="C5548" s="284" t="str">
        <f>VLOOKUP(B5548,Buenaventura!A9:G6730,2,FALSE)</f>
        <v>PR-01</v>
      </c>
      <c r="D5548" s="285">
        <f>SUM(H5551:H5554)*60%</f>
        <v>69.839999999999989</v>
      </c>
      <c r="E5548" s="743" t="str">
        <f>VLOOKUP(B5548,Buenaventura!A9:G6729,4,FALSE)</f>
        <v>M2</v>
      </c>
      <c r="F5548" s="743"/>
      <c r="G5548" s="743"/>
      <c r="H5548" s="743"/>
      <c r="I5548" s="744"/>
      <c r="J5548" s="745"/>
      <c r="K5548" s="741"/>
      <c r="L5548" s="744"/>
      <c r="M5548" s="745"/>
      <c r="N5548" s="752"/>
    </row>
    <row r="5549" spans="2:14" ht="15" customHeight="1" x14ac:dyDescent="0.25">
      <c r="B5549" s="755"/>
      <c r="C5549" s="733"/>
      <c r="D5549" s="733"/>
      <c r="E5549" s="733"/>
      <c r="F5549" s="733"/>
      <c r="G5549" s="733"/>
      <c r="H5549" s="736"/>
      <c r="I5549" s="746"/>
      <c r="J5549" s="747"/>
      <c r="K5549" s="748"/>
      <c r="L5549" s="746"/>
      <c r="M5549" s="747"/>
      <c r="N5549" s="753"/>
    </row>
    <row r="5550" spans="2:14" ht="15" customHeight="1" x14ac:dyDescent="0.25">
      <c r="B5550" s="121" t="s">
        <v>400</v>
      </c>
      <c r="C5550" s="122" t="s">
        <v>401</v>
      </c>
      <c r="D5550" s="123" t="s">
        <v>402</v>
      </c>
      <c r="E5550" s="123" t="s">
        <v>403</v>
      </c>
      <c r="F5550" s="123" t="s">
        <v>404</v>
      </c>
      <c r="G5550" s="123" t="s">
        <v>405</v>
      </c>
      <c r="H5550" s="123" t="s">
        <v>406</v>
      </c>
      <c r="I5550" s="746"/>
      <c r="J5550" s="747"/>
      <c r="K5550" s="748"/>
      <c r="L5550" s="746"/>
      <c r="M5550" s="747"/>
      <c r="N5550" s="753"/>
    </row>
    <row r="5551" spans="2:14" ht="15" customHeight="1" x14ac:dyDescent="0.25">
      <c r="B5551" s="124"/>
      <c r="C5551" s="145" t="s">
        <v>624</v>
      </c>
      <c r="D5551" s="125"/>
      <c r="E5551" s="125">
        <v>12.5</v>
      </c>
      <c r="F5551" s="125"/>
      <c r="G5551" s="125">
        <v>2.4</v>
      </c>
      <c r="H5551" s="125">
        <f>G5551*E5551</f>
        <v>30</v>
      </c>
      <c r="I5551" s="746"/>
      <c r="J5551" s="747"/>
      <c r="K5551" s="748"/>
      <c r="L5551" s="746"/>
      <c r="M5551" s="747"/>
      <c r="N5551" s="753"/>
    </row>
    <row r="5552" spans="2:14" ht="15" customHeight="1" x14ac:dyDescent="0.25">
      <c r="B5552" s="124"/>
      <c r="C5552" s="145"/>
      <c r="D5552" s="125"/>
      <c r="E5552" s="125"/>
      <c r="F5552" s="125"/>
      <c r="G5552" s="125"/>
      <c r="H5552" s="125">
        <f t="shared" ref="H5552" si="88">G5552*E5552</f>
        <v>0</v>
      </c>
      <c r="I5552" s="746"/>
      <c r="J5552" s="747"/>
      <c r="K5552" s="748"/>
      <c r="L5552" s="746"/>
      <c r="M5552" s="747"/>
      <c r="N5552" s="753"/>
    </row>
    <row r="5553" spans="2:14" ht="15" customHeight="1" x14ac:dyDescent="0.25">
      <c r="B5553" s="165"/>
      <c r="C5553" s="145" t="s">
        <v>530</v>
      </c>
      <c r="D5553" s="125">
        <v>3</v>
      </c>
      <c r="E5553" s="125"/>
      <c r="F5553" s="125">
        <v>12</v>
      </c>
      <c r="G5553" s="125">
        <v>2.4</v>
      </c>
      <c r="H5553" s="125">
        <f>D5553*F5553*G5553</f>
        <v>86.399999999999991</v>
      </c>
      <c r="I5553" s="746"/>
      <c r="J5553" s="747"/>
      <c r="K5553" s="748"/>
      <c r="L5553" s="746"/>
      <c r="M5553" s="747"/>
      <c r="N5553" s="753"/>
    </row>
    <row r="5554" spans="2:14" ht="15" customHeight="1" x14ac:dyDescent="0.25">
      <c r="B5554" s="165"/>
      <c r="C5554" s="145"/>
      <c r="D5554" s="125"/>
      <c r="E5554" s="125"/>
      <c r="F5554" s="125"/>
      <c r="G5554" s="125"/>
      <c r="H5554" s="125"/>
      <c r="I5554" s="746"/>
      <c r="J5554" s="747"/>
      <c r="K5554" s="748"/>
      <c r="L5554" s="746"/>
      <c r="M5554" s="747"/>
      <c r="N5554" s="753"/>
    </row>
    <row r="5555" spans="2:14" ht="15" customHeight="1" x14ac:dyDescent="0.25">
      <c r="B5555" s="165"/>
      <c r="C5555" s="145"/>
      <c r="D5555" s="125"/>
      <c r="E5555" s="125"/>
      <c r="F5555" s="125"/>
      <c r="G5555" s="125"/>
      <c r="H5555" s="125"/>
      <c r="I5555" s="746"/>
      <c r="J5555" s="747"/>
      <c r="K5555" s="748"/>
      <c r="L5555" s="746"/>
      <c r="M5555" s="747"/>
      <c r="N5555" s="753"/>
    </row>
    <row r="5556" spans="2:14" ht="15" customHeight="1" x14ac:dyDescent="0.25">
      <c r="B5556" s="165"/>
      <c r="C5556" s="145"/>
      <c r="D5556" s="125"/>
      <c r="E5556" s="125"/>
      <c r="F5556" s="125"/>
      <c r="G5556" s="125"/>
      <c r="H5556" s="125"/>
      <c r="I5556" s="746"/>
      <c r="J5556" s="747"/>
      <c r="K5556" s="748"/>
      <c r="L5556" s="746"/>
      <c r="M5556" s="747"/>
      <c r="N5556" s="753"/>
    </row>
    <row r="5557" spans="2:14" ht="15" customHeight="1" x14ac:dyDescent="0.25">
      <c r="B5557" s="165"/>
      <c r="C5557" s="145"/>
      <c r="D5557" s="125"/>
      <c r="E5557" s="125"/>
      <c r="F5557" s="125"/>
      <c r="G5557" s="125"/>
      <c r="H5557" s="125"/>
      <c r="I5557" s="746"/>
      <c r="J5557" s="747"/>
      <c r="K5557" s="748"/>
      <c r="L5557" s="746"/>
      <c r="M5557" s="747"/>
      <c r="N5557" s="753"/>
    </row>
    <row r="5558" spans="2:14" ht="15" customHeight="1" x14ac:dyDescent="0.25">
      <c r="B5558" s="124"/>
      <c r="C5558" s="145"/>
      <c r="D5558" s="125"/>
      <c r="E5558" s="125"/>
      <c r="F5558" s="125"/>
      <c r="G5558" s="125"/>
      <c r="H5558" s="125"/>
      <c r="I5558" s="746"/>
      <c r="J5558" s="747"/>
      <c r="K5558" s="748"/>
      <c r="L5558" s="746"/>
      <c r="M5558" s="747"/>
      <c r="N5558" s="753"/>
    </row>
    <row r="5559" spans="2:14" ht="15" customHeight="1" x14ac:dyDescent="0.25">
      <c r="B5559" s="124"/>
      <c r="C5559" s="125"/>
      <c r="D5559" s="125"/>
      <c r="E5559" s="125"/>
      <c r="F5559" s="125"/>
      <c r="G5559" s="125"/>
      <c r="H5559" s="125"/>
      <c r="I5559" s="746"/>
      <c r="J5559" s="747"/>
      <c r="K5559" s="748"/>
      <c r="L5559" s="746"/>
      <c r="M5559" s="747"/>
      <c r="N5559" s="753"/>
    </row>
    <row r="5560" spans="2:14" ht="15" customHeight="1" x14ac:dyDescent="0.25">
      <c r="B5560" s="127"/>
      <c r="C5560" s="125"/>
      <c r="D5560" s="125"/>
      <c r="E5560" s="125"/>
      <c r="F5560" s="125"/>
      <c r="G5560" s="125"/>
      <c r="H5560" s="125"/>
      <c r="I5560" s="749"/>
      <c r="J5560" s="750"/>
      <c r="K5560" s="751"/>
      <c r="L5560" s="749"/>
      <c r="M5560" s="750"/>
      <c r="N5560" s="754"/>
    </row>
    <row r="5561" spans="2:14" ht="15" customHeight="1" x14ac:dyDescent="0.25">
      <c r="B5561" s="225"/>
      <c r="C5561" s="128"/>
      <c r="D5561" s="128"/>
      <c r="E5561" s="128"/>
      <c r="F5561" s="128"/>
      <c r="G5561" s="128"/>
      <c r="H5561" s="128"/>
      <c r="I5561" s="128"/>
      <c r="J5561" s="128"/>
      <c r="K5561" s="128"/>
      <c r="L5561" s="118"/>
      <c r="M5561" s="118"/>
      <c r="N5561" s="210"/>
    </row>
    <row r="5562" spans="2:14" ht="15" customHeight="1" x14ac:dyDescent="0.25">
      <c r="B5562" s="209"/>
      <c r="C5562" s="118"/>
      <c r="D5562" s="118"/>
      <c r="E5562" s="118"/>
      <c r="F5562" s="118"/>
      <c r="G5562" s="118"/>
      <c r="H5562" s="118"/>
      <c r="I5562" s="118"/>
      <c r="J5562" s="118"/>
      <c r="K5562" s="118"/>
      <c r="L5562" s="118"/>
      <c r="M5562" s="118"/>
      <c r="N5562" s="210"/>
    </row>
    <row r="5563" spans="2:14" ht="15" customHeight="1" x14ac:dyDescent="0.25">
      <c r="B5563" s="209"/>
      <c r="C5563" s="118"/>
      <c r="D5563" s="118"/>
      <c r="E5563" s="118"/>
      <c r="F5563" s="118"/>
      <c r="G5563" s="118"/>
      <c r="H5563" s="118"/>
      <c r="I5563" s="118"/>
      <c r="J5563" s="118"/>
      <c r="K5563" s="118"/>
      <c r="L5563" s="118"/>
      <c r="M5563" s="118"/>
      <c r="N5563" s="210"/>
    </row>
    <row r="5564" spans="2:14" ht="15" customHeight="1" thickBot="1" x14ac:dyDescent="0.3">
      <c r="B5564" s="725" t="s">
        <v>414</v>
      </c>
      <c r="C5564" s="726"/>
      <c r="D5564" s="726"/>
      <c r="E5564" s="147"/>
      <c r="F5564" s="147"/>
      <c r="G5564" s="147"/>
      <c r="H5564" s="147"/>
      <c r="I5564" s="727"/>
      <c r="J5564" s="726"/>
      <c r="K5564" s="726"/>
      <c r="L5564" s="130"/>
      <c r="M5564" s="130"/>
      <c r="N5564" s="131"/>
    </row>
    <row r="5565" spans="2:14" ht="15" customHeight="1" thickBot="1" x14ac:dyDescent="0.3"/>
    <row r="5566" spans="2:14" ht="38.450000000000003" customHeight="1" x14ac:dyDescent="0.25">
      <c r="B5566" s="728"/>
      <c r="C5566" s="729"/>
      <c r="D5566" s="730" t="s">
        <v>393</v>
      </c>
      <c r="E5566" s="729"/>
      <c r="F5566" s="729"/>
      <c r="G5566" s="729"/>
      <c r="H5566" s="729"/>
      <c r="I5566" s="729"/>
      <c r="J5566" s="729"/>
      <c r="K5566" s="729"/>
      <c r="L5566" s="729"/>
      <c r="M5566" s="729"/>
      <c r="N5566" s="731"/>
    </row>
    <row r="5567" spans="2:14" ht="15" customHeight="1" x14ac:dyDescent="0.25">
      <c r="B5567" s="732" t="s">
        <v>394</v>
      </c>
      <c r="C5567" s="733"/>
      <c r="D5567" s="733"/>
      <c r="E5567" s="733"/>
      <c r="F5567" s="733"/>
      <c r="G5567" s="733"/>
      <c r="H5567" s="733"/>
      <c r="I5567" s="733"/>
      <c r="J5567" s="733"/>
      <c r="K5567" s="733"/>
      <c r="L5567" s="733"/>
      <c r="M5567" s="733"/>
      <c r="N5567" s="734"/>
    </row>
    <row r="5568" spans="2:14" ht="21" customHeight="1" x14ac:dyDescent="0.25">
      <c r="B5568" s="735" t="s">
        <v>395</v>
      </c>
      <c r="C5568" s="736"/>
      <c r="D5568" s="737" t="str">
        <f>VLOOKUP(B5570,Buenaventura!A9:G6739,3,FALSE)</f>
        <v>Suministro e instalación de recubrimiento cementoso (Recubrimiento a base de cemento, arena y aditivos especiales), impermeable para muros</v>
      </c>
      <c r="E5568" s="738"/>
      <c r="F5568" s="738"/>
      <c r="G5568" s="738"/>
      <c r="H5568" s="738"/>
      <c r="I5568" s="738"/>
      <c r="J5568" s="738"/>
      <c r="K5568" s="738"/>
      <c r="L5568" s="738"/>
      <c r="M5568" s="738"/>
      <c r="N5568" s="739"/>
    </row>
    <row r="5569" spans="2:14" ht="27.6" customHeight="1" x14ac:dyDescent="0.25">
      <c r="B5569" s="740" t="s">
        <v>26</v>
      </c>
      <c r="C5569" s="741"/>
      <c r="D5569" s="119" t="s">
        <v>396</v>
      </c>
      <c r="E5569" s="742" t="s">
        <v>397</v>
      </c>
      <c r="F5569" s="733"/>
      <c r="G5569" s="733"/>
      <c r="H5569" s="736"/>
      <c r="I5569" s="742" t="s">
        <v>398</v>
      </c>
      <c r="J5569" s="733"/>
      <c r="K5569" s="736"/>
      <c r="L5569" s="742" t="s">
        <v>399</v>
      </c>
      <c r="M5569" s="733"/>
      <c r="N5569" s="734"/>
    </row>
    <row r="5570" spans="2:14" ht="15" customHeight="1" x14ac:dyDescent="0.25">
      <c r="B5570" s="283">
        <v>166</v>
      </c>
      <c r="C5570" s="284" t="str">
        <f>VLOOKUP(B5570,Buenaventura!A9:G6752,2,FALSE)</f>
        <v>RI-09</v>
      </c>
      <c r="D5570" s="285">
        <f>SUM(H5573:H5576)</f>
        <v>116.39999999999999</v>
      </c>
      <c r="E5570" s="743" t="str">
        <f>VLOOKUP(B5570,Buenaventura!A9:G6751,4,FALSE)</f>
        <v>M2</v>
      </c>
      <c r="F5570" s="743"/>
      <c r="G5570" s="743"/>
      <c r="H5570" s="743"/>
      <c r="I5570" s="744"/>
      <c r="J5570" s="745"/>
      <c r="K5570" s="741"/>
      <c r="L5570" s="744"/>
      <c r="M5570" s="745"/>
      <c r="N5570" s="752"/>
    </row>
    <row r="5571" spans="2:14" ht="15" customHeight="1" x14ac:dyDescent="0.25">
      <c r="B5571" s="755" t="s">
        <v>416</v>
      </c>
      <c r="C5571" s="733"/>
      <c r="D5571" s="733"/>
      <c r="E5571" s="733"/>
      <c r="F5571" s="733"/>
      <c r="G5571" s="733"/>
      <c r="H5571" s="736"/>
      <c r="I5571" s="746"/>
      <c r="J5571" s="747"/>
      <c r="K5571" s="748"/>
      <c r="L5571" s="746"/>
      <c r="M5571" s="747"/>
      <c r="N5571" s="753"/>
    </row>
    <row r="5572" spans="2:14" ht="15" customHeight="1" x14ac:dyDescent="0.25">
      <c r="B5572" s="121" t="s">
        <v>400</v>
      </c>
      <c r="C5572" s="122" t="s">
        <v>401</v>
      </c>
      <c r="D5572" s="123" t="s">
        <v>402</v>
      </c>
      <c r="E5572" s="123" t="s">
        <v>403</v>
      </c>
      <c r="F5572" s="123" t="s">
        <v>404</v>
      </c>
      <c r="G5572" s="123" t="s">
        <v>405</v>
      </c>
      <c r="H5572" s="123" t="s">
        <v>406</v>
      </c>
      <c r="I5572" s="746"/>
      <c r="J5572" s="747"/>
      <c r="K5572" s="748"/>
      <c r="L5572" s="746"/>
      <c r="M5572" s="747"/>
      <c r="N5572" s="753"/>
    </row>
    <row r="5573" spans="2:14" ht="15" customHeight="1" x14ac:dyDescent="0.25">
      <c r="B5573" s="124"/>
      <c r="C5573" s="145" t="s">
        <v>624</v>
      </c>
      <c r="D5573" s="125"/>
      <c r="E5573" s="125">
        <v>12.5</v>
      </c>
      <c r="F5573" s="125"/>
      <c r="G5573" s="125">
        <v>2.4</v>
      </c>
      <c r="H5573" s="125">
        <f>G5573*E5573</f>
        <v>30</v>
      </c>
      <c r="I5573" s="746"/>
      <c r="J5573" s="747"/>
      <c r="K5573" s="748"/>
      <c r="L5573" s="746"/>
      <c r="M5573" s="747"/>
      <c r="N5573" s="753"/>
    </row>
    <row r="5574" spans="2:14" ht="15" customHeight="1" x14ac:dyDescent="0.25">
      <c r="B5574" s="124"/>
      <c r="C5574" s="145"/>
      <c r="D5574" s="125"/>
      <c r="E5574" s="125"/>
      <c r="F5574" s="125"/>
      <c r="G5574" s="125"/>
      <c r="H5574" s="125">
        <f t="shared" ref="H5574" si="89">G5574*E5574</f>
        <v>0</v>
      </c>
      <c r="I5574" s="746"/>
      <c r="J5574" s="747"/>
      <c r="K5574" s="748"/>
      <c r="L5574" s="746"/>
      <c r="M5574" s="747"/>
      <c r="N5574" s="753"/>
    </row>
    <row r="5575" spans="2:14" ht="15" customHeight="1" x14ac:dyDescent="0.25">
      <c r="B5575" s="165"/>
      <c r="C5575" s="145" t="s">
        <v>530</v>
      </c>
      <c r="D5575" s="125">
        <v>3</v>
      </c>
      <c r="E5575" s="125"/>
      <c r="F5575" s="125">
        <v>12</v>
      </c>
      <c r="G5575" s="125">
        <v>2.4</v>
      </c>
      <c r="H5575" s="125">
        <f>D5575*F5575*G5575</f>
        <v>86.399999999999991</v>
      </c>
      <c r="I5575" s="746"/>
      <c r="J5575" s="747"/>
      <c r="K5575" s="748"/>
      <c r="L5575" s="746"/>
      <c r="M5575" s="747"/>
      <c r="N5575" s="753"/>
    </row>
    <row r="5576" spans="2:14" ht="15" customHeight="1" x14ac:dyDescent="0.25">
      <c r="B5576" s="165"/>
      <c r="C5576" s="145"/>
      <c r="D5576" s="125"/>
      <c r="E5576" s="125"/>
      <c r="F5576" s="125"/>
      <c r="G5576" s="125"/>
      <c r="H5576" s="125"/>
      <c r="I5576" s="746"/>
      <c r="J5576" s="747"/>
      <c r="K5576" s="748"/>
      <c r="L5576" s="746"/>
      <c r="M5576" s="747"/>
      <c r="N5576" s="753"/>
    </row>
    <row r="5577" spans="2:14" ht="15" customHeight="1" x14ac:dyDescent="0.25">
      <c r="B5577" s="165"/>
      <c r="C5577" s="145"/>
      <c r="D5577" s="125"/>
      <c r="E5577" s="125"/>
      <c r="F5577" s="125"/>
      <c r="G5577" s="125"/>
      <c r="H5577" s="125"/>
      <c r="I5577" s="746"/>
      <c r="J5577" s="747"/>
      <c r="K5577" s="748"/>
      <c r="L5577" s="746"/>
      <c r="M5577" s="747"/>
      <c r="N5577" s="753"/>
    </row>
    <row r="5578" spans="2:14" ht="15" customHeight="1" x14ac:dyDescent="0.25">
      <c r="B5578" s="165"/>
      <c r="C5578" s="145"/>
      <c r="D5578" s="125"/>
      <c r="E5578" s="125"/>
      <c r="F5578" s="125"/>
      <c r="G5578" s="125"/>
      <c r="H5578" s="125"/>
      <c r="I5578" s="746"/>
      <c r="J5578" s="747"/>
      <c r="K5578" s="748"/>
      <c r="L5578" s="746"/>
      <c r="M5578" s="747"/>
      <c r="N5578" s="753"/>
    </row>
    <row r="5579" spans="2:14" ht="15" customHeight="1" x14ac:dyDescent="0.25">
      <c r="B5579" s="165"/>
      <c r="C5579" s="145"/>
      <c r="D5579" s="125"/>
      <c r="E5579" s="125"/>
      <c r="F5579" s="125"/>
      <c r="G5579" s="125"/>
      <c r="H5579" s="125"/>
      <c r="I5579" s="746"/>
      <c r="J5579" s="747"/>
      <c r="K5579" s="748"/>
      <c r="L5579" s="746"/>
      <c r="M5579" s="747"/>
      <c r="N5579" s="753"/>
    </row>
    <row r="5580" spans="2:14" ht="15" customHeight="1" x14ac:dyDescent="0.25">
      <c r="B5580" s="124"/>
      <c r="C5580" s="145"/>
      <c r="D5580" s="125"/>
      <c r="E5580" s="125"/>
      <c r="F5580" s="125"/>
      <c r="G5580" s="125"/>
      <c r="H5580" s="125"/>
      <c r="I5580" s="746"/>
      <c r="J5580" s="747"/>
      <c r="K5580" s="748"/>
      <c r="L5580" s="746"/>
      <c r="M5580" s="747"/>
      <c r="N5580" s="753"/>
    </row>
    <row r="5581" spans="2:14" ht="15" customHeight="1" x14ac:dyDescent="0.25">
      <c r="B5581" s="124"/>
      <c r="C5581" s="125"/>
      <c r="D5581" s="125"/>
      <c r="E5581" s="125"/>
      <c r="F5581" s="125"/>
      <c r="G5581" s="125"/>
      <c r="H5581" s="125"/>
      <c r="I5581" s="746"/>
      <c r="J5581" s="747"/>
      <c r="K5581" s="748"/>
      <c r="L5581" s="746"/>
      <c r="M5581" s="747"/>
      <c r="N5581" s="753"/>
    </row>
    <row r="5582" spans="2:14" ht="15" customHeight="1" x14ac:dyDescent="0.25">
      <c r="B5582" s="127"/>
      <c r="C5582" s="125"/>
      <c r="D5582" s="125"/>
      <c r="E5582" s="125"/>
      <c r="F5582" s="125"/>
      <c r="G5582" s="125"/>
      <c r="H5582" s="125"/>
      <c r="I5582" s="749"/>
      <c r="J5582" s="750"/>
      <c r="K5582" s="751"/>
      <c r="L5582" s="749"/>
      <c r="M5582" s="750"/>
      <c r="N5582" s="754"/>
    </row>
    <row r="5583" spans="2:14" ht="15" customHeight="1" x14ac:dyDescent="0.25">
      <c r="B5583" s="225"/>
      <c r="C5583" s="128"/>
      <c r="D5583" s="128"/>
      <c r="E5583" s="128"/>
      <c r="F5583" s="128"/>
      <c r="G5583" s="128"/>
      <c r="H5583" s="128"/>
      <c r="I5583" s="128"/>
      <c r="J5583" s="128"/>
      <c r="K5583" s="128"/>
      <c r="L5583" s="118"/>
      <c r="M5583" s="118"/>
      <c r="N5583" s="210"/>
    </row>
    <row r="5584" spans="2:14" ht="15" customHeight="1" x14ac:dyDescent="0.25">
      <c r="B5584" s="209"/>
      <c r="C5584" s="118"/>
      <c r="D5584" s="118"/>
      <c r="E5584" s="118"/>
      <c r="F5584" s="118"/>
      <c r="G5584" s="118"/>
      <c r="H5584" s="118"/>
      <c r="I5584" s="118"/>
      <c r="J5584" s="118"/>
      <c r="K5584" s="118"/>
      <c r="L5584" s="118"/>
      <c r="M5584" s="118"/>
      <c r="N5584" s="210"/>
    </row>
    <row r="5585" spans="2:14" ht="15" customHeight="1" x14ac:dyDescent="0.25">
      <c r="B5585" s="209"/>
      <c r="C5585" s="118"/>
      <c r="D5585" s="118"/>
      <c r="E5585" s="118"/>
      <c r="F5585" s="118"/>
      <c r="G5585" s="118"/>
      <c r="H5585" s="118"/>
      <c r="I5585" s="118"/>
      <c r="J5585" s="118"/>
      <c r="K5585" s="118"/>
      <c r="L5585" s="118"/>
      <c r="M5585" s="118"/>
      <c r="N5585" s="210"/>
    </row>
    <row r="5586" spans="2:14" ht="15" customHeight="1" thickBot="1" x14ac:dyDescent="0.3">
      <c r="B5586" s="725" t="s">
        <v>414</v>
      </c>
      <c r="C5586" s="726"/>
      <c r="D5586" s="726"/>
      <c r="E5586" s="147"/>
      <c r="F5586" s="147"/>
      <c r="G5586" s="147"/>
      <c r="H5586" s="147"/>
      <c r="I5586" s="727"/>
      <c r="J5586" s="726"/>
      <c r="K5586" s="726"/>
      <c r="L5586" s="130"/>
      <c r="M5586" s="130"/>
      <c r="N5586" s="131"/>
    </row>
    <row r="5587" spans="2:14" ht="15" customHeight="1" thickBot="1" x14ac:dyDescent="0.3"/>
    <row r="5588" spans="2:14" ht="40.9" customHeight="1" x14ac:dyDescent="0.25">
      <c r="B5588" s="728"/>
      <c r="C5588" s="729"/>
      <c r="D5588" s="730" t="s">
        <v>393</v>
      </c>
      <c r="E5588" s="729"/>
      <c r="F5588" s="729"/>
      <c r="G5588" s="729"/>
      <c r="H5588" s="729"/>
      <c r="I5588" s="729"/>
      <c r="J5588" s="729"/>
      <c r="K5588" s="729"/>
      <c r="L5588" s="729"/>
      <c r="M5588" s="729"/>
      <c r="N5588" s="731"/>
    </row>
    <row r="5589" spans="2:14" ht="15" customHeight="1" x14ac:dyDescent="0.25">
      <c r="B5589" s="732" t="s">
        <v>394</v>
      </c>
      <c r="C5589" s="733"/>
      <c r="D5589" s="733"/>
      <c r="E5589" s="733"/>
      <c r="F5589" s="733"/>
      <c r="G5589" s="733"/>
      <c r="H5589" s="733"/>
      <c r="I5589" s="733"/>
      <c r="J5589" s="733"/>
      <c r="K5589" s="733"/>
      <c r="L5589" s="733"/>
      <c r="M5589" s="733"/>
      <c r="N5589" s="734"/>
    </row>
    <row r="5590" spans="2:14" ht="15" customHeight="1" x14ac:dyDescent="0.25">
      <c r="B5590" s="735" t="s">
        <v>395</v>
      </c>
      <c r="C5590" s="736"/>
      <c r="D5590" s="737" t="str">
        <f>VLOOKUP(B5592,Buenaventura!A9:G6761,3,FALSE)</f>
        <v>Suministro y aplicación de estuco plástico (Incluye filos y dilataciones)</v>
      </c>
      <c r="E5590" s="738"/>
      <c r="F5590" s="738"/>
      <c r="G5590" s="738"/>
      <c r="H5590" s="738"/>
      <c r="I5590" s="738"/>
      <c r="J5590" s="738"/>
      <c r="K5590" s="738"/>
      <c r="L5590" s="738"/>
      <c r="M5590" s="738"/>
      <c r="N5590" s="739"/>
    </row>
    <row r="5591" spans="2:14" ht="26.45" customHeight="1" x14ac:dyDescent="0.25">
      <c r="B5591" s="740" t="s">
        <v>26</v>
      </c>
      <c r="C5591" s="741"/>
      <c r="D5591" s="119" t="s">
        <v>396</v>
      </c>
      <c r="E5591" s="742" t="s">
        <v>397</v>
      </c>
      <c r="F5591" s="733"/>
      <c r="G5591" s="733"/>
      <c r="H5591" s="736"/>
      <c r="I5591" s="742" t="s">
        <v>398</v>
      </c>
      <c r="J5591" s="733"/>
      <c r="K5591" s="736"/>
      <c r="L5591" s="742" t="s">
        <v>399</v>
      </c>
      <c r="M5591" s="733"/>
      <c r="N5591" s="734"/>
    </row>
    <row r="5592" spans="2:14" ht="15" customHeight="1" x14ac:dyDescent="0.25">
      <c r="B5592" s="283">
        <v>167</v>
      </c>
      <c r="C5592" s="284" t="str">
        <f>VLOOKUP(B5592,Buenaventura!A9:G6774,2,FALSE)</f>
        <v>AC-01</v>
      </c>
      <c r="D5592" s="285">
        <f>SUM(H5595:H5598)</f>
        <v>36</v>
      </c>
      <c r="E5592" s="743" t="str">
        <f>VLOOKUP(B5592,Buenaventura!A9:G6773,4,FALSE)</f>
        <v>M2</v>
      </c>
      <c r="F5592" s="743"/>
      <c r="G5592" s="743"/>
      <c r="H5592" s="743"/>
      <c r="I5592" s="744"/>
      <c r="J5592" s="745"/>
      <c r="K5592" s="741"/>
      <c r="L5592" s="744"/>
      <c r="M5592" s="745"/>
      <c r="N5592" s="752"/>
    </row>
    <row r="5593" spans="2:14" ht="15" customHeight="1" x14ac:dyDescent="0.25">
      <c r="B5593" s="755" t="s">
        <v>416</v>
      </c>
      <c r="C5593" s="733"/>
      <c r="D5593" s="733"/>
      <c r="E5593" s="733"/>
      <c r="F5593" s="733"/>
      <c r="G5593" s="733"/>
      <c r="H5593" s="736"/>
      <c r="I5593" s="746"/>
      <c r="J5593" s="747"/>
      <c r="K5593" s="748"/>
      <c r="L5593" s="746"/>
      <c r="M5593" s="747"/>
      <c r="N5593" s="753"/>
    </row>
    <row r="5594" spans="2:14" ht="15" customHeight="1" x14ac:dyDescent="0.25">
      <c r="B5594" s="121" t="s">
        <v>400</v>
      </c>
      <c r="C5594" s="122" t="s">
        <v>401</v>
      </c>
      <c r="D5594" s="123" t="s">
        <v>402</v>
      </c>
      <c r="E5594" s="123" t="s">
        <v>403</v>
      </c>
      <c r="F5594" s="123" t="s">
        <v>404</v>
      </c>
      <c r="G5594" s="123" t="s">
        <v>405</v>
      </c>
      <c r="H5594" s="123" t="s">
        <v>406</v>
      </c>
      <c r="I5594" s="746"/>
      <c r="J5594" s="747"/>
      <c r="K5594" s="748"/>
      <c r="L5594" s="746"/>
      <c r="M5594" s="747"/>
      <c r="N5594" s="753"/>
    </row>
    <row r="5595" spans="2:14" ht="15" customHeight="1" x14ac:dyDescent="0.25">
      <c r="B5595" s="124"/>
      <c r="C5595" s="145" t="s">
        <v>624</v>
      </c>
      <c r="D5595" s="125"/>
      <c r="E5595" s="125">
        <v>3</v>
      </c>
      <c r="F5595" s="125">
        <v>12</v>
      </c>
      <c r="G5595" s="125"/>
      <c r="H5595" s="125">
        <f>E5595*F5595</f>
        <v>36</v>
      </c>
      <c r="I5595" s="746"/>
      <c r="J5595" s="747"/>
      <c r="K5595" s="748"/>
      <c r="L5595" s="746"/>
      <c r="M5595" s="747"/>
      <c r="N5595" s="753"/>
    </row>
    <row r="5596" spans="2:14" ht="15" customHeight="1" x14ac:dyDescent="0.25">
      <c r="B5596" s="124"/>
      <c r="C5596" s="145"/>
      <c r="D5596" s="125"/>
      <c r="E5596" s="125"/>
      <c r="F5596" s="125"/>
      <c r="G5596" s="125"/>
      <c r="H5596" s="125"/>
      <c r="I5596" s="746"/>
      <c r="J5596" s="747"/>
      <c r="K5596" s="748"/>
      <c r="L5596" s="746"/>
      <c r="M5596" s="747"/>
      <c r="N5596" s="753"/>
    </row>
    <row r="5597" spans="2:14" ht="15" customHeight="1" x14ac:dyDescent="0.25">
      <c r="B5597" s="165"/>
      <c r="C5597" s="145" t="s">
        <v>530</v>
      </c>
      <c r="D5597" s="125">
        <v>3</v>
      </c>
      <c r="E5597" s="125">
        <v>6</v>
      </c>
      <c r="F5597" s="125">
        <v>12</v>
      </c>
      <c r="G5597" s="125"/>
      <c r="H5597" s="125">
        <f>D5597*F5597*G5597*E5597</f>
        <v>0</v>
      </c>
      <c r="I5597" s="746"/>
      <c r="J5597" s="747"/>
      <c r="K5597" s="748"/>
      <c r="L5597" s="746"/>
      <c r="M5597" s="747"/>
      <c r="N5597" s="753"/>
    </row>
    <row r="5598" spans="2:14" ht="15" customHeight="1" x14ac:dyDescent="0.25">
      <c r="B5598" s="165"/>
      <c r="C5598" s="145"/>
      <c r="D5598" s="125"/>
      <c r="E5598" s="125"/>
      <c r="F5598" s="125"/>
      <c r="G5598" s="125"/>
      <c r="H5598" s="125"/>
      <c r="I5598" s="746"/>
      <c r="J5598" s="747"/>
      <c r="K5598" s="748"/>
      <c r="L5598" s="746"/>
      <c r="M5598" s="747"/>
      <c r="N5598" s="753"/>
    </row>
    <row r="5599" spans="2:14" ht="15" customHeight="1" x14ac:dyDescent="0.25">
      <c r="B5599" s="165"/>
      <c r="C5599" s="145"/>
      <c r="D5599" s="125"/>
      <c r="E5599" s="125"/>
      <c r="F5599" s="125"/>
      <c r="G5599" s="125"/>
      <c r="H5599" s="125"/>
      <c r="I5599" s="746"/>
      <c r="J5599" s="747"/>
      <c r="K5599" s="748"/>
      <c r="L5599" s="746"/>
      <c r="M5599" s="747"/>
      <c r="N5599" s="753"/>
    </row>
    <row r="5600" spans="2:14" ht="15" customHeight="1" x14ac:dyDescent="0.25">
      <c r="B5600" s="165"/>
      <c r="C5600" s="145"/>
      <c r="D5600" s="125"/>
      <c r="E5600" s="125"/>
      <c r="F5600" s="125"/>
      <c r="G5600" s="125"/>
      <c r="H5600" s="125"/>
      <c r="I5600" s="746"/>
      <c r="J5600" s="747"/>
      <c r="K5600" s="748"/>
      <c r="L5600" s="746"/>
      <c r="M5600" s="747"/>
      <c r="N5600" s="753"/>
    </row>
    <row r="5601" spans="2:14" ht="15" customHeight="1" x14ac:dyDescent="0.25">
      <c r="B5601" s="165"/>
      <c r="C5601" s="145"/>
      <c r="D5601" s="125"/>
      <c r="E5601" s="125"/>
      <c r="F5601" s="125"/>
      <c r="G5601" s="125"/>
      <c r="H5601" s="125"/>
      <c r="I5601" s="746"/>
      <c r="J5601" s="747"/>
      <c r="K5601" s="748"/>
      <c r="L5601" s="746"/>
      <c r="M5601" s="747"/>
      <c r="N5601" s="753"/>
    </row>
    <row r="5602" spans="2:14" ht="15" customHeight="1" x14ac:dyDescent="0.25">
      <c r="B5602" s="124"/>
      <c r="C5602" s="145"/>
      <c r="D5602" s="125"/>
      <c r="E5602" s="125"/>
      <c r="F5602" s="125"/>
      <c r="G5602" s="125"/>
      <c r="H5602" s="125"/>
      <c r="I5602" s="746"/>
      <c r="J5602" s="747"/>
      <c r="K5602" s="748"/>
      <c r="L5602" s="746"/>
      <c r="M5602" s="747"/>
      <c r="N5602" s="753"/>
    </row>
    <row r="5603" spans="2:14" ht="15" customHeight="1" x14ac:dyDescent="0.25">
      <c r="B5603" s="124"/>
      <c r="C5603" s="125"/>
      <c r="D5603" s="125"/>
      <c r="E5603" s="125"/>
      <c r="F5603" s="125"/>
      <c r="G5603" s="125"/>
      <c r="H5603" s="125"/>
      <c r="I5603" s="746"/>
      <c r="J5603" s="747"/>
      <c r="K5603" s="748"/>
      <c r="L5603" s="746"/>
      <c r="M5603" s="747"/>
      <c r="N5603" s="753"/>
    </row>
    <row r="5604" spans="2:14" ht="15" customHeight="1" x14ac:dyDescent="0.25">
      <c r="B5604" s="127"/>
      <c r="C5604" s="125"/>
      <c r="D5604" s="125"/>
      <c r="E5604" s="125"/>
      <c r="F5604" s="125"/>
      <c r="G5604" s="125"/>
      <c r="H5604" s="125"/>
      <c r="I5604" s="749"/>
      <c r="J5604" s="750"/>
      <c r="K5604" s="751"/>
      <c r="L5604" s="749"/>
      <c r="M5604" s="750"/>
      <c r="N5604" s="754"/>
    </row>
    <row r="5605" spans="2:14" ht="15" customHeight="1" x14ac:dyDescent="0.25">
      <c r="B5605" s="225"/>
      <c r="C5605" s="128"/>
      <c r="D5605" s="128"/>
      <c r="E5605" s="128"/>
      <c r="F5605" s="128"/>
      <c r="G5605" s="128"/>
      <c r="H5605" s="128"/>
      <c r="I5605" s="128"/>
      <c r="J5605" s="128"/>
      <c r="K5605" s="128"/>
      <c r="L5605" s="118"/>
      <c r="M5605" s="118"/>
      <c r="N5605" s="210"/>
    </row>
    <row r="5606" spans="2:14" ht="15" customHeight="1" x14ac:dyDescent="0.25">
      <c r="B5606" s="209"/>
      <c r="C5606" s="118"/>
      <c r="D5606" s="118"/>
      <c r="E5606" s="118"/>
      <c r="F5606" s="118"/>
      <c r="G5606" s="118"/>
      <c r="H5606" s="118"/>
      <c r="I5606" s="118"/>
      <c r="J5606" s="118"/>
      <c r="K5606" s="118"/>
      <c r="L5606" s="118"/>
      <c r="M5606" s="118"/>
      <c r="N5606" s="210"/>
    </row>
    <row r="5607" spans="2:14" ht="15" customHeight="1" x14ac:dyDescent="0.25">
      <c r="B5607" s="209"/>
      <c r="C5607" s="118"/>
      <c r="D5607" s="118"/>
      <c r="E5607" s="118"/>
      <c r="F5607" s="118"/>
      <c r="G5607" s="118"/>
      <c r="H5607" s="118"/>
      <c r="I5607" s="118"/>
      <c r="J5607" s="118"/>
      <c r="K5607" s="118"/>
      <c r="L5607" s="118"/>
      <c r="M5607" s="118"/>
      <c r="N5607" s="210"/>
    </row>
    <row r="5608" spans="2:14" ht="15" customHeight="1" thickBot="1" x14ac:dyDescent="0.3">
      <c r="B5608" s="725" t="s">
        <v>414</v>
      </c>
      <c r="C5608" s="726"/>
      <c r="D5608" s="726"/>
      <c r="E5608" s="147"/>
      <c r="F5608" s="147"/>
      <c r="G5608" s="147"/>
      <c r="H5608" s="147"/>
      <c r="I5608" s="727"/>
      <c r="J5608" s="726"/>
      <c r="K5608" s="726"/>
      <c r="L5608" s="130"/>
      <c r="M5608" s="130"/>
      <c r="N5608" s="131"/>
    </row>
    <row r="5609" spans="2:14" ht="15" customHeight="1" thickBot="1" x14ac:dyDescent="0.3"/>
    <row r="5610" spans="2:14" ht="38.450000000000003" customHeight="1" x14ac:dyDescent="0.25">
      <c r="B5610" s="728"/>
      <c r="C5610" s="729"/>
      <c r="D5610" s="730" t="s">
        <v>393</v>
      </c>
      <c r="E5610" s="729"/>
      <c r="F5610" s="729"/>
      <c r="G5610" s="729"/>
      <c r="H5610" s="729"/>
      <c r="I5610" s="729"/>
      <c r="J5610" s="729"/>
      <c r="K5610" s="729"/>
      <c r="L5610" s="729"/>
      <c r="M5610" s="729"/>
      <c r="N5610" s="731"/>
    </row>
    <row r="5611" spans="2:14" ht="15" customHeight="1" x14ac:dyDescent="0.25">
      <c r="B5611" s="732" t="s">
        <v>394</v>
      </c>
      <c r="C5611" s="733"/>
      <c r="D5611" s="733"/>
      <c r="E5611" s="733"/>
      <c r="F5611" s="733"/>
      <c r="G5611" s="733"/>
      <c r="H5611" s="733"/>
      <c r="I5611" s="733"/>
      <c r="J5611" s="733"/>
      <c r="K5611" s="733"/>
      <c r="L5611" s="733"/>
      <c r="M5611" s="733"/>
      <c r="N5611" s="734"/>
    </row>
    <row r="5612" spans="2:14" ht="15" customHeight="1" x14ac:dyDescent="0.25">
      <c r="B5612" s="735" t="s">
        <v>395</v>
      </c>
      <c r="C5612" s="736"/>
      <c r="D5612" s="737" t="str">
        <f>VLOOKUP(B5614,Buenaventura!A9:G6783,3,FALSE)</f>
        <v>Suministro y aplicación de vinilo tipo 1 (2 manos)(Incluye filos y dilataciones)</v>
      </c>
      <c r="E5612" s="738"/>
      <c r="F5612" s="738"/>
      <c r="G5612" s="738"/>
      <c r="H5612" s="738"/>
      <c r="I5612" s="738"/>
      <c r="J5612" s="738"/>
      <c r="K5612" s="738"/>
      <c r="L5612" s="738"/>
      <c r="M5612" s="738"/>
      <c r="N5612" s="739"/>
    </row>
    <row r="5613" spans="2:14" ht="26.45" customHeight="1" x14ac:dyDescent="0.25">
      <c r="B5613" s="740" t="s">
        <v>26</v>
      </c>
      <c r="C5613" s="741"/>
      <c r="D5613" s="119" t="s">
        <v>396</v>
      </c>
      <c r="E5613" s="742" t="s">
        <v>397</v>
      </c>
      <c r="F5613" s="733"/>
      <c r="G5613" s="733"/>
      <c r="H5613" s="736"/>
      <c r="I5613" s="742" t="s">
        <v>398</v>
      </c>
      <c r="J5613" s="733"/>
      <c r="K5613" s="736"/>
      <c r="L5613" s="742" t="s">
        <v>399</v>
      </c>
      <c r="M5613" s="733"/>
      <c r="N5613" s="734"/>
    </row>
    <row r="5614" spans="2:14" ht="15" customHeight="1" x14ac:dyDescent="0.25">
      <c r="B5614" s="283">
        <v>168</v>
      </c>
      <c r="C5614" s="284" t="str">
        <f>VLOOKUP(B5614,Buenaventura!A9:G6796,2,FALSE)</f>
        <v>AC-03</v>
      </c>
      <c r="D5614" s="285">
        <f>SUM(H5617:H5620)*50%</f>
        <v>9</v>
      </c>
      <c r="E5614" s="743" t="str">
        <f>VLOOKUP(B5614,Buenaventura!A9:G6795,4,FALSE)</f>
        <v>M2</v>
      </c>
      <c r="F5614" s="743"/>
      <c r="G5614" s="743"/>
      <c r="H5614" s="743"/>
      <c r="I5614" s="744"/>
      <c r="J5614" s="745"/>
      <c r="K5614" s="741"/>
      <c r="L5614" s="744"/>
      <c r="M5614" s="745"/>
      <c r="N5614" s="752"/>
    </row>
    <row r="5615" spans="2:14" ht="15" customHeight="1" x14ac:dyDescent="0.25">
      <c r="B5615" s="755" t="s">
        <v>416</v>
      </c>
      <c r="C5615" s="733"/>
      <c r="D5615" s="733"/>
      <c r="E5615" s="733"/>
      <c r="F5615" s="733"/>
      <c r="G5615" s="733"/>
      <c r="H5615" s="736"/>
      <c r="I5615" s="746"/>
      <c r="J5615" s="747"/>
      <c r="K5615" s="748"/>
      <c r="L5615" s="746"/>
      <c r="M5615" s="747"/>
      <c r="N5615" s="753"/>
    </row>
    <row r="5616" spans="2:14" ht="15" customHeight="1" x14ac:dyDescent="0.25">
      <c r="B5616" s="121" t="s">
        <v>400</v>
      </c>
      <c r="C5616" s="122" t="s">
        <v>401</v>
      </c>
      <c r="D5616" s="123" t="s">
        <v>402</v>
      </c>
      <c r="E5616" s="123" t="s">
        <v>403</v>
      </c>
      <c r="F5616" s="123" t="s">
        <v>404</v>
      </c>
      <c r="G5616" s="123" t="s">
        <v>405</v>
      </c>
      <c r="H5616" s="123" t="s">
        <v>406</v>
      </c>
      <c r="I5616" s="746"/>
      <c r="J5616" s="747"/>
      <c r="K5616" s="748"/>
      <c r="L5616" s="746"/>
      <c r="M5616" s="747"/>
      <c r="N5616" s="753"/>
    </row>
    <row r="5617" spans="2:14" ht="15" customHeight="1" x14ac:dyDescent="0.25">
      <c r="B5617" s="124"/>
      <c r="C5617" s="145" t="s">
        <v>624</v>
      </c>
      <c r="D5617" s="125">
        <v>18</v>
      </c>
      <c r="E5617" s="125"/>
      <c r="F5617" s="125"/>
      <c r="G5617" s="125"/>
      <c r="H5617" s="125">
        <f>D5617</f>
        <v>18</v>
      </c>
      <c r="I5617" s="746"/>
      <c r="J5617" s="747"/>
      <c r="K5617" s="748"/>
      <c r="L5617" s="746"/>
      <c r="M5617" s="747"/>
      <c r="N5617" s="753"/>
    </row>
    <row r="5618" spans="2:14" ht="15" customHeight="1" x14ac:dyDescent="0.25">
      <c r="B5618" s="124"/>
      <c r="C5618" s="145"/>
      <c r="D5618" s="125"/>
      <c r="E5618" s="125"/>
      <c r="F5618" s="125"/>
      <c r="G5618" s="125"/>
      <c r="H5618" s="125"/>
      <c r="I5618" s="746"/>
      <c r="J5618" s="747"/>
      <c r="K5618" s="748"/>
      <c r="L5618" s="746"/>
      <c r="M5618" s="747"/>
      <c r="N5618" s="753"/>
    </row>
    <row r="5619" spans="2:14" ht="15" customHeight="1" x14ac:dyDescent="0.25">
      <c r="B5619" s="165"/>
      <c r="C5619" s="145"/>
      <c r="D5619" s="125"/>
      <c r="E5619" s="125"/>
      <c r="F5619" s="125"/>
      <c r="G5619" s="125"/>
      <c r="H5619" s="125"/>
      <c r="I5619" s="746"/>
      <c r="J5619" s="747"/>
      <c r="K5619" s="748"/>
      <c r="L5619" s="746"/>
      <c r="M5619" s="747"/>
      <c r="N5619" s="753"/>
    </row>
    <row r="5620" spans="2:14" ht="15" customHeight="1" x14ac:dyDescent="0.25">
      <c r="B5620" s="165"/>
      <c r="C5620" s="145"/>
      <c r="D5620" s="125"/>
      <c r="E5620" s="125"/>
      <c r="F5620" s="125"/>
      <c r="G5620" s="125"/>
      <c r="H5620" s="125"/>
      <c r="I5620" s="746"/>
      <c r="J5620" s="747"/>
      <c r="K5620" s="748"/>
      <c r="L5620" s="746"/>
      <c r="M5620" s="747"/>
      <c r="N5620" s="753"/>
    </row>
    <row r="5621" spans="2:14" ht="15" customHeight="1" x14ac:dyDescent="0.25">
      <c r="B5621" s="165"/>
      <c r="C5621" s="145"/>
      <c r="D5621" s="125"/>
      <c r="E5621" s="125"/>
      <c r="F5621" s="125"/>
      <c r="G5621" s="125"/>
      <c r="H5621" s="125"/>
      <c r="I5621" s="746"/>
      <c r="J5621" s="747"/>
      <c r="K5621" s="748"/>
      <c r="L5621" s="746"/>
      <c r="M5621" s="747"/>
      <c r="N5621" s="753"/>
    </row>
    <row r="5622" spans="2:14" ht="15" customHeight="1" x14ac:dyDescent="0.25">
      <c r="B5622" s="165"/>
      <c r="C5622" s="145"/>
      <c r="D5622" s="125"/>
      <c r="E5622" s="125"/>
      <c r="F5622" s="125"/>
      <c r="G5622" s="125"/>
      <c r="H5622" s="125"/>
      <c r="I5622" s="746"/>
      <c r="J5622" s="747"/>
      <c r="K5622" s="748"/>
      <c r="L5622" s="746"/>
      <c r="M5622" s="747"/>
      <c r="N5622" s="753"/>
    </row>
    <row r="5623" spans="2:14" ht="15" customHeight="1" x14ac:dyDescent="0.25">
      <c r="B5623" s="165"/>
      <c r="C5623" s="145"/>
      <c r="D5623" s="125"/>
      <c r="E5623" s="125"/>
      <c r="F5623" s="125"/>
      <c r="G5623" s="125"/>
      <c r="H5623" s="125"/>
      <c r="I5623" s="746"/>
      <c r="J5623" s="747"/>
      <c r="K5623" s="748"/>
      <c r="L5623" s="746"/>
      <c r="M5623" s="747"/>
      <c r="N5623" s="753"/>
    </row>
    <row r="5624" spans="2:14" ht="15" customHeight="1" x14ac:dyDescent="0.25">
      <c r="B5624" s="124"/>
      <c r="C5624" s="145"/>
      <c r="D5624" s="125"/>
      <c r="E5624" s="125"/>
      <c r="F5624" s="125"/>
      <c r="G5624" s="125"/>
      <c r="H5624" s="125"/>
      <c r="I5624" s="746"/>
      <c r="J5624" s="747"/>
      <c r="K5624" s="748"/>
      <c r="L5624" s="746"/>
      <c r="M5624" s="747"/>
      <c r="N5624" s="753"/>
    </row>
    <row r="5625" spans="2:14" ht="15" customHeight="1" x14ac:dyDescent="0.25">
      <c r="B5625" s="124"/>
      <c r="C5625" s="125"/>
      <c r="D5625" s="125"/>
      <c r="E5625" s="125"/>
      <c r="F5625" s="125"/>
      <c r="G5625" s="125"/>
      <c r="H5625" s="125"/>
      <c r="I5625" s="746"/>
      <c r="J5625" s="747"/>
      <c r="K5625" s="748"/>
      <c r="L5625" s="746"/>
      <c r="M5625" s="747"/>
      <c r="N5625" s="753"/>
    </row>
    <row r="5626" spans="2:14" ht="15" customHeight="1" x14ac:dyDescent="0.25">
      <c r="B5626" s="127"/>
      <c r="C5626" s="125"/>
      <c r="D5626" s="125"/>
      <c r="E5626" s="125"/>
      <c r="F5626" s="125"/>
      <c r="G5626" s="125"/>
      <c r="H5626" s="125"/>
      <c r="I5626" s="749"/>
      <c r="J5626" s="750"/>
      <c r="K5626" s="751"/>
      <c r="L5626" s="749"/>
      <c r="M5626" s="750"/>
      <c r="N5626" s="754"/>
    </row>
    <row r="5627" spans="2:14" ht="15" customHeight="1" x14ac:dyDescent="0.25">
      <c r="B5627" s="225"/>
      <c r="C5627" s="128"/>
      <c r="D5627" s="128"/>
      <c r="E5627" s="128"/>
      <c r="F5627" s="128"/>
      <c r="G5627" s="128"/>
      <c r="H5627" s="128"/>
      <c r="I5627" s="128"/>
      <c r="J5627" s="128"/>
      <c r="K5627" s="128"/>
      <c r="L5627" s="118"/>
      <c r="M5627" s="118"/>
      <c r="N5627" s="210"/>
    </row>
    <row r="5628" spans="2:14" ht="15" customHeight="1" x14ac:dyDescent="0.25">
      <c r="B5628" s="209"/>
      <c r="C5628" s="118"/>
      <c r="D5628" s="118"/>
      <c r="E5628" s="118"/>
      <c r="F5628" s="118"/>
      <c r="G5628" s="118"/>
      <c r="H5628" s="118"/>
      <c r="I5628" s="118"/>
      <c r="J5628" s="118"/>
      <c r="K5628" s="118"/>
      <c r="L5628" s="118"/>
      <c r="M5628" s="118"/>
      <c r="N5628" s="210"/>
    </row>
    <row r="5629" spans="2:14" ht="15" customHeight="1" x14ac:dyDescent="0.25">
      <c r="B5629" s="209"/>
      <c r="C5629" s="118"/>
      <c r="D5629" s="118"/>
      <c r="E5629" s="118"/>
      <c r="F5629" s="118"/>
      <c r="G5629" s="118"/>
      <c r="H5629" s="118"/>
      <c r="I5629" s="118"/>
      <c r="J5629" s="118"/>
      <c r="K5629" s="118"/>
      <c r="L5629" s="118"/>
      <c r="M5629" s="118"/>
      <c r="N5629" s="210"/>
    </row>
    <row r="5630" spans="2:14" ht="15" customHeight="1" thickBot="1" x14ac:dyDescent="0.3">
      <c r="B5630" s="725" t="s">
        <v>414</v>
      </c>
      <c r="C5630" s="726"/>
      <c r="D5630" s="726"/>
      <c r="E5630" s="147"/>
      <c r="F5630" s="147"/>
      <c r="G5630" s="147"/>
      <c r="H5630" s="147"/>
      <c r="I5630" s="727"/>
      <c r="J5630" s="726"/>
      <c r="K5630" s="726"/>
      <c r="L5630" s="130"/>
      <c r="M5630" s="130"/>
      <c r="N5630" s="131"/>
    </row>
    <row r="5631" spans="2:14" ht="15" customHeight="1" thickBot="1" x14ac:dyDescent="0.3"/>
    <row r="5632" spans="2:14" ht="42" customHeight="1" x14ac:dyDescent="0.25">
      <c r="B5632" s="728"/>
      <c r="C5632" s="729"/>
      <c r="D5632" s="730" t="s">
        <v>393</v>
      </c>
      <c r="E5632" s="729"/>
      <c r="F5632" s="729"/>
      <c r="G5632" s="729"/>
      <c r="H5632" s="729"/>
      <c r="I5632" s="729"/>
      <c r="J5632" s="729"/>
      <c r="K5632" s="729"/>
      <c r="L5632" s="729"/>
      <c r="M5632" s="729"/>
      <c r="N5632" s="731"/>
    </row>
    <row r="5633" spans="2:14" ht="15" customHeight="1" x14ac:dyDescent="0.25">
      <c r="B5633" s="732" t="s">
        <v>394</v>
      </c>
      <c r="C5633" s="733"/>
      <c r="D5633" s="733"/>
      <c r="E5633" s="733"/>
      <c r="F5633" s="733"/>
      <c r="G5633" s="733"/>
      <c r="H5633" s="733"/>
      <c r="I5633" s="733"/>
      <c r="J5633" s="733"/>
      <c r="K5633" s="733"/>
      <c r="L5633" s="733"/>
      <c r="M5633" s="733"/>
      <c r="N5633" s="734"/>
    </row>
    <row r="5634" spans="2:14" ht="15" customHeight="1" x14ac:dyDescent="0.25">
      <c r="B5634" s="735" t="s">
        <v>395</v>
      </c>
      <c r="C5634" s="736"/>
      <c r="D5634" s="737" t="str">
        <f>VLOOKUP(B5636,Buenaventura!A9:G6805,3,FALSE)</f>
        <v>Suministro y aplicación de pintura cielo vinilo tipo 2</v>
      </c>
      <c r="E5634" s="738"/>
      <c r="F5634" s="738"/>
      <c r="G5634" s="738"/>
      <c r="H5634" s="738"/>
      <c r="I5634" s="738"/>
      <c r="J5634" s="738"/>
      <c r="K5634" s="738"/>
      <c r="L5634" s="738"/>
      <c r="M5634" s="738"/>
      <c r="N5634" s="739"/>
    </row>
    <row r="5635" spans="2:14" ht="25.9" customHeight="1" x14ac:dyDescent="0.25">
      <c r="B5635" s="740" t="s">
        <v>26</v>
      </c>
      <c r="C5635" s="741"/>
      <c r="D5635" s="119" t="s">
        <v>396</v>
      </c>
      <c r="E5635" s="742" t="s">
        <v>397</v>
      </c>
      <c r="F5635" s="733"/>
      <c r="G5635" s="733"/>
      <c r="H5635" s="736"/>
      <c r="I5635" s="742" t="s">
        <v>398</v>
      </c>
      <c r="J5635" s="733"/>
      <c r="K5635" s="736"/>
      <c r="L5635" s="742" t="s">
        <v>399</v>
      </c>
      <c r="M5635" s="733"/>
      <c r="N5635" s="734"/>
    </row>
    <row r="5636" spans="2:14" ht="15" customHeight="1" x14ac:dyDescent="0.25">
      <c r="B5636" s="283">
        <v>169</v>
      </c>
      <c r="C5636" s="284" t="str">
        <f>VLOOKUP(B5636,Buenaventura!A9:G6818,2,FALSE)</f>
        <v>AC-06</v>
      </c>
      <c r="D5636" s="285">
        <f>SUM(H5639:H5642)*50%</f>
        <v>9</v>
      </c>
      <c r="E5636" s="743" t="str">
        <f>VLOOKUP(B5636,Buenaventura!A9:G6817,4,FALSE)</f>
        <v>M2</v>
      </c>
      <c r="F5636" s="743"/>
      <c r="G5636" s="743"/>
      <c r="H5636" s="743"/>
      <c r="I5636" s="744"/>
      <c r="J5636" s="745"/>
      <c r="K5636" s="741"/>
      <c r="L5636" s="744"/>
      <c r="M5636" s="745"/>
      <c r="N5636" s="752"/>
    </row>
    <row r="5637" spans="2:14" ht="15" customHeight="1" x14ac:dyDescent="0.25">
      <c r="B5637" s="755" t="s">
        <v>416</v>
      </c>
      <c r="C5637" s="733"/>
      <c r="D5637" s="733"/>
      <c r="E5637" s="733"/>
      <c r="F5637" s="733"/>
      <c r="G5637" s="733"/>
      <c r="H5637" s="736"/>
      <c r="I5637" s="746"/>
      <c r="J5637" s="747"/>
      <c r="K5637" s="748"/>
      <c r="L5637" s="746"/>
      <c r="M5637" s="747"/>
      <c r="N5637" s="753"/>
    </row>
    <row r="5638" spans="2:14" ht="15" customHeight="1" x14ac:dyDescent="0.25">
      <c r="B5638" s="121" t="s">
        <v>400</v>
      </c>
      <c r="C5638" s="122" t="s">
        <v>401</v>
      </c>
      <c r="D5638" s="123" t="s">
        <v>402</v>
      </c>
      <c r="E5638" s="123" t="s">
        <v>403</v>
      </c>
      <c r="F5638" s="123" t="s">
        <v>404</v>
      </c>
      <c r="G5638" s="123" t="s">
        <v>405</v>
      </c>
      <c r="H5638" s="123" t="s">
        <v>406</v>
      </c>
      <c r="I5638" s="746"/>
      <c r="J5638" s="747"/>
      <c r="K5638" s="748"/>
      <c r="L5638" s="746"/>
      <c r="M5638" s="747"/>
      <c r="N5638" s="753"/>
    </row>
    <row r="5639" spans="2:14" ht="15" customHeight="1" x14ac:dyDescent="0.25">
      <c r="B5639" s="124"/>
      <c r="C5639" s="145" t="s">
        <v>624</v>
      </c>
      <c r="D5639" s="125">
        <v>18</v>
      </c>
      <c r="E5639" s="125"/>
      <c r="F5639" s="125"/>
      <c r="G5639" s="125"/>
      <c r="H5639" s="125">
        <f>D5639</f>
        <v>18</v>
      </c>
      <c r="I5639" s="746"/>
      <c r="J5639" s="747"/>
      <c r="K5639" s="748"/>
      <c r="L5639" s="746"/>
      <c r="M5639" s="747"/>
      <c r="N5639" s="753"/>
    </row>
    <row r="5640" spans="2:14" ht="15" customHeight="1" x14ac:dyDescent="0.25">
      <c r="B5640" s="124"/>
      <c r="C5640" s="145"/>
      <c r="D5640" s="125"/>
      <c r="E5640" s="125"/>
      <c r="F5640" s="125"/>
      <c r="G5640" s="125"/>
      <c r="H5640" s="125"/>
      <c r="I5640" s="746"/>
      <c r="J5640" s="747"/>
      <c r="K5640" s="748"/>
      <c r="L5640" s="746"/>
      <c r="M5640" s="747"/>
      <c r="N5640" s="753"/>
    </row>
    <row r="5641" spans="2:14" ht="15" customHeight="1" x14ac:dyDescent="0.25">
      <c r="B5641" s="165"/>
      <c r="C5641" s="145"/>
      <c r="D5641" s="125"/>
      <c r="E5641" s="125"/>
      <c r="F5641" s="125"/>
      <c r="G5641" s="125"/>
      <c r="H5641" s="125"/>
      <c r="I5641" s="746"/>
      <c r="J5641" s="747"/>
      <c r="K5641" s="748"/>
      <c r="L5641" s="746"/>
      <c r="M5641" s="747"/>
      <c r="N5641" s="753"/>
    </row>
    <row r="5642" spans="2:14" ht="15" customHeight="1" x14ac:dyDescent="0.25">
      <c r="B5642" s="165"/>
      <c r="C5642" s="145"/>
      <c r="D5642" s="125"/>
      <c r="E5642" s="125"/>
      <c r="F5642" s="125"/>
      <c r="G5642" s="125"/>
      <c r="H5642" s="125"/>
      <c r="I5642" s="746"/>
      <c r="J5642" s="747"/>
      <c r="K5642" s="748"/>
      <c r="L5642" s="746"/>
      <c r="M5642" s="747"/>
      <c r="N5642" s="753"/>
    </row>
    <row r="5643" spans="2:14" ht="15" customHeight="1" x14ac:dyDescent="0.25">
      <c r="B5643" s="165"/>
      <c r="C5643" s="145"/>
      <c r="D5643" s="125"/>
      <c r="E5643" s="125"/>
      <c r="F5643" s="125"/>
      <c r="G5643" s="125"/>
      <c r="H5643" s="125"/>
      <c r="I5643" s="746"/>
      <c r="J5643" s="747"/>
      <c r="K5643" s="748"/>
      <c r="L5643" s="746"/>
      <c r="M5643" s="747"/>
      <c r="N5643" s="753"/>
    </row>
    <row r="5644" spans="2:14" ht="15" customHeight="1" x14ac:dyDescent="0.25">
      <c r="B5644" s="165"/>
      <c r="C5644" s="145"/>
      <c r="D5644" s="125"/>
      <c r="E5644" s="125"/>
      <c r="F5644" s="125"/>
      <c r="G5644" s="125"/>
      <c r="H5644" s="125"/>
      <c r="I5644" s="746"/>
      <c r="J5644" s="747"/>
      <c r="K5644" s="748"/>
      <c r="L5644" s="746"/>
      <c r="M5644" s="747"/>
      <c r="N5644" s="753"/>
    </row>
    <row r="5645" spans="2:14" ht="15" customHeight="1" x14ac:dyDescent="0.25">
      <c r="B5645" s="165"/>
      <c r="C5645" s="145"/>
      <c r="D5645" s="125"/>
      <c r="E5645" s="125"/>
      <c r="F5645" s="125"/>
      <c r="G5645" s="125"/>
      <c r="H5645" s="125"/>
      <c r="I5645" s="746"/>
      <c r="J5645" s="747"/>
      <c r="K5645" s="748"/>
      <c r="L5645" s="746"/>
      <c r="M5645" s="747"/>
      <c r="N5645" s="753"/>
    </row>
    <row r="5646" spans="2:14" ht="15" customHeight="1" x14ac:dyDescent="0.25">
      <c r="B5646" s="124"/>
      <c r="C5646" s="145"/>
      <c r="D5646" s="125"/>
      <c r="E5646" s="125"/>
      <c r="F5646" s="125"/>
      <c r="G5646" s="125"/>
      <c r="H5646" s="125"/>
      <c r="I5646" s="746"/>
      <c r="J5646" s="747"/>
      <c r="K5646" s="748"/>
      <c r="L5646" s="746"/>
      <c r="M5646" s="747"/>
      <c r="N5646" s="753"/>
    </row>
    <row r="5647" spans="2:14" ht="15" customHeight="1" x14ac:dyDescent="0.25">
      <c r="B5647" s="124"/>
      <c r="C5647" s="125"/>
      <c r="D5647" s="125"/>
      <c r="E5647" s="125"/>
      <c r="F5647" s="125"/>
      <c r="G5647" s="125"/>
      <c r="H5647" s="125"/>
      <c r="I5647" s="746"/>
      <c r="J5647" s="747"/>
      <c r="K5647" s="748"/>
      <c r="L5647" s="746"/>
      <c r="M5647" s="747"/>
      <c r="N5647" s="753"/>
    </row>
    <row r="5648" spans="2:14" ht="15" customHeight="1" x14ac:dyDescent="0.25">
      <c r="B5648" s="127"/>
      <c r="C5648" s="125"/>
      <c r="D5648" s="125"/>
      <c r="E5648" s="125"/>
      <c r="F5648" s="125"/>
      <c r="G5648" s="125"/>
      <c r="H5648" s="125"/>
      <c r="I5648" s="749"/>
      <c r="J5648" s="750"/>
      <c r="K5648" s="751"/>
      <c r="L5648" s="749"/>
      <c r="M5648" s="750"/>
      <c r="N5648" s="754"/>
    </row>
    <row r="5649" spans="2:14" ht="15" customHeight="1" x14ac:dyDescent="0.25">
      <c r="B5649" s="225"/>
      <c r="C5649" s="128"/>
      <c r="D5649" s="128"/>
      <c r="E5649" s="128"/>
      <c r="F5649" s="128"/>
      <c r="G5649" s="128"/>
      <c r="H5649" s="128"/>
      <c r="I5649" s="128"/>
      <c r="J5649" s="128"/>
      <c r="K5649" s="128"/>
      <c r="L5649" s="118"/>
      <c r="M5649" s="118"/>
      <c r="N5649" s="210"/>
    </row>
    <row r="5650" spans="2:14" ht="15" customHeight="1" x14ac:dyDescent="0.25">
      <c r="B5650" s="209"/>
      <c r="C5650" s="118"/>
      <c r="D5650" s="118"/>
      <c r="E5650" s="118"/>
      <c r="F5650" s="118"/>
      <c r="G5650" s="118"/>
      <c r="H5650" s="118"/>
      <c r="I5650" s="118"/>
      <c r="J5650" s="118"/>
      <c r="K5650" s="118"/>
      <c r="L5650" s="118"/>
      <c r="M5650" s="118"/>
      <c r="N5650" s="210"/>
    </row>
    <row r="5651" spans="2:14" ht="15" customHeight="1" x14ac:dyDescent="0.25">
      <c r="B5651" s="209"/>
      <c r="C5651" s="118"/>
      <c r="D5651" s="118"/>
      <c r="E5651" s="118"/>
      <c r="F5651" s="118"/>
      <c r="G5651" s="118"/>
      <c r="H5651" s="118"/>
      <c r="I5651" s="118"/>
      <c r="J5651" s="118"/>
      <c r="K5651" s="118"/>
      <c r="L5651" s="118"/>
      <c r="M5651" s="118"/>
      <c r="N5651" s="210"/>
    </row>
    <row r="5652" spans="2:14" ht="15" customHeight="1" thickBot="1" x14ac:dyDescent="0.3">
      <c r="B5652" s="725" t="s">
        <v>414</v>
      </c>
      <c r="C5652" s="726"/>
      <c r="D5652" s="726"/>
      <c r="E5652" s="147"/>
      <c r="F5652" s="147"/>
      <c r="G5652" s="147"/>
      <c r="H5652" s="147"/>
      <c r="I5652" s="727"/>
      <c r="J5652" s="726"/>
      <c r="K5652" s="726"/>
      <c r="L5652" s="130"/>
      <c r="M5652" s="130"/>
      <c r="N5652" s="131"/>
    </row>
    <row r="5653" spans="2:14" ht="15" customHeight="1" thickBot="1" x14ac:dyDescent="0.3"/>
    <row r="5654" spans="2:14" ht="42.6" customHeight="1" x14ac:dyDescent="0.25">
      <c r="B5654" s="728"/>
      <c r="C5654" s="729"/>
      <c r="D5654" s="730" t="s">
        <v>393</v>
      </c>
      <c r="E5654" s="729"/>
      <c r="F5654" s="729"/>
      <c r="G5654" s="729"/>
      <c r="H5654" s="729"/>
      <c r="I5654" s="729"/>
      <c r="J5654" s="729"/>
      <c r="K5654" s="729"/>
      <c r="L5654" s="729"/>
      <c r="M5654" s="729"/>
      <c r="N5654" s="731"/>
    </row>
    <row r="5655" spans="2:14" ht="15" customHeight="1" x14ac:dyDescent="0.25">
      <c r="B5655" s="732" t="s">
        <v>394</v>
      </c>
      <c r="C5655" s="733"/>
      <c r="D5655" s="733"/>
      <c r="E5655" s="733"/>
      <c r="F5655" s="733"/>
      <c r="G5655" s="733"/>
      <c r="H5655" s="733"/>
      <c r="I5655" s="733"/>
      <c r="J5655" s="733"/>
      <c r="K5655" s="733"/>
      <c r="L5655" s="733"/>
      <c r="M5655" s="733"/>
      <c r="N5655" s="734"/>
    </row>
    <row r="5656" spans="2:14" ht="15" customHeight="1" x14ac:dyDescent="0.25">
      <c r="B5656" s="735" t="s">
        <v>395</v>
      </c>
      <c r="C5656" s="736"/>
      <c r="D5656" s="737" t="str">
        <f>VLOOKUP(B5658,Buenaventura!A9:G6827,3,FALSE)</f>
        <v xml:space="preserve">Rasqueteada de pintura y retiro de mortero en mal estado  </v>
      </c>
      <c r="E5656" s="738"/>
      <c r="F5656" s="738"/>
      <c r="G5656" s="738"/>
      <c r="H5656" s="738"/>
      <c r="I5656" s="738"/>
      <c r="J5656" s="738"/>
      <c r="K5656" s="738"/>
      <c r="L5656" s="738"/>
      <c r="M5656" s="738"/>
      <c r="N5656" s="739"/>
    </row>
    <row r="5657" spans="2:14" ht="26.45" customHeight="1" x14ac:dyDescent="0.25">
      <c r="B5657" s="740" t="s">
        <v>26</v>
      </c>
      <c r="C5657" s="741"/>
      <c r="D5657" s="119" t="s">
        <v>396</v>
      </c>
      <c r="E5657" s="742" t="s">
        <v>397</v>
      </c>
      <c r="F5657" s="733"/>
      <c r="G5657" s="733"/>
      <c r="H5657" s="736"/>
      <c r="I5657" s="742" t="s">
        <v>398</v>
      </c>
      <c r="J5657" s="733"/>
      <c r="K5657" s="736"/>
      <c r="L5657" s="742" t="s">
        <v>399</v>
      </c>
      <c r="M5657" s="733"/>
      <c r="N5657" s="734"/>
    </row>
    <row r="5658" spans="2:14" ht="15" customHeight="1" x14ac:dyDescent="0.25">
      <c r="B5658" s="283">
        <v>170</v>
      </c>
      <c r="C5658" s="284" t="str">
        <f>VLOOKUP(B5658,Buenaventura!A9:G6840,2,FALSE)</f>
        <v>PR-01</v>
      </c>
      <c r="D5658" s="285">
        <f>SUM(H5661:H5664)*50%</f>
        <v>9</v>
      </c>
      <c r="E5658" s="743" t="str">
        <f>VLOOKUP(B5658,Buenaventura!A9:G6839,4,FALSE)</f>
        <v>ML</v>
      </c>
      <c r="F5658" s="743"/>
      <c r="G5658" s="743"/>
      <c r="H5658" s="743"/>
      <c r="I5658" s="744"/>
      <c r="J5658" s="745"/>
      <c r="K5658" s="741"/>
      <c r="L5658" s="744"/>
      <c r="M5658" s="745"/>
      <c r="N5658" s="752"/>
    </row>
    <row r="5659" spans="2:14" ht="15" customHeight="1" x14ac:dyDescent="0.25">
      <c r="B5659" s="755" t="s">
        <v>416</v>
      </c>
      <c r="C5659" s="733"/>
      <c r="D5659" s="733"/>
      <c r="E5659" s="733"/>
      <c r="F5659" s="733"/>
      <c r="G5659" s="733"/>
      <c r="H5659" s="736"/>
      <c r="I5659" s="746"/>
      <c r="J5659" s="747"/>
      <c r="K5659" s="748"/>
      <c r="L5659" s="746"/>
      <c r="M5659" s="747"/>
      <c r="N5659" s="753"/>
    </row>
    <row r="5660" spans="2:14" ht="15" customHeight="1" x14ac:dyDescent="0.25">
      <c r="B5660" s="121" t="s">
        <v>400</v>
      </c>
      <c r="C5660" s="122" t="s">
        <v>401</v>
      </c>
      <c r="D5660" s="123" t="s">
        <v>402</v>
      </c>
      <c r="E5660" s="123" t="s">
        <v>403</v>
      </c>
      <c r="F5660" s="123" t="s">
        <v>404</v>
      </c>
      <c r="G5660" s="123" t="s">
        <v>405</v>
      </c>
      <c r="H5660" s="123" t="s">
        <v>406</v>
      </c>
      <c r="I5660" s="746"/>
      <c r="J5660" s="747"/>
      <c r="K5660" s="748"/>
      <c r="L5660" s="746"/>
      <c r="M5660" s="747"/>
      <c r="N5660" s="753"/>
    </row>
    <row r="5661" spans="2:14" ht="15" customHeight="1" x14ac:dyDescent="0.25">
      <c r="B5661" s="124"/>
      <c r="C5661" s="145" t="s">
        <v>624</v>
      </c>
      <c r="D5661" s="125">
        <v>18</v>
      </c>
      <c r="E5661" s="125"/>
      <c r="F5661" s="125"/>
      <c r="G5661" s="125"/>
      <c r="H5661" s="125">
        <f>D5661</f>
        <v>18</v>
      </c>
      <c r="I5661" s="746"/>
      <c r="J5661" s="747"/>
      <c r="K5661" s="748"/>
      <c r="L5661" s="746"/>
      <c r="M5661" s="747"/>
      <c r="N5661" s="753"/>
    </row>
    <row r="5662" spans="2:14" ht="15" customHeight="1" x14ac:dyDescent="0.25">
      <c r="B5662" s="124"/>
      <c r="C5662" s="145"/>
      <c r="D5662" s="125"/>
      <c r="E5662" s="125"/>
      <c r="F5662" s="125"/>
      <c r="G5662" s="125"/>
      <c r="H5662" s="125"/>
      <c r="I5662" s="746"/>
      <c r="J5662" s="747"/>
      <c r="K5662" s="748"/>
      <c r="L5662" s="746"/>
      <c r="M5662" s="747"/>
      <c r="N5662" s="753"/>
    </row>
    <row r="5663" spans="2:14" ht="15" customHeight="1" x14ac:dyDescent="0.25">
      <c r="B5663" s="165"/>
      <c r="C5663" s="145"/>
      <c r="D5663" s="125"/>
      <c r="E5663" s="125"/>
      <c r="F5663" s="125"/>
      <c r="G5663" s="125"/>
      <c r="H5663" s="125"/>
      <c r="I5663" s="746"/>
      <c r="J5663" s="747"/>
      <c r="K5663" s="748"/>
      <c r="L5663" s="746"/>
      <c r="M5663" s="747"/>
      <c r="N5663" s="753"/>
    </row>
    <row r="5664" spans="2:14" ht="15" customHeight="1" x14ac:dyDescent="0.25">
      <c r="B5664" s="165"/>
      <c r="C5664" s="145"/>
      <c r="D5664" s="125"/>
      <c r="E5664" s="125"/>
      <c r="F5664" s="125"/>
      <c r="G5664" s="125"/>
      <c r="H5664" s="125"/>
      <c r="I5664" s="746"/>
      <c r="J5664" s="747"/>
      <c r="K5664" s="748"/>
      <c r="L5664" s="746"/>
      <c r="M5664" s="747"/>
      <c r="N5664" s="753"/>
    </row>
    <row r="5665" spans="2:14" ht="15" customHeight="1" x14ac:dyDescent="0.25">
      <c r="B5665" s="165"/>
      <c r="C5665" s="145"/>
      <c r="D5665" s="125"/>
      <c r="E5665" s="125"/>
      <c r="F5665" s="125"/>
      <c r="G5665" s="125"/>
      <c r="H5665" s="125"/>
      <c r="I5665" s="746"/>
      <c r="J5665" s="747"/>
      <c r="K5665" s="748"/>
      <c r="L5665" s="746"/>
      <c r="M5665" s="747"/>
      <c r="N5665" s="753"/>
    </row>
    <row r="5666" spans="2:14" ht="15" customHeight="1" x14ac:dyDescent="0.25">
      <c r="B5666" s="165"/>
      <c r="C5666" s="145"/>
      <c r="D5666" s="125"/>
      <c r="E5666" s="125"/>
      <c r="F5666" s="125"/>
      <c r="G5666" s="125"/>
      <c r="H5666" s="125"/>
      <c r="I5666" s="746"/>
      <c r="J5666" s="747"/>
      <c r="K5666" s="748"/>
      <c r="L5666" s="746"/>
      <c r="M5666" s="747"/>
      <c r="N5666" s="753"/>
    </row>
    <row r="5667" spans="2:14" ht="15" customHeight="1" x14ac:dyDescent="0.25">
      <c r="B5667" s="165"/>
      <c r="C5667" s="145"/>
      <c r="D5667" s="125"/>
      <c r="E5667" s="125"/>
      <c r="F5667" s="125"/>
      <c r="G5667" s="125"/>
      <c r="H5667" s="125"/>
      <c r="I5667" s="746"/>
      <c r="J5667" s="747"/>
      <c r="K5667" s="748"/>
      <c r="L5667" s="746"/>
      <c r="M5667" s="747"/>
      <c r="N5667" s="753"/>
    </row>
    <row r="5668" spans="2:14" ht="15" customHeight="1" x14ac:dyDescent="0.25">
      <c r="B5668" s="124"/>
      <c r="C5668" s="145"/>
      <c r="D5668" s="125"/>
      <c r="E5668" s="125"/>
      <c r="F5668" s="125"/>
      <c r="G5668" s="125"/>
      <c r="H5668" s="125"/>
      <c r="I5668" s="746"/>
      <c r="J5668" s="747"/>
      <c r="K5668" s="748"/>
      <c r="L5668" s="746"/>
      <c r="M5668" s="747"/>
      <c r="N5668" s="753"/>
    </row>
    <row r="5669" spans="2:14" ht="15" customHeight="1" x14ac:dyDescent="0.25">
      <c r="B5669" s="124"/>
      <c r="C5669" s="125"/>
      <c r="D5669" s="125"/>
      <c r="E5669" s="125"/>
      <c r="F5669" s="125"/>
      <c r="G5669" s="125"/>
      <c r="H5669" s="125"/>
      <c r="I5669" s="746"/>
      <c r="J5669" s="747"/>
      <c r="K5669" s="748"/>
      <c r="L5669" s="746"/>
      <c r="M5669" s="747"/>
      <c r="N5669" s="753"/>
    </row>
    <row r="5670" spans="2:14" ht="15" customHeight="1" x14ac:dyDescent="0.25">
      <c r="B5670" s="127"/>
      <c r="C5670" s="125"/>
      <c r="D5670" s="125"/>
      <c r="E5670" s="125"/>
      <c r="F5670" s="125"/>
      <c r="G5670" s="125"/>
      <c r="H5670" s="125"/>
      <c r="I5670" s="749"/>
      <c r="J5670" s="750"/>
      <c r="K5670" s="751"/>
      <c r="L5670" s="749"/>
      <c r="M5670" s="750"/>
      <c r="N5670" s="754"/>
    </row>
    <row r="5671" spans="2:14" ht="15" customHeight="1" x14ac:dyDescent="0.25">
      <c r="B5671" s="225"/>
      <c r="C5671" s="128"/>
      <c r="D5671" s="128"/>
      <c r="E5671" s="128"/>
      <c r="F5671" s="128"/>
      <c r="G5671" s="128"/>
      <c r="H5671" s="128"/>
      <c r="I5671" s="128"/>
      <c r="J5671" s="128"/>
      <c r="K5671" s="128"/>
      <c r="L5671" s="118"/>
      <c r="M5671" s="118"/>
      <c r="N5671" s="210"/>
    </row>
    <row r="5672" spans="2:14" ht="15" customHeight="1" x14ac:dyDescent="0.25">
      <c r="B5672" s="209"/>
      <c r="C5672" s="118"/>
      <c r="D5672" s="118"/>
      <c r="E5672" s="118"/>
      <c r="F5672" s="118"/>
      <c r="G5672" s="118"/>
      <c r="H5672" s="118"/>
      <c r="I5672" s="118"/>
      <c r="J5672" s="118"/>
      <c r="K5672" s="118"/>
      <c r="L5672" s="118"/>
      <c r="M5672" s="118"/>
      <c r="N5672" s="210"/>
    </row>
    <row r="5673" spans="2:14" ht="15" customHeight="1" x14ac:dyDescent="0.25">
      <c r="B5673" s="209"/>
      <c r="C5673" s="118"/>
      <c r="D5673" s="118"/>
      <c r="E5673" s="118"/>
      <c r="F5673" s="118"/>
      <c r="G5673" s="118"/>
      <c r="H5673" s="118"/>
      <c r="I5673" s="118"/>
      <c r="J5673" s="118"/>
      <c r="K5673" s="118"/>
      <c r="L5673" s="118"/>
      <c r="M5673" s="118"/>
      <c r="N5673" s="210"/>
    </row>
    <row r="5674" spans="2:14" ht="15" customHeight="1" thickBot="1" x14ac:dyDescent="0.3">
      <c r="B5674" s="725" t="s">
        <v>414</v>
      </c>
      <c r="C5674" s="726"/>
      <c r="D5674" s="726"/>
      <c r="E5674" s="147"/>
      <c r="F5674" s="147"/>
      <c r="G5674" s="147"/>
      <c r="H5674" s="147"/>
      <c r="I5674" s="727"/>
      <c r="J5674" s="726"/>
      <c r="K5674" s="726"/>
      <c r="L5674" s="130"/>
      <c r="M5674" s="130"/>
      <c r="N5674" s="131"/>
    </row>
    <row r="5675" spans="2:14" ht="15" customHeight="1" thickBot="1" x14ac:dyDescent="0.3"/>
    <row r="5676" spans="2:14" ht="39.6" customHeight="1" x14ac:dyDescent="0.25">
      <c r="B5676" s="728"/>
      <c r="C5676" s="729"/>
      <c r="D5676" s="730" t="s">
        <v>393</v>
      </c>
      <c r="E5676" s="729"/>
      <c r="F5676" s="729"/>
      <c r="G5676" s="729"/>
      <c r="H5676" s="729"/>
      <c r="I5676" s="729"/>
      <c r="J5676" s="729"/>
      <c r="K5676" s="729"/>
      <c r="L5676" s="729"/>
      <c r="M5676" s="729"/>
      <c r="N5676" s="731"/>
    </row>
    <row r="5677" spans="2:14" ht="15" customHeight="1" x14ac:dyDescent="0.25">
      <c r="B5677" s="732" t="s">
        <v>394</v>
      </c>
      <c r="C5677" s="733"/>
      <c r="D5677" s="733"/>
      <c r="E5677" s="733"/>
      <c r="F5677" s="733"/>
      <c r="G5677" s="733"/>
      <c r="H5677" s="733"/>
      <c r="I5677" s="733"/>
      <c r="J5677" s="733"/>
      <c r="K5677" s="733"/>
      <c r="L5677" s="733"/>
      <c r="M5677" s="733"/>
      <c r="N5677" s="734"/>
    </row>
    <row r="5678" spans="2:14" ht="15" customHeight="1" x14ac:dyDescent="0.25">
      <c r="B5678" s="735" t="s">
        <v>395</v>
      </c>
      <c r="C5678" s="736"/>
      <c r="D5678" s="737" t="str">
        <f>VLOOKUP(B5680,Buenaventura!A9:G6849,3,FALSE)</f>
        <v xml:space="preserve">Suministro e instalación de recubrimiento cementoso (Recubrimiento a base de cemento, arena y aditivos especiales), impermeable para muros color blanco </v>
      </c>
      <c r="E5678" s="738"/>
      <c r="F5678" s="738"/>
      <c r="G5678" s="738"/>
      <c r="H5678" s="738"/>
      <c r="I5678" s="738"/>
      <c r="J5678" s="738"/>
      <c r="K5678" s="738"/>
      <c r="L5678" s="738"/>
      <c r="M5678" s="738"/>
      <c r="N5678" s="739"/>
    </row>
    <row r="5679" spans="2:14" ht="24" customHeight="1" x14ac:dyDescent="0.25">
      <c r="B5679" s="740" t="s">
        <v>26</v>
      </c>
      <c r="C5679" s="741"/>
      <c r="D5679" s="119" t="s">
        <v>396</v>
      </c>
      <c r="E5679" s="742" t="s">
        <v>397</v>
      </c>
      <c r="F5679" s="733"/>
      <c r="G5679" s="733"/>
      <c r="H5679" s="736"/>
      <c r="I5679" s="742" t="s">
        <v>398</v>
      </c>
      <c r="J5679" s="733"/>
      <c r="K5679" s="736"/>
      <c r="L5679" s="742" t="s">
        <v>399</v>
      </c>
      <c r="M5679" s="733"/>
      <c r="N5679" s="734"/>
    </row>
    <row r="5680" spans="2:14" ht="15" customHeight="1" x14ac:dyDescent="0.25">
      <c r="B5680" s="283">
        <v>171</v>
      </c>
      <c r="C5680" s="284" t="str">
        <f>VLOOKUP(B5680,Buenaventura!A9:G6862,2,FALSE)</f>
        <v>RI-09</v>
      </c>
      <c r="D5680" s="285">
        <f>SUM(H5683:H5686)</f>
        <v>18</v>
      </c>
      <c r="E5680" s="743" t="str">
        <f>VLOOKUP(B5680,Buenaventura!A9:G6861,4,FALSE)</f>
        <v>ML</v>
      </c>
      <c r="F5680" s="743"/>
      <c r="G5680" s="743"/>
      <c r="H5680" s="743"/>
      <c r="I5680" s="744"/>
      <c r="J5680" s="745"/>
      <c r="K5680" s="741"/>
      <c r="L5680" s="744"/>
      <c r="M5680" s="745"/>
      <c r="N5680" s="752"/>
    </row>
    <row r="5681" spans="2:14" ht="15" customHeight="1" x14ac:dyDescent="0.25">
      <c r="B5681" s="755" t="s">
        <v>416</v>
      </c>
      <c r="C5681" s="733"/>
      <c r="D5681" s="733"/>
      <c r="E5681" s="733"/>
      <c r="F5681" s="733"/>
      <c r="G5681" s="733"/>
      <c r="H5681" s="736"/>
      <c r="I5681" s="746"/>
      <c r="J5681" s="747"/>
      <c r="K5681" s="748"/>
      <c r="L5681" s="746"/>
      <c r="M5681" s="747"/>
      <c r="N5681" s="753"/>
    </row>
    <row r="5682" spans="2:14" ht="15" customHeight="1" x14ac:dyDescent="0.25">
      <c r="B5682" s="121" t="s">
        <v>400</v>
      </c>
      <c r="C5682" s="122" t="s">
        <v>401</v>
      </c>
      <c r="D5682" s="123" t="s">
        <v>402</v>
      </c>
      <c r="E5682" s="123" t="s">
        <v>403</v>
      </c>
      <c r="F5682" s="123" t="s">
        <v>404</v>
      </c>
      <c r="G5682" s="123" t="s">
        <v>405</v>
      </c>
      <c r="H5682" s="123" t="s">
        <v>406</v>
      </c>
      <c r="I5682" s="746"/>
      <c r="J5682" s="747"/>
      <c r="K5682" s="748"/>
      <c r="L5682" s="746"/>
      <c r="M5682" s="747"/>
      <c r="N5682" s="753"/>
    </row>
    <row r="5683" spans="2:14" ht="15" customHeight="1" x14ac:dyDescent="0.25">
      <c r="B5683" s="124"/>
      <c r="C5683" s="145" t="s">
        <v>624</v>
      </c>
      <c r="D5683" s="125">
        <v>18</v>
      </c>
      <c r="E5683" s="125"/>
      <c r="F5683" s="125"/>
      <c r="G5683" s="125"/>
      <c r="H5683" s="125">
        <f>D5683</f>
        <v>18</v>
      </c>
      <c r="I5683" s="746"/>
      <c r="J5683" s="747"/>
      <c r="K5683" s="748"/>
      <c r="L5683" s="746"/>
      <c r="M5683" s="747"/>
      <c r="N5683" s="753"/>
    </row>
    <row r="5684" spans="2:14" ht="15" customHeight="1" x14ac:dyDescent="0.25">
      <c r="B5684" s="124"/>
      <c r="C5684" s="145"/>
      <c r="D5684" s="125"/>
      <c r="E5684" s="125"/>
      <c r="F5684" s="125"/>
      <c r="G5684" s="125"/>
      <c r="H5684" s="125"/>
      <c r="I5684" s="746"/>
      <c r="J5684" s="747"/>
      <c r="K5684" s="748"/>
      <c r="L5684" s="746"/>
      <c r="M5684" s="747"/>
      <c r="N5684" s="753"/>
    </row>
    <row r="5685" spans="2:14" ht="15" customHeight="1" x14ac:dyDescent="0.25">
      <c r="B5685" s="165"/>
      <c r="C5685" s="145"/>
      <c r="D5685" s="125"/>
      <c r="E5685" s="125"/>
      <c r="F5685" s="125"/>
      <c r="G5685" s="125"/>
      <c r="H5685" s="125"/>
      <c r="I5685" s="746"/>
      <c r="J5685" s="747"/>
      <c r="K5685" s="748"/>
      <c r="L5685" s="746"/>
      <c r="M5685" s="747"/>
      <c r="N5685" s="753"/>
    </row>
    <row r="5686" spans="2:14" ht="15" customHeight="1" x14ac:dyDescent="0.25">
      <c r="B5686" s="165"/>
      <c r="C5686" s="145"/>
      <c r="D5686" s="125"/>
      <c r="E5686" s="125"/>
      <c r="F5686" s="125"/>
      <c r="G5686" s="125"/>
      <c r="H5686" s="125"/>
      <c r="I5686" s="746"/>
      <c r="J5686" s="747"/>
      <c r="K5686" s="748"/>
      <c r="L5686" s="746"/>
      <c r="M5686" s="747"/>
      <c r="N5686" s="753"/>
    </row>
    <row r="5687" spans="2:14" ht="15" customHeight="1" x14ac:dyDescent="0.25">
      <c r="B5687" s="165"/>
      <c r="C5687" s="145"/>
      <c r="D5687" s="125"/>
      <c r="E5687" s="125"/>
      <c r="F5687" s="125"/>
      <c r="G5687" s="125"/>
      <c r="H5687" s="125"/>
      <c r="I5687" s="746"/>
      <c r="J5687" s="747"/>
      <c r="K5687" s="748"/>
      <c r="L5687" s="746"/>
      <c r="M5687" s="747"/>
      <c r="N5687" s="753"/>
    </row>
    <row r="5688" spans="2:14" ht="15" customHeight="1" x14ac:dyDescent="0.25">
      <c r="B5688" s="165"/>
      <c r="C5688" s="145"/>
      <c r="D5688" s="125"/>
      <c r="E5688" s="125"/>
      <c r="F5688" s="125"/>
      <c r="G5688" s="125"/>
      <c r="H5688" s="125"/>
      <c r="I5688" s="746"/>
      <c r="J5688" s="747"/>
      <c r="K5688" s="748"/>
      <c r="L5688" s="746"/>
      <c r="M5688" s="747"/>
      <c r="N5688" s="753"/>
    </row>
    <row r="5689" spans="2:14" ht="15" customHeight="1" x14ac:dyDescent="0.25">
      <c r="B5689" s="165"/>
      <c r="C5689" s="145"/>
      <c r="D5689" s="125"/>
      <c r="E5689" s="125"/>
      <c r="F5689" s="125"/>
      <c r="G5689" s="125"/>
      <c r="H5689" s="125"/>
      <c r="I5689" s="746"/>
      <c r="J5689" s="747"/>
      <c r="K5689" s="748"/>
      <c r="L5689" s="746"/>
      <c r="M5689" s="747"/>
      <c r="N5689" s="753"/>
    </row>
    <row r="5690" spans="2:14" ht="15" customHeight="1" x14ac:dyDescent="0.25">
      <c r="B5690" s="124"/>
      <c r="C5690" s="145"/>
      <c r="D5690" s="125"/>
      <c r="E5690" s="125"/>
      <c r="F5690" s="125"/>
      <c r="G5690" s="125"/>
      <c r="H5690" s="125"/>
      <c r="I5690" s="746"/>
      <c r="J5690" s="747"/>
      <c r="K5690" s="748"/>
      <c r="L5690" s="746"/>
      <c r="M5690" s="747"/>
      <c r="N5690" s="753"/>
    </row>
    <row r="5691" spans="2:14" ht="15" customHeight="1" x14ac:dyDescent="0.25">
      <c r="B5691" s="124"/>
      <c r="C5691" s="125"/>
      <c r="D5691" s="125"/>
      <c r="E5691" s="125"/>
      <c r="F5691" s="125"/>
      <c r="G5691" s="125"/>
      <c r="H5691" s="125"/>
      <c r="I5691" s="746"/>
      <c r="J5691" s="747"/>
      <c r="K5691" s="748"/>
      <c r="L5691" s="746"/>
      <c r="M5691" s="747"/>
      <c r="N5691" s="753"/>
    </row>
    <row r="5692" spans="2:14" ht="15" customHeight="1" x14ac:dyDescent="0.25">
      <c r="B5692" s="127"/>
      <c r="C5692" s="125"/>
      <c r="D5692" s="125"/>
      <c r="E5692" s="125"/>
      <c r="F5692" s="125"/>
      <c r="G5692" s="125"/>
      <c r="H5692" s="125"/>
      <c r="I5692" s="749"/>
      <c r="J5692" s="750"/>
      <c r="K5692" s="751"/>
      <c r="L5692" s="749"/>
      <c r="M5692" s="750"/>
      <c r="N5692" s="754"/>
    </row>
    <row r="5693" spans="2:14" ht="15" customHeight="1" x14ac:dyDescent="0.25">
      <c r="B5693" s="225"/>
      <c r="C5693" s="128"/>
      <c r="D5693" s="128"/>
      <c r="E5693" s="128"/>
      <c r="F5693" s="128"/>
      <c r="G5693" s="128"/>
      <c r="H5693" s="128"/>
      <c r="I5693" s="128"/>
      <c r="J5693" s="128"/>
      <c r="K5693" s="128"/>
      <c r="L5693" s="118"/>
      <c r="M5693" s="118"/>
      <c r="N5693" s="210"/>
    </row>
    <row r="5694" spans="2:14" ht="15" customHeight="1" x14ac:dyDescent="0.25">
      <c r="B5694" s="209"/>
      <c r="C5694" s="118"/>
      <c r="D5694" s="118"/>
      <c r="E5694" s="118"/>
      <c r="F5694" s="118"/>
      <c r="G5694" s="118"/>
      <c r="H5694" s="118"/>
      <c r="I5694" s="118"/>
      <c r="J5694" s="118"/>
      <c r="K5694" s="118"/>
      <c r="L5694" s="118"/>
      <c r="M5694" s="118"/>
      <c r="N5694" s="210"/>
    </row>
    <row r="5695" spans="2:14" ht="15" customHeight="1" x14ac:dyDescent="0.25">
      <c r="B5695" s="209"/>
      <c r="C5695" s="118"/>
      <c r="D5695" s="118"/>
      <c r="E5695" s="118"/>
      <c r="F5695" s="118"/>
      <c r="G5695" s="118"/>
      <c r="H5695" s="118"/>
      <c r="I5695" s="118"/>
      <c r="J5695" s="118"/>
      <c r="K5695" s="118"/>
      <c r="L5695" s="118"/>
      <c r="M5695" s="118"/>
      <c r="N5695" s="210"/>
    </row>
    <row r="5696" spans="2:14" ht="15" customHeight="1" thickBot="1" x14ac:dyDescent="0.3">
      <c r="B5696" s="725" t="s">
        <v>414</v>
      </c>
      <c r="C5696" s="726"/>
      <c r="D5696" s="726"/>
      <c r="E5696" s="147"/>
      <c r="F5696" s="147"/>
      <c r="G5696" s="147"/>
      <c r="H5696" s="147"/>
      <c r="I5696" s="727"/>
      <c r="J5696" s="726"/>
      <c r="K5696" s="726"/>
      <c r="L5696" s="130"/>
      <c r="M5696" s="130"/>
      <c r="N5696" s="131"/>
    </row>
    <row r="5697" spans="2:14" ht="15" customHeight="1" thickBot="1" x14ac:dyDescent="0.3"/>
    <row r="5698" spans="2:14" ht="40.15" customHeight="1" x14ac:dyDescent="0.25">
      <c r="B5698" s="728"/>
      <c r="C5698" s="729"/>
      <c r="D5698" s="730" t="s">
        <v>393</v>
      </c>
      <c r="E5698" s="729"/>
      <c r="F5698" s="729"/>
      <c r="G5698" s="729"/>
      <c r="H5698" s="729"/>
      <c r="I5698" s="729"/>
      <c r="J5698" s="729"/>
      <c r="K5698" s="729"/>
      <c r="L5698" s="729"/>
      <c r="M5698" s="729"/>
      <c r="N5698" s="731"/>
    </row>
    <row r="5699" spans="2:14" ht="15" customHeight="1" x14ac:dyDescent="0.25">
      <c r="B5699" s="732" t="s">
        <v>394</v>
      </c>
      <c r="C5699" s="733"/>
      <c r="D5699" s="733"/>
      <c r="E5699" s="733"/>
      <c r="F5699" s="733"/>
      <c r="G5699" s="733"/>
      <c r="H5699" s="733"/>
      <c r="I5699" s="733"/>
      <c r="J5699" s="733"/>
      <c r="K5699" s="733"/>
      <c r="L5699" s="733"/>
      <c r="M5699" s="733"/>
      <c r="N5699" s="734"/>
    </row>
    <row r="5700" spans="2:14" ht="15" customHeight="1" x14ac:dyDescent="0.25">
      <c r="B5700" s="735" t="s">
        <v>395</v>
      </c>
      <c r="C5700" s="736"/>
      <c r="D5700" s="737" t="str">
        <f>VLOOKUP(B5702,Buenaventura!A9:G6871,3,FALSE)</f>
        <v xml:space="preserve">Suministro y aplicación de estuco plástico </v>
      </c>
      <c r="E5700" s="738"/>
      <c r="F5700" s="738"/>
      <c r="G5700" s="738"/>
      <c r="H5700" s="738"/>
      <c r="I5700" s="738"/>
      <c r="J5700" s="738"/>
      <c r="K5700" s="738"/>
      <c r="L5700" s="738"/>
      <c r="M5700" s="738"/>
      <c r="N5700" s="739"/>
    </row>
    <row r="5701" spans="2:14" ht="24.6" customHeight="1" x14ac:dyDescent="0.25">
      <c r="B5701" s="740" t="s">
        <v>26</v>
      </c>
      <c r="C5701" s="741"/>
      <c r="D5701" s="119" t="s">
        <v>396</v>
      </c>
      <c r="E5701" s="742" t="s">
        <v>397</v>
      </c>
      <c r="F5701" s="733"/>
      <c r="G5701" s="733"/>
      <c r="H5701" s="736"/>
      <c r="I5701" s="742" t="s">
        <v>398</v>
      </c>
      <c r="J5701" s="733"/>
      <c r="K5701" s="736"/>
      <c r="L5701" s="742" t="s">
        <v>399</v>
      </c>
      <c r="M5701" s="733"/>
      <c r="N5701" s="734"/>
    </row>
    <row r="5702" spans="2:14" ht="15" customHeight="1" x14ac:dyDescent="0.25">
      <c r="B5702" s="283">
        <v>172</v>
      </c>
      <c r="C5702" s="284" t="str">
        <f>VLOOKUP(B5702,Buenaventura!A9:G6884,2,FALSE)</f>
        <v>AC-01</v>
      </c>
      <c r="D5702" s="285">
        <f>SUM(H5705:H5708)</f>
        <v>6</v>
      </c>
      <c r="E5702" s="743" t="str">
        <f>VLOOKUP(B5702,Buenaventura!A9:G6883,4,FALSE)</f>
        <v>ML</v>
      </c>
      <c r="F5702" s="743"/>
      <c r="G5702" s="743"/>
      <c r="H5702" s="743"/>
      <c r="I5702" s="744"/>
      <c r="J5702" s="745"/>
      <c r="K5702" s="741"/>
      <c r="L5702" s="744"/>
      <c r="M5702" s="745"/>
      <c r="N5702" s="752"/>
    </row>
    <row r="5703" spans="2:14" ht="15" customHeight="1" x14ac:dyDescent="0.25">
      <c r="B5703" s="755" t="s">
        <v>416</v>
      </c>
      <c r="C5703" s="733"/>
      <c r="D5703" s="733"/>
      <c r="E5703" s="733"/>
      <c r="F5703" s="733"/>
      <c r="G5703" s="733"/>
      <c r="H5703" s="736"/>
      <c r="I5703" s="746"/>
      <c r="J5703" s="747"/>
      <c r="K5703" s="748"/>
      <c r="L5703" s="746"/>
      <c r="M5703" s="747"/>
      <c r="N5703" s="753"/>
    </row>
    <row r="5704" spans="2:14" ht="15" customHeight="1" x14ac:dyDescent="0.25">
      <c r="B5704" s="121" t="s">
        <v>400</v>
      </c>
      <c r="C5704" s="122" t="s">
        <v>401</v>
      </c>
      <c r="D5704" s="123" t="s">
        <v>402</v>
      </c>
      <c r="E5704" s="123" t="s">
        <v>403</v>
      </c>
      <c r="F5704" s="123" t="s">
        <v>404</v>
      </c>
      <c r="G5704" s="123" t="s">
        <v>405</v>
      </c>
      <c r="H5704" s="123" t="s">
        <v>406</v>
      </c>
      <c r="I5704" s="746"/>
      <c r="J5704" s="747"/>
      <c r="K5704" s="748"/>
      <c r="L5704" s="746"/>
      <c r="M5704" s="747"/>
      <c r="N5704" s="753"/>
    </row>
    <row r="5705" spans="2:14" ht="15" customHeight="1" x14ac:dyDescent="0.25">
      <c r="B5705" s="124"/>
      <c r="C5705" s="145" t="s">
        <v>624</v>
      </c>
      <c r="D5705" s="125">
        <v>6</v>
      </c>
      <c r="E5705" s="125"/>
      <c r="F5705" s="125"/>
      <c r="G5705" s="125"/>
      <c r="H5705" s="125">
        <f>D5705</f>
        <v>6</v>
      </c>
      <c r="I5705" s="746"/>
      <c r="J5705" s="747"/>
      <c r="K5705" s="748"/>
      <c r="L5705" s="746"/>
      <c r="M5705" s="747"/>
      <c r="N5705" s="753"/>
    </row>
    <row r="5706" spans="2:14" ht="15" customHeight="1" x14ac:dyDescent="0.25">
      <c r="B5706" s="124"/>
      <c r="C5706" s="145"/>
      <c r="D5706" s="125"/>
      <c r="E5706" s="125"/>
      <c r="F5706" s="125"/>
      <c r="G5706" s="125"/>
      <c r="H5706" s="125"/>
      <c r="I5706" s="746"/>
      <c r="J5706" s="747"/>
      <c r="K5706" s="748"/>
      <c r="L5706" s="746"/>
      <c r="M5706" s="747"/>
      <c r="N5706" s="753"/>
    </row>
    <row r="5707" spans="2:14" ht="15" customHeight="1" x14ac:dyDescent="0.25">
      <c r="B5707" s="165"/>
      <c r="C5707" s="145"/>
      <c r="D5707" s="125"/>
      <c r="E5707" s="125"/>
      <c r="F5707" s="125"/>
      <c r="G5707" s="125"/>
      <c r="H5707" s="125"/>
      <c r="I5707" s="746"/>
      <c r="J5707" s="747"/>
      <c r="K5707" s="748"/>
      <c r="L5707" s="746"/>
      <c r="M5707" s="747"/>
      <c r="N5707" s="753"/>
    </row>
    <row r="5708" spans="2:14" ht="15" customHeight="1" x14ac:dyDescent="0.25">
      <c r="B5708" s="165"/>
      <c r="C5708" s="145"/>
      <c r="D5708" s="125"/>
      <c r="E5708" s="125"/>
      <c r="F5708" s="125"/>
      <c r="G5708" s="125"/>
      <c r="H5708" s="125"/>
      <c r="I5708" s="746"/>
      <c r="J5708" s="747"/>
      <c r="K5708" s="748"/>
      <c r="L5708" s="746"/>
      <c r="M5708" s="747"/>
      <c r="N5708" s="753"/>
    </row>
    <row r="5709" spans="2:14" ht="15" customHeight="1" x14ac:dyDescent="0.25">
      <c r="B5709" s="165"/>
      <c r="C5709" s="145"/>
      <c r="D5709" s="125"/>
      <c r="E5709" s="125"/>
      <c r="F5709" s="125"/>
      <c r="G5709" s="125"/>
      <c r="H5709" s="125"/>
      <c r="I5709" s="746"/>
      <c r="J5709" s="747"/>
      <c r="K5709" s="748"/>
      <c r="L5709" s="746"/>
      <c r="M5709" s="747"/>
      <c r="N5709" s="753"/>
    </row>
    <row r="5710" spans="2:14" ht="15" customHeight="1" x14ac:dyDescent="0.25">
      <c r="B5710" s="165"/>
      <c r="C5710" s="145"/>
      <c r="D5710" s="125"/>
      <c r="E5710" s="125"/>
      <c r="F5710" s="125"/>
      <c r="G5710" s="125"/>
      <c r="H5710" s="125"/>
      <c r="I5710" s="746"/>
      <c r="J5710" s="747"/>
      <c r="K5710" s="748"/>
      <c r="L5710" s="746"/>
      <c r="M5710" s="747"/>
      <c r="N5710" s="753"/>
    </row>
    <row r="5711" spans="2:14" ht="15" customHeight="1" x14ac:dyDescent="0.25">
      <c r="B5711" s="165"/>
      <c r="C5711" s="145"/>
      <c r="D5711" s="125"/>
      <c r="E5711" s="125"/>
      <c r="F5711" s="125"/>
      <c r="G5711" s="125"/>
      <c r="H5711" s="125"/>
      <c r="I5711" s="746"/>
      <c r="J5711" s="747"/>
      <c r="K5711" s="748"/>
      <c r="L5711" s="746"/>
      <c r="M5711" s="747"/>
      <c r="N5711" s="753"/>
    </row>
    <row r="5712" spans="2:14" ht="15" customHeight="1" x14ac:dyDescent="0.25">
      <c r="B5712" s="124"/>
      <c r="C5712" s="145"/>
      <c r="D5712" s="125"/>
      <c r="E5712" s="125"/>
      <c r="F5712" s="125"/>
      <c r="G5712" s="125"/>
      <c r="H5712" s="125"/>
      <c r="I5712" s="746"/>
      <c r="J5712" s="747"/>
      <c r="K5712" s="748"/>
      <c r="L5712" s="746"/>
      <c r="M5712" s="747"/>
      <c r="N5712" s="753"/>
    </row>
    <row r="5713" spans="2:14" ht="15" customHeight="1" x14ac:dyDescent="0.25">
      <c r="B5713" s="124"/>
      <c r="C5713" s="125"/>
      <c r="D5713" s="125"/>
      <c r="E5713" s="125"/>
      <c r="F5713" s="125"/>
      <c r="G5713" s="125"/>
      <c r="H5713" s="125"/>
      <c r="I5713" s="746"/>
      <c r="J5713" s="747"/>
      <c r="K5713" s="748"/>
      <c r="L5713" s="746"/>
      <c r="M5713" s="747"/>
      <c r="N5713" s="753"/>
    </row>
    <row r="5714" spans="2:14" ht="15" customHeight="1" x14ac:dyDescent="0.25">
      <c r="B5714" s="127"/>
      <c r="C5714" s="125"/>
      <c r="D5714" s="125"/>
      <c r="E5714" s="125"/>
      <c r="F5714" s="125"/>
      <c r="G5714" s="125"/>
      <c r="H5714" s="125"/>
      <c r="I5714" s="749"/>
      <c r="J5714" s="750"/>
      <c r="K5714" s="751"/>
      <c r="L5714" s="749"/>
      <c r="M5714" s="750"/>
      <c r="N5714" s="754"/>
    </row>
    <row r="5715" spans="2:14" ht="15" customHeight="1" x14ac:dyDescent="0.25">
      <c r="B5715" s="225"/>
      <c r="C5715" s="128"/>
      <c r="D5715" s="128"/>
      <c r="E5715" s="128"/>
      <c r="F5715" s="128"/>
      <c r="G5715" s="128"/>
      <c r="H5715" s="128"/>
      <c r="I5715" s="128"/>
      <c r="J5715" s="128"/>
      <c r="K5715" s="128"/>
      <c r="L5715" s="118"/>
      <c r="M5715" s="118"/>
      <c r="N5715" s="210"/>
    </row>
    <row r="5716" spans="2:14" ht="15" customHeight="1" x14ac:dyDescent="0.25">
      <c r="B5716" s="209"/>
      <c r="C5716" s="118"/>
      <c r="D5716" s="118"/>
      <c r="E5716" s="118"/>
      <c r="F5716" s="118"/>
      <c r="G5716" s="118"/>
      <c r="H5716" s="118"/>
      <c r="I5716" s="118"/>
      <c r="J5716" s="118"/>
      <c r="K5716" s="118"/>
      <c r="L5716" s="118"/>
      <c r="M5716" s="118"/>
      <c r="N5716" s="210"/>
    </row>
    <row r="5717" spans="2:14" ht="15" customHeight="1" x14ac:dyDescent="0.25">
      <c r="B5717" s="209"/>
      <c r="C5717" s="118"/>
      <c r="D5717" s="118"/>
      <c r="E5717" s="118"/>
      <c r="F5717" s="118"/>
      <c r="G5717" s="118"/>
      <c r="H5717" s="118"/>
      <c r="I5717" s="118"/>
      <c r="J5717" s="118"/>
      <c r="K5717" s="118"/>
      <c r="L5717" s="118"/>
      <c r="M5717" s="118"/>
      <c r="N5717" s="210"/>
    </row>
    <row r="5718" spans="2:14" ht="15" customHeight="1" thickBot="1" x14ac:dyDescent="0.3">
      <c r="B5718" s="725" t="s">
        <v>414</v>
      </c>
      <c r="C5718" s="726"/>
      <c r="D5718" s="726"/>
      <c r="E5718" s="147"/>
      <c r="F5718" s="147"/>
      <c r="G5718" s="147"/>
      <c r="H5718" s="147"/>
      <c r="I5718" s="727"/>
      <c r="J5718" s="726"/>
      <c r="K5718" s="726"/>
      <c r="L5718" s="130"/>
      <c r="M5718" s="130"/>
      <c r="N5718" s="131"/>
    </row>
    <row r="5719" spans="2:14" ht="15" customHeight="1" thickBot="1" x14ac:dyDescent="0.3"/>
    <row r="5720" spans="2:14" ht="43.15" customHeight="1" x14ac:dyDescent="0.25">
      <c r="B5720" s="728"/>
      <c r="C5720" s="729"/>
      <c r="D5720" s="730" t="s">
        <v>393</v>
      </c>
      <c r="E5720" s="729"/>
      <c r="F5720" s="729"/>
      <c r="G5720" s="729"/>
      <c r="H5720" s="729"/>
      <c r="I5720" s="729"/>
      <c r="J5720" s="729"/>
      <c r="K5720" s="729"/>
      <c r="L5720" s="729"/>
      <c r="M5720" s="729"/>
      <c r="N5720" s="731"/>
    </row>
    <row r="5721" spans="2:14" ht="15" customHeight="1" x14ac:dyDescent="0.25">
      <c r="B5721" s="732" t="s">
        <v>394</v>
      </c>
      <c r="C5721" s="733"/>
      <c r="D5721" s="733"/>
      <c r="E5721" s="733"/>
      <c r="F5721" s="733"/>
      <c r="G5721" s="733"/>
      <c r="H5721" s="733"/>
      <c r="I5721" s="733"/>
      <c r="J5721" s="733"/>
      <c r="K5721" s="733"/>
      <c r="L5721" s="733"/>
      <c r="M5721" s="733"/>
      <c r="N5721" s="734"/>
    </row>
    <row r="5722" spans="2:14" ht="15" customHeight="1" x14ac:dyDescent="0.25">
      <c r="B5722" s="735" t="s">
        <v>395</v>
      </c>
      <c r="C5722" s="736"/>
      <c r="D5722" s="737" t="str">
        <f>VLOOKUP(B5724,Buenaventura!A53:G6893,3,FALSE)</f>
        <v>Suministro y aplicación de vinilo tipo 2 (3 manos)</v>
      </c>
      <c r="E5722" s="738"/>
      <c r="F5722" s="738"/>
      <c r="G5722" s="738"/>
      <c r="H5722" s="738"/>
      <c r="I5722" s="738"/>
      <c r="J5722" s="738"/>
      <c r="K5722" s="738"/>
      <c r="L5722" s="738"/>
      <c r="M5722" s="738"/>
      <c r="N5722" s="739"/>
    </row>
    <row r="5723" spans="2:14" ht="26.45" customHeight="1" x14ac:dyDescent="0.25">
      <c r="B5723" s="740" t="s">
        <v>26</v>
      </c>
      <c r="C5723" s="741"/>
      <c r="D5723" s="119" t="s">
        <v>396</v>
      </c>
      <c r="E5723" s="742" t="s">
        <v>397</v>
      </c>
      <c r="F5723" s="733"/>
      <c r="G5723" s="733"/>
      <c r="H5723" s="736"/>
      <c r="I5723" s="742" t="s">
        <v>398</v>
      </c>
      <c r="J5723" s="733"/>
      <c r="K5723" s="736"/>
      <c r="L5723" s="742" t="s">
        <v>399</v>
      </c>
      <c r="M5723" s="733"/>
      <c r="N5723" s="734"/>
    </row>
    <row r="5724" spans="2:14" ht="29.45" customHeight="1" x14ac:dyDescent="0.25">
      <c r="B5724" s="283">
        <v>173</v>
      </c>
      <c r="C5724" s="284" t="str">
        <f>VLOOKUP(B5724,Buenaventura!A53:G6906,2,FALSE)</f>
        <v>AC-17</v>
      </c>
      <c r="D5724" s="285">
        <f>SUM(H5727:H5730)</f>
        <v>18</v>
      </c>
      <c r="E5724" s="743" t="str">
        <f>VLOOKUP(B5724,Buenaventura!A53:G6905,4,FALSE)</f>
        <v>ML</v>
      </c>
      <c r="F5724" s="743"/>
      <c r="G5724" s="743"/>
      <c r="H5724" s="743"/>
      <c r="I5724" s="744"/>
      <c r="J5724" s="745"/>
      <c r="K5724" s="741"/>
      <c r="L5724" s="744"/>
      <c r="M5724" s="745"/>
      <c r="N5724" s="752"/>
    </row>
    <row r="5725" spans="2:14" ht="15" customHeight="1" x14ac:dyDescent="0.25">
      <c r="B5725" s="755" t="s">
        <v>416</v>
      </c>
      <c r="C5725" s="733"/>
      <c r="D5725" s="733"/>
      <c r="E5725" s="733"/>
      <c r="F5725" s="733"/>
      <c r="G5725" s="733"/>
      <c r="H5725" s="736"/>
      <c r="I5725" s="746"/>
      <c r="J5725" s="747"/>
      <c r="K5725" s="748"/>
      <c r="L5725" s="746"/>
      <c r="M5725" s="747"/>
      <c r="N5725" s="753"/>
    </row>
    <row r="5726" spans="2:14" ht="15" customHeight="1" x14ac:dyDescent="0.25">
      <c r="B5726" s="121" t="s">
        <v>400</v>
      </c>
      <c r="C5726" s="122" t="s">
        <v>401</v>
      </c>
      <c r="D5726" s="123" t="s">
        <v>402</v>
      </c>
      <c r="E5726" s="123" t="s">
        <v>403</v>
      </c>
      <c r="F5726" s="123" t="s">
        <v>404</v>
      </c>
      <c r="G5726" s="123" t="s">
        <v>405</v>
      </c>
      <c r="H5726" s="123" t="s">
        <v>406</v>
      </c>
      <c r="I5726" s="746"/>
      <c r="J5726" s="747"/>
      <c r="K5726" s="748"/>
      <c r="L5726" s="746"/>
      <c r="M5726" s="747"/>
      <c r="N5726" s="753"/>
    </row>
    <row r="5727" spans="2:14" ht="15" customHeight="1" x14ac:dyDescent="0.25">
      <c r="B5727" s="124"/>
      <c r="C5727" s="145" t="s">
        <v>624</v>
      </c>
      <c r="D5727" s="125">
        <v>18</v>
      </c>
      <c r="E5727" s="125"/>
      <c r="F5727" s="125"/>
      <c r="G5727" s="125"/>
      <c r="H5727" s="125">
        <f>D5727</f>
        <v>18</v>
      </c>
      <c r="I5727" s="746"/>
      <c r="J5727" s="747"/>
      <c r="K5727" s="748"/>
      <c r="L5727" s="746"/>
      <c r="M5727" s="747"/>
      <c r="N5727" s="753"/>
    </row>
    <row r="5728" spans="2:14" ht="15" customHeight="1" x14ac:dyDescent="0.25">
      <c r="B5728" s="124"/>
      <c r="C5728" s="145"/>
      <c r="D5728" s="125"/>
      <c r="E5728" s="125"/>
      <c r="F5728" s="125"/>
      <c r="G5728" s="125"/>
      <c r="H5728" s="125"/>
      <c r="I5728" s="746"/>
      <c r="J5728" s="747"/>
      <c r="K5728" s="748"/>
      <c r="L5728" s="746"/>
      <c r="M5728" s="747"/>
      <c r="N5728" s="753"/>
    </row>
    <row r="5729" spans="2:14" ht="15" customHeight="1" x14ac:dyDescent="0.25">
      <c r="B5729" s="165"/>
      <c r="C5729" s="145"/>
      <c r="D5729" s="125"/>
      <c r="E5729" s="125"/>
      <c r="F5729" s="125"/>
      <c r="G5729" s="125"/>
      <c r="H5729" s="125"/>
      <c r="I5729" s="746"/>
      <c r="J5729" s="747"/>
      <c r="K5729" s="748"/>
      <c r="L5729" s="746"/>
      <c r="M5729" s="747"/>
      <c r="N5729" s="753"/>
    </row>
    <row r="5730" spans="2:14" ht="15" customHeight="1" x14ac:dyDescent="0.25">
      <c r="B5730" s="165"/>
      <c r="C5730" s="145"/>
      <c r="D5730" s="125"/>
      <c r="E5730" s="125"/>
      <c r="F5730" s="125"/>
      <c r="G5730" s="125"/>
      <c r="H5730" s="125"/>
      <c r="I5730" s="746"/>
      <c r="J5730" s="747"/>
      <c r="K5730" s="748"/>
      <c r="L5730" s="746"/>
      <c r="M5730" s="747"/>
      <c r="N5730" s="753"/>
    </row>
    <row r="5731" spans="2:14" ht="15" customHeight="1" x14ac:dyDescent="0.25">
      <c r="B5731" s="165"/>
      <c r="C5731" s="145"/>
      <c r="D5731" s="125"/>
      <c r="E5731" s="125"/>
      <c r="F5731" s="125"/>
      <c r="G5731" s="125"/>
      <c r="H5731" s="125"/>
      <c r="I5731" s="746"/>
      <c r="J5731" s="747"/>
      <c r="K5731" s="748"/>
      <c r="L5731" s="746"/>
      <c r="M5731" s="747"/>
      <c r="N5731" s="753"/>
    </row>
    <row r="5732" spans="2:14" ht="15" customHeight="1" x14ac:dyDescent="0.25">
      <c r="B5732" s="165"/>
      <c r="C5732" s="145"/>
      <c r="D5732" s="125"/>
      <c r="E5732" s="125"/>
      <c r="F5732" s="125"/>
      <c r="G5732" s="125"/>
      <c r="H5732" s="125"/>
      <c r="I5732" s="746"/>
      <c r="J5732" s="747"/>
      <c r="K5732" s="748"/>
      <c r="L5732" s="746"/>
      <c r="M5732" s="747"/>
      <c r="N5732" s="753"/>
    </row>
    <row r="5733" spans="2:14" ht="15" customHeight="1" x14ac:dyDescent="0.25">
      <c r="B5733" s="165"/>
      <c r="C5733" s="145"/>
      <c r="D5733" s="125"/>
      <c r="E5733" s="125"/>
      <c r="F5733" s="125"/>
      <c r="G5733" s="125"/>
      <c r="H5733" s="125"/>
      <c r="I5733" s="746"/>
      <c r="J5733" s="747"/>
      <c r="K5733" s="748"/>
      <c r="L5733" s="746"/>
      <c r="M5733" s="747"/>
      <c r="N5733" s="753"/>
    </row>
    <row r="5734" spans="2:14" ht="15" customHeight="1" x14ac:dyDescent="0.25">
      <c r="B5734" s="124"/>
      <c r="C5734" s="145"/>
      <c r="D5734" s="125"/>
      <c r="E5734" s="125"/>
      <c r="F5734" s="125"/>
      <c r="G5734" s="125"/>
      <c r="H5734" s="125"/>
      <c r="I5734" s="746"/>
      <c r="J5734" s="747"/>
      <c r="K5734" s="748"/>
      <c r="L5734" s="746"/>
      <c r="M5734" s="747"/>
      <c r="N5734" s="753"/>
    </row>
    <row r="5735" spans="2:14" ht="15" customHeight="1" x14ac:dyDescent="0.25">
      <c r="B5735" s="124"/>
      <c r="C5735" s="125"/>
      <c r="D5735" s="125"/>
      <c r="E5735" s="125"/>
      <c r="F5735" s="125"/>
      <c r="G5735" s="125"/>
      <c r="H5735" s="125"/>
      <c r="I5735" s="746"/>
      <c r="J5735" s="747"/>
      <c r="K5735" s="748"/>
      <c r="L5735" s="746"/>
      <c r="M5735" s="747"/>
      <c r="N5735" s="753"/>
    </row>
    <row r="5736" spans="2:14" ht="15" customHeight="1" x14ac:dyDescent="0.25">
      <c r="B5736" s="127"/>
      <c r="C5736" s="125"/>
      <c r="D5736" s="125"/>
      <c r="E5736" s="125"/>
      <c r="F5736" s="125"/>
      <c r="G5736" s="125"/>
      <c r="H5736" s="125"/>
      <c r="I5736" s="749"/>
      <c r="J5736" s="750"/>
      <c r="K5736" s="751"/>
      <c r="L5736" s="749"/>
      <c r="M5736" s="750"/>
      <c r="N5736" s="754"/>
    </row>
    <row r="5737" spans="2:14" ht="15" customHeight="1" x14ac:dyDescent="0.25">
      <c r="B5737" s="225"/>
      <c r="C5737" s="128"/>
      <c r="D5737" s="128"/>
      <c r="E5737" s="128"/>
      <c r="F5737" s="128"/>
      <c r="G5737" s="128"/>
      <c r="H5737" s="128"/>
      <c r="I5737" s="128"/>
      <c r="J5737" s="128"/>
      <c r="K5737" s="128"/>
      <c r="L5737" s="118"/>
      <c r="M5737" s="118"/>
      <c r="N5737" s="210"/>
    </row>
    <row r="5738" spans="2:14" ht="15" customHeight="1" x14ac:dyDescent="0.25">
      <c r="B5738" s="209"/>
      <c r="C5738" s="118"/>
      <c r="D5738" s="118"/>
      <c r="E5738" s="118"/>
      <c r="F5738" s="118"/>
      <c r="G5738" s="118"/>
      <c r="H5738" s="118"/>
      <c r="I5738" s="118"/>
      <c r="J5738" s="118"/>
      <c r="K5738" s="118"/>
      <c r="L5738" s="118"/>
      <c r="M5738" s="118"/>
      <c r="N5738" s="210"/>
    </row>
    <row r="5739" spans="2:14" ht="15" customHeight="1" x14ac:dyDescent="0.25">
      <c r="B5739" s="209"/>
      <c r="C5739" s="118"/>
      <c r="D5739" s="118"/>
      <c r="E5739" s="118"/>
      <c r="F5739" s="118"/>
      <c r="G5739" s="118"/>
      <c r="H5739" s="118"/>
      <c r="I5739" s="118"/>
      <c r="J5739" s="118"/>
      <c r="K5739" s="118"/>
      <c r="L5739" s="118"/>
      <c r="M5739" s="118"/>
      <c r="N5739" s="210"/>
    </row>
    <row r="5740" spans="2:14" ht="15" customHeight="1" thickBot="1" x14ac:dyDescent="0.3">
      <c r="B5740" s="725" t="s">
        <v>414</v>
      </c>
      <c r="C5740" s="726"/>
      <c r="D5740" s="726"/>
      <c r="E5740" s="147"/>
      <c r="F5740" s="147"/>
      <c r="G5740" s="147"/>
      <c r="H5740" s="147"/>
      <c r="I5740" s="727"/>
      <c r="J5740" s="726"/>
      <c r="K5740" s="726"/>
      <c r="L5740" s="130"/>
      <c r="M5740" s="130"/>
      <c r="N5740" s="131"/>
    </row>
    <row r="5741" spans="2:14" ht="15" customHeight="1" thickBot="1" x14ac:dyDescent="0.3"/>
    <row r="5742" spans="2:14" ht="43.15" customHeight="1" x14ac:dyDescent="0.25">
      <c r="B5742" s="728"/>
      <c r="C5742" s="729"/>
      <c r="D5742" s="730" t="s">
        <v>393</v>
      </c>
      <c r="E5742" s="729"/>
      <c r="F5742" s="729"/>
      <c r="G5742" s="729"/>
      <c r="H5742" s="729"/>
      <c r="I5742" s="729"/>
      <c r="J5742" s="729"/>
      <c r="K5742" s="729"/>
      <c r="L5742" s="729"/>
      <c r="M5742" s="729"/>
      <c r="N5742" s="731"/>
    </row>
    <row r="5743" spans="2:14" ht="15" customHeight="1" x14ac:dyDescent="0.25">
      <c r="B5743" s="732" t="s">
        <v>394</v>
      </c>
      <c r="C5743" s="733"/>
      <c r="D5743" s="733"/>
      <c r="E5743" s="733"/>
      <c r="F5743" s="733"/>
      <c r="G5743" s="733"/>
      <c r="H5743" s="733"/>
      <c r="I5743" s="733"/>
      <c r="J5743" s="733"/>
      <c r="K5743" s="733"/>
      <c r="L5743" s="733"/>
      <c r="M5743" s="733"/>
      <c r="N5743" s="734"/>
    </row>
    <row r="5744" spans="2:14" ht="36.75" customHeight="1" x14ac:dyDescent="0.25">
      <c r="B5744" s="735" t="s">
        <v>395</v>
      </c>
      <c r="C5744" s="736"/>
      <c r="D5744" s="737" t="str">
        <f>VLOOKUP(B5746,Buenaventura!A9:G6915,3,FALSE)</f>
        <v>Suministro y aplicación de pintura en esmalte</v>
      </c>
      <c r="E5744" s="738"/>
      <c r="F5744" s="738"/>
      <c r="G5744" s="738"/>
      <c r="H5744" s="738"/>
      <c r="I5744" s="738"/>
      <c r="J5744" s="738"/>
      <c r="K5744" s="738"/>
      <c r="L5744" s="738"/>
      <c r="M5744" s="738"/>
      <c r="N5744" s="739"/>
    </row>
    <row r="5745" spans="2:14" ht="29.45" customHeight="1" x14ac:dyDescent="0.25">
      <c r="B5745" s="740" t="s">
        <v>26</v>
      </c>
      <c r="C5745" s="741"/>
      <c r="D5745" s="119" t="s">
        <v>396</v>
      </c>
      <c r="E5745" s="742" t="s">
        <v>397</v>
      </c>
      <c r="F5745" s="733"/>
      <c r="G5745" s="733"/>
      <c r="H5745" s="736"/>
      <c r="I5745" s="742" t="s">
        <v>398</v>
      </c>
      <c r="J5745" s="733"/>
      <c r="K5745" s="736"/>
      <c r="L5745" s="742" t="s">
        <v>399</v>
      </c>
      <c r="M5745" s="733"/>
      <c r="N5745" s="734"/>
    </row>
    <row r="5746" spans="2:14" ht="15" customHeight="1" x14ac:dyDescent="0.25">
      <c r="B5746" s="283">
        <v>174</v>
      </c>
      <c r="C5746" s="284" t="str">
        <f>VLOOKUP(B5746,Buenaventura!A73:G6928,2,FALSE)</f>
        <v>AC-07</v>
      </c>
      <c r="D5746" s="285">
        <f>SUM(H5749:H5755)</f>
        <v>103.134</v>
      </c>
      <c r="E5746" s="743" t="str">
        <f>VLOOKUP(B5746,Buenaventura!A73:G6927,4,FALSE)</f>
        <v>ML</v>
      </c>
      <c r="F5746" s="743"/>
      <c r="G5746" s="743"/>
      <c r="H5746" s="743"/>
      <c r="I5746" s="744"/>
      <c r="J5746" s="745"/>
      <c r="K5746" s="741"/>
      <c r="L5746" s="744"/>
      <c r="M5746" s="745"/>
      <c r="N5746" s="752"/>
    </row>
    <row r="5747" spans="2:14" ht="15" customHeight="1" x14ac:dyDescent="0.25">
      <c r="B5747" s="755" t="s">
        <v>416</v>
      </c>
      <c r="C5747" s="733"/>
      <c r="D5747" s="733"/>
      <c r="E5747" s="733"/>
      <c r="F5747" s="733"/>
      <c r="G5747" s="733"/>
      <c r="H5747" s="736"/>
      <c r="I5747" s="746"/>
      <c r="J5747" s="747"/>
      <c r="K5747" s="748"/>
      <c r="L5747" s="746"/>
      <c r="M5747" s="747"/>
      <c r="N5747" s="753"/>
    </row>
    <row r="5748" spans="2:14" ht="15" customHeight="1" x14ac:dyDescent="0.25">
      <c r="B5748" s="121" t="s">
        <v>400</v>
      </c>
      <c r="C5748" s="122" t="s">
        <v>401</v>
      </c>
      <c r="D5748" s="123" t="s">
        <v>402</v>
      </c>
      <c r="E5748" s="123" t="s">
        <v>403</v>
      </c>
      <c r="F5748" s="123" t="s">
        <v>404</v>
      </c>
      <c r="G5748" s="123" t="s">
        <v>405</v>
      </c>
      <c r="H5748" s="123" t="s">
        <v>406</v>
      </c>
      <c r="I5748" s="746"/>
      <c r="J5748" s="747"/>
      <c r="K5748" s="748"/>
      <c r="L5748" s="746"/>
      <c r="M5748" s="747"/>
      <c r="N5748" s="753"/>
    </row>
    <row r="5749" spans="2:14" ht="15" customHeight="1" x14ac:dyDescent="0.25">
      <c r="B5749" s="124"/>
      <c r="C5749" s="145" t="s">
        <v>467</v>
      </c>
      <c r="D5749" s="125">
        <v>1</v>
      </c>
      <c r="E5749" s="125"/>
      <c r="F5749" s="125">
        <v>19.91</v>
      </c>
      <c r="G5749" s="125">
        <v>2.4</v>
      </c>
      <c r="H5749" s="125">
        <f>G5749*F5749*D5749</f>
        <v>47.783999999999999</v>
      </c>
      <c r="I5749" s="746"/>
      <c r="J5749" s="747"/>
      <c r="K5749" s="748"/>
      <c r="L5749" s="746"/>
      <c r="M5749" s="747"/>
      <c r="N5749" s="753"/>
    </row>
    <row r="5750" spans="2:14" ht="15" customHeight="1" x14ac:dyDescent="0.25">
      <c r="B5750" s="124"/>
      <c r="C5750" s="145" t="s">
        <v>502</v>
      </c>
      <c r="D5750" s="125">
        <v>1</v>
      </c>
      <c r="E5750" s="125"/>
      <c r="F5750" s="125">
        <v>14</v>
      </c>
      <c r="G5750" s="125">
        <v>2.4</v>
      </c>
      <c r="H5750" s="125">
        <f t="shared" ref="H5750:H5751" si="90">G5750*F5750*D5750</f>
        <v>33.6</v>
      </c>
      <c r="I5750" s="746"/>
      <c r="J5750" s="747"/>
      <c r="K5750" s="748"/>
      <c r="L5750" s="746"/>
      <c r="M5750" s="747"/>
      <c r="N5750" s="753"/>
    </row>
    <row r="5751" spans="2:14" ht="15" customHeight="1" x14ac:dyDescent="0.25">
      <c r="B5751" s="165"/>
      <c r="C5751" s="145"/>
      <c r="D5751" s="125"/>
      <c r="E5751" s="125"/>
      <c r="F5751" s="125"/>
      <c r="G5751" s="125"/>
      <c r="H5751" s="125">
        <f t="shared" si="90"/>
        <v>0</v>
      </c>
      <c r="I5751" s="746"/>
      <c r="J5751" s="747"/>
      <c r="K5751" s="748"/>
      <c r="L5751" s="746"/>
      <c r="M5751" s="747"/>
      <c r="N5751" s="753"/>
    </row>
    <row r="5752" spans="2:14" ht="15" customHeight="1" x14ac:dyDescent="0.25">
      <c r="B5752" s="165"/>
      <c r="C5752" s="369" t="s">
        <v>448</v>
      </c>
      <c r="D5752" s="134">
        <v>-5</v>
      </c>
      <c r="E5752" s="134"/>
      <c r="F5752" s="134">
        <v>3.5</v>
      </c>
      <c r="G5752" s="134">
        <v>1.5</v>
      </c>
      <c r="H5752" s="134">
        <f>G5752*F5752*D5752</f>
        <v>-26.25</v>
      </c>
      <c r="I5752" s="746"/>
      <c r="J5752" s="747"/>
      <c r="K5752" s="748"/>
      <c r="L5752" s="746"/>
      <c r="M5752" s="747"/>
      <c r="N5752" s="753"/>
    </row>
    <row r="5753" spans="2:14" ht="15" customHeight="1" x14ac:dyDescent="0.25">
      <c r="B5753" s="165"/>
      <c r="C5753" s="145"/>
      <c r="D5753" s="125"/>
      <c r="E5753" s="125"/>
      <c r="F5753" s="125"/>
      <c r="G5753" s="125"/>
      <c r="H5753" s="125"/>
      <c r="I5753" s="746"/>
      <c r="J5753" s="747"/>
      <c r="K5753" s="748"/>
      <c r="L5753" s="746"/>
      <c r="M5753" s="747"/>
      <c r="N5753" s="753"/>
    </row>
    <row r="5754" spans="2:14" ht="15" customHeight="1" x14ac:dyDescent="0.25">
      <c r="B5754" s="165"/>
      <c r="C5754" s="145" t="s">
        <v>625</v>
      </c>
      <c r="D5754" s="125">
        <v>1</v>
      </c>
      <c r="E5754" s="125"/>
      <c r="F5754" s="125">
        <v>20</v>
      </c>
      <c r="G5754" s="125">
        <v>2.4</v>
      </c>
      <c r="H5754" s="125">
        <f t="shared" ref="H5754" si="91">G5754*F5754*D5754</f>
        <v>48</v>
      </c>
      <c r="I5754" s="746"/>
      <c r="J5754" s="747"/>
      <c r="K5754" s="748"/>
      <c r="L5754" s="746"/>
      <c r="M5754" s="747"/>
      <c r="N5754" s="753"/>
    </row>
    <row r="5755" spans="2:14" ht="15" customHeight="1" x14ac:dyDescent="0.25">
      <c r="B5755" s="165"/>
      <c r="C5755" s="145"/>
      <c r="D5755" s="125"/>
      <c r="E5755" s="125"/>
      <c r="F5755" s="125"/>
      <c r="G5755" s="125"/>
      <c r="H5755" s="125"/>
      <c r="I5755" s="746"/>
      <c r="J5755" s="747"/>
      <c r="K5755" s="748"/>
      <c r="L5755" s="746"/>
      <c r="M5755" s="747"/>
      <c r="N5755" s="753"/>
    </row>
    <row r="5756" spans="2:14" ht="15" customHeight="1" x14ac:dyDescent="0.25">
      <c r="B5756" s="124"/>
      <c r="C5756" s="145"/>
      <c r="D5756" s="125"/>
      <c r="E5756" s="125"/>
      <c r="F5756" s="125"/>
      <c r="G5756" s="125"/>
      <c r="H5756" s="125"/>
      <c r="I5756" s="746"/>
      <c r="J5756" s="747"/>
      <c r="K5756" s="748"/>
      <c r="L5756" s="746"/>
      <c r="M5756" s="747"/>
      <c r="N5756" s="753"/>
    </row>
    <row r="5757" spans="2:14" ht="15" customHeight="1" x14ac:dyDescent="0.25">
      <c r="B5757" s="124"/>
      <c r="C5757" s="125"/>
      <c r="D5757" s="125"/>
      <c r="E5757" s="125"/>
      <c r="F5757" s="125"/>
      <c r="G5757" s="125"/>
      <c r="H5757" s="125"/>
      <c r="I5757" s="746"/>
      <c r="J5757" s="747"/>
      <c r="K5757" s="748"/>
      <c r="L5757" s="746"/>
      <c r="M5757" s="747"/>
      <c r="N5757" s="753"/>
    </row>
    <row r="5758" spans="2:14" ht="15" customHeight="1" x14ac:dyDescent="0.25">
      <c r="B5758" s="127"/>
      <c r="C5758" s="125"/>
      <c r="D5758" s="125"/>
      <c r="E5758" s="125"/>
      <c r="F5758" s="125"/>
      <c r="G5758" s="125"/>
      <c r="H5758" s="125"/>
      <c r="I5758" s="749"/>
      <c r="J5758" s="750"/>
      <c r="K5758" s="751"/>
      <c r="L5758" s="749"/>
      <c r="M5758" s="750"/>
      <c r="N5758" s="754"/>
    </row>
    <row r="5759" spans="2:14" ht="15" customHeight="1" x14ac:dyDescent="0.25">
      <c r="B5759" s="225"/>
      <c r="C5759" s="128"/>
      <c r="D5759" s="128"/>
      <c r="E5759" s="128"/>
      <c r="F5759" s="128"/>
      <c r="G5759" s="128"/>
      <c r="H5759" s="128"/>
      <c r="I5759" s="128"/>
      <c r="J5759" s="128"/>
      <c r="K5759" s="128"/>
      <c r="L5759" s="118"/>
      <c r="M5759" s="118"/>
      <c r="N5759" s="210"/>
    </row>
    <row r="5760" spans="2:14" ht="15" customHeight="1" x14ac:dyDescent="0.25">
      <c r="B5760" s="209"/>
      <c r="C5760" s="118"/>
      <c r="D5760" s="118"/>
      <c r="E5760" s="118"/>
      <c r="F5760" s="118"/>
      <c r="G5760" s="118"/>
      <c r="H5760" s="118"/>
      <c r="I5760" s="118"/>
      <c r="J5760" s="118"/>
      <c r="K5760" s="118"/>
      <c r="L5760" s="118"/>
      <c r="M5760" s="118"/>
      <c r="N5760" s="210"/>
    </row>
    <row r="5761" spans="2:14" ht="15" customHeight="1" x14ac:dyDescent="0.25">
      <c r="B5761" s="209"/>
      <c r="C5761" s="118"/>
      <c r="D5761" s="118"/>
      <c r="E5761" s="118"/>
      <c r="F5761" s="118"/>
      <c r="G5761" s="118"/>
      <c r="H5761" s="118"/>
      <c r="I5761" s="118"/>
      <c r="J5761" s="118"/>
      <c r="K5761" s="118"/>
      <c r="L5761" s="118"/>
      <c r="M5761" s="118"/>
      <c r="N5761" s="210"/>
    </row>
    <row r="5762" spans="2:14" ht="15" customHeight="1" thickBot="1" x14ac:dyDescent="0.3">
      <c r="B5762" s="725" t="s">
        <v>414</v>
      </c>
      <c r="C5762" s="726"/>
      <c r="D5762" s="726"/>
      <c r="E5762" s="147"/>
      <c r="F5762" s="147"/>
      <c r="G5762" s="147"/>
      <c r="H5762" s="147"/>
      <c r="I5762" s="727"/>
      <c r="J5762" s="726"/>
      <c r="K5762" s="726"/>
      <c r="L5762" s="130"/>
      <c r="M5762" s="130"/>
      <c r="N5762" s="131"/>
    </row>
    <row r="5763" spans="2:14" ht="15" customHeight="1" thickBot="1" x14ac:dyDescent="0.3"/>
    <row r="5764" spans="2:14" ht="44.45" customHeight="1" x14ac:dyDescent="0.25">
      <c r="B5764" s="728"/>
      <c r="C5764" s="729"/>
      <c r="D5764" s="730" t="s">
        <v>393</v>
      </c>
      <c r="E5764" s="729"/>
      <c r="F5764" s="729"/>
      <c r="G5764" s="729"/>
      <c r="H5764" s="729"/>
      <c r="I5764" s="729"/>
      <c r="J5764" s="729"/>
      <c r="K5764" s="729"/>
      <c r="L5764" s="729"/>
      <c r="M5764" s="729"/>
      <c r="N5764" s="731"/>
    </row>
    <row r="5765" spans="2:14" ht="15" customHeight="1" x14ac:dyDescent="0.25">
      <c r="B5765" s="732" t="s">
        <v>394</v>
      </c>
      <c r="C5765" s="733"/>
      <c r="D5765" s="733"/>
      <c r="E5765" s="733"/>
      <c r="F5765" s="733"/>
      <c r="G5765" s="733"/>
      <c r="H5765" s="733"/>
      <c r="I5765" s="733"/>
      <c r="J5765" s="733"/>
      <c r="K5765" s="733"/>
      <c r="L5765" s="733"/>
      <c r="M5765" s="733"/>
      <c r="N5765" s="734"/>
    </row>
    <row r="5766" spans="2:14" ht="28.9" customHeight="1" x14ac:dyDescent="0.25">
      <c r="B5766" s="735" t="s">
        <v>395</v>
      </c>
      <c r="C5766" s="736"/>
      <c r="D5766" s="737" t="str">
        <f>VLOOKUP(B5768,Buenaventura!A82:G6937,3,FALSE)</f>
        <v>Suministro y aplicación de cal</v>
      </c>
      <c r="E5766" s="738"/>
      <c r="F5766" s="738"/>
      <c r="G5766" s="738"/>
      <c r="H5766" s="738"/>
      <c r="I5766" s="738"/>
      <c r="J5766" s="738"/>
      <c r="K5766" s="738"/>
      <c r="L5766" s="738"/>
      <c r="M5766" s="738"/>
      <c r="N5766" s="739"/>
    </row>
    <row r="5767" spans="2:14" ht="14.45" customHeight="1" x14ac:dyDescent="0.25">
      <c r="B5767" s="740" t="s">
        <v>26</v>
      </c>
      <c r="C5767" s="741"/>
      <c r="D5767" s="119" t="s">
        <v>396</v>
      </c>
      <c r="E5767" s="742" t="s">
        <v>397</v>
      </c>
      <c r="F5767" s="733"/>
      <c r="G5767" s="733"/>
      <c r="H5767" s="736"/>
      <c r="I5767" s="742" t="s">
        <v>398</v>
      </c>
      <c r="J5767" s="733"/>
      <c r="K5767" s="736"/>
      <c r="L5767" s="742" t="s">
        <v>399</v>
      </c>
      <c r="M5767" s="733"/>
      <c r="N5767" s="734"/>
    </row>
    <row r="5768" spans="2:14" ht="15" customHeight="1" x14ac:dyDescent="0.25">
      <c r="B5768" s="283">
        <v>175</v>
      </c>
      <c r="C5768" s="284" t="str">
        <f>VLOOKUP(B5768,Buenaventura!A82:G6950,2,FALSE)</f>
        <v>RI-27</v>
      </c>
      <c r="D5768" s="285">
        <f>SUM(H5771:H5774)</f>
        <v>7.1999999999999993</v>
      </c>
      <c r="E5768" s="743" t="str">
        <f>VLOOKUP(B5768,Buenaventura!A82:G6949,4,FALSE)</f>
        <v>M2</v>
      </c>
      <c r="F5768" s="743"/>
      <c r="G5768" s="743"/>
      <c r="H5768" s="743"/>
      <c r="I5768" s="744"/>
      <c r="J5768" s="745"/>
      <c r="K5768" s="741"/>
      <c r="L5768" s="744"/>
      <c r="M5768" s="745"/>
      <c r="N5768" s="752"/>
    </row>
    <row r="5769" spans="2:14" ht="15" customHeight="1" x14ac:dyDescent="0.25">
      <c r="B5769" s="755" t="s">
        <v>416</v>
      </c>
      <c r="C5769" s="733"/>
      <c r="D5769" s="733"/>
      <c r="E5769" s="733"/>
      <c r="F5769" s="733"/>
      <c r="G5769" s="733"/>
      <c r="H5769" s="736"/>
      <c r="I5769" s="746"/>
      <c r="J5769" s="747"/>
      <c r="K5769" s="748"/>
      <c r="L5769" s="746"/>
      <c r="M5769" s="747"/>
      <c r="N5769" s="753"/>
    </row>
    <row r="5770" spans="2:14" ht="15" customHeight="1" x14ac:dyDescent="0.25">
      <c r="B5770" s="121" t="s">
        <v>400</v>
      </c>
      <c r="C5770" s="122" t="s">
        <v>401</v>
      </c>
      <c r="D5770" s="123" t="s">
        <v>402</v>
      </c>
      <c r="E5770" s="123" t="s">
        <v>403</v>
      </c>
      <c r="F5770" s="123" t="s">
        <v>404</v>
      </c>
      <c r="G5770" s="123" t="s">
        <v>405</v>
      </c>
      <c r="H5770" s="123" t="s">
        <v>406</v>
      </c>
      <c r="I5770" s="746"/>
      <c r="J5770" s="747"/>
      <c r="K5770" s="748"/>
      <c r="L5770" s="746"/>
      <c r="M5770" s="747"/>
      <c r="N5770" s="753"/>
    </row>
    <row r="5771" spans="2:14" ht="15" customHeight="1" x14ac:dyDescent="0.25">
      <c r="B5771" s="124"/>
      <c r="C5771" s="145" t="s">
        <v>626</v>
      </c>
      <c r="D5771" s="125">
        <v>1</v>
      </c>
      <c r="E5771" s="125"/>
      <c r="F5771" s="125">
        <v>3</v>
      </c>
      <c r="G5771" s="125">
        <v>2.4</v>
      </c>
      <c r="H5771" s="125">
        <f>G5771*F5771*D5771</f>
        <v>7.1999999999999993</v>
      </c>
      <c r="I5771" s="746"/>
      <c r="J5771" s="747"/>
      <c r="K5771" s="748"/>
      <c r="L5771" s="746"/>
      <c r="M5771" s="747"/>
      <c r="N5771" s="753"/>
    </row>
    <row r="5772" spans="2:14" ht="15" customHeight="1" x14ac:dyDescent="0.25">
      <c r="B5772" s="124"/>
      <c r="C5772" s="145"/>
      <c r="D5772" s="125"/>
      <c r="E5772" s="125"/>
      <c r="F5772" s="125"/>
      <c r="G5772" s="125"/>
      <c r="H5772" s="125"/>
      <c r="I5772" s="746"/>
      <c r="J5772" s="747"/>
      <c r="K5772" s="748"/>
      <c r="L5772" s="746"/>
      <c r="M5772" s="747"/>
      <c r="N5772" s="753"/>
    </row>
    <row r="5773" spans="2:14" ht="15" customHeight="1" x14ac:dyDescent="0.25">
      <c r="B5773" s="165"/>
      <c r="C5773" s="145"/>
      <c r="D5773" s="125"/>
      <c r="E5773" s="125"/>
      <c r="F5773" s="125"/>
      <c r="G5773" s="125"/>
      <c r="H5773" s="125"/>
      <c r="I5773" s="746"/>
      <c r="J5773" s="747"/>
      <c r="K5773" s="748"/>
      <c r="L5773" s="746"/>
      <c r="M5773" s="747"/>
      <c r="N5773" s="753"/>
    </row>
    <row r="5774" spans="2:14" ht="15" customHeight="1" x14ac:dyDescent="0.25">
      <c r="B5774" s="165"/>
      <c r="C5774" s="145"/>
      <c r="D5774" s="125"/>
      <c r="E5774" s="125"/>
      <c r="F5774" s="125"/>
      <c r="G5774" s="125"/>
      <c r="H5774" s="125"/>
      <c r="I5774" s="746"/>
      <c r="J5774" s="747"/>
      <c r="K5774" s="748"/>
      <c r="L5774" s="746"/>
      <c r="M5774" s="747"/>
      <c r="N5774" s="753"/>
    </row>
    <row r="5775" spans="2:14" ht="15" customHeight="1" x14ac:dyDescent="0.25">
      <c r="B5775" s="165"/>
      <c r="C5775" s="145"/>
      <c r="D5775" s="125"/>
      <c r="E5775" s="125"/>
      <c r="F5775" s="125"/>
      <c r="G5775" s="125"/>
      <c r="H5775" s="125"/>
      <c r="I5775" s="746"/>
      <c r="J5775" s="747"/>
      <c r="K5775" s="748"/>
      <c r="L5775" s="746"/>
      <c r="M5775" s="747"/>
      <c r="N5775" s="753"/>
    </row>
    <row r="5776" spans="2:14" ht="15" customHeight="1" x14ac:dyDescent="0.25">
      <c r="B5776" s="165"/>
      <c r="C5776" s="145"/>
      <c r="D5776" s="125"/>
      <c r="E5776" s="125"/>
      <c r="F5776" s="125"/>
      <c r="G5776" s="125"/>
      <c r="H5776" s="125"/>
      <c r="I5776" s="746"/>
      <c r="J5776" s="747"/>
      <c r="K5776" s="748"/>
      <c r="L5776" s="746"/>
      <c r="M5776" s="747"/>
      <c r="N5776" s="753"/>
    </row>
    <row r="5777" spans="2:14" ht="15" customHeight="1" x14ac:dyDescent="0.25">
      <c r="B5777" s="165"/>
      <c r="C5777" s="145"/>
      <c r="D5777" s="125"/>
      <c r="E5777" s="125"/>
      <c r="F5777" s="125"/>
      <c r="G5777" s="125"/>
      <c r="H5777" s="125"/>
      <c r="I5777" s="746"/>
      <c r="J5777" s="747"/>
      <c r="K5777" s="748"/>
      <c r="L5777" s="746"/>
      <c r="M5777" s="747"/>
      <c r="N5777" s="753"/>
    </row>
    <row r="5778" spans="2:14" ht="15" customHeight="1" x14ac:dyDescent="0.25">
      <c r="B5778" s="124"/>
      <c r="C5778" s="145"/>
      <c r="D5778" s="125"/>
      <c r="E5778" s="125"/>
      <c r="F5778" s="125"/>
      <c r="G5778" s="125"/>
      <c r="H5778" s="125"/>
      <c r="I5778" s="746"/>
      <c r="J5778" s="747"/>
      <c r="K5778" s="748"/>
      <c r="L5778" s="746"/>
      <c r="M5778" s="747"/>
      <c r="N5778" s="753"/>
    </row>
    <row r="5779" spans="2:14" ht="15" customHeight="1" x14ac:dyDescent="0.25">
      <c r="B5779" s="124"/>
      <c r="C5779" s="125"/>
      <c r="D5779" s="125"/>
      <c r="E5779" s="125"/>
      <c r="F5779" s="125"/>
      <c r="G5779" s="125"/>
      <c r="H5779" s="125"/>
      <c r="I5779" s="746"/>
      <c r="J5779" s="747"/>
      <c r="K5779" s="748"/>
      <c r="L5779" s="746"/>
      <c r="M5779" s="747"/>
      <c r="N5779" s="753"/>
    </row>
    <row r="5780" spans="2:14" ht="15" customHeight="1" x14ac:dyDescent="0.25">
      <c r="B5780" s="127"/>
      <c r="C5780" s="125"/>
      <c r="D5780" s="125"/>
      <c r="E5780" s="125"/>
      <c r="F5780" s="125"/>
      <c r="G5780" s="125"/>
      <c r="H5780" s="125"/>
      <c r="I5780" s="749"/>
      <c r="J5780" s="750"/>
      <c r="K5780" s="751"/>
      <c r="L5780" s="749"/>
      <c r="M5780" s="750"/>
      <c r="N5780" s="754"/>
    </row>
    <row r="5781" spans="2:14" ht="15" customHeight="1" x14ac:dyDescent="0.25">
      <c r="B5781" s="225"/>
      <c r="C5781" s="128"/>
      <c r="D5781" s="128"/>
      <c r="E5781" s="128"/>
      <c r="F5781" s="128"/>
      <c r="G5781" s="128"/>
      <c r="H5781" s="128"/>
      <c r="I5781" s="128"/>
      <c r="J5781" s="128"/>
      <c r="K5781" s="128"/>
      <c r="L5781" s="118"/>
      <c r="M5781" s="118"/>
      <c r="N5781" s="210"/>
    </row>
    <row r="5782" spans="2:14" ht="15" customHeight="1" x14ac:dyDescent="0.25">
      <c r="B5782" s="209"/>
      <c r="C5782" s="118"/>
      <c r="D5782" s="118"/>
      <c r="E5782" s="118"/>
      <c r="F5782" s="118"/>
      <c r="G5782" s="118"/>
      <c r="H5782" s="118"/>
      <c r="I5782" s="118"/>
      <c r="J5782" s="118"/>
      <c r="K5782" s="118"/>
      <c r="L5782" s="118"/>
      <c r="M5782" s="118"/>
      <c r="N5782" s="210"/>
    </row>
    <row r="5783" spans="2:14" ht="15" customHeight="1" x14ac:dyDescent="0.25">
      <c r="B5783" s="209"/>
      <c r="C5783" s="118"/>
      <c r="D5783" s="118"/>
      <c r="E5783" s="118"/>
      <c r="F5783" s="118"/>
      <c r="G5783" s="118"/>
      <c r="H5783" s="118"/>
      <c r="I5783" s="118"/>
      <c r="J5783" s="118"/>
      <c r="K5783" s="118"/>
      <c r="L5783" s="118"/>
      <c r="M5783" s="118"/>
      <c r="N5783" s="210"/>
    </row>
    <row r="5784" spans="2:14" ht="15" customHeight="1" thickBot="1" x14ac:dyDescent="0.3">
      <c r="B5784" s="725" t="s">
        <v>414</v>
      </c>
      <c r="C5784" s="726"/>
      <c r="D5784" s="726"/>
      <c r="E5784" s="147"/>
      <c r="F5784" s="147"/>
      <c r="G5784" s="147"/>
      <c r="H5784" s="147"/>
      <c r="I5784" s="727"/>
      <c r="J5784" s="726"/>
      <c r="K5784" s="726"/>
      <c r="L5784" s="130"/>
      <c r="M5784" s="130"/>
      <c r="N5784" s="131"/>
    </row>
    <row r="5785" spans="2:14" ht="15" customHeight="1" thickBot="1" x14ac:dyDescent="0.3"/>
    <row r="5786" spans="2:14" ht="45" customHeight="1" x14ac:dyDescent="0.25">
      <c r="B5786" s="728"/>
      <c r="C5786" s="729"/>
      <c r="D5786" s="730" t="s">
        <v>393</v>
      </c>
      <c r="E5786" s="729"/>
      <c r="F5786" s="729"/>
      <c r="G5786" s="729"/>
      <c r="H5786" s="729"/>
      <c r="I5786" s="729"/>
      <c r="J5786" s="729"/>
      <c r="K5786" s="729"/>
      <c r="L5786" s="729"/>
      <c r="M5786" s="729"/>
      <c r="N5786" s="731"/>
    </row>
    <row r="5787" spans="2:14" ht="15" customHeight="1" x14ac:dyDescent="0.25">
      <c r="B5787" s="732" t="s">
        <v>394</v>
      </c>
      <c r="C5787" s="733"/>
      <c r="D5787" s="733"/>
      <c r="E5787" s="733"/>
      <c r="F5787" s="733"/>
      <c r="G5787" s="733"/>
      <c r="H5787" s="733"/>
      <c r="I5787" s="733"/>
      <c r="J5787" s="733"/>
      <c r="K5787" s="733"/>
      <c r="L5787" s="733"/>
      <c r="M5787" s="733"/>
      <c r="N5787" s="734"/>
    </row>
    <row r="5788" spans="2:14" ht="33" customHeight="1" x14ac:dyDescent="0.25">
      <c r="B5788" s="735" t="s">
        <v>395</v>
      </c>
      <c r="C5788" s="736"/>
      <c r="D5788" s="737" t="str">
        <f>VLOOKUP(B5790,Buenaventura!A104:G6959,3,FALSE)</f>
        <v>Suministro e instalación muro en perfilería de 90mm en panel yeso de 1/2 , doble cara insonorizado, incluye  todos los elementos necesarios para su correcta instalación y acabado en pintura</v>
      </c>
      <c r="E5788" s="738"/>
      <c r="F5788" s="738"/>
      <c r="G5788" s="738"/>
      <c r="H5788" s="738"/>
      <c r="I5788" s="738"/>
      <c r="J5788" s="738"/>
      <c r="K5788" s="738"/>
      <c r="L5788" s="738"/>
      <c r="M5788" s="738"/>
      <c r="N5788" s="739"/>
    </row>
    <row r="5789" spans="2:14" ht="24" customHeight="1" x14ac:dyDescent="0.25">
      <c r="B5789" s="740" t="s">
        <v>26</v>
      </c>
      <c r="C5789" s="741"/>
      <c r="D5789" s="119" t="s">
        <v>396</v>
      </c>
      <c r="E5789" s="742" t="s">
        <v>397</v>
      </c>
      <c r="F5789" s="733"/>
      <c r="G5789" s="733"/>
      <c r="H5789" s="736"/>
      <c r="I5789" s="742" t="s">
        <v>398</v>
      </c>
      <c r="J5789" s="733"/>
      <c r="K5789" s="736"/>
      <c r="L5789" s="742" t="s">
        <v>399</v>
      </c>
      <c r="M5789" s="733"/>
      <c r="N5789" s="734"/>
    </row>
    <row r="5790" spans="2:14" ht="15" customHeight="1" x14ac:dyDescent="0.25">
      <c r="B5790" s="283">
        <v>176</v>
      </c>
      <c r="C5790" s="284" t="str">
        <f>VLOOKUP(B5790,Buenaventura!A104:G6972,2,FALSE)</f>
        <v>DI-02</v>
      </c>
      <c r="D5790" s="285">
        <f>SUM(H5793:H5796)</f>
        <v>7.1999999999999993</v>
      </c>
      <c r="E5790" s="743" t="str">
        <f>VLOOKUP(B5790,Buenaventura!A104:G6971,4,FALSE)</f>
        <v>M2</v>
      </c>
      <c r="F5790" s="743"/>
      <c r="G5790" s="743"/>
      <c r="H5790" s="743"/>
      <c r="I5790" s="744"/>
      <c r="J5790" s="745"/>
      <c r="K5790" s="741"/>
      <c r="L5790" s="744"/>
      <c r="M5790" s="745"/>
      <c r="N5790" s="752"/>
    </row>
    <row r="5791" spans="2:14" ht="15" customHeight="1" x14ac:dyDescent="0.25">
      <c r="B5791" s="755" t="s">
        <v>416</v>
      </c>
      <c r="C5791" s="733"/>
      <c r="D5791" s="733"/>
      <c r="E5791" s="733"/>
      <c r="F5791" s="733"/>
      <c r="G5791" s="733"/>
      <c r="H5791" s="736"/>
      <c r="I5791" s="746"/>
      <c r="J5791" s="747"/>
      <c r="K5791" s="748"/>
      <c r="L5791" s="746"/>
      <c r="M5791" s="747"/>
      <c r="N5791" s="753"/>
    </row>
    <row r="5792" spans="2:14" ht="15" customHeight="1" x14ac:dyDescent="0.25">
      <c r="B5792" s="121" t="s">
        <v>400</v>
      </c>
      <c r="C5792" s="122" t="s">
        <v>401</v>
      </c>
      <c r="D5792" s="123" t="s">
        <v>402</v>
      </c>
      <c r="E5792" s="123" t="s">
        <v>403</v>
      </c>
      <c r="F5792" s="123" t="s">
        <v>404</v>
      </c>
      <c r="G5792" s="123" t="s">
        <v>405</v>
      </c>
      <c r="H5792" s="123" t="s">
        <v>406</v>
      </c>
      <c r="I5792" s="746"/>
      <c r="J5792" s="747"/>
      <c r="K5792" s="748"/>
      <c r="L5792" s="746"/>
      <c r="M5792" s="747"/>
      <c r="N5792" s="753"/>
    </row>
    <row r="5793" spans="2:14" ht="15" customHeight="1" x14ac:dyDescent="0.25">
      <c r="B5793" s="124"/>
      <c r="C5793" s="145" t="s">
        <v>626</v>
      </c>
      <c r="D5793" s="125">
        <v>1</v>
      </c>
      <c r="E5793" s="125"/>
      <c r="F5793" s="125">
        <v>3</v>
      </c>
      <c r="G5793" s="125">
        <v>2.4</v>
      </c>
      <c r="H5793" s="125">
        <f>G5793*F5793*D5793</f>
        <v>7.1999999999999993</v>
      </c>
      <c r="I5793" s="746"/>
      <c r="J5793" s="747"/>
      <c r="K5793" s="748"/>
      <c r="L5793" s="746"/>
      <c r="M5793" s="747"/>
      <c r="N5793" s="753"/>
    </row>
    <row r="5794" spans="2:14" ht="15" customHeight="1" x14ac:dyDescent="0.25">
      <c r="B5794" s="124"/>
      <c r="C5794" s="145"/>
      <c r="D5794" s="125"/>
      <c r="E5794" s="125"/>
      <c r="F5794" s="125"/>
      <c r="G5794" s="125"/>
      <c r="H5794" s="125"/>
      <c r="I5794" s="746"/>
      <c r="J5794" s="747"/>
      <c r="K5794" s="748"/>
      <c r="L5794" s="746"/>
      <c r="M5794" s="747"/>
      <c r="N5794" s="753"/>
    </row>
    <row r="5795" spans="2:14" ht="15" customHeight="1" x14ac:dyDescent="0.25">
      <c r="B5795" s="165"/>
      <c r="C5795" s="145"/>
      <c r="D5795" s="125"/>
      <c r="E5795" s="125"/>
      <c r="F5795" s="125"/>
      <c r="G5795" s="125"/>
      <c r="H5795" s="125"/>
      <c r="I5795" s="746"/>
      <c r="J5795" s="747"/>
      <c r="K5795" s="748"/>
      <c r="L5795" s="746"/>
      <c r="M5795" s="747"/>
      <c r="N5795" s="753"/>
    </row>
    <row r="5796" spans="2:14" ht="15" customHeight="1" x14ac:dyDescent="0.25">
      <c r="B5796" s="165"/>
      <c r="C5796" s="369"/>
      <c r="D5796" s="134"/>
      <c r="E5796" s="134"/>
      <c r="F5796" s="134"/>
      <c r="G5796" s="134"/>
      <c r="H5796" s="134"/>
      <c r="I5796" s="746"/>
      <c r="J5796" s="747"/>
      <c r="K5796" s="748"/>
      <c r="L5796" s="746"/>
      <c r="M5796" s="747"/>
      <c r="N5796" s="753"/>
    </row>
    <row r="5797" spans="2:14" ht="15" customHeight="1" x14ac:dyDescent="0.25">
      <c r="B5797" s="165"/>
      <c r="C5797" s="369"/>
      <c r="D5797" s="134"/>
      <c r="E5797" s="134"/>
      <c r="F5797" s="134"/>
      <c r="G5797" s="134"/>
      <c r="H5797" s="134"/>
      <c r="I5797" s="746"/>
      <c r="J5797" s="747"/>
      <c r="K5797" s="748"/>
      <c r="L5797" s="746"/>
      <c r="M5797" s="747"/>
      <c r="N5797" s="753"/>
    </row>
    <row r="5798" spans="2:14" ht="15" customHeight="1" x14ac:dyDescent="0.25">
      <c r="B5798" s="165"/>
      <c r="C5798" s="145"/>
      <c r="D5798" s="125"/>
      <c r="E5798" s="125"/>
      <c r="F5798" s="125"/>
      <c r="G5798" s="125"/>
      <c r="H5798" s="125"/>
      <c r="I5798" s="746"/>
      <c r="J5798" s="747"/>
      <c r="K5798" s="748"/>
      <c r="L5798" s="746"/>
      <c r="M5798" s="747"/>
      <c r="N5798" s="753"/>
    </row>
    <row r="5799" spans="2:14" ht="15" customHeight="1" x14ac:dyDescent="0.25">
      <c r="B5799" s="165"/>
      <c r="C5799" s="145"/>
      <c r="D5799" s="125"/>
      <c r="E5799" s="125"/>
      <c r="F5799" s="125"/>
      <c r="G5799" s="125"/>
      <c r="H5799" s="125"/>
      <c r="I5799" s="746"/>
      <c r="J5799" s="747"/>
      <c r="K5799" s="748"/>
      <c r="L5799" s="746"/>
      <c r="M5799" s="747"/>
      <c r="N5799" s="753"/>
    </row>
    <row r="5800" spans="2:14" ht="15" customHeight="1" x14ac:dyDescent="0.25">
      <c r="B5800" s="124"/>
      <c r="C5800" s="145"/>
      <c r="D5800" s="125"/>
      <c r="E5800" s="125"/>
      <c r="F5800" s="125"/>
      <c r="G5800" s="125"/>
      <c r="H5800" s="125"/>
      <c r="I5800" s="746"/>
      <c r="J5800" s="747"/>
      <c r="K5800" s="748"/>
      <c r="L5800" s="746"/>
      <c r="M5800" s="747"/>
      <c r="N5800" s="753"/>
    </row>
    <row r="5801" spans="2:14" ht="15" customHeight="1" x14ac:dyDescent="0.25">
      <c r="B5801" s="124"/>
      <c r="C5801" s="125"/>
      <c r="D5801" s="125"/>
      <c r="E5801" s="125"/>
      <c r="F5801" s="125"/>
      <c r="G5801" s="125"/>
      <c r="H5801" s="125"/>
      <c r="I5801" s="746"/>
      <c r="J5801" s="747"/>
      <c r="K5801" s="748"/>
      <c r="L5801" s="746"/>
      <c r="M5801" s="747"/>
      <c r="N5801" s="753"/>
    </row>
    <row r="5802" spans="2:14" ht="15" customHeight="1" x14ac:dyDescent="0.25">
      <c r="B5802" s="127"/>
      <c r="C5802" s="125"/>
      <c r="D5802" s="125"/>
      <c r="E5802" s="125"/>
      <c r="F5802" s="125"/>
      <c r="G5802" s="125"/>
      <c r="H5802" s="125"/>
      <c r="I5802" s="749"/>
      <c r="J5802" s="750"/>
      <c r="K5802" s="751"/>
      <c r="L5802" s="749"/>
      <c r="M5802" s="750"/>
      <c r="N5802" s="754"/>
    </row>
    <row r="5803" spans="2:14" ht="15" customHeight="1" x14ac:dyDescent="0.25">
      <c r="B5803" s="225"/>
      <c r="C5803" s="128"/>
      <c r="D5803" s="128"/>
      <c r="E5803" s="128"/>
      <c r="F5803" s="128"/>
      <c r="G5803" s="128"/>
      <c r="H5803" s="128"/>
      <c r="I5803" s="128"/>
      <c r="J5803" s="128"/>
      <c r="K5803" s="128"/>
      <c r="L5803" s="118"/>
      <c r="M5803" s="118"/>
      <c r="N5803" s="210"/>
    </row>
    <row r="5804" spans="2:14" ht="15" customHeight="1" x14ac:dyDescent="0.25">
      <c r="B5804" s="209"/>
      <c r="C5804" s="118"/>
      <c r="D5804" s="118"/>
      <c r="E5804" s="118"/>
      <c r="F5804" s="118"/>
      <c r="G5804" s="118"/>
      <c r="H5804" s="118"/>
      <c r="I5804" s="118"/>
      <c r="J5804" s="118"/>
      <c r="K5804" s="118"/>
      <c r="L5804" s="118"/>
      <c r="M5804" s="118"/>
      <c r="N5804" s="210"/>
    </row>
    <row r="5805" spans="2:14" ht="15" customHeight="1" x14ac:dyDescent="0.25">
      <c r="B5805" s="209"/>
      <c r="C5805" s="118"/>
      <c r="D5805" s="118"/>
      <c r="E5805" s="118"/>
      <c r="F5805" s="118"/>
      <c r="G5805" s="118"/>
      <c r="H5805" s="118"/>
      <c r="I5805" s="118"/>
      <c r="J5805" s="118"/>
      <c r="K5805" s="118"/>
      <c r="L5805" s="118"/>
      <c r="M5805" s="118"/>
      <c r="N5805" s="210"/>
    </row>
    <row r="5806" spans="2:14" ht="15" customHeight="1" thickBot="1" x14ac:dyDescent="0.3">
      <c r="B5806" s="725" t="s">
        <v>414</v>
      </c>
      <c r="C5806" s="726"/>
      <c r="D5806" s="726"/>
      <c r="E5806" s="147"/>
      <c r="F5806" s="147"/>
      <c r="G5806" s="147"/>
      <c r="H5806" s="147"/>
      <c r="I5806" s="727"/>
      <c r="J5806" s="726"/>
      <c r="K5806" s="726"/>
      <c r="L5806" s="130"/>
      <c r="M5806" s="130"/>
      <c r="N5806" s="131"/>
    </row>
    <row r="5807" spans="2:14" ht="15" customHeight="1" thickBot="1" x14ac:dyDescent="0.3"/>
    <row r="5808" spans="2:14" ht="46.15" customHeight="1" x14ac:dyDescent="0.25">
      <c r="B5808" s="728"/>
      <c r="C5808" s="729"/>
      <c r="D5808" s="730" t="s">
        <v>393</v>
      </c>
      <c r="E5808" s="729"/>
      <c r="F5808" s="729"/>
      <c r="G5808" s="729"/>
      <c r="H5808" s="729"/>
      <c r="I5808" s="729"/>
      <c r="J5808" s="729"/>
      <c r="K5808" s="729"/>
      <c r="L5808" s="729"/>
      <c r="M5808" s="729"/>
      <c r="N5808" s="731"/>
    </row>
    <row r="5809" spans="2:14" ht="15" customHeight="1" x14ac:dyDescent="0.25">
      <c r="B5809" s="732" t="s">
        <v>394</v>
      </c>
      <c r="C5809" s="733"/>
      <c r="D5809" s="733"/>
      <c r="E5809" s="733"/>
      <c r="F5809" s="733"/>
      <c r="G5809" s="733"/>
      <c r="H5809" s="733"/>
      <c r="I5809" s="733"/>
      <c r="J5809" s="733"/>
      <c r="K5809" s="733"/>
      <c r="L5809" s="733"/>
      <c r="M5809" s="733"/>
      <c r="N5809" s="734"/>
    </row>
    <row r="5810" spans="2:14" ht="27" customHeight="1" x14ac:dyDescent="0.25">
      <c r="B5810" s="735" t="s">
        <v>395</v>
      </c>
      <c r="C5810" s="736"/>
      <c r="D5810" s="737" t="str">
        <f>VLOOKUP(B5812,Buenaventura!A126:G6981,3,FALSE)</f>
        <v>Suministro e instalación muro en perfilería de 90mm en panel yeso de 1/2 , una cara, incluye  todos los elementos necesarios para su correcta instalación</v>
      </c>
      <c r="E5810" s="738"/>
      <c r="F5810" s="738"/>
      <c r="G5810" s="738"/>
      <c r="H5810" s="738"/>
      <c r="I5810" s="738"/>
      <c r="J5810" s="738"/>
      <c r="K5810" s="738"/>
      <c r="L5810" s="738"/>
      <c r="M5810" s="738"/>
      <c r="N5810" s="739"/>
    </row>
    <row r="5811" spans="2:14" ht="31.15" customHeight="1" x14ac:dyDescent="0.25">
      <c r="B5811" s="740" t="s">
        <v>26</v>
      </c>
      <c r="C5811" s="741"/>
      <c r="D5811" s="119" t="s">
        <v>396</v>
      </c>
      <c r="E5811" s="742" t="s">
        <v>397</v>
      </c>
      <c r="F5811" s="733"/>
      <c r="G5811" s="733"/>
      <c r="H5811" s="736"/>
      <c r="I5811" s="742" t="s">
        <v>398</v>
      </c>
      <c r="J5811" s="733"/>
      <c r="K5811" s="736"/>
      <c r="L5811" s="742" t="s">
        <v>399</v>
      </c>
      <c r="M5811" s="733"/>
      <c r="N5811" s="734"/>
    </row>
    <row r="5812" spans="2:14" ht="21" customHeight="1" x14ac:dyDescent="0.25">
      <c r="B5812" s="283">
        <v>177</v>
      </c>
      <c r="C5812" s="284" t="str">
        <f>VLOOKUP(B5812,Buenaventura!A126:G6994,2,FALSE)</f>
        <v>DI-25</v>
      </c>
      <c r="D5812" s="285">
        <f>SUM(H5815:H5818)</f>
        <v>82.5</v>
      </c>
      <c r="E5812" s="743" t="str">
        <f>VLOOKUP(B5812,Buenaventura!A126:G6993,4,FALSE)</f>
        <v>M2</v>
      </c>
      <c r="F5812" s="743"/>
      <c r="G5812" s="743"/>
      <c r="H5812" s="743"/>
      <c r="I5812" s="744"/>
      <c r="J5812" s="745"/>
      <c r="K5812" s="741"/>
      <c r="L5812" s="744"/>
      <c r="M5812" s="745"/>
      <c r="N5812" s="752"/>
    </row>
    <row r="5813" spans="2:14" ht="15" customHeight="1" x14ac:dyDescent="0.25">
      <c r="B5813" s="755" t="s">
        <v>416</v>
      </c>
      <c r="C5813" s="733"/>
      <c r="D5813" s="733"/>
      <c r="E5813" s="733"/>
      <c r="F5813" s="733"/>
      <c r="G5813" s="733"/>
      <c r="H5813" s="736"/>
      <c r="I5813" s="746"/>
      <c r="J5813" s="747"/>
      <c r="K5813" s="748"/>
      <c r="L5813" s="746"/>
      <c r="M5813" s="747"/>
      <c r="N5813" s="753"/>
    </row>
    <row r="5814" spans="2:14" ht="15" customHeight="1" x14ac:dyDescent="0.25">
      <c r="B5814" s="121" t="s">
        <v>400</v>
      </c>
      <c r="C5814" s="122" t="s">
        <v>401</v>
      </c>
      <c r="D5814" s="123" t="s">
        <v>402</v>
      </c>
      <c r="E5814" s="123" t="s">
        <v>403</v>
      </c>
      <c r="F5814" s="123" t="s">
        <v>404</v>
      </c>
      <c r="G5814" s="123" t="s">
        <v>405</v>
      </c>
      <c r="H5814" s="123" t="s">
        <v>406</v>
      </c>
      <c r="I5814" s="746"/>
      <c r="J5814" s="747"/>
      <c r="K5814" s="748"/>
      <c r="L5814" s="746"/>
      <c r="M5814" s="747"/>
      <c r="N5814" s="753"/>
    </row>
    <row r="5815" spans="2:14" ht="15" customHeight="1" x14ac:dyDescent="0.25">
      <c r="B5815" s="124"/>
      <c r="C5815" s="145" t="s">
        <v>467</v>
      </c>
      <c r="D5815" s="125">
        <v>3</v>
      </c>
      <c r="E5815" s="125"/>
      <c r="F5815" s="125">
        <v>10</v>
      </c>
      <c r="G5815" s="125">
        <v>1.5</v>
      </c>
      <c r="H5815" s="125">
        <f>G5815*F5815*D5815</f>
        <v>45</v>
      </c>
      <c r="I5815" s="746"/>
      <c r="J5815" s="747"/>
      <c r="K5815" s="748"/>
      <c r="L5815" s="746"/>
      <c r="M5815" s="747"/>
      <c r="N5815" s="753"/>
    </row>
    <row r="5816" spans="2:14" ht="15" customHeight="1" x14ac:dyDescent="0.25">
      <c r="B5816" s="124"/>
      <c r="C5816" s="145" t="s">
        <v>502</v>
      </c>
      <c r="D5816" s="125">
        <v>3</v>
      </c>
      <c r="E5816" s="125"/>
      <c r="F5816" s="125">
        <v>5</v>
      </c>
      <c r="G5816" s="125">
        <v>1.5</v>
      </c>
      <c r="H5816" s="125">
        <f t="shared" ref="H5816:H5818" si="92">G5816*F5816*D5816</f>
        <v>22.5</v>
      </c>
      <c r="I5816" s="746"/>
      <c r="J5816" s="747"/>
      <c r="K5816" s="748"/>
      <c r="L5816" s="746"/>
      <c r="M5816" s="747"/>
      <c r="N5816" s="753"/>
    </row>
    <row r="5817" spans="2:14" ht="15" customHeight="1" x14ac:dyDescent="0.25">
      <c r="B5817" s="165"/>
      <c r="C5817" s="145"/>
      <c r="D5817" s="125">
        <v>1</v>
      </c>
      <c r="E5817" s="125"/>
      <c r="F5817" s="125">
        <v>10</v>
      </c>
      <c r="G5817" s="125">
        <v>1.5</v>
      </c>
      <c r="H5817" s="125">
        <f t="shared" si="92"/>
        <v>15</v>
      </c>
      <c r="I5817" s="746"/>
      <c r="J5817" s="747"/>
      <c r="K5817" s="748"/>
      <c r="L5817" s="746"/>
      <c r="M5817" s="747"/>
      <c r="N5817" s="753"/>
    </row>
    <row r="5818" spans="2:14" ht="15" customHeight="1" x14ac:dyDescent="0.25">
      <c r="B5818" s="165"/>
      <c r="C5818" s="145"/>
      <c r="D5818" s="125"/>
      <c r="E5818" s="125"/>
      <c r="F5818" s="125"/>
      <c r="G5818" s="125"/>
      <c r="H5818" s="125">
        <f t="shared" si="92"/>
        <v>0</v>
      </c>
      <c r="I5818" s="746"/>
      <c r="J5818" s="747"/>
      <c r="K5818" s="748"/>
      <c r="L5818" s="746"/>
      <c r="M5818" s="747"/>
      <c r="N5818" s="753"/>
    </row>
    <row r="5819" spans="2:14" ht="15" customHeight="1" x14ac:dyDescent="0.25">
      <c r="B5819" s="165"/>
      <c r="C5819" s="145"/>
      <c r="D5819" s="125"/>
      <c r="E5819" s="125"/>
      <c r="F5819" s="125"/>
      <c r="G5819" s="125"/>
      <c r="H5819" s="125"/>
      <c r="I5819" s="746"/>
      <c r="J5819" s="747"/>
      <c r="K5819" s="748"/>
      <c r="L5819" s="746"/>
      <c r="M5819" s="747"/>
      <c r="N5819" s="753"/>
    </row>
    <row r="5820" spans="2:14" ht="15" customHeight="1" x14ac:dyDescent="0.25">
      <c r="B5820" s="165"/>
      <c r="C5820" s="145"/>
      <c r="D5820" s="125"/>
      <c r="E5820" s="125"/>
      <c r="F5820" s="125"/>
      <c r="G5820" s="125"/>
      <c r="H5820" s="125"/>
      <c r="I5820" s="746"/>
      <c r="J5820" s="747"/>
      <c r="K5820" s="748"/>
      <c r="L5820" s="746"/>
      <c r="M5820" s="747"/>
      <c r="N5820" s="753"/>
    </row>
    <row r="5821" spans="2:14" ht="15" customHeight="1" x14ac:dyDescent="0.25">
      <c r="B5821" s="165"/>
      <c r="C5821" s="145"/>
      <c r="D5821" s="125"/>
      <c r="E5821" s="125"/>
      <c r="F5821" s="125"/>
      <c r="G5821" s="125"/>
      <c r="H5821" s="125"/>
      <c r="I5821" s="746"/>
      <c r="J5821" s="747"/>
      <c r="K5821" s="748"/>
      <c r="L5821" s="746"/>
      <c r="M5821" s="747"/>
      <c r="N5821" s="753"/>
    </row>
    <row r="5822" spans="2:14" ht="15" customHeight="1" x14ac:dyDescent="0.25">
      <c r="B5822" s="124"/>
      <c r="C5822" s="145"/>
      <c r="D5822" s="125"/>
      <c r="E5822" s="125"/>
      <c r="F5822" s="125"/>
      <c r="G5822" s="125"/>
      <c r="H5822" s="125"/>
      <c r="I5822" s="746"/>
      <c r="J5822" s="747"/>
      <c r="K5822" s="748"/>
      <c r="L5822" s="746"/>
      <c r="M5822" s="747"/>
      <c r="N5822" s="753"/>
    </row>
    <row r="5823" spans="2:14" ht="15" customHeight="1" x14ac:dyDescent="0.25">
      <c r="B5823" s="124"/>
      <c r="C5823" s="125"/>
      <c r="D5823" s="125"/>
      <c r="E5823" s="125"/>
      <c r="F5823" s="125"/>
      <c r="G5823" s="125"/>
      <c r="H5823" s="125"/>
      <c r="I5823" s="746"/>
      <c r="J5823" s="747"/>
      <c r="K5823" s="748"/>
      <c r="L5823" s="746"/>
      <c r="M5823" s="747"/>
      <c r="N5823" s="753"/>
    </row>
    <row r="5824" spans="2:14" ht="15" customHeight="1" x14ac:dyDescent="0.25">
      <c r="B5824" s="127"/>
      <c r="C5824" s="125"/>
      <c r="D5824" s="125"/>
      <c r="E5824" s="125"/>
      <c r="F5824" s="125"/>
      <c r="G5824" s="125"/>
      <c r="H5824" s="125"/>
      <c r="I5824" s="749"/>
      <c r="J5824" s="750"/>
      <c r="K5824" s="751"/>
      <c r="L5824" s="749"/>
      <c r="M5824" s="750"/>
      <c r="N5824" s="754"/>
    </row>
    <row r="5825" spans="2:14" ht="15" customHeight="1" x14ac:dyDescent="0.25">
      <c r="B5825" s="225"/>
      <c r="C5825" s="128"/>
      <c r="D5825" s="128"/>
      <c r="E5825" s="128"/>
      <c r="F5825" s="128"/>
      <c r="G5825" s="128"/>
      <c r="H5825" s="128"/>
      <c r="I5825" s="128"/>
      <c r="J5825" s="128"/>
      <c r="K5825" s="128"/>
      <c r="L5825" s="118"/>
      <c r="M5825" s="118"/>
      <c r="N5825" s="210"/>
    </row>
    <row r="5826" spans="2:14" ht="15" customHeight="1" x14ac:dyDescent="0.25">
      <c r="B5826" s="209"/>
      <c r="C5826" s="118"/>
      <c r="D5826" s="118"/>
      <c r="E5826" s="118"/>
      <c r="F5826" s="118"/>
      <c r="G5826" s="118"/>
      <c r="H5826" s="118"/>
      <c r="I5826" s="118"/>
      <c r="J5826" s="118"/>
      <c r="K5826" s="118"/>
      <c r="L5826" s="118"/>
      <c r="M5826" s="118"/>
      <c r="N5826" s="210"/>
    </row>
    <row r="5827" spans="2:14" ht="15" customHeight="1" x14ac:dyDescent="0.25">
      <c r="B5827" s="209"/>
      <c r="C5827" s="118"/>
      <c r="D5827" s="118"/>
      <c r="E5827" s="118"/>
      <c r="F5827" s="118"/>
      <c r="G5827" s="118"/>
      <c r="H5827" s="118"/>
      <c r="I5827" s="118"/>
      <c r="J5827" s="118"/>
      <c r="K5827" s="118"/>
      <c r="L5827" s="118"/>
      <c r="M5827" s="118"/>
      <c r="N5827" s="210"/>
    </row>
    <row r="5828" spans="2:14" ht="15" customHeight="1" thickBot="1" x14ac:dyDescent="0.3">
      <c r="B5828" s="725" t="s">
        <v>414</v>
      </c>
      <c r="C5828" s="726"/>
      <c r="D5828" s="726"/>
      <c r="E5828" s="147"/>
      <c r="F5828" s="147"/>
      <c r="G5828" s="147"/>
      <c r="H5828" s="147"/>
      <c r="I5828" s="727"/>
      <c r="J5828" s="726"/>
      <c r="K5828" s="726"/>
      <c r="L5828" s="130"/>
      <c r="M5828" s="130"/>
      <c r="N5828" s="131"/>
    </row>
    <row r="5829" spans="2:14" ht="15" customHeight="1" thickBot="1" x14ac:dyDescent="0.3"/>
    <row r="5830" spans="2:14" ht="34.9" customHeight="1" x14ac:dyDescent="0.25">
      <c r="B5830" s="728"/>
      <c r="C5830" s="729"/>
      <c r="D5830" s="730" t="s">
        <v>393</v>
      </c>
      <c r="E5830" s="729"/>
      <c r="F5830" s="729"/>
      <c r="G5830" s="729"/>
      <c r="H5830" s="729"/>
      <c r="I5830" s="729"/>
      <c r="J5830" s="729"/>
      <c r="K5830" s="729"/>
      <c r="L5830" s="729"/>
      <c r="M5830" s="729"/>
      <c r="N5830" s="731"/>
    </row>
    <row r="5831" spans="2:14" ht="15" customHeight="1" x14ac:dyDescent="0.25">
      <c r="B5831" s="732" t="s">
        <v>394</v>
      </c>
      <c r="C5831" s="733"/>
      <c r="D5831" s="733"/>
      <c r="E5831" s="733"/>
      <c r="F5831" s="733"/>
      <c r="G5831" s="733"/>
      <c r="H5831" s="733"/>
      <c r="I5831" s="733"/>
      <c r="J5831" s="733"/>
      <c r="K5831" s="733"/>
      <c r="L5831" s="733"/>
      <c r="M5831" s="733"/>
      <c r="N5831" s="734"/>
    </row>
    <row r="5832" spans="2:14" ht="15" customHeight="1" x14ac:dyDescent="0.25">
      <c r="B5832" s="735" t="s">
        <v>395</v>
      </c>
      <c r="C5832" s="736"/>
      <c r="D5832" s="737" t="str">
        <f>VLOOKUP(B5834,Buenaventura!A148:G7003,3,FALSE)</f>
        <v>Suministro e instalación de relleno liviano tipo frescasa</v>
      </c>
      <c r="E5832" s="738"/>
      <c r="F5832" s="738"/>
      <c r="G5832" s="738"/>
      <c r="H5832" s="738"/>
      <c r="I5832" s="738"/>
      <c r="J5832" s="738"/>
      <c r="K5832" s="738"/>
      <c r="L5832" s="738"/>
      <c r="M5832" s="738"/>
      <c r="N5832" s="739"/>
    </row>
    <row r="5833" spans="2:14" ht="24.6" customHeight="1" x14ac:dyDescent="0.25">
      <c r="B5833" s="740" t="s">
        <v>26</v>
      </c>
      <c r="C5833" s="741"/>
      <c r="D5833" s="119" t="s">
        <v>396</v>
      </c>
      <c r="E5833" s="742" t="s">
        <v>397</v>
      </c>
      <c r="F5833" s="733"/>
      <c r="G5833" s="733"/>
      <c r="H5833" s="736"/>
      <c r="I5833" s="742" t="s">
        <v>398</v>
      </c>
      <c r="J5833" s="733"/>
      <c r="K5833" s="736"/>
      <c r="L5833" s="742" t="s">
        <v>399</v>
      </c>
      <c r="M5833" s="733"/>
      <c r="N5833" s="734"/>
    </row>
    <row r="5834" spans="2:14" ht="15" customHeight="1" x14ac:dyDescent="0.25">
      <c r="B5834" s="283">
        <v>178</v>
      </c>
      <c r="C5834" s="284" t="str">
        <f>VLOOKUP(B5834,Buenaventura!A148:G7016,2,FALSE)</f>
        <v>CC-24</v>
      </c>
      <c r="D5834" s="285">
        <f>SUM(H5837:H5840)</f>
        <v>82.5</v>
      </c>
      <c r="E5834" s="743" t="str">
        <f>VLOOKUP(B5834,Buenaventura!A148:G7015,4,FALSE)</f>
        <v>M2</v>
      </c>
      <c r="F5834" s="743"/>
      <c r="G5834" s="743"/>
      <c r="H5834" s="743"/>
      <c r="I5834" s="744"/>
      <c r="J5834" s="745"/>
      <c r="K5834" s="741"/>
      <c r="L5834" s="744"/>
      <c r="M5834" s="745"/>
      <c r="N5834" s="752"/>
    </row>
    <row r="5835" spans="2:14" ht="15" customHeight="1" x14ac:dyDescent="0.25">
      <c r="B5835" s="755" t="s">
        <v>416</v>
      </c>
      <c r="C5835" s="733"/>
      <c r="D5835" s="733"/>
      <c r="E5835" s="733"/>
      <c r="F5835" s="733"/>
      <c r="G5835" s="733"/>
      <c r="H5835" s="736"/>
      <c r="I5835" s="746"/>
      <c r="J5835" s="747"/>
      <c r="K5835" s="748"/>
      <c r="L5835" s="746"/>
      <c r="M5835" s="747"/>
      <c r="N5835" s="753"/>
    </row>
    <row r="5836" spans="2:14" ht="15" customHeight="1" x14ac:dyDescent="0.25">
      <c r="B5836" s="121" t="s">
        <v>400</v>
      </c>
      <c r="C5836" s="122" t="s">
        <v>401</v>
      </c>
      <c r="D5836" s="123" t="s">
        <v>402</v>
      </c>
      <c r="E5836" s="123" t="s">
        <v>403</v>
      </c>
      <c r="F5836" s="123" t="s">
        <v>404</v>
      </c>
      <c r="G5836" s="123" t="s">
        <v>405</v>
      </c>
      <c r="H5836" s="123" t="s">
        <v>406</v>
      </c>
      <c r="I5836" s="746"/>
      <c r="J5836" s="747"/>
      <c r="K5836" s="748"/>
      <c r="L5836" s="746"/>
      <c r="M5836" s="747"/>
      <c r="N5836" s="753"/>
    </row>
    <row r="5837" spans="2:14" ht="15" customHeight="1" x14ac:dyDescent="0.25">
      <c r="B5837" s="124"/>
      <c r="C5837" s="145" t="s">
        <v>467</v>
      </c>
      <c r="D5837" s="125">
        <v>3</v>
      </c>
      <c r="E5837" s="125"/>
      <c r="F5837" s="125">
        <v>10</v>
      </c>
      <c r="G5837" s="125">
        <v>1.5</v>
      </c>
      <c r="H5837" s="125">
        <f>G5837*F5837*D5837</f>
        <v>45</v>
      </c>
      <c r="I5837" s="746"/>
      <c r="J5837" s="747"/>
      <c r="K5837" s="748"/>
      <c r="L5837" s="746"/>
      <c r="M5837" s="747"/>
      <c r="N5837" s="753"/>
    </row>
    <row r="5838" spans="2:14" ht="15" customHeight="1" x14ac:dyDescent="0.25">
      <c r="B5838" s="124"/>
      <c r="C5838" s="145" t="s">
        <v>502</v>
      </c>
      <c r="D5838" s="125">
        <v>3</v>
      </c>
      <c r="E5838" s="125"/>
      <c r="F5838" s="125">
        <v>5</v>
      </c>
      <c r="G5838" s="125">
        <v>1.5</v>
      </c>
      <c r="H5838" s="125">
        <f t="shared" ref="H5838:H5840" si="93">G5838*F5838*D5838</f>
        <v>22.5</v>
      </c>
      <c r="I5838" s="746"/>
      <c r="J5838" s="747"/>
      <c r="K5838" s="748"/>
      <c r="L5838" s="746"/>
      <c r="M5838" s="747"/>
      <c r="N5838" s="753"/>
    </row>
    <row r="5839" spans="2:14" ht="15" customHeight="1" x14ac:dyDescent="0.25">
      <c r="B5839" s="165"/>
      <c r="C5839" s="145"/>
      <c r="D5839" s="125">
        <v>1</v>
      </c>
      <c r="E5839" s="125"/>
      <c r="F5839" s="125">
        <v>10</v>
      </c>
      <c r="G5839" s="125">
        <v>1.5</v>
      </c>
      <c r="H5839" s="125">
        <f t="shared" si="93"/>
        <v>15</v>
      </c>
      <c r="I5839" s="746"/>
      <c r="J5839" s="747"/>
      <c r="K5839" s="748"/>
      <c r="L5839" s="746"/>
      <c r="M5839" s="747"/>
      <c r="N5839" s="753"/>
    </row>
    <row r="5840" spans="2:14" ht="15" customHeight="1" x14ac:dyDescent="0.25">
      <c r="B5840" s="165"/>
      <c r="C5840" s="145"/>
      <c r="D5840" s="125"/>
      <c r="E5840" s="125"/>
      <c r="F5840" s="125"/>
      <c r="G5840" s="125"/>
      <c r="H5840" s="125">
        <f t="shared" si="93"/>
        <v>0</v>
      </c>
      <c r="I5840" s="746"/>
      <c r="J5840" s="747"/>
      <c r="K5840" s="748"/>
      <c r="L5840" s="746"/>
      <c r="M5840" s="747"/>
      <c r="N5840" s="753"/>
    </row>
    <row r="5841" spans="2:14" ht="15" customHeight="1" x14ac:dyDescent="0.25">
      <c r="B5841" s="165"/>
      <c r="C5841" s="145"/>
      <c r="D5841" s="125"/>
      <c r="E5841" s="125"/>
      <c r="F5841" s="125"/>
      <c r="G5841" s="125"/>
      <c r="H5841" s="125"/>
      <c r="I5841" s="746"/>
      <c r="J5841" s="747"/>
      <c r="K5841" s="748"/>
      <c r="L5841" s="746"/>
      <c r="M5841" s="747"/>
      <c r="N5841" s="753"/>
    </row>
    <row r="5842" spans="2:14" ht="15" customHeight="1" x14ac:dyDescent="0.25">
      <c r="B5842" s="165"/>
      <c r="C5842" s="145"/>
      <c r="D5842" s="125"/>
      <c r="E5842" s="125"/>
      <c r="F5842" s="125"/>
      <c r="G5842" s="125"/>
      <c r="H5842" s="125"/>
      <c r="I5842" s="746"/>
      <c r="J5842" s="747"/>
      <c r="K5842" s="748"/>
      <c r="L5842" s="746"/>
      <c r="M5842" s="747"/>
      <c r="N5842" s="753"/>
    </row>
    <row r="5843" spans="2:14" ht="15" customHeight="1" x14ac:dyDescent="0.25">
      <c r="B5843" s="165"/>
      <c r="C5843" s="145"/>
      <c r="D5843" s="125"/>
      <c r="E5843" s="125"/>
      <c r="F5843" s="125"/>
      <c r="G5843" s="125"/>
      <c r="H5843" s="125"/>
      <c r="I5843" s="746"/>
      <c r="J5843" s="747"/>
      <c r="K5843" s="748"/>
      <c r="L5843" s="746"/>
      <c r="M5843" s="747"/>
      <c r="N5843" s="753"/>
    </row>
    <row r="5844" spans="2:14" ht="15" customHeight="1" x14ac:dyDescent="0.25">
      <c r="B5844" s="124"/>
      <c r="C5844" s="145"/>
      <c r="D5844" s="125"/>
      <c r="E5844" s="125"/>
      <c r="F5844" s="125"/>
      <c r="G5844" s="125"/>
      <c r="H5844" s="125"/>
      <c r="I5844" s="746"/>
      <c r="J5844" s="747"/>
      <c r="K5844" s="748"/>
      <c r="L5844" s="746"/>
      <c r="M5844" s="747"/>
      <c r="N5844" s="753"/>
    </row>
    <row r="5845" spans="2:14" ht="15" customHeight="1" x14ac:dyDescent="0.25">
      <c r="B5845" s="124"/>
      <c r="C5845" s="125"/>
      <c r="D5845" s="125"/>
      <c r="E5845" s="125"/>
      <c r="F5845" s="125"/>
      <c r="G5845" s="125"/>
      <c r="H5845" s="125"/>
      <c r="I5845" s="746"/>
      <c r="J5845" s="747"/>
      <c r="K5845" s="748"/>
      <c r="L5845" s="746"/>
      <c r="M5845" s="747"/>
      <c r="N5845" s="753"/>
    </row>
    <row r="5846" spans="2:14" ht="15" customHeight="1" x14ac:dyDescent="0.25">
      <c r="B5846" s="127"/>
      <c r="C5846" s="125"/>
      <c r="D5846" s="125"/>
      <c r="E5846" s="125"/>
      <c r="F5846" s="125"/>
      <c r="G5846" s="125"/>
      <c r="H5846" s="125"/>
      <c r="I5846" s="749"/>
      <c r="J5846" s="750"/>
      <c r="K5846" s="751"/>
      <c r="L5846" s="749"/>
      <c r="M5846" s="750"/>
      <c r="N5846" s="754"/>
    </row>
    <row r="5847" spans="2:14" ht="15" customHeight="1" x14ac:dyDescent="0.25">
      <c r="B5847" s="225"/>
      <c r="C5847" s="128"/>
      <c r="D5847" s="128"/>
      <c r="E5847" s="128"/>
      <c r="F5847" s="128"/>
      <c r="G5847" s="128"/>
      <c r="H5847" s="128"/>
      <c r="I5847" s="128"/>
      <c r="J5847" s="128"/>
      <c r="K5847" s="128"/>
      <c r="L5847" s="118"/>
      <c r="M5847" s="118"/>
      <c r="N5847" s="210"/>
    </row>
    <row r="5848" spans="2:14" ht="15" customHeight="1" x14ac:dyDescent="0.25">
      <c r="B5848" s="209"/>
      <c r="C5848" s="118"/>
      <c r="D5848" s="118"/>
      <c r="E5848" s="118"/>
      <c r="F5848" s="118"/>
      <c r="G5848" s="118"/>
      <c r="H5848" s="118"/>
      <c r="I5848" s="118"/>
      <c r="J5848" s="118"/>
      <c r="K5848" s="118"/>
      <c r="L5848" s="118"/>
      <c r="M5848" s="118"/>
      <c r="N5848" s="210"/>
    </row>
    <row r="5849" spans="2:14" ht="15" customHeight="1" x14ac:dyDescent="0.25">
      <c r="B5849" s="209"/>
      <c r="C5849" s="118"/>
      <c r="D5849" s="118"/>
      <c r="E5849" s="118"/>
      <c r="F5849" s="118"/>
      <c r="G5849" s="118"/>
      <c r="H5849" s="118"/>
      <c r="I5849" s="118"/>
      <c r="J5849" s="118"/>
      <c r="K5849" s="118"/>
      <c r="L5849" s="118"/>
      <c r="M5849" s="118"/>
      <c r="N5849" s="210"/>
    </row>
    <row r="5850" spans="2:14" ht="15" customHeight="1" thickBot="1" x14ac:dyDescent="0.3">
      <c r="B5850" s="725" t="s">
        <v>414</v>
      </c>
      <c r="C5850" s="726"/>
      <c r="D5850" s="726"/>
      <c r="E5850" s="147"/>
      <c r="F5850" s="147"/>
      <c r="G5850" s="147"/>
      <c r="H5850" s="147"/>
      <c r="I5850" s="727"/>
      <c r="J5850" s="726"/>
      <c r="K5850" s="726"/>
      <c r="L5850" s="130"/>
      <c r="M5850" s="130"/>
      <c r="N5850" s="131"/>
    </row>
    <row r="5851" spans="2:14" ht="15" customHeight="1" thickBot="1" x14ac:dyDescent="0.3"/>
    <row r="5852" spans="2:14" ht="34.15" customHeight="1" x14ac:dyDescent="0.25">
      <c r="B5852" s="728"/>
      <c r="C5852" s="729"/>
      <c r="D5852" s="730" t="s">
        <v>393</v>
      </c>
      <c r="E5852" s="729"/>
      <c r="F5852" s="729"/>
      <c r="G5852" s="729"/>
      <c r="H5852" s="729"/>
      <c r="I5852" s="729"/>
      <c r="J5852" s="729"/>
      <c r="K5852" s="729"/>
      <c r="L5852" s="729"/>
      <c r="M5852" s="729"/>
      <c r="N5852" s="731"/>
    </row>
    <row r="5853" spans="2:14" ht="15" customHeight="1" x14ac:dyDescent="0.25">
      <c r="B5853" s="732" t="s">
        <v>394</v>
      </c>
      <c r="C5853" s="733"/>
      <c r="D5853" s="733"/>
      <c r="E5853" s="733"/>
      <c r="F5853" s="733"/>
      <c r="G5853" s="733"/>
      <c r="H5853" s="733"/>
      <c r="I5853" s="733"/>
      <c r="J5853" s="733"/>
      <c r="K5853" s="733"/>
      <c r="L5853" s="733"/>
      <c r="M5853" s="733"/>
      <c r="N5853" s="734"/>
    </row>
    <row r="5854" spans="2:14" ht="18.600000000000001" customHeight="1" x14ac:dyDescent="0.25">
      <c r="B5854" s="735" t="s">
        <v>395</v>
      </c>
      <c r="C5854" s="736"/>
      <c r="D5854" s="737" t="str">
        <f>VLOOKUP(B5856,Buenaventura!A170:G7025,3,FALSE)</f>
        <v>Suministro e instalación de cartera en panel yeso de 12 cm incluye filos, con estructura galvanizada base 9 cal.24 encintada, masillada y rematada, con acabado en pintura de vinilo</v>
      </c>
      <c r="E5854" s="738"/>
      <c r="F5854" s="738"/>
      <c r="G5854" s="738"/>
      <c r="H5854" s="738"/>
      <c r="I5854" s="738"/>
      <c r="J5854" s="738"/>
      <c r="K5854" s="738"/>
      <c r="L5854" s="738"/>
      <c r="M5854" s="738"/>
      <c r="N5854" s="739"/>
    </row>
    <row r="5855" spans="2:14" ht="23.45" customHeight="1" x14ac:dyDescent="0.25">
      <c r="B5855" s="740" t="s">
        <v>26</v>
      </c>
      <c r="C5855" s="741"/>
      <c r="D5855" s="119" t="s">
        <v>396</v>
      </c>
      <c r="E5855" s="742" t="s">
        <v>397</v>
      </c>
      <c r="F5855" s="733"/>
      <c r="G5855" s="733"/>
      <c r="H5855" s="736"/>
      <c r="I5855" s="742" t="s">
        <v>398</v>
      </c>
      <c r="J5855" s="733"/>
      <c r="K5855" s="736"/>
      <c r="L5855" s="742" t="s">
        <v>399</v>
      </c>
      <c r="M5855" s="733"/>
      <c r="N5855" s="734"/>
    </row>
    <row r="5856" spans="2:14" ht="15" customHeight="1" x14ac:dyDescent="0.25">
      <c r="B5856" s="283">
        <v>179</v>
      </c>
      <c r="C5856" s="284" t="str">
        <f>VLOOKUP(B5856,Buenaventura!A170:G7038,2,FALSE)</f>
        <v>DI-05</v>
      </c>
      <c r="D5856" s="285">
        <f>SUM(H5859:H5862)</f>
        <v>53.82</v>
      </c>
      <c r="E5856" s="743" t="str">
        <f>VLOOKUP(B5856,Buenaventura!A170:G7037,4,FALSE)</f>
        <v>ML</v>
      </c>
      <c r="F5856" s="743"/>
      <c r="G5856" s="743"/>
      <c r="H5856" s="743"/>
      <c r="I5856" s="744"/>
      <c r="J5856" s="745"/>
      <c r="K5856" s="741"/>
      <c r="L5856" s="744"/>
      <c r="M5856" s="745"/>
      <c r="N5856" s="752"/>
    </row>
    <row r="5857" spans="2:14" ht="15" customHeight="1" x14ac:dyDescent="0.25">
      <c r="B5857" s="755" t="s">
        <v>416</v>
      </c>
      <c r="C5857" s="733"/>
      <c r="D5857" s="733"/>
      <c r="E5857" s="733"/>
      <c r="F5857" s="733"/>
      <c r="G5857" s="733"/>
      <c r="H5857" s="736"/>
      <c r="I5857" s="746"/>
      <c r="J5857" s="747"/>
      <c r="K5857" s="748"/>
      <c r="L5857" s="746"/>
      <c r="M5857" s="747"/>
      <c r="N5857" s="753"/>
    </row>
    <row r="5858" spans="2:14" ht="15" customHeight="1" x14ac:dyDescent="0.25">
      <c r="B5858" s="121" t="s">
        <v>400</v>
      </c>
      <c r="C5858" s="122" t="s">
        <v>401</v>
      </c>
      <c r="D5858" s="123" t="s">
        <v>402</v>
      </c>
      <c r="E5858" s="123" t="s">
        <v>403</v>
      </c>
      <c r="F5858" s="123" t="s">
        <v>404</v>
      </c>
      <c r="G5858" s="123" t="s">
        <v>405</v>
      </c>
      <c r="H5858" s="123" t="s">
        <v>406</v>
      </c>
      <c r="I5858" s="746"/>
      <c r="J5858" s="747"/>
      <c r="K5858" s="748"/>
      <c r="L5858" s="746"/>
      <c r="M5858" s="747"/>
      <c r="N5858" s="753"/>
    </row>
    <row r="5859" spans="2:14" ht="15" customHeight="1" x14ac:dyDescent="0.25">
      <c r="B5859" s="124"/>
      <c r="C5859" s="145" t="s">
        <v>467</v>
      </c>
      <c r="D5859" s="125">
        <v>2</v>
      </c>
      <c r="E5859" s="125"/>
      <c r="F5859" s="125">
        <v>19.91</v>
      </c>
      <c r="G5859" s="125"/>
      <c r="H5859" s="125">
        <f>F5859*D5859</f>
        <v>39.82</v>
      </c>
      <c r="I5859" s="746"/>
      <c r="J5859" s="747"/>
      <c r="K5859" s="748"/>
      <c r="L5859" s="746"/>
      <c r="M5859" s="747"/>
      <c r="N5859" s="753"/>
    </row>
    <row r="5860" spans="2:14" ht="15" customHeight="1" x14ac:dyDescent="0.25">
      <c r="B5860" s="124"/>
      <c r="C5860" s="145" t="s">
        <v>502</v>
      </c>
      <c r="D5860" s="125">
        <v>1</v>
      </c>
      <c r="E5860" s="125"/>
      <c r="F5860" s="125">
        <v>14</v>
      </c>
      <c r="G5860" s="125"/>
      <c r="H5860" s="125">
        <f>F5860*D5860</f>
        <v>14</v>
      </c>
      <c r="I5860" s="746"/>
      <c r="J5860" s="747"/>
      <c r="K5860" s="748"/>
      <c r="L5860" s="746"/>
      <c r="M5860" s="747"/>
      <c r="N5860" s="753"/>
    </row>
    <row r="5861" spans="2:14" ht="15" customHeight="1" x14ac:dyDescent="0.25">
      <c r="B5861" s="165"/>
      <c r="C5861" s="145"/>
      <c r="D5861" s="125"/>
      <c r="E5861" s="125"/>
      <c r="F5861" s="125"/>
      <c r="G5861" s="125"/>
      <c r="H5861" s="125"/>
      <c r="I5861" s="746"/>
      <c r="J5861" s="747"/>
      <c r="K5861" s="748"/>
      <c r="L5861" s="746"/>
      <c r="M5861" s="747"/>
      <c r="N5861" s="753"/>
    </row>
    <row r="5862" spans="2:14" ht="15" customHeight="1" x14ac:dyDescent="0.25">
      <c r="B5862" s="165"/>
      <c r="C5862" s="145"/>
      <c r="D5862" s="125"/>
      <c r="E5862" s="125"/>
      <c r="F5862" s="125"/>
      <c r="G5862" s="125"/>
      <c r="H5862" s="125"/>
      <c r="I5862" s="746"/>
      <c r="J5862" s="747"/>
      <c r="K5862" s="748"/>
      <c r="L5862" s="746"/>
      <c r="M5862" s="747"/>
      <c r="N5862" s="753"/>
    </row>
    <row r="5863" spans="2:14" ht="15" customHeight="1" x14ac:dyDescent="0.25">
      <c r="B5863" s="165"/>
      <c r="C5863" s="145"/>
      <c r="D5863" s="125"/>
      <c r="E5863" s="125"/>
      <c r="F5863" s="125"/>
      <c r="G5863" s="125"/>
      <c r="H5863" s="125"/>
      <c r="I5863" s="746"/>
      <c r="J5863" s="747"/>
      <c r="K5863" s="748"/>
      <c r="L5863" s="746"/>
      <c r="M5863" s="747"/>
      <c r="N5863" s="753"/>
    </row>
    <row r="5864" spans="2:14" ht="15" customHeight="1" x14ac:dyDescent="0.25">
      <c r="B5864" s="165"/>
      <c r="C5864" s="145"/>
      <c r="D5864" s="125"/>
      <c r="E5864" s="125"/>
      <c r="F5864" s="125"/>
      <c r="G5864" s="125"/>
      <c r="H5864" s="125"/>
      <c r="I5864" s="746"/>
      <c r="J5864" s="747"/>
      <c r="K5864" s="748"/>
      <c r="L5864" s="746"/>
      <c r="M5864" s="747"/>
      <c r="N5864" s="753"/>
    </row>
    <row r="5865" spans="2:14" ht="15" customHeight="1" x14ac:dyDescent="0.25">
      <c r="B5865" s="165"/>
      <c r="C5865" s="145"/>
      <c r="D5865" s="125"/>
      <c r="E5865" s="125"/>
      <c r="F5865" s="125"/>
      <c r="G5865" s="125"/>
      <c r="H5865" s="125"/>
      <c r="I5865" s="746"/>
      <c r="J5865" s="747"/>
      <c r="K5865" s="748"/>
      <c r="L5865" s="746"/>
      <c r="M5865" s="747"/>
      <c r="N5865" s="753"/>
    </row>
    <row r="5866" spans="2:14" ht="15" customHeight="1" x14ac:dyDescent="0.25">
      <c r="B5866" s="124"/>
      <c r="C5866" s="145"/>
      <c r="D5866" s="125"/>
      <c r="E5866" s="125"/>
      <c r="F5866" s="125"/>
      <c r="G5866" s="125"/>
      <c r="H5866" s="125"/>
      <c r="I5866" s="746"/>
      <c r="J5866" s="747"/>
      <c r="K5866" s="748"/>
      <c r="L5866" s="746"/>
      <c r="M5866" s="747"/>
      <c r="N5866" s="753"/>
    </row>
    <row r="5867" spans="2:14" ht="15" customHeight="1" x14ac:dyDescent="0.25">
      <c r="B5867" s="124"/>
      <c r="C5867" s="125"/>
      <c r="D5867" s="125"/>
      <c r="E5867" s="125"/>
      <c r="F5867" s="125"/>
      <c r="G5867" s="125"/>
      <c r="H5867" s="125"/>
      <c r="I5867" s="746"/>
      <c r="J5867" s="747"/>
      <c r="K5867" s="748"/>
      <c r="L5867" s="746"/>
      <c r="M5867" s="747"/>
      <c r="N5867" s="753"/>
    </row>
    <row r="5868" spans="2:14" ht="15" customHeight="1" x14ac:dyDescent="0.25">
      <c r="B5868" s="127"/>
      <c r="C5868" s="125"/>
      <c r="D5868" s="125"/>
      <c r="E5868" s="125"/>
      <c r="F5868" s="125"/>
      <c r="G5868" s="125"/>
      <c r="H5868" s="125"/>
      <c r="I5868" s="749"/>
      <c r="J5868" s="750"/>
      <c r="K5868" s="751"/>
      <c r="L5868" s="749"/>
      <c r="M5868" s="750"/>
      <c r="N5868" s="754"/>
    </row>
    <row r="5869" spans="2:14" ht="15" customHeight="1" x14ac:dyDescent="0.25">
      <c r="B5869" s="225"/>
      <c r="C5869" s="128"/>
      <c r="D5869" s="128"/>
      <c r="E5869" s="128"/>
      <c r="F5869" s="128"/>
      <c r="G5869" s="128"/>
      <c r="H5869" s="128"/>
      <c r="I5869" s="128"/>
      <c r="J5869" s="128"/>
      <c r="K5869" s="128"/>
      <c r="L5869" s="118"/>
      <c r="M5869" s="118"/>
      <c r="N5869" s="210"/>
    </row>
    <row r="5870" spans="2:14" ht="15" customHeight="1" x14ac:dyDescent="0.25">
      <c r="B5870" s="209"/>
      <c r="C5870" s="118"/>
      <c r="D5870" s="118"/>
      <c r="E5870" s="118"/>
      <c r="F5870" s="118"/>
      <c r="G5870" s="118"/>
      <c r="H5870" s="118"/>
      <c r="I5870" s="118"/>
      <c r="J5870" s="118"/>
      <c r="K5870" s="118"/>
      <c r="L5870" s="118"/>
      <c r="M5870" s="118"/>
      <c r="N5870" s="210"/>
    </row>
    <row r="5871" spans="2:14" ht="15" customHeight="1" x14ac:dyDescent="0.25">
      <c r="B5871" s="209"/>
      <c r="C5871" s="118"/>
      <c r="D5871" s="118"/>
      <c r="E5871" s="118"/>
      <c r="F5871" s="118"/>
      <c r="G5871" s="118"/>
      <c r="H5871" s="118"/>
      <c r="I5871" s="118"/>
      <c r="J5871" s="118"/>
      <c r="K5871" s="118"/>
      <c r="L5871" s="118"/>
      <c r="M5871" s="118"/>
      <c r="N5871" s="210"/>
    </row>
    <row r="5872" spans="2:14" ht="15" customHeight="1" thickBot="1" x14ac:dyDescent="0.3">
      <c r="B5872" s="725" t="s">
        <v>414</v>
      </c>
      <c r="C5872" s="726"/>
      <c r="D5872" s="726"/>
      <c r="E5872" s="147"/>
      <c r="F5872" s="147"/>
      <c r="G5872" s="147"/>
      <c r="H5872" s="147"/>
      <c r="I5872" s="727"/>
      <c r="J5872" s="726"/>
      <c r="K5872" s="726"/>
      <c r="L5872" s="130"/>
      <c r="M5872" s="130"/>
      <c r="N5872" s="131"/>
    </row>
    <row r="5873" spans="2:14" ht="15" customHeight="1" thickBot="1" x14ac:dyDescent="0.3"/>
    <row r="5874" spans="2:14" ht="57" customHeight="1" x14ac:dyDescent="0.25">
      <c r="B5874" s="728"/>
      <c r="C5874" s="729"/>
      <c r="D5874" s="730" t="s">
        <v>393</v>
      </c>
      <c r="E5874" s="729"/>
      <c r="F5874" s="729"/>
      <c r="G5874" s="729"/>
      <c r="H5874" s="729"/>
      <c r="I5874" s="729"/>
      <c r="J5874" s="729"/>
      <c r="K5874" s="729"/>
      <c r="L5874" s="729"/>
      <c r="M5874" s="729"/>
      <c r="N5874" s="731"/>
    </row>
    <row r="5875" spans="2:14" ht="15" customHeight="1" x14ac:dyDescent="0.25">
      <c r="B5875" s="732" t="s">
        <v>394</v>
      </c>
      <c r="C5875" s="733"/>
      <c r="D5875" s="733"/>
      <c r="E5875" s="733"/>
      <c r="F5875" s="733"/>
      <c r="G5875" s="733"/>
      <c r="H5875" s="733"/>
      <c r="I5875" s="733"/>
      <c r="J5875" s="733"/>
      <c r="K5875" s="733"/>
      <c r="L5875" s="733"/>
      <c r="M5875" s="733"/>
      <c r="N5875" s="734"/>
    </row>
    <row r="5876" spans="2:14" ht="39" customHeight="1" x14ac:dyDescent="0.25">
      <c r="B5876" s="735" t="s">
        <v>395</v>
      </c>
      <c r="C5876" s="736"/>
      <c r="D5876" s="737" t="str">
        <f>VLOOKUP(B5878,Buenaventura!A193:G7047,3,FALSE)</f>
        <v>Suministro e instalación de alma en madera de 88mm</v>
      </c>
      <c r="E5876" s="738"/>
      <c r="F5876" s="738"/>
      <c r="G5876" s="738"/>
      <c r="H5876" s="738"/>
      <c r="I5876" s="738"/>
      <c r="J5876" s="738"/>
      <c r="K5876" s="738"/>
      <c r="L5876" s="738"/>
      <c r="M5876" s="738"/>
      <c r="N5876" s="739"/>
    </row>
    <row r="5877" spans="2:14" ht="25.15" customHeight="1" x14ac:dyDescent="0.25">
      <c r="B5877" s="740" t="s">
        <v>26</v>
      </c>
      <c r="C5877" s="741"/>
      <c r="D5877" s="119" t="s">
        <v>396</v>
      </c>
      <c r="E5877" s="742" t="s">
        <v>397</v>
      </c>
      <c r="F5877" s="733"/>
      <c r="G5877" s="733"/>
      <c r="H5877" s="736"/>
      <c r="I5877" s="742" t="s">
        <v>398</v>
      </c>
      <c r="J5877" s="733"/>
      <c r="K5877" s="736"/>
      <c r="L5877" s="742" t="s">
        <v>399</v>
      </c>
      <c r="M5877" s="733"/>
      <c r="N5877" s="734"/>
    </row>
    <row r="5878" spans="2:14" ht="15" customHeight="1" x14ac:dyDescent="0.25">
      <c r="B5878" s="283">
        <v>180</v>
      </c>
      <c r="C5878" s="284" t="str">
        <f>VLOOKUP(B5878,Buenaventura!A193:G7060,2,FALSE)</f>
        <v>DI-04</v>
      </c>
      <c r="D5878" s="285">
        <f>SUM(H5881:H5884)</f>
        <v>26.4</v>
      </c>
      <c r="E5878" s="743" t="str">
        <f>VLOOKUP(B5878,Buenaventura!A193:G7059,4,FALSE)</f>
        <v>ML</v>
      </c>
      <c r="F5878" s="743"/>
      <c r="G5878" s="743"/>
      <c r="H5878" s="743"/>
      <c r="I5878" s="744"/>
      <c r="J5878" s="745"/>
      <c r="K5878" s="741"/>
      <c r="L5878" s="744"/>
      <c r="M5878" s="745"/>
      <c r="N5878" s="752"/>
    </row>
    <row r="5879" spans="2:14" ht="15" customHeight="1" x14ac:dyDescent="0.25">
      <c r="B5879" s="755" t="s">
        <v>416</v>
      </c>
      <c r="C5879" s="733"/>
      <c r="D5879" s="733"/>
      <c r="E5879" s="733"/>
      <c r="F5879" s="733"/>
      <c r="G5879" s="733"/>
      <c r="H5879" s="736"/>
      <c r="I5879" s="746"/>
      <c r="J5879" s="747"/>
      <c r="K5879" s="748"/>
      <c r="L5879" s="746"/>
      <c r="M5879" s="747"/>
      <c r="N5879" s="753"/>
    </row>
    <row r="5880" spans="2:14" ht="15" customHeight="1" x14ac:dyDescent="0.25">
      <c r="B5880" s="121" t="s">
        <v>400</v>
      </c>
      <c r="C5880" s="122" t="s">
        <v>401</v>
      </c>
      <c r="D5880" s="123" t="s">
        <v>402</v>
      </c>
      <c r="E5880" s="123" t="s">
        <v>403</v>
      </c>
      <c r="F5880" s="123" t="s">
        <v>404</v>
      </c>
      <c r="G5880" s="123" t="s">
        <v>405</v>
      </c>
      <c r="H5880" s="123" t="s">
        <v>406</v>
      </c>
      <c r="I5880" s="746"/>
      <c r="J5880" s="747"/>
      <c r="K5880" s="748"/>
      <c r="L5880" s="746"/>
      <c r="M5880" s="747"/>
      <c r="N5880" s="753"/>
    </row>
    <row r="5881" spans="2:14" ht="15" customHeight="1" x14ac:dyDescent="0.25">
      <c r="B5881" s="124"/>
      <c r="C5881" s="145" t="s">
        <v>627</v>
      </c>
      <c r="D5881" s="125">
        <v>4</v>
      </c>
      <c r="E5881" s="125">
        <v>3.5</v>
      </c>
      <c r="F5881" s="125"/>
      <c r="G5881" s="125">
        <v>1.5</v>
      </c>
      <c r="H5881" s="125">
        <f>G5881*E5881*D5881</f>
        <v>21</v>
      </c>
      <c r="I5881" s="746"/>
      <c r="J5881" s="747"/>
      <c r="K5881" s="748"/>
      <c r="L5881" s="746"/>
      <c r="M5881" s="747"/>
      <c r="N5881" s="753"/>
    </row>
    <row r="5882" spans="2:14" ht="15" customHeight="1" x14ac:dyDescent="0.25">
      <c r="B5882" s="124"/>
      <c r="C5882" s="145"/>
      <c r="D5882" s="125">
        <v>3</v>
      </c>
      <c r="E5882" s="125">
        <v>1.2</v>
      </c>
      <c r="F5882" s="125"/>
      <c r="G5882" s="125">
        <v>1.5</v>
      </c>
      <c r="H5882" s="125">
        <f t="shared" ref="H5882:H5885" si="94">G5882*E5882*D5882</f>
        <v>5.3999999999999995</v>
      </c>
      <c r="I5882" s="746"/>
      <c r="J5882" s="747"/>
      <c r="K5882" s="748"/>
      <c r="L5882" s="746"/>
      <c r="M5882" s="747"/>
      <c r="N5882" s="753"/>
    </row>
    <row r="5883" spans="2:14" ht="15" customHeight="1" x14ac:dyDescent="0.25">
      <c r="B5883" s="165"/>
      <c r="C5883" s="145"/>
      <c r="D5883" s="125"/>
      <c r="E5883" s="125"/>
      <c r="F5883" s="125"/>
      <c r="G5883" s="125"/>
      <c r="H5883" s="125">
        <f t="shared" si="94"/>
        <v>0</v>
      </c>
      <c r="I5883" s="746"/>
      <c r="J5883" s="747"/>
      <c r="K5883" s="748"/>
      <c r="L5883" s="746"/>
      <c r="M5883" s="747"/>
      <c r="N5883" s="753"/>
    </row>
    <row r="5884" spans="2:14" ht="15" customHeight="1" x14ac:dyDescent="0.25">
      <c r="B5884" s="165"/>
      <c r="C5884" s="145"/>
      <c r="D5884" s="125"/>
      <c r="E5884" s="125"/>
      <c r="F5884" s="125"/>
      <c r="G5884" s="125"/>
      <c r="H5884" s="125">
        <f t="shared" si="94"/>
        <v>0</v>
      </c>
      <c r="I5884" s="746"/>
      <c r="J5884" s="747"/>
      <c r="K5884" s="748"/>
      <c r="L5884" s="746"/>
      <c r="M5884" s="747"/>
      <c r="N5884" s="753"/>
    </row>
    <row r="5885" spans="2:14" ht="15" customHeight="1" x14ac:dyDescent="0.25">
      <c r="B5885" s="165"/>
      <c r="C5885" s="145"/>
      <c r="D5885" s="125"/>
      <c r="E5885" s="125"/>
      <c r="F5885" s="125"/>
      <c r="G5885" s="125"/>
      <c r="H5885" s="125">
        <f t="shared" si="94"/>
        <v>0</v>
      </c>
      <c r="I5885" s="746"/>
      <c r="J5885" s="747"/>
      <c r="K5885" s="748"/>
      <c r="L5885" s="746"/>
      <c r="M5885" s="747"/>
      <c r="N5885" s="753"/>
    </row>
    <row r="5886" spans="2:14" ht="15" customHeight="1" x14ac:dyDescent="0.25">
      <c r="B5886" s="165"/>
      <c r="C5886" s="145"/>
      <c r="D5886" s="125"/>
      <c r="E5886" s="125"/>
      <c r="F5886" s="125"/>
      <c r="G5886" s="125"/>
      <c r="H5886" s="125"/>
      <c r="I5886" s="746"/>
      <c r="J5886" s="747"/>
      <c r="K5886" s="748"/>
      <c r="L5886" s="746"/>
      <c r="M5886" s="747"/>
      <c r="N5886" s="753"/>
    </row>
    <row r="5887" spans="2:14" ht="15" customHeight="1" x14ac:dyDescent="0.25">
      <c r="B5887" s="165"/>
      <c r="C5887" s="145"/>
      <c r="D5887" s="125"/>
      <c r="E5887" s="125"/>
      <c r="F5887" s="125"/>
      <c r="G5887" s="125"/>
      <c r="H5887" s="125"/>
      <c r="I5887" s="746"/>
      <c r="J5887" s="747"/>
      <c r="K5887" s="748"/>
      <c r="L5887" s="746"/>
      <c r="M5887" s="747"/>
      <c r="N5887" s="753"/>
    </row>
    <row r="5888" spans="2:14" ht="15" customHeight="1" x14ac:dyDescent="0.25">
      <c r="B5888" s="124"/>
      <c r="C5888" s="145"/>
      <c r="D5888" s="125"/>
      <c r="E5888" s="125"/>
      <c r="F5888" s="125"/>
      <c r="G5888" s="125"/>
      <c r="H5888" s="125"/>
      <c r="I5888" s="746"/>
      <c r="J5888" s="747"/>
      <c r="K5888" s="748"/>
      <c r="L5888" s="746"/>
      <c r="M5888" s="747"/>
      <c r="N5888" s="753"/>
    </row>
    <row r="5889" spans="2:14" ht="15" customHeight="1" x14ac:dyDescent="0.25">
      <c r="B5889" s="124"/>
      <c r="C5889" s="125"/>
      <c r="D5889" s="125"/>
      <c r="E5889" s="125"/>
      <c r="F5889" s="125"/>
      <c r="G5889" s="125"/>
      <c r="H5889" s="125"/>
      <c r="I5889" s="746"/>
      <c r="J5889" s="747"/>
      <c r="K5889" s="748"/>
      <c r="L5889" s="746"/>
      <c r="M5889" s="747"/>
      <c r="N5889" s="753"/>
    </row>
    <row r="5890" spans="2:14" ht="15" customHeight="1" x14ac:dyDescent="0.25">
      <c r="B5890" s="127"/>
      <c r="C5890" s="125"/>
      <c r="D5890" s="125"/>
      <c r="E5890" s="125"/>
      <c r="F5890" s="125"/>
      <c r="G5890" s="125"/>
      <c r="H5890" s="125"/>
      <c r="I5890" s="749"/>
      <c r="J5890" s="750"/>
      <c r="K5890" s="751"/>
      <c r="L5890" s="749"/>
      <c r="M5890" s="750"/>
      <c r="N5890" s="754"/>
    </row>
    <row r="5891" spans="2:14" ht="15" customHeight="1" x14ac:dyDescent="0.25">
      <c r="B5891" s="225"/>
      <c r="C5891" s="128"/>
      <c r="D5891" s="128"/>
      <c r="E5891" s="128"/>
      <c r="F5891" s="128"/>
      <c r="G5891" s="128"/>
      <c r="H5891" s="128"/>
      <c r="I5891" s="128"/>
      <c r="J5891" s="128"/>
      <c r="K5891" s="128"/>
      <c r="L5891" s="118"/>
      <c r="M5891" s="118"/>
      <c r="N5891" s="210"/>
    </row>
    <row r="5892" spans="2:14" ht="15" customHeight="1" x14ac:dyDescent="0.25">
      <c r="B5892" s="209"/>
      <c r="C5892" s="118"/>
      <c r="D5892" s="118"/>
      <c r="E5892" s="118"/>
      <c r="F5892" s="118"/>
      <c r="G5892" s="118"/>
      <c r="H5892" s="118"/>
      <c r="I5892" s="118"/>
      <c r="J5892" s="118"/>
      <c r="K5892" s="118"/>
      <c r="L5892" s="118"/>
      <c r="M5892" s="118"/>
      <c r="N5892" s="210"/>
    </row>
    <row r="5893" spans="2:14" ht="15" customHeight="1" x14ac:dyDescent="0.25">
      <c r="B5893" s="209"/>
      <c r="C5893" s="118"/>
      <c r="D5893" s="118"/>
      <c r="E5893" s="118"/>
      <c r="F5893" s="118"/>
      <c r="G5893" s="118"/>
      <c r="H5893" s="118"/>
      <c r="I5893" s="118"/>
      <c r="J5893" s="118"/>
      <c r="K5893" s="118"/>
      <c r="L5893" s="118"/>
      <c r="M5893" s="118"/>
      <c r="N5893" s="210"/>
    </row>
    <row r="5894" spans="2:14" ht="15" customHeight="1" thickBot="1" x14ac:dyDescent="0.3">
      <c r="B5894" s="725" t="s">
        <v>414</v>
      </c>
      <c r="C5894" s="726"/>
      <c r="D5894" s="726"/>
      <c r="E5894" s="147"/>
      <c r="F5894" s="147"/>
      <c r="G5894" s="147"/>
      <c r="H5894" s="147"/>
      <c r="I5894" s="727"/>
      <c r="J5894" s="726"/>
      <c r="K5894" s="726"/>
      <c r="L5894" s="130"/>
      <c r="M5894" s="130"/>
      <c r="N5894" s="131"/>
    </row>
    <row r="5896" spans="2:14" ht="15" customHeight="1" thickBot="1" x14ac:dyDescent="0.3"/>
    <row r="5897" spans="2:14" ht="43.15" customHeight="1" x14ac:dyDescent="0.25">
      <c r="B5897" s="728"/>
      <c r="C5897" s="729"/>
      <c r="D5897" s="730" t="s">
        <v>393</v>
      </c>
      <c r="E5897" s="729"/>
      <c r="F5897" s="729"/>
      <c r="G5897" s="729"/>
      <c r="H5897" s="729"/>
      <c r="I5897" s="729"/>
      <c r="J5897" s="729"/>
      <c r="K5897" s="729"/>
      <c r="L5897" s="729"/>
      <c r="M5897" s="729"/>
      <c r="N5897" s="731"/>
    </row>
    <row r="5898" spans="2:14" ht="15" customHeight="1" x14ac:dyDescent="0.25">
      <c r="B5898" s="732" t="s">
        <v>394</v>
      </c>
      <c r="C5898" s="733"/>
      <c r="D5898" s="733"/>
      <c r="E5898" s="733"/>
      <c r="F5898" s="733"/>
      <c r="G5898" s="733"/>
      <c r="H5898" s="733"/>
      <c r="I5898" s="733"/>
      <c r="J5898" s="733"/>
      <c r="K5898" s="733"/>
      <c r="L5898" s="733"/>
      <c r="M5898" s="733"/>
      <c r="N5898" s="734"/>
    </row>
    <row r="5899" spans="2:14" ht="15" customHeight="1" x14ac:dyDescent="0.25">
      <c r="B5899" s="735" t="s">
        <v>395</v>
      </c>
      <c r="C5899" s="736"/>
      <c r="D5899" s="737" t="str">
        <f>VLOOKUP(B5901,Buenaventura!A9:G7091,3,FALSE)</f>
        <v>Suministro e instalación de guarda escoba en pvc</v>
      </c>
      <c r="E5899" s="738"/>
      <c r="F5899" s="738"/>
      <c r="G5899" s="738"/>
      <c r="H5899" s="738"/>
      <c r="I5899" s="738"/>
      <c r="J5899" s="738"/>
      <c r="K5899" s="738"/>
      <c r="L5899" s="738"/>
      <c r="M5899" s="738"/>
      <c r="N5899" s="739"/>
    </row>
    <row r="5900" spans="2:14" ht="22.9" customHeight="1" x14ac:dyDescent="0.25">
      <c r="B5900" s="740" t="s">
        <v>26</v>
      </c>
      <c r="C5900" s="741"/>
      <c r="D5900" s="119" t="s">
        <v>396</v>
      </c>
      <c r="E5900" s="742" t="s">
        <v>397</v>
      </c>
      <c r="F5900" s="733"/>
      <c r="G5900" s="733"/>
      <c r="H5900" s="736"/>
      <c r="I5900" s="742" t="s">
        <v>398</v>
      </c>
      <c r="J5900" s="733"/>
      <c r="K5900" s="736"/>
      <c r="L5900" s="742" t="s">
        <v>399</v>
      </c>
      <c r="M5900" s="733"/>
      <c r="N5900" s="734"/>
    </row>
    <row r="5901" spans="2:14" ht="15" customHeight="1" x14ac:dyDescent="0.25">
      <c r="B5901" s="283">
        <v>181</v>
      </c>
      <c r="C5901" s="284" t="str">
        <f>VLOOKUP(B5901,Buenaventura!A9:G7104,2,FALSE)</f>
        <v>AC-16</v>
      </c>
      <c r="D5901" s="285">
        <f>SUM(H5904:H5907)</f>
        <v>161</v>
      </c>
      <c r="E5901" s="743" t="str">
        <f>VLOOKUP(B5901,Buenaventura!A9:G7103,4,FALSE)</f>
        <v>ML</v>
      </c>
      <c r="F5901" s="743"/>
      <c r="G5901" s="743"/>
      <c r="H5901" s="743"/>
      <c r="I5901" s="744"/>
      <c r="J5901" s="745"/>
      <c r="K5901" s="741"/>
      <c r="L5901" s="744"/>
      <c r="M5901" s="745"/>
      <c r="N5901" s="752"/>
    </row>
    <row r="5902" spans="2:14" ht="15" customHeight="1" x14ac:dyDescent="0.25">
      <c r="B5902" s="755" t="s">
        <v>416</v>
      </c>
      <c r="C5902" s="733"/>
      <c r="D5902" s="733"/>
      <c r="E5902" s="733"/>
      <c r="F5902" s="733"/>
      <c r="G5902" s="733"/>
      <c r="H5902" s="736"/>
      <c r="I5902" s="746"/>
      <c r="J5902" s="747"/>
      <c r="K5902" s="748"/>
      <c r="L5902" s="746"/>
      <c r="M5902" s="747"/>
      <c r="N5902" s="753"/>
    </row>
    <row r="5903" spans="2:14" ht="15" customHeight="1" x14ac:dyDescent="0.25">
      <c r="B5903" s="121" t="s">
        <v>400</v>
      </c>
      <c r="C5903" s="122" t="s">
        <v>401</v>
      </c>
      <c r="D5903" s="123" t="s">
        <v>402</v>
      </c>
      <c r="E5903" s="123" t="s">
        <v>403</v>
      </c>
      <c r="F5903" s="123" t="s">
        <v>404</v>
      </c>
      <c r="G5903" s="123" t="s">
        <v>405</v>
      </c>
      <c r="H5903" s="123" t="s">
        <v>406</v>
      </c>
      <c r="I5903" s="746"/>
      <c r="J5903" s="747"/>
      <c r="K5903" s="748"/>
      <c r="L5903" s="746"/>
      <c r="M5903" s="747"/>
      <c r="N5903" s="753"/>
    </row>
    <row r="5904" spans="2:14" ht="15" customHeight="1" x14ac:dyDescent="0.25">
      <c r="B5904" s="124"/>
      <c r="C5904" s="145" t="s">
        <v>628</v>
      </c>
      <c r="D5904" s="125">
        <v>5</v>
      </c>
      <c r="E5904" s="125"/>
      <c r="F5904" s="125">
        <v>10</v>
      </c>
      <c r="G5904" s="125"/>
      <c r="H5904" s="125">
        <f>D5904*F5904</f>
        <v>50</v>
      </c>
      <c r="I5904" s="746"/>
      <c r="J5904" s="747"/>
      <c r="K5904" s="748"/>
      <c r="L5904" s="746"/>
      <c r="M5904" s="747"/>
      <c r="N5904" s="753"/>
    </row>
    <row r="5905" spans="2:14" ht="15" customHeight="1" x14ac:dyDescent="0.25">
      <c r="B5905" s="124"/>
      <c r="C5905" s="145"/>
      <c r="D5905" s="125">
        <v>20</v>
      </c>
      <c r="E5905" s="125"/>
      <c r="F5905" s="125">
        <v>5</v>
      </c>
      <c r="G5905" s="125"/>
      <c r="H5905" s="125">
        <f t="shared" ref="H5905:H5907" si="95">D5905*F5905</f>
        <v>100</v>
      </c>
      <c r="I5905" s="746"/>
      <c r="J5905" s="747"/>
      <c r="K5905" s="748"/>
      <c r="L5905" s="746"/>
      <c r="M5905" s="747"/>
      <c r="N5905" s="753"/>
    </row>
    <row r="5906" spans="2:14" ht="15" customHeight="1" x14ac:dyDescent="0.25">
      <c r="B5906" s="165"/>
      <c r="C5906" s="145" t="s">
        <v>447</v>
      </c>
      <c r="D5906" s="125">
        <v>1</v>
      </c>
      <c r="E5906" s="125"/>
      <c r="F5906" s="125">
        <v>11</v>
      </c>
      <c r="G5906" s="125"/>
      <c r="H5906" s="125">
        <f t="shared" si="95"/>
        <v>11</v>
      </c>
      <c r="I5906" s="746"/>
      <c r="J5906" s="747"/>
      <c r="K5906" s="748"/>
      <c r="L5906" s="746"/>
      <c r="M5906" s="747"/>
      <c r="N5906" s="753"/>
    </row>
    <row r="5907" spans="2:14" ht="15" customHeight="1" x14ac:dyDescent="0.25">
      <c r="B5907" s="165"/>
      <c r="C5907" s="145"/>
      <c r="D5907" s="125"/>
      <c r="E5907" s="125"/>
      <c r="F5907" s="125"/>
      <c r="G5907" s="125"/>
      <c r="H5907" s="125">
        <f t="shared" si="95"/>
        <v>0</v>
      </c>
      <c r="I5907" s="746"/>
      <c r="J5907" s="747"/>
      <c r="K5907" s="748"/>
      <c r="L5907" s="746"/>
      <c r="M5907" s="747"/>
      <c r="N5907" s="753"/>
    </row>
    <row r="5908" spans="2:14" ht="15" customHeight="1" x14ac:dyDescent="0.25">
      <c r="B5908" s="165"/>
      <c r="C5908" s="145"/>
      <c r="D5908" s="125"/>
      <c r="E5908" s="125"/>
      <c r="F5908" s="125"/>
      <c r="G5908" s="125"/>
      <c r="H5908" s="125"/>
      <c r="I5908" s="746"/>
      <c r="J5908" s="747"/>
      <c r="K5908" s="748"/>
      <c r="L5908" s="746"/>
      <c r="M5908" s="747"/>
      <c r="N5908" s="753"/>
    </row>
    <row r="5909" spans="2:14" ht="15" customHeight="1" x14ac:dyDescent="0.25">
      <c r="B5909" s="165"/>
      <c r="C5909" s="145"/>
      <c r="D5909" s="125"/>
      <c r="E5909" s="125"/>
      <c r="F5909" s="125"/>
      <c r="G5909" s="125"/>
      <c r="H5909" s="125"/>
      <c r="I5909" s="746"/>
      <c r="J5909" s="747"/>
      <c r="K5909" s="748"/>
      <c r="L5909" s="746"/>
      <c r="M5909" s="747"/>
      <c r="N5909" s="753"/>
    </row>
    <row r="5910" spans="2:14" ht="15" customHeight="1" x14ac:dyDescent="0.25">
      <c r="B5910" s="165"/>
      <c r="C5910" s="145"/>
      <c r="D5910" s="125"/>
      <c r="E5910" s="125"/>
      <c r="F5910" s="125"/>
      <c r="G5910" s="125"/>
      <c r="H5910" s="125"/>
      <c r="I5910" s="746"/>
      <c r="J5910" s="747"/>
      <c r="K5910" s="748"/>
      <c r="L5910" s="746"/>
      <c r="M5910" s="747"/>
      <c r="N5910" s="753"/>
    </row>
    <row r="5911" spans="2:14" ht="15" customHeight="1" x14ac:dyDescent="0.25">
      <c r="B5911" s="124"/>
      <c r="C5911" s="145"/>
      <c r="D5911" s="125"/>
      <c r="E5911" s="125"/>
      <c r="F5911" s="125"/>
      <c r="G5911" s="125"/>
      <c r="H5911" s="125"/>
      <c r="I5911" s="746"/>
      <c r="J5911" s="747"/>
      <c r="K5911" s="748"/>
      <c r="L5911" s="746"/>
      <c r="M5911" s="747"/>
      <c r="N5911" s="753"/>
    </row>
    <row r="5912" spans="2:14" ht="15" customHeight="1" x14ac:dyDescent="0.25">
      <c r="B5912" s="124"/>
      <c r="C5912" s="125"/>
      <c r="D5912" s="125"/>
      <c r="E5912" s="125"/>
      <c r="F5912" s="125"/>
      <c r="G5912" s="125"/>
      <c r="H5912" s="125"/>
      <c r="I5912" s="746"/>
      <c r="J5912" s="747"/>
      <c r="K5912" s="748"/>
      <c r="L5912" s="746"/>
      <c r="M5912" s="747"/>
      <c r="N5912" s="753"/>
    </row>
    <row r="5913" spans="2:14" ht="15" customHeight="1" x14ac:dyDescent="0.25">
      <c r="B5913" s="127"/>
      <c r="C5913" s="125"/>
      <c r="D5913" s="125"/>
      <c r="E5913" s="125"/>
      <c r="F5913" s="125"/>
      <c r="G5913" s="125"/>
      <c r="H5913" s="125"/>
      <c r="I5913" s="749"/>
      <c r="J5913" s="750"/>
      <c r="K5913" s="751"/>
      <c r="L5913" s="749"/>
      <c r="M5913" s="750"/>
      <c r="N5913" s="754"/>
    </row>
    <row r="5914" spans="2:14" ht="15" customHeight="1" x14ac:dyDescent="0.25">
      <c r="B5914" s="225"/>
      <c r="C5914" s="128"/>
      <c r="D5914" s="128"/>
      <c r="E5914" s="128"/>
      <c r="F5914" s="128"/>
      <c r="G5914" s="128"/>
      <c r="H5914" s="128"/>
      <c r="I5914" s="128"/>
      <c r="J5914" s="128"/>
      <c r="K5914" s="128"/>
      <c r="L5914" s="118"/>
      <c r="M5914" s="118"/>
      <c r="N5914" s="210"/>
    </row>
    <row r="5915" spans="2:14" ht="15" customHeight="1" x14ac:dyDescent="0.25">
      <c r="B5915" s="209"/>
      <c r="C5915" s="118"/>
      <c r="D5915" s="118"/>
      <c r="E5915" s="118"/>
      <c r="F5915" s="118"/>
      <c r="G5915" s="118"/>
      <c r="H5915" s="118"/>
      <c r="I5915" s="118"/>
      <c r="J5915" s="118"/>
      <c r="K5915" s="118"/>
      <c r="L5915" s="118"/>
      <c r="M5915" s="118"/>
      <c r="N5915" s="210"/>
    </row>
    <row r="5916" spans="2:14" ht="15" customHeight="1" x14ac:dyDescent="0.25">
      <c r="B5916" s="209"/>
      <c r="C5916" s="118"/>
      <c r="D5916" s="118"/>
      <c r="E5916" s="118"/>
      <c r="F5916" s="118"/>
      <c r="G5916" s="118"/>
      <c r="H5916" s="118"/>
      <c r="I5916" s="118"/>
      <c r="J5916" s="118"/>
      <c r="K5916" s="118"/>
      <c r="L5916" s="118"/>
      <c r="M5916" s="118"/>
      <c r="N5916" s="210"/>
    </row>
    <row r="5917" spans="2:14" ht="15" customHeight="1" thickBot="1" x14ac:dyDescent="0.3">
      <c r="B5917" s="725" t="s">
        <v>414</v>
      </c>
      <c r="C5917" s="726"/>
      <c r="D5917" s="726"/>
      <c r="E5917" s="147"/>
      <c r="F5917" s="147"/>
      <c r="G5917" s="147"/>
      <c r="H5917" s="147"/>
      <c r="I5917" s="727"/>
      <c r="J5917" s="726"/>
      <c r="K5917" s="726"/>
      <c r="L5917" s="130"/>
      <c r="M5917" s="130"/>
      <c r="N5917" s="131"/>
    </row>
    <row r="5918" spans="2:14" ht="15" customHeight="1" thickBot="1" x14ac:dyDescent="0.3"/>
    <row r="5919" spans="2:14" ht="40.9" customHeight="1" x14ac:dyDescent="0.25">
      <c r="B5919" s="728"/>
      <c r="C5919" s="729"/>
      <c r="D5919" s="730" t="s">
        <v>393</v>
      </c>
      <c r="E5919" s="729"/>
      <c r="F5919" s="729"/>
      <c r="G5919" s="729"/>
      <c r="H5919" s="729"/>
      <c r="I5919" s="729"/>
      <c r="J5919" s="729"/>
      <c r="K5919" s="729"/>
      <c r="L5919" s="729"/>
      <c r="M5919" s="729"/>
      <c r="N5919" s="731"/>
    </row>
    <row r="5920" spans="2:14" ht="15" customHeight="1" x14ac:dyDescent="0.25">
      <c r="B5920" s="732" t="s">
        <v>394</v>
      </c>
      <c r="C5920" s="733"/>
      <c r="D5920" s="733"/>
      <c r="E5920" s="733"/>
      <c r="F5920" s="733"/>
      <c r="G5920" s="733"/>
      <c r="H5920" s="733"/>
      <c r="I5920" s="733"/>
      <c r="J5920" s="733"/>
      <c r="K5920" s="733"/>
      <c r="L5920" s="733"/>
      <c r="M5920" s="733"/>
      <c r="N5920" s="734"/>
    </row>
    <row r="5921" spans="2:14" ht="30" customHeight="1" x14ac:dyDescent="0.25">
      <c r="B5921" s="735" t="s">
        <v>395</v>
      </c>
      <c r="C5921" s="736"/>
      <c r="D5921" s="737" t="str">
        <f>VLOOKUP(B5923,Buenaventura!A9:G7113,3,FALSE)</f>
        <v>Suministro e instalación de ventana tipo corrediza, fabricada en perfilería de aluminio anodizado o pintado electrostáticamente color similar al existente, con marco perimetral y hojas móviles</v>
      </c>
      <c r="E5921" s="738"/>
      <c r="F5921" s="738"/>
      <c r="G5921" s="738"/>
      <c r="H5921" s="738"/>
      <c r="I5921" s="738"/>
      <c r="J5921" s="738"/>
      <c r="K5921" s="738"/>
      <c r="L5921" s="738"/>
      <c r="M5921" s="738"/>
      <c r="N5921" s="739"/>
    </row>
    <row r="5922" spans="2:14" ht="25.15" customHeight="1" x14ac:dyDescent="0.25">
      <c r="B5922" s="740" t="s">
        <v>26</v>
      </c>
      <c r="C5922" s="741"/>
      <c r="D5922" s="119" t="s">
        <v>396</v>
      </c>
      <c r="E5922" s="742" t="s">
        <v>397</v>
      </c>
      <c r="F5922" s="733"/>
      <c r="G5922" s="733"/>
      <c r="H5922" s="736"/>
      <c r="I5922" s="742" t="s">
        <v>398</v>
      </c>
      <c r="J5922" s="733"/>
      <c r="K5922" s="736"/>
      <c r="L5922" s="742" t="s">
        <v>399</v>
      </c>
      <c r="M5922" s="733"/>
      <c r="N5922" s="734"/>
    </row>
    <row r="5923" spans="2:14" ht="15" customHeight="1" x14ac:dyDescent="0.25">
      <c r="B5923" s="283">
        <v>182</v>
      </c>
      <c r="C5923" s="284" t="str">
        <f>VLOOKUP(B5923,Buenaventura!A19:G7126,2,FALSE)</f>
        <v>CA-11</v>
      </c>
      <c r="D5923" s="285">
        <f>SUM(H5926:H5929)</f>
        <v>60</v>
      </c>
      <c r="E5923" s="743" t="str">
        <f>VLOOKUP(B5923,Buenaventura!A15:G7125,4,FALSE)</f>
        <v xml:space="preserve">M2 </v>
      </c>
      <c r="F5923" s="743"/>
      <c r="G5923" s="743"/>
      <c r="H5923" s="743"/>
      <c r="I5923" s="744"/>
      <c r="J5923" s="745"/>
      <c r="K5923" s="741"/>
      <c r="L5923" s="744"/>
      <c r="M5923" s="745"/>
      <c r="N5923" s="752"/>
    </row>
    <row r="5924" spans="2:14" ht="15" customHeight="1" x14ac:dyDescent="0.25">
      <c r="B5924" s="755" t="s">
        <v>416</v>
      </c>
      <c r="C5924" s="733"/>
      <c r="D5924" s="733"/>
      <c r="E5924" s="733"/>
      <c r="F5924" s="733"/>
      <c r="G5924" s="733"/>
      <c r="H5924" s="736"/>
      <c r="I5924" s="746"/>
      <c r="J5924" s="747"/>
      <c r="K5924" s="748"/>
      <c r="L5924" s="746"/>
      <c r="M5924" s="747"/>
      <c r="N5924" s="753"/>
    </row>
    <row r="5925" spans="2:14" ht="15" customHeight="1" x14ac:dyDescent="0.25">
      <c r="B5925" s="121" t="s">
        <v>400</v>
      </c>
      <c r="C5925" s="122" t="s">
        <v>401</v>
      </c>
      <c r="D5925" s="123" t="s">
        <v>402</v>
      </c>
      <c r="E5925" s="123" t="s">
        <v>403</v>
      </c>
      <c r="F5925" s="123" t="s">
        <v>404</v>
      </c>
      <c r="G5925" s="123" t="s">
        <v>405</v>
      </c>
      <c r="H5925" s="123" t="s">
        <v>406</v>
      </c>
      <c r="I5925" s="746"/>
      <c r="J5925" s="747"/>
      <c r="K5925" s="748"/>
      <c r="L5925" s="746"/>
      <c r="M5925" s="747"/>
      <c r="N5925" s="753"/>
    </row>
    <row r="5926" spans="2:14" ht="15" customHeight="1" x14ac:dyDescent="0.25">
      <c r="B5926" s="124"/>
      <c r="C5926" s="145" t="s">
        <v>629</v>
      </c>
      <c r="D5926" s="125">
        <v>60</v>
      </c>
      <c r="E5926" s="125"/>
      <c r="F5926" s="125"/>
      <c r="G5926" s="125"/>
      <c r="H5926" s="125">
        <f>D5926</f>
        <v>60</v>
      </c>
      <c r="I5926" s="746"/>
      <c r="J5926" s="747"/>
      <c r="K5926" s="748"/>
      <c r="L5926" s="746"/>
      <c r="M5926" s="747"/>
      <c r="N5926" s="753"/>
    </row>
    <row r="5927" spans="2:14" ht="15" customHeight="1" x14ac:dyDescent="0.25">
      <c r="B5927" s="124"/>
      <c r="C5927" s="145"/>
      <c r="D5927" s="125"/>
      <c r="E5927" s="125"/>
      <c r="F5927" s="125"/>
      <c r="G5927" s="125"/>
      <c r="H5927" s="125"/>
      <c r="I5927" s="746"/>
      <c r="J5927" s="747"/>
      <c r="K5927" s="748"/>
      <c r="L5927" s="746"/>
      <c r="M5927" s="747"/>
      <c r="N5927" s="753"/>
    </row>
    <row r="5928" spans="2:14" ht="15" customHeight="1" x14ac:dyDescent="0.25">
      <c r="B5928" s="165"/>
      <c r="C5928" s="145"/>
      <c r="D5928" s="125"/>
      <c r="E5928" s="125"/>
      <c r="F5928" s="125"/>
      <c r="G5928" s="125"/>
      <c r="H5928" s="125"/>
      <c r="I5928" s="746"/>
      <c r="J5928" s="747"/>
      <c r="K5928" s="748"/>
      <c r="L5928" s="746"/>
      <c r="M5928" s="747"/>
      <c r="N5928" s="753"/>
    </row>
    <row r="5929" spans="2:14" ht="15" customHeight="1" x14ac:dyDescent="0.25">
      <c r="B5929" s="165"/>
      <c r="C5929" s="145"/>
      <c r="D5929" s="125"/>
      <c r="E5929" s="125"/>
      <c r="F5929" s="125"/>
      <c r="G5929" s="125"/>
      <c r="H5929" s="125"/>
      <c r="I5929" s="746"/>
      <c r="J5929" s="747"/>
      <c r="K5929" s="748"/>
      <c r="L5929" s="746"/>
      <c r="M5929" s="747"/>
      <c r="N5929" s="753"/>
    </row>
    <row r="5930" spans="2:14" ht="15" customHeight="1" x14ac:dyDescent="0.25">
      <c r="B5930" s="165"/>
      <c r="C5930" s="145"/>
      <c r="D5930" s="125"/>
      <c r="E5930" s="125"/>
      <c r="F5930" s="125"/>
      <c r="G5930" s="125"/>
      <c r="H5930" s="125"/>
      <c r="I5930" s="746"/>
      <c r="J5930" s="747"/>
      <c r="K5930" s="748"/>
      <c r="L5930" s="746"/>
      <c r="M5930" s="747"/>
      <c r="N5930" s="753"/>
    </row>
    <row r="5931" spans="2:14" ht="15" customHeight="1" x14ac:dyDescent="0.25">
      <c r="B5931" s="165"/>
      <c r="C5931" s="145"/>
      <c r="D5931" s="125"/>
      <c r="E5931" s="125"/>
      <c r="F5931" s="125"/>
      <c r="G5931" s="125"/>
      <c r="H5931" s="125"/>
      <c r="I5931" s="746"/>
      <c r="J5931" s="747"/>
      <c r="K5931" s="748"/>
      <c r="L5931" s="746"/>
      <c r="M5931" s="747"/>
      <c r="N5931" s="753"/>
    </row>
    <row r="5932" spans="2:14" ht="15" customHeight="1" x14ac:dyDescent="0.25">
      <c r="B5932" s="165"/>
      <c r="C5932" s="145"/>
      <c r="D5932" s="125"/>
      <c r="E5932" s="125"/>
      <c r="F5932" s="125"/>
      <c r="G5932" s="125"/>
      <c r="H5932" s="125"/>
      <c r="I5932" s="746"/>
      <c r="J5932" s="747"/>
      <c r="K5932" s="748"/>
      <c r="L5932" s="746"/>
      <c r="M5932" s="747"/>
      <c r="N5932" s="753"/>
    </row>
    <row r="5933" spans="2:14" ht="15" customHeight="1" x14ac:dyDescent="0.25">
      <c r="B5933" s="124"/>
      <c r="C5933" s="145"/>
      <c r="D5933" s="125"/>
      <c r="E5933" s="125"/>
      <c r="F5933" s="125"/>
      <c r="G5933" s="125"/>
      <c r="H5933" s="125"/>
      <c r="I5933" s="746"/>
      <c r="J5933" s="747"/>
      <c r="K5933" s="748"/>
      <c r="L5933" s="746"/>
      <c r="M5933" s="747"/>
      <c r="N5933" s="753"/>
    </row>
    <row r="5934" spans="2:14" ht="15" customHeight="1" x14ac:dyDescent="0.25">
      <c r="B5934" s="124"/>
      <c r="C5934" s="125"/>
      <c r="D5934" s="125"/>
      <c r="E5934" s="125"/>
      <c r="F5934" s="125"/>
      <c r="G5934" s="125"/>
      <c r="H5934" s="125"/>
      <c r="I5934" s="746"/>
      <c r="J5934" s="747"/>
      <c r="K5934" s="748"/>
      <c r="L5934" s="746"/>
      <c r="M5934" s="747"/>
      <c r="N5934" s="753"/>
    </row>
    <row r="5935" spans="2:14" ht="15" customHeight="1" x14ac:dyDescent="0.25">
      <c r="B5935" s="127"/>
      <c r="C5935" s="125"/>
      <c r="D5935" s="125"/>
      <c r="E5935" s="125"/>
      <c r="F5935" s="125"/>
      <c r="G5935" s="125"/>
      <c r="H5935" s="125"/>
      <c r="I5935" s="749"/>
      <c r="J5935" s="750"/>
      <c r="K5935" s="751"/>
      <c r="L5935" s="749"/>
      <c r="M5935" s="750"/>
      <c r="N5935" s="754"/>
    </row>
    <row r="5936" spans="2:14" ht="15" customHeight="1" x14ac:dyDescent="0.25">
      <c r="B5936" s="225"/>
      <c r="C5936" s="128"/>
      <c r="D5936" s="128"/>
      <c r="E5936" s="128"/>
      <c r="F5936" s="128"/>
      <c r="G5936" s="128"/>
      <c r="H5936" s="128"/>
      <c r="I5936" s="128"/>
      <c r="J5936" s="128"/>
      <c r="K5936" s="128"/>
      <c r="L5936" s="118"/>
      <c r="M5936" s="118"/>
      <c r="N5936" s="210"/>
    </row>
    <row r="5937" spans="2:14" ht="15" customHeight="1" x14ac:dyDescent="0.25">
      <c r="B5937" s="209"/>
      <c r="C5937" s="118"/>
      <c r="D5937" s="118"/>
      <c r="E5937" s="118"/>
      <c r="F5937" s="118"/>
      <c r="G5937" s="118"/>
      <c r="H5937" s="118"/>
      <c r="I5937" s="118"/>
      <c r="J5937" s="118"/>
      <c r="K5937" s="118"/>
      <c r="L5937" s="118"/>
      <c r="M5937" s="118"/>
      <c r="N5937" s="210"/>
    </row>
    <row r="5938" spans="2:14" ht="15" customHeight="1" x14ac:dyDescent="0.25">
      <c r="B5938" s="209"/>
      <c r="C5938" s="118"/>
      <c r="D5938" s="118"/>
      <c r="E5938" s="118"/>
      <c r="F5938" s="118"/>
      <c r="G5938" s="118"/>
      <c r="H5938" s="118"/>
      <c r="I5938" s="118"/>
      <c r="J5938" s="118"/>
      <c r="K5938" s="118"/>
      <c r="L5938" s="118"/>
      <c r="M5938" s="118"/>
      <c r="N5938" s="210"/>
    </row>
    <row r="5939" spans="2:14" ht="15" customHeight="1" thickBot="1" x14ac:dyDescent="0.3">
      <c r="B5939" s="725" t="s">
        <v>414</v>
      </c>
      <c r="C5939" s="726"/>
      <c r="D5939" s="726"/>
      <c r="E5939" s="147"/>
      <c r="F5939" s="147"/>
      <c r="G5939" s="147"/>
      <c r="H5939" s="147"/>
      <c r="I5939" s="727"/>
      <c r="J5939" s="726"/>
      <c r="K5939" s="726"/>
      <c r="L5939" s="130"/>
      <c r="M5939" s="130"/>
      <c r="N5939" s="131"/>
    </row>
    <row r="5940" spans="2:14" ht="15" customHeight="1" thickBot="1" x14ac:dyDescent="0.3"/>
    <row r="5941" spans="2:14" ht="40.15" customHeight="1" x14ac:dyDescent="0.25">
      <c r="B5941" s="728"/>
      <c r="C5941" s="729"/>
      <c r="D5941" s="730" t="s">
        <v>393</v>
      </c>
      <c r="E5941" s="729"/>
      <c r="F5941" s="729"/>
      <c r="G5941" s="729"/>
      <c r="H5941" s="729"/>
      <c r="I5941" s="729"/>
      <c r="J5941" s="729"/>
      <c r="K5941" s="729"/>
      <c r="L5941" s="729"/>
      <c r="M5941" s="729"/>
      <c r="N5941" s="731"/>
    </row>
    <row r="5942" spans="2:14" ht="15" customHeight="1" x14ac:dyDescent="0.25">
      <c r="B5942" s="732" t="s">
        <v>394</v>
      </c>
      <c r="C5942" s="733"/>
      <c r="D5942" s="733"/>
      <c r="E5942" s="733"/>
      <c r="F5942" s="733"/>
      <c r="G5942" s="733"/>
      <c r="H5942" s="733"/>
      <c r="I5942" s="733"/>
      <c r="J5942" s="733"/>
      <c r="K5942" s="733"/>
      <c r="L5942" s="733"/>
      <c r="M5942" s="733"/>
      <c r="N5942" s="734"/>
    </row>
    <row r="5943" spans="2:14" ht="28.9" customHeight="1" x14ac:dyDescent="0.25">
      <c r="B5943" s="735" t="s">
        <v>395</v>
      </c>
      <c r="C5943" s="736"/>
      <c r="D5943" s="737" t="str">
        <f>VLOOKUP(B5945,Buenaventura!A9:G7135,3,FALSE)</f>
        <v>Suministro e instalación de sellador para uso exterior (para ventanas)</v>
      </c>
      <c r="E5943" s="738"/>
      <c r="F5943" s="738"/>
      <c r="G5943" s="738"/>
      <c r="H5943" s="738"/>
      <c r="I5943" s="738"/>
      <c r="J5943" s="738"/>
      <c r="K5943" s="738"/>
      <c r="L5943" s="738"/>
      <c r="M5943" s="738"/>
      <c r="N5943" s="739"/>
    </row>
    <row r="5944" spans="2:14" ht="26.45" customHeight="1" x14ac:dyDescent="0.25">
      <c r="B5944" s="740" t="s">
        <v>26</v>
      </c>
      <c r="C5944" s="741"/>
      <c r="D5944" s="119" t="s">
        <v>396</v>
      </c>
      <c r="E5944" s="742" t="s">
        <v>397</v>
      </c>
      <c r="F5944" s="733"/>
      <c r="G5944" s="733"/>
      <c r="H5944" s="736"/>
      <c r="I5944" s="742" t="s">
        <v>398</v>
      </c>
      <c r="J5944" s="733"/>
      <c r="K5944" s="736"/>
      <c r="L5944" s="742" t="s">
        <v>399</v>
      </c>
      <c r="M5944" s="733"/>
      <c r="N5944" s="734"/>
    </row>
    <row r="5945" spans="2:14" ht="15" customHeight="1" x14ac:dyDescent="0.25">
      <c r="B5945" s="283">
        <v>183</v>
      </c>
      <c r="C5945" s="284" t="str">
        <f>VLOOKUP(B5945,Buenaventura!A9:G7148,2,FALSE)</f>
        <v>CA-07</v>
      </c>
      <c r="D5945" s="285">
        <f>SUM(H5948:H5951)</f>
        <v>77.25</v>
      </c>
      <c r="E5945" s="743" t="str">
        <f>VLOOKUP(B5945,Buenaventura!A9:G7147,4,FALSE)</f>
        <v>ML</v>
      </c>
      <c r="F5945" s="743"/>
      <c r="G5945" s="743"/>
      <c r="H5945" s="743"/>
      <c r="I5945" s="744"/>
      <c r="J5945" s="745"/>
      <c r="K5945" s="741"/>
      <c r="L5945" s="744"/>
      <c r="M5945" s="745"/>
      <c r="N5945" s="752"/>
    </row>
    <row r="5946" spans="2:14" ht="15" customHeight="1" x14ac:dyDescent="0.25">
      <c r="B5946" s="755" t="s">
        <v>416</v>
      </c>
      <c r="C5946" s="733"/>
      <c r="D5946" s="733"/>
      <c r="E5946" s="733"/>
      <c r="F5946" s="733"/>
      <c r="G5946" s="733"/>
      <c r="H5946" s="736"/>
      <c r="I5946" s="746"/>
      <c r="J5946" s="747"/>
      <c r="K5946" s="748"/>
      <c r="L5946" s="746"/>
      <c r="M5946" s="747"/>
      <c r="N5946" s="753"/>
    </row>
    <row r="5947" spans="2:14" ht="15" customHeight="1" x14ac:dyDescent="0.25">
      <c r="B5947" s="121" t="s">
        <v>400</v>
      </c>
      <c r="C5947" s="122" t="s">
        <v>401</v>
      </c>
      <c r="D5947" s="123" t="s">
        <v>402</v>
      </c>
      <c r="E5947" s="123" t="s">
        <v>403</v>
      </c>
      <c r="F5947" s="123" t="s">
        <v>404</v>
      </c>
      <c r="G5947" s="123" t="s">
        <v>405</v>
      </c>
      <c r="H5947" s="123" t="s">
        <v>406</v>
      </c>
      <c r="I5947" s="746"/>
      <c r="J5947" s="747"/>
      <c r="K5947" s="748"/>
      <c r="L5947" s="746"/>
      <c r="M5947" s="747"/>
      <c r="N5947" s="753"/>
    </row>
    <row r="5948" spans="2:14" ht="15" customHeight="1" x14ac:dyDescent="0.25">
      <c r="B5948" s="124"/>
      <c r="C5948" s="145" t="s">
        <v>628</v>
      </c>
      <c r="D5948" s="125">
        <v>5</v>
      </c>
      <c r="E5948" s="125">
        <v>3.5</v>
      </c>
      <c r="F5948" s="125"/>
      <c r="G5948" s="125">
        <v>1.5</v>
      </c>
      <c r="H5948" s="125">
        <f>D5948*E5948*G5948</f>
        <v>26.25</v>
      </c>
      <c r="I5948" s="746"/>
      <c r="J5948" s="747"/>
      <c r="K5948" s="748"/>
      <c r="L5948" s="746"/>
      <c r="M5948" s="747"/>
      <c r="N5948" s="753"/>
    </row>
    <row r="5949" spans="2:14" ht="15" customHeight="1" x14ac:dyDescent="0.25">
      <c r="B5949" s="124"/>
      <c r="C5949" s="145"/>
      <c r="D5949" s="125">
        <v>20</v>
      </c>
      <c r="E5949" s="125">
        <v>1.2</v>
      </c>
      <c r="F5949" s="125"/>
      <c r="G5949" s="125">
        <v>1.5</v>
      </c>
      <c r="H5949" s="125">
        <f t="shared" ref="H5949:H5951" si="96">D5949*E5949*G5949</f>
        <v>36</v>
      </c>
      <c r="I5949" s="746"/>
      <c r="J5949" s="747"/>
      <c r="K5949" s="748"/>
      <c r="L5949" s="746"/>
      <c r="M5949" s="747"/>
      <c r="N5949" s="753"/>
    </row>
    <row r="5950" spans="2:14" ht="15" customHeight="1" x14ac:dyDescent="0.25">
      <c r="B5950" s="165"/>
      <c r="C5950" s="145" t="s">
        <v>447</v>
      </c>
      <c r="D5950" s="125">
        <v>1</v>
      </c>
      <c r="E5950" s="125">
        <v>6</v>
      </c>
      <c r="F5950" s="125"/>
      <c r="G5950" s="125">
        <v>2.5</v>
      </c>
      <c r="H5950" s="125">
        <f t="shared" si="96"/>
        <v>15</v>
      </c>
      <c r="I5950" s="746"/>
      <c r="J5950" s="747"/>
      <c r="K5950" s="748"/>
      <c r="L5950" s="746"/>
      <c r="M5950" s="747"/>
      <c r="N5950" s="753"/>
    </row>
    <row r="5951" spans="2:14" ht="15" customHeight="1" x14ac:dyDescent="0.25">
      <c r="B5951" s="165"/>
      <c r="C5951" s="145"/>
      <c r="D5951" s="125"/>
      <c r="E5951" s="125"/>
      <c r="F5951" s="125"/>
      <c r="G5951" s="125"/>
      <c r="H5951" s="125">
        <f t="shared" si="96"/>
        <v>0</v>
      </c>
      <c r="I5951" s="746"/>
      <c r="J5951" s="747"/>
      <c r="K5951" s="748"/>
      <c r="L5951" s="746"/>
      <c r="M5951" s="747"/>
      <c r="N5951" s="753"/>
    </row>
    <row r="5952" spans="2:14" ht="15" customHeight="1" x14ac:dyDescent="0.25">
      <c r="B5952" s="165"/>
      <c r="C5952" s="145"/>
      <c r="D5952" s="125"/>
      <c r="E5952" s="125"/>
      <c r="F5952" s="125"/>
      <c r="G5952" s="125"/>
      <c r="H5952" s="125"/>
      <c r="I5952" s="746"/>
      <c r="J5952" s="747"/>
      <c r="K5952" s="748"/>
      <c r="L5952" s="746"/>
      <c r="M5952" s="747"/>
      <c r="N5952" s="753"/>
    </row>
    <row r="5953" spans="2:14" ht="15" customHeight="1" x14ac:dyDescent="0.25">
      <c r="B5953" s="165"/>
      <c r="C5953" s="145"/>
      <c r="D5953" s="125"/>
      <c r="E5953" s="125"/>
      <c r="F5953" s="125"/>
      <c r="G5953" s="125"/>
      <c r="H5953" s="125"/>
      <c r="I5953" s="746"/>
      <c r="J5953" s="747"/>
      <c r="K5953" s="748"/>
      <c r="L5953" s="746"/>
      <c r="M5953" s="747"/>
      <c r="N5953" s="753"/>
    </row>
    <row r="5954" spans="2:14" ht="15" customHeight="1" x14ac:dyDescent="0.25">
      <c r="B5954" s="165"/>
      <c r="C5954" s="145"/>
      <c r="D5954" s="125"/>
      <c r="E5954" s="125"/>
      <c r="F5954" s="125"/>
      <c r="G5954" s="125"/>
      <c r="H5954" s="125"/>
      <c r="I5954" s="746"/>
      <c r="J5954" s="747"/>
      <c r="K5954" s="748"/>
      <c r="L5954" s="746"/>
      <c r="M5954" s="747"/>
      <c r="N5954" s="753"/>
    </row>
    <row r="5955" spans="2:14" ht="15" customHeight="1" x14ac:dyDescent="0.25">
      <c r="B5955" s="124"/>
      <c r="C5955" s="145"/>
      <c r="D5955" s="125"/>
      <c r="E5955" s="125"/>
      <c r="F5955" s="125"/>
      <c r="G5955" s="125"/>
      <c r="H5955" s="125"/>
      <c r="I5955" s="746"/>
      <c r="J5955" s="747"/>
      <c r="K5955" s="748"/>
      <c r="L5955" s="746"/>
      <c r="M5955" s="747"/>
      <c r="N5955" s="753"/>
    </row>
    <row r="5956" spans="2:14" ht="15" customHeight="1" x14ac:dyDescent="0.25">
      <c r="B5956" s="124"/>
      <c r="C5956" s="125"/>
      <c r="D5956" s="125"/>
      <c r="E5956" s="125"/>
      <c r="F5956" s="125"/>
      <c r="G5956" s="125"/>
      <c r="H5956" s="125"/>
      <c r="I5956" s="746"/>
      <c r="J5956" s="747"/>
      <c r="K5956" s="748"/>
      <c r="L5956" s="746"/>
      <c r="M5956" s="747"/>
      <c r="N5956" s="753"/>
    </row>
    <row r="5957" spans="2:14" ht="15" customHeight="1" x14ac:dyDescent="0.25">
      <c r="B5957" s="127"/>
      <c r="C5957" s="125"/>
      <c r="D5957" s="125"/>
      <c r="E5957" s="125"/>
      <c r="F5957" s="125"/>
      <c r="G5957" s="125"/>
      <c r="H5957" s="125"/>
      <c r="I5957" s="749"/>
      <c r="J5957" s="750"/>
      <c r="K5957" s="751"/>
      <c r="L5957" s="749"/>
      <c r="M5957" s="750"/>
      <c r="N5957" s="754"/>
    </row>
    <row r="5958" spans="2:14" ht="15" customHeight="1" x14ac:dyDescent="0.25">
      <c r="B5958" s="225"/>
      <c r="C5958" s="128"/>
      <c r="D5958" s="128"/>
      <c r="E5958" s="128"/>
      <c r="F5958" s="128"/>
      <c r="G5958" s="128"/>
      <c r="H5958" s="128"/>
      <c r="I5958" s="128"/>
      <c r="J5958" s="128"/>
      <c r="K5958" s="128"/>
      <c r="L5958" s="118"/>
      <c r="M5958" s="118"/>
      <c r="N5958" s="210"/>
    </row>
    <row r="5959" spans="2:14" ht="15" customHeight="1" x14ac:dyDescent="0.25">
      <c r="B5959" s="209"/>
      <c r="C5959" s="118"/>
      <c r="D5959" s="118"/>
      <c r="E5959" s="118"/>
      <c r="F5959" s="118"/>
      <c r="G5959" s="118"/>
      <c r="H5959" s="118"/>
      <c r="I5959" s="118"/>
      <c r="J5959" s="118"/>
      <c r="K5959" s="118"/>
      <c r="L5959" s="118"/>
      <c r="M5959" s="118"/>
      <c r="N5959" s="210"/>
    </row>
    <row r="5960" spans="2:14" ht="15" customHeight="1" x14ac:dyDescent="0.25">
      <c r="B5960" s="209"/>
      <c r="C5960" s="118"/>
      <c r="D5960" s="118"/>
      <c r="E5960" s="118"/>
      <c r="F5960" s="118"/>
      <c r="G5960" s="118"/>
      <c r="H5960" s="118"/>
      <c r="I5960" s="118"/>
      <c r="J5960" s="118"/>
      <c r="K5960" s="118"/>
      <c r="L5960" s="118"/>
      <c r="M5960" s="118"/>
      <c r="N5960" s="210"/>
    </row>
    <row r="5961" spans="2:14" ht="15" customHeight="1" thickBot="1" x14ac:dyDescent="0.3">
      <c r="B5961" s="725" t="s">
        <v>414</v>
      </c>
      <c r="C5961" s="726"/>
      <c r="D5961" s="726"/>
      <c r="E5961" s="147"/>
      <c r="F5961" s="147"/>
      <c r="G5961" s="147"/>
      <c r="H5961" s="147"/>
      <c r="I5961" s="727"/>
      <c r="J5961" s="726"/>
      <c r="K5961" s="726"/>
      <c r="L5961" s="130"/>
      <c r="M5961" s="130"/>
      <c r="N5961" s="131"/>
    </row>
    <row r="5962" spans="2:14" ht="15" customHeight="1" thickBot="1" x14ac:dyDescent="0.3"/>
    <row r="5963" spans="2:14" ht="43.15" customHeight="1" x14ac:dyDescent="0.25">
      <c r="B5963" s="728"/>
      <c r="C5963" s="729"/>
      <c r="D5963" s="730" t="s">
        <v>393</v>
      </c>
      <c r="E5963" s="729"/>
      <c r="F5963" s="729"/>
      <c r="G5963" s="729"/>
      <c r="H5963" s="729"/>
      <c r="I5963" s="729"/>
      <c r="J5963" s="729"/>
      <c r="K5963" s="729"/>
      <c r="L5963" s="729"/>
      <c r="M5963" s="729"/>
      <c r="N5963" s="731"/>
    </row>
    <row r="5964" spans="2:14" ht="15" customHeight="1" x14ac:dyDescent="0.25">
      <c r="B5964" s="732" t="s">
        <v>394</v>
      </c>
      <c r="C5964" s="733"/>
      <c r="D5964" s="733"/>
      <c r="E5964" s="733"/>
      <c r="F5964" s="733"/>
      <c r="G5964" s="733"/>
      <c r="H5964" s="733"/>
      <c r="I5964" s="733"/>
      <c r="J5964" s="733"/>
      <c r="K5964" s="733"/>
      <c r="L5964" s="733"/>
      <c r="M5964" s="733"/>
      <c r="N5964" s="734"/>
    </row>
    <row r="5965" spans="2:14" ht="15" customHeight="1" x14ac:dyDescent="0.25">
      <c r="B5965" s="735" t="s">
        <v>395</v>
      </c>
      <c r="C5965" s="736"/>
      <c r="D5965" s="737" t="str">
        <f>VLOOKUP(B5967,Buenaventura!A9:G7157,3,FALSE)</f>
        <v>Suministro e instalación de cielo raso en pvc incluye todos los elementos necesarios para su correcta instalacion</v>
      </c>
      <c r="E5965" s="738"/>
      <c r="F5965" s="738"/>
      <c r="G5965" s="738"/>
      <c r="H5965" s="738"/>
      <c r="I5965" s="738"/>
      <c r="J5965" s="738"/>
      <c r="K5965" s="738"/>
      <c r="L5965" s="738"/>
      <c r="M5965" s="738"/>
      <c r="N5965" s="739"/>
    </row>
    <row r="5966" spans="2:14" ht="23.45" customHeight="1" x14ac:dyDescent="0.25">
      <c r="B5966" s="740" t="s">
        <v>26</v>
      </c>
      <c r="C5966" s="741"/>
      <c r="D5966" s="119" t="s">
        <v>396</v>
      </c>
      <c r="E5966" s="742" t="s">
        <v>397</v>
      </c>
      <c r="F5966" s="733"/>
      <c r="G5966" s="733"/>
      <c r="H5966" s="736"/>
      <c r="I5966" s="742" t="s">
        <v>398</v>
      </c>
      <c r="J5966" s="733"/>
      <c r="K5966" s="736"/>
      <c r="L5966" s="742" t="s">
        <v>399</v>
      </c>
      <c r="M5966" s="733"/>
      <c r="N5966" s="734"/>
    </row>
    <row r="5967" spans="2:14" ht="15" customHeight="1" x14ac:dyDescent="0.25">
      <c r="B5967" s="283">
        <v>184</v>
      </c>
      <c r="C5967" s="284" t="str">
        <f>VLOOKUP(B5967,Buenaventura!A9:G7170,2,FALSE)</f>
        <v>PR-74</v>
      </c>
      <c r="D5967" s="285">
        <f>SUM(H5970:H5973)</f>
        <v>10</v>
      </c>
      <c r="E5967" s="743" t="str">
        <f>VLOOKUP(B5967,Buenaventura!A9:G7169,4,FALSE)</f>
        <v>M2</v>
      </c>
      <c r="F5967" s="743"/>
      <c r="G5967" s="743"/>
      <c r="H5967" s="743"/>
      <c r="I5967" s="744"/>
      <c r="J5967" s="745"/>
      <c r="K5967" s="741"/>
      <c r="L5967" s="744"/>
      <c r="M5967" s="745"/>
      <c r="N5967" s="752"/>
    </row>
    <row r="5968" spans="2:14" ht="15" customHeight="1" x14ac:dyDescent="0.25">
      <c r="B5968" s="755" t="s">
        <v>416</v>
      </c>
      <c r="C5968" s="733"/>
      <c r="D5968" s="733"/>
      <c r="E5968" s="733"/>
      <c r="F5968" s="733"/>
      <c r="G5968" s="733"/>
      <c r="H5968" s="736"/>
      <c r="I5968" s="746"/>
      <c r="J5968" s="747"/>
      <c r="K5968" s="748"/>
      <c r="L5968" s="746"/>
      <c r="M5968" s="747"/>
      <c r="N5968" s="753"/>
    </row>
    <row r="5969" spans="2:14" ht="15" customHeight="1" x14ac:dyDescent="0.25">
      <c r="B5969" s="121" t="s">
        <v>400</v>
      </c>
      <c r="C5969" s="122" t="s">
        <v>401</v>
      </c>
      <c r="D5969" s="123" t="s">
        <v>402</v>
      </c>
      <c r="E5969" s="123" t="s">
        <v>403</v>
      </c>
      <c r="F5969" s="123" t="s">
        <v>404</v>
      </c>
      <c r="G5969" s="123" t="s">
        <v>405</v>
      </c>
      <c r="H5969" s="123" t="s">
        <v>406</v>
      </c>
      <c r="I5969" s="746"/>
      <c r="J5969" s="747"/>
      <c r="K5969" s="748"/>
      <c r="L5969" s="746"/>
      <c r="M5969" s="747"/>
      <c r="N5969" s="753"/>
    </row>
    <row r="5970" spans="2:14" ht="15" customHeight="1" x14ac:dyDescent="0.25">
      <c r="B5970" s="124"/>
      <c r="C5970" s="145"/>
      <c r="D5970" s="125">
        <v>10</v>
      </c>
      <c r="E5970" s="125"/>
      <c r="F5970" s="125"/>
      <c r="G5970" s="125"/>
      <c r="H5970" s="125">
        <f>D5970</f>
        <v>10</v>
      </c>
      <c r="I5970" s="746"/>
      <c r="J5970" s="747"/>
      <c r="K5970" s="748"/>
      <c r="L5970" s="746"/>
      <c r="M5970" s="747"/>
      <c r="N5970" s="753"/>
    </row>
    <row r="5971" spans="2:14" ht="15" customHeight="1" x14ac:dyDescent="0.25">
      <c r="B5971" s="124"/>
      <c r="C5971" s="145"/>
      <c r="D5971" s="125"/>
      <c r="E5971" s="125"/>
      <c r="F5971" s="125"/>
      <c r="G5971" s="125"/>
      <c r="H5971" s="125"/>
      <c r="I5971" s="746"/>
      <c r="J5971" s="747"/>
      <c r="K5971" s="748"/>
      <c r="L5971" s="746"/>
      <c r="M5971" s="747"/>
      <c r="N5971" s="753"/>
    </row>
    <row r="5972" spans="2:14" ht="15" customHeight="1" x14ac:dyDescent="0.25">
      <c r="B5972" s="165"/>
      <c r="C5972" s="145"/>
      <c r="D5972" s="125"/>
      <c r="E5972" s="125"/>
      <c r="F5972" s="125"/>
      <c r="G5972" s="125"/>
      <c r="H5972" s="125"/>
      <c r="I5972" s="746"/>
      <c r="J5972" s="747"/>
      <c r="K5972" s="748"/>
      <c r="L5972" s="746"/>
      <c r="M5972" s="747"/>
      <c r="N5972" s="753"/>
    </row>
    <row r="5973" spans="2:14" ht="15" customHeight="1" x14ac:dyDescent="0.25">
      <c r="B5973" s="165"/>
      <c r="C5973" s="145"/>
      <c r="D5973" s="125"/>
      <c r="E5973" s="125"/>
      <c r="F5973" s="125"/>
      <c r="G5973" s="125"/>
      <c r="H5973" s="125"/>
      <c r="I5973" s="746"/>
      <c r="J5973" s="747"/>
      <c r="K5973" s="748"/>
      <c r="L5973" s="746"/>
      <c r="M5973" s="747"/>
      <c r="N5973" s="753"/>
    </row>
    <row r="5974" spans="2:14" ht="15" customHeight="1" x14ac:dyDescent="0.25">
      <c r="B5974" s="165"/>
      <c r="C5974" s="145"/>
      <c r="D5974" s="125"/>
      <c r="E5974" s="125"/>
      <c r="F5974" s="125"/>
      <c r="G5974" s="125"/>
      <c r="H5974" s="125"/>
      <c r="I5974" s="746"/>
      <c r="J5974" s="747"/>
      <c r="K5974" s="748"/>
      <c r="L5974" s="746"/>
      <c r="M5974" s="747"/>
      <c r="N5974" s="753"/>
    </row>
    <row r="5975" spans="2:14" ht="15" customHeight="1" x14ac:dyDescent="0.25">
      <c r="B5975" s="165"/>
      <c r="C5975" s="145"/>
      <c r="D5975" s="125"/>
      <c r="E5975" s="125"/>
      <c r="F5975" s="125"/>
      <c r="G5975" s="125"/>
      <c r="H5975" s="125"/>
      <c r="I5975" s="746"/>
      <c r="J5975" s="747"/>
      <c r="K5975" s="748"/>
      <c r="L5975" s="746"/>
      <c r="M5975" s="747"/>
      <c r="N5975" s="753"/>
    </row>
    <row r="5976" spans="2:14" ht="15" customHeight="1" x14ac:dyDescent="0.25">
      <c r="B5976" s="165"/>
      <c r="C5976" s="145"/>
      <c r="D5976" s="125"/>
      <c r="E5976" s="125"/>
      <c r="F5976" s="125"/>
      <c r="G5976" s="125"/>
      <c r="H5976" s="125"/>
      <c r="I5976" s="746"/>
      <c r="J5976" s="747"/>
      <c r="K5976" s="748"/>
      <c r="L5976" s="746"/>
      <c r="M5976" s="747"/>
      <c r="N5976" s="753"/>
    </row>
    <row r="5977" spans="2:14" ht="15" customHeight="1" x14ac:dyDescent="0.25">
      <c r="B5977" s="124"/>
      <c r="C5977" s="145"/>
      <c r="D5977" s="125"/>
      <c r="E5977" s="125"/>
      <c r="F5977" s="125"/>
      <c r="G5977" s="125"/>
      <c r="H5977" s="125"/>
      <c r="I5977" s="746"/>
      <c r="J5977" s="747"/>
      <c r="K5977" s="748"/>
      <c r="L5977" s="746"/>
      <c r="M5977" s="747"/>
      <c r="N5977" s="753"/>
    </row>
    <row r="5978" spans="2:14" ht="15" customHeight="1" x14ac:dyDescent="0.25">
      <c r="B5978" s="124"/>
      <c r="C5978" s="125"/>
      <c r="D5978" s="125"/>
      <c r="E5978" s="125"/>
      <c r="F5978" s="125"/>
      <c r="G5978" s="125"/>
      <c r="H5978" s="125"/>
      <c r="I5978" s="746"/>
      <c r="J5978" s="747"/>
      <c r="K5978" s="748"/>
      <c r="L5978" s="746"/>
      <c r="M5978" s="747"/>
      <c r="N5978" s="753"/>
    </row>
    <row r="5979" spans="2:14" ht="15" customHeight="1" x14ac:dyDescent="0.25">
      <c r="B5979" s="127"/>
      <c r="C5979" s="125"/>
      <c r="D5979" s="125"/>
      <c r="E5979" s="125"/>
      <c r="F5979" s="125"/>
      <c r="G5979" s="125"/>
      <c r="H5979" s="125"/>
      <c r="I5979" s="749"/>
      <c r="J5979" s="750"/>
      <c r="K5979" s="751"/>
      <c r="L5979" s="749"/>
      <c r="M5979" s="750"/>
      <c r="N5979" s="754"/>
    </row>
    <row r="5980" spans="2:14" ht="15" customHeight="1" x14ac:dyDescent="0.25">
      <c r="B5980" s="225"/>
      <c r="C5980" s="128"/>
      <c r="D5980" s="128"/>
      <c r="E5980" s="128"/>
      <c r="F5980" s="128"/>
      <c r="G5980" s="128"/>
      <c r="H5980" s="128"/>
      <c r="I5980" s="128"/>
      <c r="J5980" s="128"/>
      <c r="K5980" s="128"/>
      <c r="L5980" s="118"/>
      <c r="M5980" s="118"/>
      <c r="N5980" s="210"/>
    </row>
    <row r="5981" spans="2:14" ht="15" customHeight="1" x14ac:dyDescent="0.25">
      <c r="B5981" s="209"/>
      <c r="C5981" s="118"/>
      <c r="D5981" s="118"/>
      <c r="E5981" s="118"/>
      <c r="F5981" s="118"/>
      <c r="G5981" s="118"/>
      <c r="H5981" s="118"/>
      <c r="I5981" s="118"/>
      <c r="J5981" s="118"/>
      <c r="K5981" s="118"/>
      <c r="L5981" s="118"/>
      <c r="M5981" s="118"/>
      <c r="N5981" s="210"/>
    </row>
    <row r="5982" spans="2:14" ht="15" customHeight="1" x14ac:dyDescent="0.25">
      <c r="B5982" s="209"/>
      <c r="C5982" s="118"/>
      <c r="D5982" s="118"/>
      <c r="E5982" s="118"/>
      <c r="F5982" s="118"/>
      <c r="G5982" s="118"/>
      <c r="H5982" s="118"/>
      <c r="I5982" s="118"/>
      <c r="J5982" s="118"/>
      <c r="K5982" s="118"/>
      <c r="L5982" s="118"/>
      <c r="M5982" s="118"/>
      <c r="N5982" s="210"/>
    </row>
    <row r="5983" spans="2:14" ht="15" customHeight="1" thickBot="1" x14ac:dyDescent="0.3">
      <c r="B5983" s="725" t="s">
        <v>414</v>
      </c>
      <c r="C5983" s="726"/>
      <c r="D5983" s="726"/>
      <c r="E5983" s="147"/>
      <c r="F5983" s="147"/>
      <c r="G5983" s="147"/>
      <c r="H5983" s="147"/>
      <c r="I5983" s="727"/>
      <c r="J5983" s="726"/>
      <c r="K5983" s="726"/>
      <c r="L5983" s="130"/>
      <c r="M5983" s="130"/>
      <c r="N5983" s="131"/>
    </row>
    <row r="5984" spans="2:14" ht="15" customHeight="1" thickBot="1" x14ac:dyDescent="0.3"/>
    <row r="5985" spans="2:14" ht="40.9" customHeight="1" x14ac:dyDescent="0.25">
      <c r="B5985" s="728"/>
      <c r="C5985" s="729"/>
      <c r="D5985" s="730" t="s">
        <v>393</v>
      </c>
      <c r="E5985" s="729"/>
      <c r="F5985" s="729"/>
      <c r="G5985" s="729"/>
      <c r="H5985" s="729"/>
      <c r="I5985" s="729"/>
      <c r="J5985" s="729"/>
      <c r="K5985" s="729"/>
      <c r="L5985" s="729"/>
      <c r="M5985" s="729"/>
      <c r="N5985" s="731"/>
    </row>
    <row r="5986" spans="2:14" ht="15" customHeight="1" x14ac:dyDescent="0.25">
      <c r="B5986" s="732" t="s">
        <v>394</v>
      </c>
      <c r="C5986" s="733"/>
      <c r="D5986" s="733"/>
      <c r="E5986" s="733"/>
      <c r="F5986" s="733"/>
      <c r="G5986" s="733"/>
      <c r="H5986" s="733"/>
      <c r="I5986" s="733"/>
      <c r="J5986" s="733"/>
      <c r="K5986" s="733"/>
      <c r="L5986" s="733"/>
      <c r="M5986" s="733"/>
      <c r="N5986" s="734"/>
    </row>
    <row r="5987" spans="2:14" ht="15" customHeight="1" x14ac:dyDescent="0.25">
      <c r="B5987" s="735" t="s">
        <v>395</v>
      </c>
      <c r="C5987" s="736"/>
      <c r="D5987" s="737" t="str">
        <f>VLOOKUP(B5989,Buenaventura!A9:G7160,3,FALSE)</f>
        <v>Suministro e instalación de película de seguridad calibre 4 milésimas en puertas existentes de vidrio templado u otro, según medidas en sitio</v>
      </c>
      <c r="E5987" s="738"/>
      <c r="F5987" s="738"/>
      <c r="G5987" s="738"/>
      <c r="H5987" s="738"/>
      <c r="I5987" s="738"/>
      <c r="J5987" s="738"/>
      <c r="K5987" s="738"/>
      <c r="L5987" s="738"/>
      <c r="M5987" s="738"/>
      <c r="N5987" s="739"/>
    </row>
    <row r="5988" spans="2:14" ht="25.9" customHeight="1" x14ac:dyDescent="0.25">
      <c r="B5988" s="740" t="s">
        <v>26</v>
      </c>
      <c r="C5988" s="741"/>
      <c r="D5988" s="119" t="s">
        <v>396</v>
      </c>
      <c r="E5988" s="742" t="s">
        <v>397</v>
      </c>
      <c r="F5988" s="733"/>
      <c r="G5988" s="733"/>
      <c r="H5988" s="736"/>
      <c r="I5988" s="742" t="s">
        <v>398</v>
      </c>
      <c r="J5988" s="733"/>
      <c r="K5988" s="736"/>
      <c r="L5988" s="742" t="s">
        <v>399</v>
      </c>
      <c r="M5988" s="733"/>
      <c r="N5988" s="734"/>
    </row>
    <row r="5989" spans="2:14" ht="15" customHeight="1" x14ac:dyDescent="0.25">
      <c r="B5989" s="283">
        <v>185</v>
      </c>
      <c r="C5989" s="284" t="str">
        <f>VLOOKUP(B5989,Buenaventura!A9:G7192,2,FALSE)</f>
        <v>CA-36</v>
      </c>
      <c r="D5989" s="285">
        <f>SUM(H5992:H5995)</f>
        <v>1</v>
      </c>
      <c r="E5989" s="743" t="str">
        <f>VLOOKUP(B5989,Buenaventura!A9:G7191,4,FALSE)</f>
        <v>M2</v>
      </c>
      <c r="F5989" s="743"/>
      <c r="G5989" s="743"/>
      <c r="H5989" s="743"/>
      <c r="I5989" s="744"/>
      <c r="J5989" s="745"/>
      <c r="K5989" s="741"/>
      <c r="L5989" s="744"/>
      <c r="M5989" s="745"/>
      <c r="N5989" s="752"/>
    </row>
    <row r="5990" spans="2:14" ht="15" customHeight="1" x14ac:dyDescent="0.25">
      <c r="B5990" s="755" t="s">
        <v>416</v>
      </c>
      <c r="C5990" s="733"/>
      <c r="D5990" s="733"/>
      <c r="E5990" s="733"/>
      <c r="F5990" s="733"/>
      <c r="G5990" s="733"/>
      <c r="H5990" s="736"/>
      <c r="I5990" s="746"/>
      <c r="J5990" s="747"/>
      <c r="K5990" s="748"/>
      <c r="L5990" s="746"/>
      <c r="M5990" s="747"/>
      <c r="N5990" s="753"/>
    </row>
    <row r="5991" spans="2:14" ht="15" customHeight="1" x14ac:dyDescent="0.25">
      <c r="B5991" s="121" t="s">
        <v>400</v>
      </c>
      <c r="C5991" s="122" t="s">
        <v>401</v>
      </c>
      <c r="D5991" s="123" t="s">
        <v>402</v>
      </c>
      <c r="E5991" s="123" t="s">
        <v>403</v>
      </c>
      <c r="F5991" s="123" t="s">
        <v>404</v>
      </c>
      <c r="G5991" s="123" t="s">
        <v>405</v>
      </c>
      <c r="H5991" s="123" t="s">
        <v>406</v>
      </c>
      <c r="I5991" s="746"/>
      <c r="J5991" s="747"/>
      <c r="K5991" s="748"/>
      <c r="L5991" s="746"/>
      <c r="M5991" s="747"/>
      <c r="N5991" s="753"/>
    </row>
    <row r="5992" spans="2:14" ht="15" customHeight="1" x14ac:dyDescent="0.25">
      <c r="B5992" s="124"/>
      <c r="C5992" s="145" t="s">
        <v>630</v>
      </c>
      <c r="D5992" s="125">
        <v>1</v>
      </c>
      <c r="E5992" s="125"/>
      <c r="F5992" s="125"/>
      <c r="G5992" s="125"/>
      <c r="H5992" s="125">
        <f>D5992</f>
        <v>1</v>
      </c>
      <c r="I5992" s="746"/>
      <c r="J5992" s="747"/>
      <c r="K5992" s="748"/>
      <c r="L5992" s="746"/>
      <c r="M5992" s="747"/>
      <c r="N5992" s="753"/>
    </row>
    <row r="5993" spans="2:14" ht="15" customHeight="1" x14ac:dyDescent="0.25">
      <c r="B5993" s="124"/>
      <c r="C5993" s="145"/>
      <c r="D5993" s="125"/>
      <c r="E5993" s="125"/>
      <c r="F5993" s="125"/>
      <c r="G5993" s="125"/>
      <c r="H5993" s="125"/>
      <c r="I5993" s="746"/>
      <c r="J5993" s="747"/>
      <c r="K5993" s="748"/>
      <c r="L5993" s="746"/>
      <c r="M5993" s="747"/>
      <c r="N5993" s="753"/>
    </row>
    <row r="5994" spans="2:14" ht="15" customHeight="1" x14ac:dyDescent="0.25">
      <c r="B5994" s="165"/>
      <c r="C5994" s="145"/>
      <c r="D5994" s="125"/>
      <c r="E5994" s="125"/>
      <c r="F5994" s="125"/>
      <c r="G5994" s="125"/>
      <c r="H5994" s="125"/>
      <c r="I5994" s="746"/>
      <c r="J5994" s="747"/>
      <c r="K5994" s="748"/>
      <c r="L5994" s="746"/>
      <c r="M5994" s="747"/>
      <c r="N5994" s="753"/>
    </row>
    <row r="5995" spans="2:14" ht="15" customHeight="1" x14ac:dyDescent="0.25">
      <c r="B5995" s="165"/>
      <c r="C5995" s="145"/>
      <c r="D5995" s="125"/>
      <c r="E5995" s="125"/>
      <c r="F5995" s="125"/>
      <c r="G5995" s="125"/>
      <c r="H5995" s="125"/>
      <c r="I5995" s="746"/>
      <c r="J5995" s="747"/>
      <c r="K5995" s="748"/>
      <c r="L5995" s="746"/>
      <c r="M5995" s="747"/>
      <c r="N5995" s="753"/>
    </row>
    <row r="5996" spans="2:14" ht="15" customHeight="1" x14ac:dyDescent="0.25">
      <c r="B5996" s="165"/>
      <c r="C5996" s="145"/>
      <c r="D5996" s="125"/>
      <c r="E5996" s="125"/>
      <c r="F5996" s="125"/>
      <c r="G5996" s="125"/>
      <c r="H5996" s="125"/>
      <c r="I5996" s="746"/>
      <c r="J5996" s="747"/>
      <c r="K5996" s="748"/>
      <c r="L5996" s="746"/>
      <c r="M5996" s="747"/>
      <c r="N5996" s="753"/>
    </row>
    <row r="5997" spans="2:14" ht="15" customHeight="1" x14ac:dyDescent="0.25">
      <c r="B5997" s="165"/>
      <c r="C5997" s="145"/>
      <c r="D5997" s="125"/>
      <c r="E5997" s="125"/>
      <c r="F5997" s="125"/>
      <c r="G5997" s="125"/>
      <c r="H5997" s="125"/>
      <c r="I5997" s="746"/>
      <c r="J5997" s="747"/>
      <c r="K5997" s="748"/>
      <c r="L5997" s="746"/>
      <c r="M5997" s="747"/>
      <c r="N5997" s="753"/>
    </row>
    <row r="5998" spans="2:14" ht="15" customHeight="1" x14ac:dyDescent="0.25">
      <c r="B5998" s="165"/>
      <c r="C5998" s="145"/>
      <c r="D5998" s="125"/>
      <c r="E5998" s="125"/>
      <c r="F5998" s="125"/>
      <c r="G5998" s="125"/>
      <c r="H5998" s="125"/>
      <c r="I5998" s="746"/>
      <c r="J5998" s="747"/>
      <c r="K5998" s="748"/>
      <c r="L5998" s="746"/>
      <c r="M5998" s="747"/>
      <c r="N5998" s="753"/>
    </row>
    <row r="5999" spans="2:14" ht="15" customHeight="1" x14ac:dyDescent="0.25">
      <c r="B5999" s="124"/>
      <c r="C5999" s="145"/>
      <c r="D5999" s="125"/>
      <c r="E5999" s="125"/>
      <c r="F5999" s="125"/>
      <c r="G5999" s="125"/>
      <c r="H5999" s="125"/>
      <c r="I5999" s="746"/>
      <c r="J5999" s="747"/>
      <c r="K5999" s="748"/>
      <c r="L5999" s="746"/>
      <c r="M5999" s="747"/>
      <c r="N5999" s="753"/>
    </row>
    <row r="6000" spans="2:14" ht="15" customHeight="1" x14ac:dyDescent="0.25">
      <c r="B6000" s="124"/>
      <c r="C6000" s="125"/>
      <c r="D6000" s="125"/>
      <c r="E6000" s="125"/>
      <c r="F6000" s="125"/>
      <c r="G6000" s="125"/>
      <c r="H6000" s="125"/>
      <c r="I6000" s="746"/>
      <c r="J6000" s="747"/>
      <c r="K6000" s="748"/>
      <c r="L6000" s="746"/>
      <c r="M6000" s="747"/>
      <c r="N6000" s="753"/>
    </row>
    <row r="6001" spans="2:14" ht="15" customHeight="1" x14ac:dyDescent="0.25">
      <c r="B6001" s="127"/>
      <c r="C6001" s="125"/>
      <c r="D6001" s="125"/>
      <c r="E6001" s="125"/>
      <c r="F6001" s="125"/>
      <c r="G6001" s="125"/>
      <c r="H6001" s="125"/>
      <c r="I6001" s="749"/>
      <c r="J6001" s="750"/>
      <c r="K6001" s="751"/>
      <c r="L6001" s="749"/>
      <c r="M6001" s="750"/>
      <c r="N6001" s="754"/>
    </row>
    <row r="6002" spans="2:14" ht="15" customHeight="1" x14ac:dyDescent="0.25">
      <c r="B6002" s="225"/>
      <c r="C6002" s="128"/>
      <c r="D6002" s="128"/>
      <c r="E6002" s="128"/>
      <c r="F6002" s="128"/>
      <c r="G6002" s="128"/>
      <c r="H6002" s="128"/>
      <c r="I6002" s="128"/>
      <c r="J6002" s="128"/>
      <c r="K6002" s="128"/>
      <c r="L6002" s="118"/>
      <c r="M6002" s="118"/>
      <c r="N6002" s="210"/>
    </row>
    <row r="6003" spans="2:14" ht="15" customHeight="1" x14ac:dyDescent="0.25">
      <c r="B6003" s="209"/>
      <c r="C6003" s="118"/>
      <c r="D6003" s="118"/>
      <c r="E6003" s="118"/>
      <c r="F6003" s="118"/>
      <c r="G6003" s="118"/>
      <c r="H6003" s="118"/>
      <c r="I6003" s="118"/>
      <c r="J6003" s="118"/>
      <c r="K6003" s="118"/>
      <c r="L6003" s="118"/>
      <c r="M6003" s="118"/>
      <c r="N6003" s="210"/>
    </row>
    <row r="6004" spans="2:14" ht="15" customHeight="1" x14ac:dyDescent="0.25">
      <c r="B6004" s="209"/>
      <c r="C6004" s="118"/>
      <c r="D6004" s="118"/>
      <c r="E6004" s="118"/>
      <c r="F6004" s="118"/>
      <c r="G6004" s="118"/>
      <c r="H6004" s="118"/>
      <c r="I6004" s="118"/>
      <c r="J6004" s="118"/>
      <c r="K6004" s="118"/>
      <c r="L6004" s="118"/>
      <c r="M6004" s="118"/>
      <c r="N6004" s="210"/>
    </row>
    <row r="6005" spans="2:14" ht="15" customHeight="1" thickBot="1" x14ac:dyDescent="0.3">
      <c r="B6005" s="725" t="s">
        <v>414</v>
      </c>
      <c r="C6005" s="726"/>
      <c r="D6005" s="726"/>
      <c r="E6005" s="147"/>
      <c r="F6005" s="147"/>
      <c r="G6005" s="147"/>
      <c r="H6005" s="147"/>
      <c r="I6005" s="727"/>
      <c r="J6005" s="726"/>
      <c r="K6005" s="726"/>
      <c r="L6005" s="130"/>
      <c r="M6005" s="130"/>
      <c r="N6005" s="131"/>
    </row>
    <row r="6006" spans="2:14" ht="15" customHeight="1" thickBot="1" x14ac:dyDescent="0.3"/>
    <row r="6007" spans="2:14" ht="39" customHeight="1" x14ac:dyDescent="0.25">
      <c r="B6007" s="728"/>
      <c r="C6007" s="729"/>
      <c r="D6007" s="730" t="s">
        <v>393</v>
      </c>
      <c r="E6007" s="729"/>
      <c r="F6007" s="729"/>
      <c r="G6007" s="729"/>
      <c r="H6007" s="729"/>
      <c r="I6007" s="729"/>
      <c r="J6007" s="729"/>
      <c r="K6007" s="729"/>
      <c r="L6007" s="729"/>
      <c r="M6007" s="729"/>
      <c r="N6007" s="731"/>
    </row>
    <row r="6008" spans="2:14" ht="15" customHeight="1" x14ac:dyDescent="0.25">
      <c r="B6008" s="732" t="s">
        <v>394</v>
      </c>
      <c r="C6008" s="733"/>
      <c r="D6008" s="733"/>
      <c r="E6008" s="733"/>
      <c r="F6008" s="733"/>
      <c r="G6008" s="733"/>
      <c r="H6008" s="733"/>
      <c r="I6008" s="733"/>
      <c r="J6008" s="733"/>
      <c r="K6008" s="733"/>
      <c r="L6008" s="733"/>
      <c r="M6008" s="733"/>
      <c r="N6008" s="734"/>
    </row>
    <row r="6009" spans="2:14" ht="15" customHeight="1" x14ac:dyDescent="0.25">
      <c r="B6009" s="735" t="s">
        <v>395</v>
      </c>
      <c r="C6009" s="736"/>
      <c r="D6009" s="737" t="str">
        <f>VLOOKUP(B6011,Buenaventura!A9:G7201,3,FALSE)</f>
        <v>Suministro e instalación de vidrio para ventana celosia, incluye los necesario para su correcta instalación</v>
      </c>
      <c r="E6009" s="738"/>
      <c r="F6009" s="738"/>
      <c r="G6009" s="738"/>
      <c r="H6009" s="738"/>
      <c r="I6009" s="738"/>
      <c r="J6009" s="738"/>
      <c r="K6009" s="738"/>
      <c r="L6009" s="738"/>
      <c r="M6009" s="738"/>
      <c r="N6009" s="739"/>
    </row>
    <row r="6010" spans="2:14" ht="15" customHeight="1" x14ac:dyDescent="0.25">
      <c r="B6010" s="740" t="s">
        <v>26</v>
      </c>
      <c r="C6010" s="741"/>
      <c r="D6010" s="119" t="s">
        <v>396</v>
      </c>
      <c r="E6010" s="742" t="s">
        <v>397</v>
      </c>
      <c r="F6010" s="733"/>
      <c r="G6010" s="733"/>
      <c r="H6010" s="736"/>
      <c r="I6010" s="742" t="s">
        <v>398</v>
      </c>
      <c r="J6010" s="733"/>
      <c r="K6010" s="736"/>
      <c r="L6010" s="742" t="s">
        <v>399</v>
      </c>
      <c r="M6010" s="733"/>
      <c r="N6010" s="734"/>
    </row>
    <row r="6011" spans="2:14" ht="18.75" customHeight="1" x14ac:dyDescent="0.25">
      <c r="B6011" s="283">
        <v>186</v>
      </c>
      <c r="C6011" s="284" t="str">
        <f>VLOOKUP(B6011,Buenaventura!A83:G7214,2,FALSE)</f>
        <v>VA-52</v>
      </c>
      <c r="D6011" s="285">
        <f>SUM(H6014:H6017)</f>
        <v>30</v>
      </c>
      <c r="E6011" s="743" t="str">
        <f>VLOOKUP(B6011,Buenaventura!A9:G7213,4,FALSE)</f>
        <v>ML</v>
      </c>
      <c r="F6011" s="743"/>
      <c r="G6011" s="743"/>
      <c r="H6011" s="743"/>
      <c r="I6011" s="744"/>
      <c r="J6011" s="745"/>
      <c r="K6011" s="741"/>
      <c r="L6011" s="744"/>
      <c r="M6011" s="745"/>
      <c r="N6011" s="752"/>
    </row>
    <row r="6012" spans="2:14" ht="15" customHeight="1" x14ac:dyDescent="0.25">
      <c r="B6012" s="755" t="s">
        <v>416</v>
      </c>
      <c r="C6012" s="733"/>
      <c r="D6012" s="733"/>
      <c r="E6012" s="733"/>
      <c r="F6012" s="733"/>
      <c r="G6012" s="733"/>
      <c r="H6012" s="736"/>
      <c r="I6012" s="746"/>
      <c r="J6012" s="747"/>
      <c r="K6012" s="748"/>
      <c r="L6012" s="746"/>
      <c r="M6012" s="747"/>
      <c r="N6012" s="753"/>
    </row>
    <row r="6013" spans="2:14" ht="15" customHeight="1" x14ac:dyDescent="0.25">
      <c r="B6013" s="121" t="s">
        <v>400</v>
      </c>
      <c r="C6013" s="122" t="s">
        <v>401</v>
      </c>
      <c r="D6013" s="123" t="s">
        <v>402</v>
      </c>
      <c r="E6013" s="123" t="s">
        <v>403</v>
      </c>
      <c r="F6013" s="123" t="s">
        <v>404</v>
      </c>
      <c r="G6013" s="123" t="s">
        <v>405</v>
      </c>
      <c r="H6013" s="123" t="s">
        <v>406</v>
      </c>
      <c r="I6013" s="746"/>
      <c r="J6013" s="747"/>
      <c r="K6013" s="748"/>
      <c r="L6013" s="746"/>
      <c r="M6013" s="747"/>
      <c r="N6013" s="753"/>
    </row>
    <row r="6014" spans="2:14" ht="15" customHeight="1" x14ac:dyDescent="0.25">
      <c r="B6014" s="124"/>
      <c r="C6014" s="145"/>
      <c r="D6014" s="125">
        <v>30</v>
      </c>
      <c r="E6014" s="125"/>
      <c r="F6014" s="125"/>
      <c r="G6014" s="125"/>
      <c r="H6014" s="125">
        <f>D6014</f>
        <v>30</v>
      </c>
      <c r="I6014" s="746"/>
      <c r="J6014" s="747"/>
      <c r="K6014" s="748"/>
      <c r="L6014" s="746"/>
      <c r="M6014" s="747"/>
      <c r="N6014" s="753"/>
    </row>
    <row r="6015" spans="2:14" ht="15" customHeight="1" x14ac:dyDescent="0.25">
      <c r="B6015" s="124"/>
      <c r="C6015" s="145"/>
      <c r="D6015" s="125"/>
      <c r="E6015" s="125"/>
      <c r="F6015" s="125"/>
      <c r="G6015" s="125"/>
      <c r="H6015" s="125"/>
      <c r="I6015" s="746"/>
      <c r="J6015" s="747"/>
      <c r="K6015" s="748"/>
      <c r="L6015" s="746"/>
      <c r="M6015" s="747"/>
      <c r="N6015" s="753"/>
    </row>
    <row r="6016" spans="2:14" ht="15" customHeight="1" x14ac:dyDescent="0.25">
      <c r="B6016" s="165"/>
      <c r="C6016" s="145"/>
      <c r="D6016" s="125"/>
      <c r="E6016" s="125"/>
      <c r="F6016" s="125"/>
      <c r="G6016" s="125"/>
      <c r="H6016" s="125"/>
      <c r="I6016" s="746"/>
      <c r="J6016" s="747"/>
      <c r="K6016" s="748"/>
      <c r="L6016" s="746"/>
      <c r="M6016" s="747"/>
      <c r="N6016" s="753"/>
    </row>
    <row r="6017" spans="2:14" ht="15" customHeight="1" x14ac:dyDescent="0.25">
      <c r="B6017" s="165"/>
      <c r="C6017" s="145"/>
      <c r="D6017" s="125"/>
      <c r="E6017" s="125"/>
      <c r="F6017" s="125"/>
      <c r="G6017" s="125"/>
      <c r="H6017" s="125"/>
      <c r="I6017" s="746"/>
      <c r="J6017" s="747"/>
      <c r="K6017" s="748"/>
      <c r="L6017" s="746"/>
      <c r="M6017" s="747"/>
      <c r="N6017" s="753"/>
    </row>
    <row r="6018" spans="2:14" ht="15" customHeight="1" x14ac:dyDescent="0.25">
      <c r="B6018" s="165"/>
      <c r="C6018" s="145"/>
      <c r="D6018" s="125"/>
      <c r="E6018" s="125"/>
      <c r="F6018" s="125"/>
      <c r="G6018" s="125"/>
      <c r="H6018" s="125"/>
      <c r="I6018" s="746"/>
      <c r="J6018" s="747"/>
      <c r="K6018" s="748"/>
      <c r="L6018" s="746"/>
      <c r="M6018" s="747"/>
      <c r="N6018" s="753"/>
    </row>
    <row r="6019" spans="2:14" ht="15" customHeight="1" x14ac:dyDescent="0.25">
      <c r="B6019" s="165"/>
      <c r="C6019" s="145"/>
      <c r="D6019" s="125"/>
      <c r="E6019" s="125"/>
      <c r="F6019" s="125"/>
      <c r="G6019" s="125"/>
      <c r="H6019" s="125"/>
      <c r="I6019" s="746"/>
      <c r="J6019" s="747"/>
      <c r="K6019" s="748"/>
      <c r="L6019" s="746"/>
      <c r="M6019" s="747"/>
      <c r="N6019" s="753"/>
    </row>
    <row r="6020" spans="2:14" ht="15" customHeight="1" x14ac:dyDescent="0.25">
      <c r="B6020" s="165"/>
      <c r="C6020" s="145"/>
      <c r="D6020" s="125"/>
      <c r="E6020" s="125"/>
      <c r="F6020" s="125"/>
      <c r="G6020" s="125"/>
      <c r="H6020" s="125"/>
      <c r="I6020" s="746"/>
      <c r="J6020" s="747"/>
      <c r="K6020" s="748"/>
      <c r="L6020" s="746"/>
      <c r="M6020" s="747"/>
      <c r="N6020" s="753"/>
    </row>
    <row r="6021" spans="2:14" ht="15" customHeight="1" x14ac:dyDescent="0.25">
      <c r="B6021" s="124"/>
      <c r="C6021" s="145"/>
      <c r="D6021" s="125"/>
      <c r="E6021" s="125"/>
      <c r="F6021" s="125"/>
      <c r="G6021" s="125"/>
      <c r="H6021" s="125"/>
      <c r="I6021" s="746"/>
      <c r="J6021" s="747"/>
      <c r="K6021" s="748"/>
      <c r="L6021" s="746"/>
      <c r="M6021" s="747"/>
      <c r="N6021" s="753"/>
    </row>
    <row r="6022" spans="2:14" ht="15" customHeight="1" x14ac:dyDescent="0.25">
      <c r="B6022" s="124"/>
      <c r="C6022" s="125"/>
      <c r="D6022" s="125"/>
      <c r="E6022" s="125"/>
      <c r="F6022" s="125"/>
      <c r="G6022" s="125"/>
      <c r="H6022" s="125"/>
      <c r="I6022" s="746"/>
      <c r="J6022" s="747"/>
      <c r="K6022" s="748"/>
      <c r="L6022" s="746"/>
      <c r="M6022" s="747"/>
      <c r="N6022" s="753"/>
    </row>
    <row r="6023" spans="2:14" ht="15" customHeight="1" x14ac:dyDescent="0.25">
      <c r="B6023" s="127"/>
      <c r="C6023" s="125"/>
      <c r="D6023" s="125"/>
      <c r="E6023" s="125"/>
      <c r="F6023" s="125"/>
      <c r="G6023" s="125"/>
      <c r="H6023" s="125"/>
      <c r="I6023" s="749"/>
      <c r="J6023" s="750"/>
      <c r="K6023" s="751"/>
      <c r="L6023" s="749"/>
      <c r="M6023" s="750"/>
      <c r="N6023" s="754"/>
    </row>
    <row r="6024" spans="2:14" ht="15" customHeight="1" x14ac:dyDescent="0.25">
      <c r="B6024" s="225"/>
      <c r="C6024" s="128"/>
      <c r="D6024" s="128"/>
      <c r="E6024" s="128"/>
      <c r="F6024" s="128"/>
      <c r="G6024" s="128"/>
      <c r="H6024" s="128"/>
      <c r="I6024" s="128"/>
      <c r="J6024" s="128"/>
      <c r="K6024" s="128"/>
      <c r="L6024" s="118"/>
      <c r="M6024" s="118"/>
      <c r="N6024" s="210"/>
    </row>
    <row r="6025" spans="2:14" ht="15" customHeight="1" x14ac:dyDescent="0.25">
      <c r="B6025" s="209"/>
      <c r="C6025" s="118"/>
      <c r="D6025" s="118"/>
      <c r="E6025" s="118"/>
      <c r="F6025" s="118"/>
      <c r="G6025" s="118"/>
      <c r="H6025" s="118"/>
      <c r="I6025" s="118"/>
      <c r="J6025" s="118"/>
      <c r="K6025" s="118"/>
      <c r="L6025" s="118"/>
      <c r="M6025" s="118"/>
      <c r="N6025" s="210"/>
    </row>
    <row r="6026" spans="2:14" ht="15" customHeight="1" x14ac:dyDescent="0.25">
      <c r="B6026" s="209"/>
      <c r="C6026" s="118"/>
      <c r="D6026" s="118"/>
      <c r="E6026" s="118"/>
      <c r="F6026" s="118"/>
      <c r="G6026" s="118"/>
      <c r="H6026" s="118"/>
      <c r="I6026" s="118"/>
      <c r="J6026" s="118"/>
      <c r="K6026" s="118"/>
      <c r="L6026" s="118"/>
      <c r="M6026" s="118"/>
      <c r="N6026" s="210"/>
    </row>
    <row r="6027" spans="2:14" ht="15" customHeight="1" thickBot="1" x14ac:dyDescent="0.3">
      <c r="B6027" s="725" t="s">
        <v>414</v>
      </c>
      <c r="C6027" s="726"/>
      <c r="D6027" s="726"/>
      <c r="E6027" s="147"/>
      <c r="F6027" s="147"/>
      <c r="G6027" s="147"/>
      <c r="H6027" s="147"/>
      <c r="I6027" s="727"/>
      <c r="J6027" s="726"/>
      <c r="K6027" s="726"/>
      <c r="L6027" s="130"/>
      <c r="M6027" s="130"/>
      <c r="N6027" s="131"/>
    </row>
    <row r="6028" spans="2:14" ht="15" customHeight="1" thickBot="1" x14ac:dyDescent="0.3"/>
    <row r="6029" spans="2:14" ht="42.6" customHeight="1" x14ac:dyDescent="0.25">
      <c r="B6029" s="728"/>
      <c r="C6029" s="729"/>
      <c r="D6029" s="730" t="s">
        <v>393</v>
      </c>
      <c r="E6029" s="729"/>
      <c r="F6029" s="729"/>
      <c r="G6029" s="729"/>
      <c r="H6029" s="729"/>
      <c r="I6029" s="729"/>
      <c r="J6029" s="729"/>
      <c r="K6029" s="729"/>
      <c r="L6029" s="729"/>
      <c r="M6029" s="729"/>
      <c r="N6029" s="731"/>
    </row>
    <row r="6030" spans="2:14" ht="15" customHeight="1" x14ac:dyDescent="0.25">
      <c r="B6030" s="732" t="s">
        <v>394</v>
      </c>
      <c r="C6030" s="733"/>
      <c r="D6030" s="733"/>
      <c r="E6030" s="733"/>
      <c r="F6030" s="733"/>
      <c r="G6030" s="733"/>
      <c r="H6030" s="733"/>
      <c r="I6030" s="733"/>
      <c r="J6030" s="733"/>
      <c r="K6030" s="733"/>
      <c r="L6030" s="733"/>
      <c r="M6030" s="733"/>
      <c r="N6030" s="734"/>
    </row>
    <row r="6031" spans="2:14" ht="15" customHeight="1" x14ac:dyDescent="0.25">
      <c r="B6031" s="735" t="s">
        <v>395</v>
      </c>
      <c r="C6031" s="736"/>
      <c r="D6031" s="737" t="str">
        <f>VLOOKUP(B6033,Buenaventura!A9:G7223,3,FALSE)</f>
        <v>Suministro e instalación de puerta en aluminio, con dimensiones variables entre 0.80 m y 0.90 m de ancho y 2.00 m a 2.20 m de altura, incluye marco, nave, herrajes de alta resistencia y acabados protectores aptos para ambientes de alta salinidad y humedad.</v>
      </c>
      <c r="E6031" s="738"/>
      <c r="F6031" s="738"/>
      <c r="G6031" s="738"/>
      <c r="H6031" s="738"/>
      <c r="I6031" s="738"/>
      <c r="J6031" s="738"/>
      <c r="K6031" s="738"/>
      <c r="L6031" s="738"/>
      <c r="M6031" s="738"/>
      <c r="N6031" s="739"/>
    </row>
    <row r="6032" spans="2:14" ht="15" customHeight="1" x14ac:dyDescent="0.25">
      <c r="B6032" s="740" t="s">
        <v>26</v>
      </c>
      <c r="C6032" s="741"/>
      <c r="D6032" s="119" t="s">
        <v>396</v>
      </c>
      <c r="E6032" s="742" t="s">
        <v>397</v>
      </c>
      <c r="F6032" s="733"/>
      <c r="G6032" s="733"/>
      <c r="H6032" s="736"/>
      <c r="I6032" s="742" t="s">
        <v>398</v>
      </c>
      <c r="J6032" s="733"/>
      <c r="K6032" s="736"/>
      <c r="L6032" s="742" t="s">
        <v>399</v>
      </c>
      <c r="M6032" s="733"/>
      <c r="N6032" s="734"/>
    </row>
    <row r="6033" spans="2:14" ht="15" customHeight="1" x14ac:dyDescent="0.25">
      <c r="B6033" s="283">
        <v>187</v>
      </c>
      <c r="C6033" s="284" t="str">
        <f>VLOOKUP(B6033,Buenaventura!A9:G7236,2,FALSE)</f>
        <v>CA-28</v>
      </c>
      <c r="D6033" s="285">
        <f>SUM(H6036:H6039)</f>
        <v>3</v>
      </c>
      <c r="E6033" s="743" t="str">
        <f>VLOOKUP(B6033,Buenaventura!A9:G7235,4,FALSE)</f>
        <v>UND</v>
      </c>
      <c r="F6033" s="743"/>
      <c r="G6033" s="743"/>
      <c r="H6033" s="743"/>
      <c r="I6033" s="744"/>
      <c r="J6033" s="745"/>
      <c r="K6033" s="741"/>
      <c r="L6033" s="744"/>
      <c r="M6033" s="745"/>
      <c r="N6033" s="752"/>
    </row>
    <row r="6034" spans="2:14" ht="15" customHeight="1" x14ac:dyDescent="0.25">
      <c r="B6034" s="755" t="s">
        <v>416</v>
      </c>
      <c r="C6034" s="733"/>
      <c r="D6034" s="733"/>
      <c r="E6034" s="733"/>
      <c r="F6034" s="733"/>
      <c r="G6034" s="733"/>
      <c r="H6034" s="736"/>
      <c r="I6034" s="746"/>
      <c r="J6034" s="747"/>
      <c r="K6034" s="748"/>
      <c r="L6034" s="746"/>
      <c r="M6034" s="747"/>
      <c r="N6034" s="753"/>
    </row>
    <row r="6035" spans="2:14" ht="15" customHeight="1" x14ac:dyDescent="0.25">
      <c r="B6035" s="121" t="s">
        <v>400</v>
      </c>
      <c r="C6035" s="122" t="s">
        <v>401</v>
      </c>
      <c r="D6035" s="123" t="s">
        <v>402</v>
      </c>
      <c r="E6035" s="123" t="s">
        <v>403</v>
      </c>
      <c r="F6035" s="123" t="s">
        <v>404</v>
      </c>
      <c r="G6035" s="123" t="s">
        <v>405</v>
      </c>
      <c r="H6035" s="123" t="s">
        <v>406</v>
      </c>
      <c r="I6035" s="746"/>
      <c r="J6035" s="747"/>
      <c r="K6035" s="748"/>
      <c r="L6035" s="746"/>
      <c r="M6035" s="747"/>
      <c r="N6035" s="753"/>
    </row>
    <row r="6036" spans="2:14" ht="15" customHeight="1" x14ac:dyDescent="0.25">
      <c r="B6036" s="124"/>
      <c r="C6036" s="145"/>
      <c r="D6036" s="125">
        <v>3</v>
      </c>
      <c r="E6036" s="125"/>
      <c r="F6036" s="125"/>
      <c r="G6036" s="125"/>
      <c r="H6036" s="125">
        <f>D6036</f>
        <v>3</v>
      </c>
      <c r="I6036" s="746"/>
      <c r="J6036" s="747"/>
      <c r="K6036" s="748"/>
      <c r="L6036" s="746"/>
      <c r="M6036" s="747"/>
      <c r="N6036" s="753"/>
    </row>
    <row r="6037" spans="2:14" ht="15" customHeight="1" x14ac:dyDescent="0.25">
      <c r="B6037" s="124"/>
      <c r="C6037" s="145"/>
      <c r="D6037" s="125"/>
      <c r="E6037" s="125"/>
      <c r="F6037" s="125"/>
      <c r="G6037" s="125"/>
      <c r="H6037" s="125"/>
      <c r="I6037" s="746"/>
      <c r="J6037" s="747"/>
      <c r="K6037" s="748"/>
      <c r="L6037" s="746"/>
      <c r="M6037" s="747"/>
      <c r="N6037" s="753"/>
    </row>
    <row r="6038" spans="2:14" ht="15" customHeight="1" x14ac:dyDescent="0.25">
      <c r="B6038" s="165"/>
      <c r="C6038" s="145"/>
      <c r="D6038" s="125"/>
      <c r="E6038" s="125"/>
      <c r="F6038" s="125"/>
      <c r="G6038" s="125"/>
      <c r="H6038" s="125"/>
      <c r="I6038" s="746"/>
      <c r="J6038" s="747"/>
      <c r="K6038" s="748"/>
      <c r="L6038" s="746"/>
      <c r="M6038" s="747"/>
      <c r="N6038" s="753"/>
    </row>
    <row r="6039" spans="2:14" ht="15" customHeight="1" x14ac:dyDescent="0.25">
      <c r="B6039" s="165"/>
      <c r="C6039" s="145"/>
      <c r="D6039" s="125"/>
      <c r="E6039" s="125"/>
      <c r="F6039" s="125"/>
      <c r="G6039" s="125"/>
      <c r="H6039" s="125"/>
      <c r="I6039" s="746"/>
      <c r="J6039" s="747"/>
      <c r="K6039" s="748"/>
      <c r="L6039" s="746"/>
      <c r="M6039" s="747"/>
      <c r="N6039" s="753"/>
    </row>
    <row r="6040" spans="2:14" ht="15" customHeight="1" x14ac:dyDescent="0.25">
      <c r="B6040" s="165"/>
      <c r="C6040" s="145"/>
      <c r="D6040" s="125"/>
      <c r="E6040" s="125"/>
      <c r="F6040" s="125"/>
      <c r="G6040" s="125"/>
      <c r="H6040" s="125"/>
      <c r="I6040" s="746"/>
      <c r="J6040" s="747"/>
      <c r="K6040" s="748"/>
      <c r="L6040" s="746"/>
      <c r="M6040" s="747"/>
      <c r="N6040" s="753"/>
    </row>
    <row r="6041" spans="2:14" ht="15" customHeight="1" x14ac:dyDescent="0.25">
      <c r="B6041" s="165"/>
      <c r="C6041" s="145"/>
      <c r="D6041" s="125"/>
      <c r="E6041" s="125"/>
      <c r="F6041" s="125"/>
      <c r="G6041" s="125"/>
      <c r="H6041" s="125"/>
      <c r="I6041" s="746"/>
      <c r="J6041" s="747"/>
      <c r="K6041" s="748"/>
      <c r="L6041" s="746"/>
      <c r="M6041" s="747"/>
      <c r="N6041" s="753"/>
    </row>
    <row r="6042" spans="2:14" ht="15" customHeight="1" x14ac:dyDescent="0.25">
      <c r="B6042" s="165"/>
      <c r="C6042" s="145"/>
      <c r="D6042" s="125"/>
      <c r="E6042" s="125"/>
      <c r="F6042" s="125"/>
      <c r="G6042" s="125"/>
      <c r="H6042" s="125"/>
      <c r="I6042" s="746"/>
      <c r="J6042" s="747"/>
      <c r="K6042" s="748"/>
      <c r="L6042" s="746"/>
      <c r="M6042" s="747"/>
      <c r="N6042" s="753"/>
    </row>
    <row r="6043" spans="2:14" ht="15" customHeight="1" x14ac:dyDescent="0.25">
      <c r="B6043" s="124"/>
      <c r="C6043" s="145"/>
      <c r="D6043" s="125"/>
      <c r="E6043" s="125"/>
      <c r="F6043" s="125"/>
      <c r="G6043" s="125"/>
      <c r="H6043" s="125"/>
      <c r="I6043" s="746"/>
      <c r="J6043" s="747"/>
      <c r="K6043" s="748"/>
      <c r="L6043" s="746"/>
      <c r="M6043" s="747"/>
      <c r="N6043" s="753"/>
    </row>
    <row r="6044" spans="2:14" ht="15" customHeight="1" x14ac:dyDescent="0.25">
      <c r="B6044" s="124"/>
      <c r="C6044" s="125"/>
      <c r="D6044" s="125"/>
      <c r="E6044" s="125"/>
      <c r="F6044" s="125"/>
      <c r="G6044" s="125"/>
      <c r="H6044" s="125"/>
      <c r="I6044" s="746"/>
      <c r="J6044" s="747"/>
      <c r="K6044" s="748"/>
      <c r="L6044" s="746"/>
      <c r="M6044" s="747"/>
      <c r="N6044" s="753"/>
    </row>
    <row r="6045" spans="2:14" ht="15" customHeight="1" x14ac:dyDescent="0.25">
      <c r="B6045" s="127"/>
      <c r="C6045" s="125"/>
      <c r="D6045" s="125"/>
      <c r="E6045" s="125"/>
      <c r="F6045" s="125"/>
      <c r="G6045" s="125"/>
      <c r="H6045" s="125"/>
      <c r="I6045" s="749"/>
      <c r="J6045" s="750"/>
      <c r="K6045" s="751"/>
      <c r="L6045" s="749"/>
      <c r="M6045" s="750"/>
      <c r="N6045" s="754"/>
    </row>
    <row r="6046" spans="2:14" ht="15" customHeight="1" x14ac:dyDescent="0.25">
      <c r="B6046" s="225"/>
      <c r="C6046" s="128"/>
      <c r="D6046" s="128"/>
      <c r="E6046" s="128"/>
      <c r="F6046" s="128"/>
      <c r="G6046" s="128"/>
      <c r="H6046" s="128"/>
      <c r="I6046" s="128"/>
      <c r="J6046" s="128"/>
      <c r="K6046" s="128"/>
      <c r="L6046" s="118"/>
      <c r="M6046" s="118"/>
      <c r="N6046" s="210"/>
    </row>
    <row r="6047" spans="2:14" ht="15" customHeight="1" x14ac:dyDescent="0.25">
      <c r="B6047" s="209"/>
      <c r="C6047" s="118"/>
      <c r="D6047" s="118"/>
      <c r="E6047" s="118"/>
      <c r="F6047" s="118"/>
      <c r="G6047" s="118"/>
      <c r="H6047" s="118"/>
      <c r="I6047" s="118"/>
      <c r="J6047" s="118"/>
      <c r="K6047" s="118"/>
      <c r="L6047" s="118"/>
      <c r="M6047" s="118"/>
      <c r="N6047" s="210"/>
    </row>
    <row r="6048" spans="2:14" ht="15" customHeight="1" x14ac:dyDescent="0.25">
      <c r="B6048" s="209"/>
      <c r="C6048" s="118"/>
      <c r="D6048" s="118"/>
      <c r="E6048" s="118"/>
      <c r="F6048" s="118"/>
      <c r="G6048" s="118"/>
      <c r="H6048" s="118"/>
      <c r="I6048" s="118"/>
      <c r="J6048" s="118"/>
      <c r="K6048" s="118"/>
      <c r="L6048" s="118"/>
      <c r="M6048" s="118"/>
      <c r="N6048" s="210"/>
    </row>
    <row r="6049" spans="2:14" ht="15" customHeight="1" thickBot="1" x14ac:dyDescent="0.3">
      <c r="B6049" s="725" t="s">
        <v>414</v>
      </c>
      <c r="C6049" s="726"/>
      <c r="D6049" s="726"/>
      <c r="E6049" s="147"/>
      <c r="F6049" s="147"/>
      <c r="G6049" s="147"/>
      <c r="H6049" s="147"/>
      <c r="I6049" s="727"/>
      <c r="J6049" s="726"/>
      <c r="K6049" s="726"/>
      <c r="L6049" s="130"/>
      <c r="M6049" s="130"/>
      <c r="N6049" s="131"/>
    </row>
    <row r="6050" spans="2:14" ht="15" customHeight="1" thickBot="1" x14ac:dyDescent="0.3"/>
    <row r="6051" spans="2:14" ht="39.75" customHeight="1" x14ac:dyDescent="0.25">
      <c r="B6051" s="728"/>
      <c r="C6051" s="729"/>
      <c r="D6051" s="730" t="s">
        <v>393</v>
      </c>
      <c r="E6051" s="729"/>
      <c r="F6051" s="729"/>
      <c r="G6051" s="729"/>
      <c r="H6051" s="729"/>
      <c r="I6051" s="729"/>
      <c r="J6051" s="729"/>
      <c r="K6051" s="729"/>
      <c r="L6051" s="729"/>
      <c r="M6051" s="729"/>
      <c r="N6051" s="731"/>
    </row>
    <row r="6052" spans="2:14" ht="15" customHeight="1" x14ac:dyDescent="0.25">
      <c r="B6052" s="732" t="s">
        <v>394</v>
      </c>
      <c r="C6052" s="733"/>
      <c r="D6052" s="733"/>
      <c r="E6052" s="733"/>
      <c r="F6052" s="733"/>
      <c r="G6052" s="733"/>
      <c r="H6052" s="733"/>
      <c r="I6052" s="733"/>
      <c r="J6052" s="733"/>
      <c r="K6052" s="733"/>
      <c r="L6052" s="733"/>
      <c r="M6052" s="733"/>
      <c r="N6052" s="734"/>
    </row>
    <row r="6053" spans="2:14" ht="15" customHeight="1" x14ac:dyDescent="0.25">
      <c r="B6053" s="735" t="s">
        <v>395</v>
      </c>
      <c r="C6053" s="736"/>
      <c r="D6053" s="737" t="str">
        <f>VLOOKUP(B6055,Buenaventura!A31:G7245,3,FALSE)</f>
        <v>Desmonte de cielo raso en pvc, incluye retiro en sitio autorizado</v>
      </c>
      <c r="E6053" s="738"/>
      <c r="F6053" s="738"/>
      <c r="G6053" s="738"/>
      <c r="H6053" s="738"/>
      <c r="I6053" s="738"/>
      <c r="J6053" s="738"/>
      <c r="K6053" s="738"/>
      <c r="L6053" s="738"/>
      <c r="M6053" s="738"/>
      <c r="N6053" s="739"/>
    </row>
    <row r="6054" spans="2:14" ht="15" customHeight="1" x14ac:dyDescent="0.25">
      <c r="B6054" s="740" t="s">
        <v>26</v>
      </c>
      <c r="C6054" s="741"/>
      <c r="D6054" s="119" t="s">
        <v>396</v>
      </c>
      <c r="E6054" s="742" t="s">
        <v>397</v>
      </c>
      <c r="F6054" s="733"/>
      <c r="G6054" s="733"/>
      <c r="H6054" s="736"/>
      <c r="I6054" s="742" t="s">
        <v>398</v>
      </c>
      <c r="J6054" s="733"/>
      <c r="K6054" s="736"/>
      <c r="L6054" s="742" t="s">
        <v>399</v>
      </c>
      <c r="M6054" s="733"/>
      <c r="N6054" s="734"/>
    </row>
    <row r="6055" spans="2:14" ht="15" customHeight="1" x14ac:dyDescent="0.25">
      <c r="B6055" s="283">
        <v>188</v>
      </c>
      <c r="C6055" s="284" t="str">
        <f>VLOOKUP(B6055,Buenaventura!A31:G7258,2,FALSE)</f>
        <v>PR-74</v>
      </c>
      <c r="D6055" s="285">
        <f>SUM(H6058:H6061)</f>
        <v>2</v>
      </c>
      <c r="E6055" s="743" t="str">
        <f>VLOOKUP(B6055,Buenaventura!A31:G7257,4,FALSE)</f>
        <v>M2</v>
      </c>
      <c r="F6055" s="743"/>
      <c r="G6055" s="743"/>
      <c r="H6055" s="743"/>
      <c r="I6055" s="744"/>
      <c r="J6055" s="745"/>
      <c r="K6055" s="741"/>
      <c r="L6055" s="744"/>
      <c r="M6055" s="745"/>
      <c r="N6055" s="752"/>
    </row>
    <row r="6056" spans="2:14" ht="15" customHeight="1" x14ac:dyDescent="0.25">
      <c r="B6056" s="755" t="s">
        <v>416</v>
      </c>
      <c r="C6056" s="733"/>
      <c r="D6056" s="733"/>
      <c r="E6056" s="733"/>
      <c r="F6056" s="733"/>
      <c r="G6056" s="733"/>
      <c r="H6056" s="736"/>
      <c r="I6056" s="746"/>
      <c r="J6056" s="747"/>
      <c r="K6056" s="748"/>
      <c r="L6056" s="746"/>
      <c r="M6056" s="747"/>
      <c r="N6056" s="753"/>
    </row>
    <row r="6057" spans="2:14" ht="15" customHeight="1" x14ac:dyDescent="0.25">
      <c r="B6057" s="121" t="s">
        <v>400</v>
      </c>
      <c r="C6057" s="122" t="s">
        <v>401</v>
      </c>
      <c r="D6057" s="123" t="s">
        <v>402</v>
      </c>
      <c r="E6057" s="123" t="s">
        <v>403</v>
      </c>
      <c r="F6057" s="123" t="s">
        <v>404</v>
      </c>
      <c r="G6057" s="123" t="s">
        <v>405</v>
      </c>
      <c r="H6057" s="123" t="s">
        <v>406</v>
      </c>
      <c r="I6057" s="746"/>
      <c r="J6057" s="747"/>
      <c r="K6057" s="748"/>
      <c r="L6057" s="746"/>
      <c r="M6057" s="747"/>
      <c r="N6057" s="753"/>
    </row>
    <row r="6058" spans="2:14" ht="15" customHeight="1" x14ac:dyDescent="0.25">
      <c r="B6058" s="124"/>
      <c r="C6058" s="145"/>
      <c r="D6058" s="125">
        <v>2</v>
      </c>
      <c r="E6058" s="125"/>
      <c r="F6058" s="125"/>
      <c r="G6058" s="125"/>
      <c r="H6058" s="125">
        <f>D6058</f>
        <v>2</v>
      </c>
      <c r="I6058" s="746"/>
      <c r="J6058" s="747"/>
      <c r="K6058" s="748"/>
      <c r="L6058" s="746"/>
      <c r="M6058" s="747"/>
      <c r="N6058" s="753"/>
    </row>
    <row r="6059" spans="2:14" ht="15" customHeight="1" x14ac:dyDescent="0.25">
      <c r="B6059" s="124"/>
      <c r="C6059" s="145"/>
      <c r="D6059" s="125"/>
      <c r="E6059" s="125"/>
      <c r="F6059" s="125"/>
      <c r="G6059" s="125"/>
      <c r="H6059" s="125"/>
      <c r="I6059" s="746"/>
      <c r="J6059" s="747"/>
      <c r="K6059" s="748"/>
      <c r="L6059" s="746"/>
      <c r="M6059" s="747"/>
      <c r="N6059" s="753"/>
    </row>
    <row r="6060" spans="2:14" ht="15" customHeight="1" x14ac:dyDescent="0.25">
      <c r="B6060" s="165"/>
      <c r="C6060" s="145"/>
      <c r="D6060" s="125"/>
      <c r="E6060" s="125"/>
      <c r="F6060" s="125"/>
      <c r="G6060" s="125"/>
      <c r="H6060" s="125"/>
      <c r="I6060" s="746"/>
      <c r="J6060" s="747"/>
      <c r="K6060" s="748"/>
      <c r="L6060" s="746"/>
      <c r="M6060" s="747"/>
      <c r="N6060" s="753"/>
    </row>
    <row r="6061" spans="2:14" ht="15" customHeight="1" x14ac:dyDescent="0.25">
      <c r="B6061" s="165"/>
      <c r="C6061" s="145"/>
      <c r="D6061" s="125"/>
      <c r="E6061" s="125"/>
      <c r="F6061" s="125"/>
      <c r="G6061" s="125"/>
      <c r="H6061" s="125"/>
      <c r="I6061" s="746"/>
      <c r="J6061" s="747"/>
      <c r="K6061" s="748"/>
      <c r="L6061" s="746"/>
      <c r="M6061" s="747"/>
      <c r="N6061" s="753"/>
    </row>
    <row r="6062" spans="2:14" ht="15" customHeight="1" x14ac:dyDescent="0.25">
      <c r="B6062" s="165"/>
      <c r="C6062" s="145"/>
      <c r="D6062" s="125"/>
      <c r="E6062" s="125"/>
      <c r="F6062" s="125"/>
      <c r="G6062" s="125"/>
      <c r="H6062" s="125"/>
      <c r="I6062" s="746"/>
      <c r="J6062" s="747"/>
      <c r="K6062" s="748"/>
      <c r="L6062" s="746"/>
      <c r="M6062" s="747"/>
      <c r="N6062" s="753"/>
    </row>
    <row r="6063" spans="2:14" ht="15" customHeight="1" x14ac:dyDescent="0.25">
      <c r="B6063" s="165"/>
      <c r="C6063" s="145"/>
      <c r="D6063" s="125"/>
      <c r="E6063" s="125"/>
      <c r="F6063" s="125"/>
      <c r="G6063" s="125"/>
      <c r="H6063" s="125"/>
      <c r="I6063" s="746"/>
      <c r="J6063" s="747"/>
      <c r="K6063" s="748"/>
      <c r="L6063" s="746"/>
      <c r="M6063" s="747"/>
      <c r="N6063" s="753"/>
    </row>
    <row r="6064" spans="2:14" ht="15" customHeight="1" x14ac:dyDescent="0.25">
      <c r="B6064" s="165"/>
      <c r="C6064" s="145"/>
      <c r="D6064" s="125"/>
      <c r="E6064" s="125"/>
      <c r="F6064" s="125"/>
      <c r="G6064" s="125"/>
      <c r="H6064" s="125"/>
      <c r="I6064" s="746"/>
      <c r="J6064" s="747"/>
      <c r="K6064" s="748"/>
      <c r="L6064" s="746"/>
      <c r="M6064" s="747"/>
      <c r="N6064" s="753"/>
    </row>
    <row r="6065" spans="2:14" ht="15" customHeight="1" x14ac:dyDescent="0.25">
      <c r="B6065" s="124"/>
      <c r="C6065" s="145"/>
      <c r="D6065" s="125"/>
      <c r="E6065" s="125"/>
      <c r="F6065" s="125"/>
      <c r="G6065" s="125"/>
      <c r="H6065" s="125"/>
      <c r="I6065" s="746"/>
      <c r="J6065" s="747"/>
      <c r="K6065" s="748"/>
      <c r="L6065" s="746"/>
      <c r="M6065" s="747"/>
      <c r="N6065" s="753"/>
    </row>
    <row r="6066" spans="2:14" ht="15" customHeight="1" x14ac:dyDescent="0.25">
      <c r="B6066" s="124"/>
      <c r="C6066" s="125"/>
      <c r="D6066" s="125"/>
      <c r="E6066" s="125"/>
      <c r="F6066" s="125"/>
      <c r="G6066" s="125"/>
      <c r="H6066" s="125"/>
      <c r="I6066" s="746"/>
      <c r="J6066" s="747"/>
      <c r="K6066" s="748"/>
      <c r="L6066" s="746"/>
      <c r="M6066" s="747"/>
      <c r="N6066" s="753"/>
    </row>
    <row r="6067" spans="2:14" ht="15" customHeight="1" x14ac:dyDescent="0.25">
      <c r="B6067" s="127"/>
      <c r="C6067" s="125"/>
      <c r="D6067" s="125"/>
      <c r="E6067" s="125"/>
      <c r="F6067" s="125"/>
      <c r="G6067" s="125"/>
      <c r="H6067" s="125"/>
      <c r="I6067" s="749"/>
      <c r="J6067" s="750"/>
      <c r="K6067" s="751"/>
      <c r="L6067" s="749"/>
      <c r="M6067" s="750"/>
      <c r="N6067" s="754"/>
    </row>
    <row r="6068" spans="2:14" ht="15" customHeight="1" x14ac:dyDescent="0.25">
      <c r="B6068" s="225"/>
      <c r="C6068" s="128"/>
      <c r="D6068" s="128"/>
      <c r="E6068" s="128"/>
      <c r="F6068" s="128"/>
      <c r="G6068" s="128"/>
      <c r="H6068" s="128"/>
      <c r="I6068" s="128"/>
      <c r="J6068" s="128"/>
      <c r="K6068" s="128"/>
      <c r="L6068" s="118"/>
      <c r="M6068" s="118"/>
      <c r="N6068" s="210"/>
    </row>
    <row r="6069" spans="2:14" ht="15" customHeight="1" x14ac:dyDescent="0.25">
      <c r="B6069" s="209"/>
      <c r="C6069" s="118"/>
      <c r="D6069" s="118"/>
      <c r="E6069" s="118"/>
      <c r="F6069" s="118"/>
      <c r="G6069" s="118"/>
      <c r="H6069" s="118"/>
      <c r="I6069" s="118"/>
      <c r="J6069" s="118"/>
      <c r="K6069" s="118"/>
      <c r="L6069" s="118"/>
      <c r="M6069" s="118"/>
      <c r="N6069" s="210"/>
    </row>
    <row r="6070" spans="2:14" ht="15" customHeight="1" x14ac:dyDescent="0.25">
      <c r="B6070" s="209"/>
      <c r="C6070" s="118"/>
      <c r="D6070" s="118"/>
      <c r="E6070" s="118"/>
      <c r="F6070" s="118"/>
      <c r="G6070" s="118"/>
      <c r="H6070" s="118"/>
      <c r="I6070" s="118"/>
      <c r="J6070" s="118"/>
      <c r="K6070" s="118"/>
      <c r="L6070" s="118"/>
      <c r="M6070" s="118"/>
      <c r="N6070" s="210"/>
    </row>
    <row r="6071" spans="2:14" ht="15" customHeight="1" thickBot="1" x14ac:dyDescent="0.3">
      <c r="B6071" s="725" t="s">
        <v>414</v>
      </c>
      <c r="C6071" s="726"/>
      <c r="D6071" s="726"/>
      <c r="E6071" s="147"/>
      <c r="F6071" s="147"/>
      <c r="G6071" s="147"/>
      <c r="H6071" s="147"/>
      <c r="I6071" s="727"/>
      <c r="J6071" s="726"/>
      <c r="K6071" s="726"/>
      <c r="L6071" s="130"/>
      <c r="M6071" s="130"/>
      <c r="N6071" s="131"/>
    </row>
    <row r="6072" spans="2:14" ht="15" customHeight="1" thickBot="1" x14ac:dyDescent="0.3"/>
    <row r="6073" spans="2:14" ht="39" customHeight="1" x14ac:dyDescent="0.25">
      <c r="B6073" s="728"/>
      <c r="C6073" s="729"/>
      <c r="D6073" s="730" t="s">
        <v>393</v>
      </c>
      <c r="E6073" s="729"/>
      <c r="F6073" s="729"/>
      <c r="G6073" s="729"/>
      <c r="H6073" s="729"/>
      <c r="I6073" s="729"/>
      <c r="J6073" s="729"/>
      <c r="K6073" s="729"/>
      <c r="L6073" s="729"/>
      <c r="M6073" s="729"/>
      <c r="N6073" s="731"/>
    </row>
    <row r="6074" spans="2:14" ht="15" customHeight="1" x14ac:dyDescent="0.25">
      <c r="B6074" s="732" t="s">
        <v>394</v>
      </c>
      <c r="C6074" s="733"/>
      <c r="D6074" s="733"/>
      <c r="E6074" s="733"/>
      <c r="F6074" s="733"/>
      <c r="G6074" s="733"/>
      <c r="H6074" s="733"/>
      <c r="I6074" s="733"/>
      <c r="J6074" s="733"/>
      <c r="K6074" s="733"/>
      <c r="L6074" s="733"/>
      <c r="M6074" s="733"/>
      <c r="N6074" s="734"/>
    </row>
    <row r="6075" spans="2:14" ht="15" customHeight="1" x14ac:dyDescent="0.25">
      <c r="B6075" s="735" t="s">
        <v>395</v>
      </c>
      <c r="C6075" s="736"/>
      <c r="D6075" s="737" t="str">
        <f>VLOOKUP(B6077,Buenaventura!A53:G7267,3,FALSE)</f>
        <v>Desmonte de nave (hoja) de puerta existente</v>
      </c>
      <c r="E6075" s="738"/>
      <c r="F6075" s="738"/>
      <c r="G6075" s="738"/>
      <c r="H6075" s="738"/>
      <c r="I6075" s="738"/>
      <c r="J6075" s="738"/>
      <c r="K6075" s="738"/>
      <c r="L6075" s="738"/>
      <c r="M6075" s="738"/>
      <c r="N6075" s="739"/>
    </row>
    <row r="6076" spans="2:14" ht="15" customHeight="1" x14ac:dyDescent="0.25">
      <c r="B6076" s="740" t="s">
        <v>26</v>
      </c>
      <c r="C6076" s="741"/>
      <c r="D6076" s="119" t="s">
        <v>396</v>
      </c>
      <c r="E6076" s="742" t="s">
        <v>397</v>
      </c>
      <c r="F6076" s="733"/>
      <c r="G6076" s="733"/>
      <c r="H6076" s="736"/>
      <c r="I6076" s="742" t="s">
        <v>398</v>
      </c>
      <c r="J6076" s="733"/>
      <c r="K6076" s="736"/>
      <c r="L6076" s="742" t="s">
        <v>399</v>
      </c>
      <c r="M6076" s="733"/>
      <c r="N6076" s="734"/>
    </row>
    <row r="6077" spans="2:14" ht="15" customHeight="1" x14ac:dyDescent="0.25">
      <c r="B6077" s="283">
        <v>189</v>
      </c>
      <c r="C6077" s="284" t="str">
        <f>VLOOKUP(B6077,Buenaventura!A53:G7280,2,FALSE)</f>
        <v>PR-77</v>
      </c>
      <c r="D6077" s="285">
        <f>SUM(H6080:H6083)</f>
        <v>660</v>
      </c>
      <c r="E6077" s="743" t="str">
        <f>VLOOKUP(B6077,Buenaventura!A53:G7279,4,FALSE)</f>
        <v>UND</v>
      </c>
      <c r="F6077" s="743"/>
      <c r="G6077" s="743"/>
      <c r="H6077" s="743"/>
      <c r="I6077" s="744"/>
      <c r="J6077" s="745"/>
      <c r="K6077" s="741"/>
      <c r="L6077" s="744"/>
      <c r="M6077" s="745"/>
      <c r="N6077" s="752"/>
    </row>
    <row r="6078" spans="2:14" ht="15" customHeight="1" x14ac:dyDescent="0.25">
      <c r="B6078" s="755" t="s">
        <v>416</v>
      </c>
      <c r="C6078" s="733"/>
      <c r="D6078" s="733"/>
      <c r="E6078" s="733"/>
      <c r="F6078" s="733"/>
      <c r="G6078" s="733"/>
      <c r="H6078" s="736"/>
      <c r="I6078" s="746"/>
      <c r="J6078" s="747"/>
      <c r="K6078" s="748"/>
      <c r="L6078" s="746"/>
      <c r="M6078" s="747"/>
      <c r="N6078" s="753"/>
    </row>
    <row r="6079" spans="2:14" ht="15" customHeight="1" x14ac:dyDescent="0.25">
      <c r="B6079" s="121" t="s">
        <v>400</v>
      </c>
      <c r="C6079" s="122" t="s">
        <v>401</v>
      </c>
      <c r="D6079" s="123" t="s">
        <v>402</v>
      </c>
      <c r="E6079" s="123" t="s">
        <v>403</v>
      </c>
      <c r="F6079" s="123" t="s">
        <v>404</v>
      </c>
      <c r="G6079" s="123" t="s">
        <v>405</v>
      </c>
      <c r="H6079" s="123" t="s">
        <v>406</v>
      </c>
      <c r="I6079" s="746"/>
      <c r="J6079" s="747"/>
      <c r="K6079" s="748"/>
      <c r="L6079" s="746"/>
      <c r="M6079" s="747"/>
      <c r="N6079" s="753"/>
    </row>
    <row r="6080" spans="2:14" ht="15" customHeight="1" x14ac:dyDescent="0.25">
      <c r="B6080" s="124"/>
      <c r="C6080" s="145"/>
      <c r="D6080" s="125">
        <v>660</v>
      </c>
      <c r="E6080" s="125"/>
      <c r="F6080" s="125"/>
      <c r="G6080" s="125"/>
      <c r="H6080" s="125">
        <f>D6080</f>
        <v>660</v>
      </c>
      <c r="I6080" s="746"/>
      <c r="J6080" s="747"/>
      <c r="K6080" s="748"/>
      <c r="L6080" s="746"/>
      <c r="M6080" s="747"/>
      <c r="N6080" s="753"/>
    </row>
    <row r="6081" spans="2:14" ht="15" customHeight="1" x14ac:dyDescent="0.25">
      <c r="B6081" s="124"/>
      <c r="C6081" s="145"/>
      <c r="D6081" s="125"/>
      <c r="E6081" s="125"/>
      <c r="F6081" s="125"/>
      <c r="G6081" s="125"/>
      <c r="H6081" s="125"/>
      <c r="I6081" s="746"/>
      <c r="J6081" s="747"/>
      <c r="K6081" s="748"/>
      <c r="L6081" s="746"/>
      <c r="M6081" s="747"/>
      <c r="N6081" s="753"/>
    </row>
    <row r="6082" spans="2:14" ht="15" customHeight="1" x14ac:dyDescent="0.25">
      <c r="B6082" s="165"/>
      <c r="C6082" s="145"/>
      <c r="D6082" s="125"/>
      <c r="E6082" s="125"/>
      <c r="F6082" s="125"/>
      <c r="G6082" s="125"/>
      <c r="H6082" s="125"/>
      <c r="I6082" s="746"/>
      <c r="J6082" s="747"/>
      <c r="K6082" s="748"/>
      <c r="L6082" s="746"/>
      <c r="M6082" s="747"/>
      <c r="N6082" s="753"/>
    </row>
    <row r="6083" spans="2:14" ht="15" customHeight="1" x14ac:dyDescent="0.25">
      <c r="B6083" s="165"/>
      <c r="C6083" s="145"/>
      <c r="D6083" s="125"/>
      <c r="E6083" s="125"/>
      <c r="F6083" s="125"/>
      <c r="G6083" s="125"/>
      <c r="H6083" s="125"/>
      <c r="I6083" s="746"/>
      <c r="J6083" s="747"/>
      <c r="K6083" s="748"/>
      <c r="L6083" s="746"/>
      <c r="M6083" s="747"/>
      <c r="N6083" s="753"/>
    </row>
    <row r="6084" spans="2:14" ht="15" customHeight="1" x14ac:dyDescent="0.25">
      <c r="B6084" s="165"/>
      <c r="C6084" s="145"/>
      <c r="D6084" s="125"/>
      <c r="E6084" s="125"/>
      <c r="F6084" s="125"/>
      <c r="G6084" s="125"/>
      <c r="H6084" s="125"/>
      <c r="I6084" s="746"/>
      <c r="J6084" s="747"/>
      <c r="K6084" s="748"/>
      <c r="L6084" s="746"/>
      <c r="M6084" s="747"/>
      <c r="N6084" s="753"/>
    </row>
    <row r="6085" spans="2:14" ht="15" customHeight="1" x14ac:dyDescent="0.25">
      <c r="B6085" s="165"/>
      <c r="C6085" s="145"/>
      <c r="D6085" s="125"/>
      <c r="E6085" s="125"/>
      <c r="F6085" s="125"/>
      <c r="G6085" s="125"/>
      <c r="H6085" s="125"/>
      <c r="I6085" s="746"/>
      <c r="J6085" s="747"/>
      <c r="K6085" s="748"/>
      <c r="L6085" s="746"/>
      <c r="M6085" s="747"/>
      <c r="N6085" s="753"/>
    </row>
    <row r="6086" spans="2:14" ht="15" customHeight="1" x14ac:dyDescent="0.25">
      <c r="B6086" s="165"/>
      <c r="C6086" s="145"/>
      <c r="D6086" s="125"/>
      <c r="E6086" s="125"/>
      <c r="F6086" s="125"/>
      <c r="G6086" s="125"/>
      <c r="H6086" s="125"/>
      <c r="I6086" s="746"/>
      <c r="J6086" s="747"/>
      <c r="K6086" s="748"/>
      <c r="L6086" s="746"/>
      <c r="M6086" s="747"/>
      <c r="N6086" s="753"/>
    </row>
    <row r="6087" spans="2:14" ht="15" customHeight="1" x14ac:dyDescent="0.25">
      <c r="B6087" s="124"/>
      <c r="C6087" s="145"/>
      <c r="D6087" s="125"/>
      <c r="E6087" s="125"/>
      <c r="F6087" s="125"/>
      <c r="G6087" s="125"/>
      <c r="H6087" s="125"/>
      <c r="I6087" s="746"/>
      <c r="J6087" s="747"/>
      <c r="K6087" s="748"/>
      <c r="L6087" s="746"/>
      <c r="M6087" s="747"/>
      <c r="N6087" s="753"/>
    </row>
    <row r="6088" spans="2:14" ht="15" customHeight="1" x14ac:dyDescent="0.25">
      <c r="B6088" s="124"/>
      <c r="C6088" s="125"/>
      <c r="D6088" s="125"/>
      <c r="E6088" s="125"/>
      <c r="F6088" s="125"/>
      <c r="G6088" s="125"/>
      <c r="H6088" s="125"/>
      <c r="I6088" s="746"/>
      <c r="J6088" s="747"/>
      <c r="K6088" s="748"/>
      <c r="L6088" s="746"/>
      <c r="M6088" s="747"/>
      <c r="N6088" s="753"/>
    </row>
    <row r="6089" spans="2:14" ht="15" customHeight="1" x14ac:dyDescent="0.25">
      <c r="B6089" s="127"/>
      <c r="C6089" s="125"/>
      <c r="D6089" s="125"/>
      <c r="E6089" s="125"/>
      <c r="F6089" s="125"/>
      <c r="G6089" s="125"/>
      <c r="H6089" s="125"/>
      <c r="I6089" s="749"/>
      <c r="J6089" s="750"/>
      <c r="K6089" s="751"/>
      <c r="L6089" s="749"/>
      <c r="M6089" s="750"/>
      <c r="N6089" s="754"/>
    </row>
    <row r="6090" spans="2:14" ht="15" customHeight="1" x14ac:dyDescent="0.25">
      <c r="B6090" s="225"/>
      <c r="C6090" s="128"/>
      <c r="D6090" s="128"/>
      <c r="E6090" s="128"/>
      <c r="F6090" s="128"/>
      <c r="G6090" s="128"/>
      <c r="H6090" s="128"/>
      <c r="I6090" s="128"/>
      <c r="J6090" s="128"/>
      <c r="K6090" s="128"/>
      <c r="L6090" s="118"/>
      <c r="M6090" s="118"/>
      <c r="N6090" s="210"/>
    </row>
    <row r="6091" spans="2:14" ht="15" customHeight="1" x14ac:dyDescent="0.25">
      <c r="B6091" s="209"/>
      <c r="C6091" s="118"/>
      <c r="D6091" s="118"/>
      <c r="E6091" s="118"/>
      <c r="F6091" s="118"/>
      <c r="G6091" s="118"/>
      <c r="H6091" s="118"/>
      <c r="I6091" s="118"/>
      <c r="J6091" s="118"/>
      <c r="K6091" s="118"/>
      <c r="L6091" s="118"/>
      <c r="M6091" s="118"/>
      <c r="N6091" s="210"/>
    </row>
    <row r="6092" spans="2:14" ht="15" customHeight="1" x14ac:dyDescent="0.25">
      <c r="B6092" s="209"/>
      <c r="C6092" s="118"/>
      <c r="D6092" s="118"/>
      <c r="E6092" s="118"/>
      <c r="F6092" s="118"/>
      <c r="G6092" s="118"/>
      <c r="H6092" s="118"/>
      <c r="I6092" s="118"/>
      <c r="J6092" s="118"/>
      <c r="K6092" s="118"/>
      <c r="L6092" s="118"/>
      <c r="M6092" s="118"/>
      <c r="N6092" s="210"/>
    </row>
    <row r="6093" spans="2:14" ht="15" customHeight="1" thickBot="1" x14ac:dyDescent="0.3">
      <c r="B6093" s="725" t="s">
        <v>414</v>
      </c>
      <c r="C6093" s="726"/>
      <c r="D6093" s="726"/>
      <c r="E6093" s="147"/>
      <c r="F6093" s="147"/>
      <c r="G6093" s="147"/>
      <c r="H6093" s="147"/>
      <c r="I6093" s="727"/>
      <c r="J6093" s="726"/>
      <c r="K6093" s="726"/>
      <c r="L6093" s="130"/>
      <c r="M6093" s="130"/>
      <c r="N6093" s="131"/>
    </row>
  </sheetData>
  <mergeCells count="3719">
    <mergeCell ref="I5498:K5498"/>
    <mergeCell ref="E6033:H6033"/>
    <mergeCell ref="I6033:K6045"/>
    <mergeCell ref="L6033:N6045"/>
    <mergeCell ref="B6034:H6034"/>
    <mergeCell ref="B6049:D6049"/>
    <mergeCell ref="I6049:K6049"/>
    <mergeCell ref="B6010:C6010"/>
    <mergeCell ref="E6010:H6010"/>
    <mergeCell ref="I6010:K6010"/>
    <mergeCell ref="L6010:N6010"/>
    <mergeCell ref="E6011:H6011"/>
    <mergeCell ref="I6011:K6023"/>
    <mergeCell ref="L6011:N6023"/>
    <mergeCell ref="B6012:H6012"/>
    <mergeCell ref="B6027:D6027"/>
    <mergeCell ref="I6027:K6027"/>
    <mergeCell ref="B6029:C6029"/>
    <mergeCell ref="D6029:N6029"/>
    <mergeCell ref="B6030:N6030"/>
    <mergeCell ref="B6031:C6031"/>
    <mergeCell ref="D6031:N6031"/>
    <mergeCell ref="B6032:C6032"/>
    <mergeCell ref="E6032:H6032"/>
    <mergeCell ref="I6032:K6032"/>
    <mergeCell ref="L6032:N6032"/>
    <mergeCell ref="B5986:N5986"/>
    <mergeCell ref="B5987:C5987"/>
    <mergeCell ref="D5987:N5987"/>
    <mergeCell ref="B5988:C5988"/>
    <mergeCell ref="E5988:H5988"/>
    <mergeCell ref="I5988:K5988"/>
    <mergeCell ref="L5988:N5988"/>
    <mergeCell ref="E5989:H5989"/>
    <mergeCell ref="I5989:K6001"/>
    <mergeCell ref="L5989:N6001"/>
    <mergeCell ref="B5990:H5990"/>
    <mergeCell ref="B6005:D6005"/>
    <mergeCell ref="I6005:K6005"/>
    <mergeCell ref="B6007:C6007"/>
    <mergeCell ref="D6007:N6007"/>
    <mergeCell ref="B6008:N6008"/>
    <mergeCell ref="B6009:C6009"/>
    <mergeCell ref="D6009:N6009"/>
    <mergeCell ref="B5963:C5963"/>
    <mergeCell ref="D5963:N5963"/>
    <mergeCell ref="B5964:N5964"/>
    <mergeCell ref="B5965:C5965"/>
    <mergeCell ref="D5965:N5965"/>
    <mergeCell ref="B5966:C5966"/>
    <mergeCell ref="E5966:H5966"/>
    <mergeCell ref="I5966:K5966"/>
    <mergeCell ref="L5966:N5966"/>
    <mergeCell ref="E5967:H5967"/>
    <mergeCell ref="I5967:K5979"/>
    <mergeCell ref="L5967:N5979"/>
    <mergeCell ref="B5968:H5968"/>
    <mergeCell ref="B5983:D5983"/>
    <mergeCell ref="I5983:K5983"/>
    <mergeCell ref="B5985:C5985"/>
    <mergeCell ref="D5985:N5985"/>
    <mergeCell ref="B5939:D5939"/>
    <mergeCell ref="I5939:K5939"/>
    <mergeCell ref="B5941:C5941"/>
    <mergeCell ref="D5941:N5941"/>
    <mergeCell ref="B5942:N5942"/>
    <mergeCell ref="B5943:C5943"/>
    <mergeCell ref="D5943:N5943"/>
    <mergeCell ref="B5944:C5944"/>
    <mergeCell ref="E5944:H5944"/>
    <mergeCell ref="I5944:K5944"/>
    <mergeCell ref="L5944:N5944"/>
    <mergeCell ref="E5945:H5945"/>
    <mergeCell ref="I5945:K5957"/>
    <mergeCell ref="L5945:N5957"/>
    <mergeCell ref="B5946:H5946"/>
    <mergeCell ref="B5961:D5961"/>
    <mergeCell ref="I5961:K5961"/>
    <mergeCell ref="E5901:H5901"/>
    <mergeCell ref="I5901:K5913"/>
    <mergeCell ref="L5901:N5913"/>
    <mergeCell ref="B5902:H5902"/>
    <mergeCell ref="B5917:D5917"/>
    <mergeCell ref="I5917:K5917"/>
    <mergeCell ref="B5919:C5919"/>
    <mergeCell ref="D5919:N5919"/>
    <mergeCell ref="B5920:N5920"/>
    <mergeCell ref="B5921:C5921"/>
    <mergeCell ref="D5921:N5921"/>
    <mergeCell ref="B5922:C5922"/>
    <mergeCell ref="E5922:H5922"/>
    <mergeCell ref="I5922:K5922"/>
    <mergeCell ref="L5922:N5922"/>
    <mergeCell ref="E5923:H5923"/>
    <mergeCell ref="I5923:K5935"/>
    <mergeCell ref="L5923:N5935"/>
    <mergeCell ref="B5924:H5924"/>
    <mergeCell ref="B5897:C5897"/>
    <mergeCell ref="D5897:N5897"/>
    <mergeCell ref="B5898:N5898"/>
    <mergeCell ref="B5899:C5899"/>
    <mergeCell ref="D5899:N5899"/>
    <mergeCell ref="B5900:C5900"/>
    <mergeCell ref="E5900:H5900"/>
    <mergeCell ref="I5900:K5900"/>
    <mergeCell ref="L5900:N5900"/>
    <mergeCell ref="B5875:N5875"/>
    <mergeCell ref="B5876:C5876"/>
    <mergeCell ref="D5876:N5876"/>
    <mergeCell ref="B5877:C5877"/>
    <mergeCell ref="E5877:H5877"/>
    <mergeCell ref="I5877:K5877"/>
    <mergeCell ref="L5877:N5877"/>
    <mergeCell ref="E5878:H5878"/>
    <mergeCell ref="I5878:K5890"/>
    <mergeCell ref="L5878:N5890"/>
    <mergeCell ref="B5879:H5879"/>
    <mergeCell ref="B5894:D5894"/>
    <mergeCell ref="I5894:K5894"/>
    <mergeCell ref="B5852:C5852"/>
    <mergeCell ref="D5852:N5852"/>
    <mergeCell ref="B5853:N5853"/>
    <mergeCell ref="B5854:C5854"/>
    <mergeCell ref="D5854:N5854"/>
    <mergeCell ref="B5855:C5855"/>
    <mergeCell ref="E5855:H5855"/>
    <mergeCell ref="I5855:K5855"/>
    <mergeCell ref="L5855:N5855"/>
    <mergeCell ref="E5856:H5856"/>
    <mergeCell ref="I5856:K5868"/>
    <mergeCell ref="L5856:N5868"/>
    <mergeCell ref="B5857:H5857"/>
    <mergeCell ref="B5872:D5872"/>
    <mergeCell ref="I5872:K5872"/>
    <mergeCell ref="B5874:C5874"/>
    <mergeCell ref="D5874:N5874"/>
    <mergeCell ref="B5828:D5828"/>
    <mergeCell ref="I5828:K5828"/>
    <mergeCell ref="B5830:C5830"/>
    <mergeCell ref="D5830:N5830"/>
    <mergeCell ref="B5831:N5831"/>
    <mergeCell ref="B5832:C5832"/>
    <mergeCell ref="D5832:N5832"/>
    <mergeCell ref="B5833:C5833"/>
    <mergeCell ref="E5833:H5833"/>
    <mergeCell ref="I5833:K5833"/>
    <mergeCell ref="L5833:N5833"/>
    <mergeCell ref="E5834:H5834"/>
    <mergeCell ref="I5834:K5846"/>
    <mergeCell ref="L5834:N5846"/>
    <mergeCell ref="B5835:H5835"/>
    <mergeCell ref="B5850:D5850"/>
    <mergeCell ref="I5850:K5850"/>
    <mergeCell ref="E5790:H5790"/>
    <mergeCell ref="I5790:K5802"/>
    <mergeCell ref="L5790:N5802"/>
    <mergeCell ref="B5791:H5791"/>
    <mergeCell ref="B5806:D5806"/>
    <mergeCell ref="I5806:K5806"/>
    <mergeCell ref="B5808:C5808"/>
    <mergeCell ref="D5808:N5808"/>
    <mergeCell ref="B5809:N5809"/>
    <mergeCell ref="B5810:C5810"/>
    <mergeCell ref="D5810:N5810"/>
    <mergeCell ref="B5811:C5811"/>
    <mergeCell ref="E5811:H5811"/>
    <mergeCell ref="I5811:K5811"/>
    <mergeCell ref="L5811:N5811"/>
    <mergeCell ref="E5812:H5812"/>
    <mergeCell ref="I5812:K5824"/>
    <mergeCell ref="L5812:N5824"/>
    <mergeCell ref="B5813:H5813"/>
    <mergeCell ref="B5767:C5767"/>
    <mergeCell ref="E5767:H5767"/>
    <mergeCell ref="I5767:K5767"/>
    <mergeCell ref="L5767:N5767"/>
    <mergeCell ref="E5768:H5768"/>
    <mergeCell ref="I5768:K5780"/>
    <mergeCell ref="L5768:N5780"/>
    <mergeCell ref="B5769:H5769"/>
    <mergeCell ref="B5784:D5784"/>
    <mergeCell ref="I5784:K5784"/>
    <mergeCell ref="B5786:C5786"/>
    <mergeCell ref="D5786:N5786"/>
    <mergeCell ref="B5787:N5787"/>
    <mergeCell ref="B5788:C5788"/>
    <mergeCell ref="D5788:N5788"/>
    <mergeCell ref="B5789:C5789"/>
    <mergeCell ref="E5789:H5789"/>
    <mergeCell ref="I5789:K5789"/>
    <mergeCell ref="L5789:N5789"/>
    <mergeCell ref="B5743:N5743"/>
    <mergeCell ref="B5744:C5744"/>
    <mergeCell ref="D5744:N5744"/>
    <mergeCell ref="B5745:C5745"/>
    <mergeCell ref="E5745:H5745"/>
    <mergeCell ref="I5745:K5745"/>
    <mergeCell ref="L5745:N5745"/>
    <mergeCell ref="E5746:H5746"/>
    <mergeCell ref="I5746:K5758"/>
    <mergeCell ref="L5746:N5758"/>
    <mergeCell ref="B5747:H5747"/>
    <mergeCell ref="B5762:D5762"/>
    <mergeCell ref="I5762:K5762"/>
    <mergeCell ref="B5764:C5764"/>
    <mergeCell ref="D5764:N5764"/>
    <mergeCell ref="B5765:N5765"/>
    <mergeCell ref="B5766:C5766"/>
    <mergeCell ref="D5766:N5766"/>
    <mergeCell ref="B5720:C5720"/>
    <mergeCell ref="D5720:N5720"/>
    <mergeCell ref="B5721:N5721"/>
    <mergeCell ref="B5722:C5722"/>
    <mergeCell ref="D5722:N5722"/>
    <mergeCell ref="B5723:C5723"/>
    <mergeCell ref="E5723:H5723"/>
    <mergeCell ref="I5723:K5723"/>
    <mergeCell ref="L5723:N5723"/>
    <mergeCell ref="E5724:H5724"/>
    <mergeCell ref="I5724:K5736"/>
    <mergeCell ref="L5724:N5736"/>
    <mergeCell ref="B5725:H5725"/>
    <mergeCell ref="B5740:D5740"/>
    <mergeCell ref="I5740:K5740"/>
    <mergeCell ref="B5742:C5742"/>
    <mergeCell ref="D5742:N5742"/>
    <mergeCell ref="B5696:D5696"/>
    <mergeCell ref="I5696:K5696"/>
    <mergeCell ref="B5698:C5698"/>
    <mergeCell ref="D5698:N5698"/>
    <mergeCell ref="B5699:N5699"/>
    <mergeCell ref="B5700:C5700"/>
    <mergeCell ref="D5700:N5700"/>
    <mergeCell ref="B5701:C5701"/>
    <mergeCell ref="E5701:H5701"/>
    <mergeCell ref="I5701:K5701"/>
    <mergeCell ref="L5701:N5701"/>
    <mergeCell ref="E5702:H5702"/>
    <mergeCell ref="I5702:K5714"/>
    <mergeCell ref="L5702:N5714"/>
    <mergeCell ref="B5703:H5703"/>
    <mergeCell ref="B5718:D5718"/>
    <mergeCell ref="I5718:K5718"/>
    <mergeCell ref="E5658:H5658"/>
    <mergeCell ref="I5658:K5670"/>
    <mergeCell ref="L5658:N5670"/>
    <mergeCell ref="B5659:H5659"/>
    <mergeCell ref="B5674:D5674"/>
    <mergeCell ref="I5674:K5674"/>
    <mergeCell ref="B5676:C5676"/>
    <mergeCell ref="D5676:N5676"/>
    <mergeCell ref="B5677:N5677"/>
    <mergeCell ref="B5678:C5678"/>
    <mergeCell ref="D5678:N5678"/>
    <mergeCell ref="B5679:C5679"/>
    <mergeCell ref="E5679:H5679"/>
    <mergeCell ref="I5679:K5679"/>
    <mergeCell ref="L5679:N5679"/>
    <mergeCell ref="E5680:H5680"/>
    <mergeCell ref="I5680:K5692"/>
    <mergeCell ref="L5680:N5692"/>
    <mergeCell ref="B5681:H5681"/>
    <mergeCell ref="B5635:C5635"/>
    <mergeCell ref="E5635:H5635"/>
    <mergeCell ref="I5635:K5635"/>
    <mergeCell ref="L5635:N5635"/>
    <mergeCell ref="E5636:H5636"/>
    <mergeCell ref="I5636:K5648"/>
    <mergeCell ref="L5636:N5648"/>
    <mergeCell ref="B5637:H5637"/>
    <mergeCell ref="B5652:D5652"/>
    <mergeCell ref="I5652:K5652"/>
    <mergeCell ref="B5654:C5654"/>
    <mergeCell ref="D5654:N5654"/>
    <mergeCell ref="B5655:N5655"/>
    <mergeCell ref="B5656:C5656"/>
    <mergeCell ref="D5656:N5656"/>
    <mergeCell ref="B5657:C5657"/>
    <mergeCell ref="E5657:H5657"/>
    <mergeCell ref="I5657:K5657"/>
    <mergeCell ref="L5657:N5657"/>
    <mergeCell ref="B5611:N5611"/>
    <mergeCell ref="B5612:C5612"/>
    <mergeCell ref="D5612:N5612"/>
    <mergeCell ref="B5613:C5613"/>
    <mergeCell ref="E5613:H5613"/>
    <mergeCell ref="I5613:K5613"/>
    <mergeCell ref="L5613:N5613"/>
    <mergeCell ref="E5614:H5614"/>
    <mergeCell ref="I5614:K5626"/>
    <mergeCell ref="L5614:N5626"/>
    <mergeCell ref="B5615:H5615"/>
    <mergeCell ref="B5630:D5630"/>
    <mergeCell ref="I5630:K5630"/>
    <mergeCell ref="B5632:C5632"/>
    <mergeCell ref="D5632:N5632"/>
    <mergeCell ref="B5633:N5633"/>
    <mergeCell ref="B5634:C5634"/>
    <mergeCell ref="D5634:N5634"/>
    <mergeCell ref="B5588:C5588"/>
    <mergeCell ref="D5588:N5588"/>
    <mergeCell ref="B5589:N5589"/>
    <mergeCell ref="B5590:C5590"/>
    <mergeCell ref="D5590:N5590"/>
    <mergeCell ref="B5591:C5591"/>
    <mergeCell ref="E5591:H5591"/>
    <mergeCell ref="I5591:K5591"/>
    <mergeCell ref="L5591:N5591"/>
    <mergeCell ref="E5592:H5592"/>
    <mergeCell ref="I5592:K5604"/>
    <mergeCell ref="L5592:N5604"/>
    <mergeCell ref="B5593:H5593"/>
    <mergeCell ref="B5608:D5608"/>
    <mergeCell ref="I5608:K5608"/>
    <mergeCell ref="B5610:C5610"/>
    <mergeCell ref="D5610:N5610"/>
    <mergeCell ref="B5564:D5564"/>
    <mergeCell ref="I5564:K5564"/>
    <mergeCell ref="B5566:C5566"/>
    <mergeCell ref="D5566:N5566"/>
    <mergeCell ref="B5567:N5567"/>
    <mergeCell ref="B5568:C5568"/>
    <mergeCell ref="D5568:N5568"/>
    <mergeCell ref="B5569:C5569"/>
    <mergeCell ref="E5569:H5569"/>
    <mergeCell ref="I5569:K5569"/>
    <mergeCell ref="L5569:N5569"/>
    <mergeCell ref="E5570:H5570"/>
    <mergeCell ref="I5570:K5582"/>
    <mergeCell ref="L5570:N5582"/>
    <mergeCell ref="B5571:H5571"/>
    <mergeCell ref="B5586:D5586"/>
    <mergeCell ref="I5586:K5586"/>
    <mergeCell ref="E5526:H5526"/>
    <mergeCell ref="I5526:K5538"/>
    <mergeCell ref="L5526:N5538"/>
    <mergeCell ref="B5527:H5527"/>
    <mergeCell ref="B5542:D5542"/>
    <mergeCell ref="I5542:K5542"/>
    <mergeCell ref="B5544:C5544"/>
    <mergeCell ref="D5544:N5544"/>
    <mergeCell ref="B5545:N5545"/>
    <mergeCell ref="B5546:C5546"/>
    <mergeCell ref="D5546:N5546"/>
    <mergeCell ref="B5547:C5547"/>
    <mergeCell ref="E5547:H5547"/>
    <mergeCell ref="I5547:K5547"/>
    <mergeCell ref="L5547:N5547"/>
    <mergeCell ref="E5548:H5548"/>
    <mergeCell ref="I5548:K5560"/>
    <mergeCell ref="L5548:N5560"/>
    <mergeCell ref="B5549:H5549"/>
    <mergeCell ref="B5503:C5503"/>
    <mergeCell ref="E5503:H5503"/>
    <mergeCell ref="I5503:K5503"/>
    <mergeCell ref="L5503:N5503"/>
    <mergeCell ref="E5504:H5504"/>
    <mergeCell ref="I5504:K5516"/>
    <mergeCell ref="L5504:N5516"/>
    <mergeCell ref="B5505:H5505"/>
    <mergeCell ref="B5520:D5520"/>
    <mergeCell ref="I5520:K5520"/>
    <mergeCell ref="B5522:C5522"/>
    <mergeCell ref="D5522:N5522"/>
    <mergeCell ref="B5523:N5523"/>
    <mergeCell ref="B5524:C5524"/>
    <mergeCell ref="D5524:N5524"/>
    <mergeCell ref="B5525:C5525"/>
    <mergeCell ref="E5525:H5525"/>
    <mergeCell ref="I5525:K5525"/>
    <mergeCell ref="L5525:N5525"/>
    <mergeCell ref="B5457:N5457"/>
    <mergeCell ref="B5458:C5458"/>
    <mergeCell ref="D5458:N5458"/>
    <mergeCell ref="B5459:C5459"/>
    <mergeCell ref="E5459:H5459"/>
    <mergeCell ref="I5459:K5459"/>
    <mergeCell ref="L5459:N5459"/>
    <mergeCell ref="E5460:H5460"/>
    <mergeCell ref="I5460:K5472"/>
    <mergeCell ref="L5460:N5472"/>
    <mergeCell ref="B5461:H5461"/>
    <mergeCell ref="B5476:D5476"/>
    <mergeCell ref="I5476:K5476"/>
    <mergeCell ref="B5500:C5500"/>
    <mergeCell ref="D5500:N5500"/>
    <mergeCell ref="B5501:N5501"/>
    <mergeCell ref="B5502:C5502"/>
    <mergeCell ref="D5502:N5502"/>
    <mergeCell ref="B5478:C5478"/>
    <mergeCell ref="D5478:N5478"/>
    <mergeCell ref="B5479:N5479"/>
    <mergeCell ref="B5480:C5480"/>
    <mergeCell ref="D5480:N5480"/>
    <mergeCell ref="B5481:C5481"/>
    <mergeCell ref="E5481:H5481"/>
    <mergeCell ref="I5481:K5481"/>
    <mergeCell ref="L5481:N5481"/>
    <mergeCell ref="E5482:H5482"/>
    <mergeCell ref="I5482:K5494"/>
    <mergeCell ref="L5482:N5494"/>
    <mergeCell ref="B5483:H5483"/>
    <mergeCell ref="B5498:D5498"/>
    <mergeCell ref="B5434:C5434"/>
    <mergeCell ref="D5434:N5434"/>
    <mergeCell ref="B5435:N5435"/>
    <mergeCell ref="B5436:C5436"/>
    <mergeCell ref="D5436:N5436"/>
    <mergeCell ref="B5437:C5437"/>
    <mergeCell ref="E5437:H5437"/>
    <mergeCell ref="I5437:K5437"/>
    <mergeCell ref="L5437:N5437"/>
    <mergeCell ref="E5438:H5438"/>
    <mergeCell ref="I5438:K5450"/>
    <mergeCell ref="L5438:N5450"/>
    <mergeCell ref="B5439:H5439"/>
    <mergeCell ref="B5454:D5454"/>
    <mergeCell ref="I5454:K5454"/>
    <mergeCell ref="B5456:C5456"/>
    <mergeCell ref="D5456:N5456"/>
    <mergeCell ref="B5410:D5410"/>
    <mergeCell ref="I5410:K5410"/>
    <mergeCell ref="B5412:C5412"/>
    <mergeCell ref="D5412:N5412"/>
    <mergeCell ref="B5413:N5413"/>
    <mergeCell ref="B5414:C5414"/>
    <mergeCell ref="D5414:N5414"/>
    <mergeCell ref="B5415:C5415"/>
    <mergeCell ref="E5415:H5415"/>
    <mergeCell ref="I5415:K5415"/>
    <mergeCell ref="L5415:N5415"/>
    <mergeCell ref="E5416:H5416"/>
    <mergeCell ref="I5416:K5428"/>
    <mergeCell ref="L5416:N5428"/>
    <mergeCell ref="B5417:H5417"/>
    <mergeCell ref="B5432:D5432"/>
    <mergeCell ref="I5432:K5432"/>
    <mergeCell ref="E5372:H5372"/>
    <mergeCell ref="I5372:K5384"/>
    <mergeCell ref="L5372:N5384"/>
    <mergeCell ref="B5373:H5373"/>
    <mergeCell ref="B5388:D5388"/>
    <mergeCell ref="I5388:K5388"/>
    <mergeCell ref="B5390:C5390"/>
    <mergeCell ref="D5390:N5390"/>
    <mergeCell ref="B5391:N5391"/>
    <mergeCell ref="B5392:C5392"/>
    <mergeCell ref="D5392:N5392"/>
    <mergeCell ref="B5393:C5393"/>
    <mergeCell ref="E5393:H5393"/>
    <mergeCell ref="I5393:K5393"/>
    <mergeCell ref="L5393:N5393"/>
    <mergeCell ref="E5394:H5394"/>
    <mergeCell ref="I5394:K5406"/>
    <mergeCell ref="L5394:N5406"/>
    <mergeCell ref="B5395:H5395"/>
    <mergeCell ref="B5349:C5349"/>
    <mergeCell ref="E5349:H5349"/>
    <mergeCell ref="I5349:K5349"/>
    <mergeCell ref="L5349:N5349"/>
    <mergeCell ref="E5350:H5350"/>
    <mergeCell ref="I5350:K5362"/>
    <mergeCell ref="L5350:N5362"/>
    <mergeCell ref="B5351:H5351"/>
    <mergeCell ref="B5366:D5366"/>
    <mergeCell ref="I5366:K5366"/>
    <mergeCell ref="B5368:C5368"/>
    <mergeCell ref="D5368:N5368"/>
    <mergeCell ref="B5369:N5369"/>
    <mergeCell ref="B5370:C5370"/>
    <mergeCell ref="D5370:N5370"/>
    <mergeCell ref="B5371:C5371"/>
    <mergeCell ref="E5371:H5371"/>
    <mergeCell ref="I5371:K5371"/>
    <mergeCell ref="L5371:N5371"/>
    <mergeCell ref="B5325:N5325"/>
    <mergeCell ref="B5326:C5326"/>
    <mergeCell ref="D5326:N5326"/>
    <mergeCell ref="B5327:C5327"/>
    <mergeCell ref="E5327:H5327"/>
    <mergeCell ref="I5327:K5327"/>
    <mergeCell ref="L5327:N5327"/>
    <mergeCell ref="E5328:H5328"/>
    <mergeCell ref="I5328:K5340"/>
    <mergeCell ref="L5328:N5340"/>
    <mergeCell ref="B5329:H5329"/>
    <mergeCell ref="B5344:D5344"/>
    <mergeCell ref="I5344:K5344"/>
    <mergeCell ref="B5346:C5346"/>
    <mergeCell ref="D5346:N5346"/>
    <mergeCell ref="B5347:N5347"/>
    <mergeCell ref="B5348:C5348"/>
    <mergeCell ref="D5348:N5348"/>
    <mergeCell ref="B5302:C5302"/>
    <mergeCell ref="D5302:N5302"/>
    <mergeCell ref="B5303:N5303"/>
    <mergeCell ref="B5304:C5304"/>
    <mergeCell ref="D5304:N5304"/>
    <mergeCell ref="B5305:C5305"/>
    <mergeCell ref="E5305:H5305"/>
    <mergeCell ref="I5305:K5305"/>
    <mergeCell ref="L5305:N5305"/>
    <mergeCell ref="E5306:H5306"/>
    <mergeCell ref="I5306:K5318"/>
    <mergeCell ref="L5306:N5318"/>
    <mergeCell ref="B5307:H5307"/>
    <mergeCell ref="B5322:D5322"/>
    <mergeCell ref="I5322:K5322"/>
    <mergeCell ref="B5324:C5324"/>
    <mergeCell ref="D5324:N5324"/>
    <mergeCell ref="B5278:D5278"/>
    <mergeCell ref="I5278:K5278"/>
    <mergeCell ref="B5280:C5280"/>
    <mergeCell ref="D5280:N5280"/>
    <mergeCell ref="B5281:N5281"/>
    <mergeCell ref="B5282:C5282"/>
    <mergeCell ref="D5282:N5282"/>
    <mergeCell ref="B5283:C5283"/>
    <mergeCell ref="E5283:H5283"/>
    <mergeCell ref="I5283:K5283"/>
    <mergeCell ref="L5283:N5283"/>
    <mergeCell ref="E5284:H5284"/>
    <mergeCell ref="I5284:K5296"/>
    <mergeCell ref="L5284:N5296"/>
    <mergeCell ref="B5285:H5285"/>
    <mergeCell ref="B5300:D5300"/>
    <mergeCell ref="I5300:K5300"/>
    <mergeCell ref="E5240:H5240"/>
    <mergeCell ref="I5240:K5252"/>
    <mergeCell ref="L5240:N5252"/>
    <mergeCell ref="B5241:H5241"/>
    <mergeCell ref="B5256:D5256"/>
    <mergeCell ref="I5256:K5256"/>
    <mergeCell ref="B5258:C5258"/>
    <mergeCell ref="D5258:N5258"/>
    <mergeCell ref="B5259:N5259"/>
    <mergeCell ref="B5260:C5260"/>
    <mergeCell ref="D5260:N5260"/>
    <mergeCell ref="B5261:C5261"/>
    <mergeCell ref="E5261:H5261"/>
    <mergeCell ref="I5261:K5261"/>
    <mergeCell ref="L5261:N5261"/>
    <mergeCell ref="E5262:H5262"/>
    <mergeCell ref="I5262:K5274"/>
    <mergeCell ref="L5262:N5274"/>
    <mergeCell ref="B5263:H5263"/>
    <mergeCell ref="B5217:C5217"/>
    <mergeCell ref="E5217:H5217"/>
    <mergeCell ref="I5217:K5217"/>
    <mergeCell ref="L5217:N5217"/>
    <mergeCell ref="E5218:H5218"/>
    <mergeCell ref="I5218:K5230"/>
    <mergeCell ref="L5218:N5230"/>
    <mergeCell ref="B5219:H5219"/>
    <mergeCell ref="B5234:D5234"/>
    <mergeCell ref="I5234:K5234"/>
    <mergeCell ref="B5236:C5236"/>
    <mergeCell ref="D5236:N5236"/>
    <mergeCell ref="B5237:N5237"/>
    <mergeCell ref="B5238:C5238"/>
    <mergeCell ref="D5238:N5238"/>
    <mergeCell ref="B5239:C5239"/>
    <mergeCell ref="E5239:H5239"/>
    <mergeCell ref="I5239:K5239"/>
    <mergeCell ref="L5239:N5239"/>
    <mergeCell ref="B5193:N5193"/>
    <mergeCell ref="B5194:C5194"/>
    <mergeCell ref="D5194:N5194"/>
    <mergeCell ref="B5195:C5195"/>
    <mergeCell ref="E5195:H5195"/>
    <mergeCell ref="I5195:K5195"/>
    <mergeCell ref="L5195:N5195"/>
    <mergeCell ref="E5196:H5196"/>
    <mergeCell ref="I5196:K5208"/>
    <mergeCell ref="L5196:N5208"/>
    <mergeCell ref="B5197:H5197"/>
    <mergeCell ref="B5212:D5212"/>
    <mergeCell ref="I5212:K5212"/>
    <mergeCell ref="B5214:C5214"/>
    <mergeCell ref="D5214:N5214"/>
    <mergeCell ref="B5215:N5215"/>
    <mergeCell ref="B5216:C5216"/>
    <mergeCell ref="D5216:N5216"/>
    <mergeCell ref="B5170:C5170"/>
    <mergeCell ref="D5170:N5170"/>
    <mergeCell ref="B5171:N5171"/>
    <mergeCell ref="B5172:C5172"/>
    <mergeCell ref="D5172:N5172"/>
    <mergeCell ref="B5173:C5173"/>
    <mergeCell ref="E5173:H5173"/>
    <mergeCell ref="I5173:K5173"/>
    <mergeCell ref="L5173:N5173"/>
    <mergeCell ref="E5174:H5174"/>
    <mergeCell ref="I5174:K5186"/>
    <mergeCell ref="L5174:N5186"/>
    <mergeCell ref="B5175:H5175"/>
    <mergeCell ref="B5190:D5190"/>
    <mergeCell ref="I5190:K5190"/>
    <mergeCell ref="B5192:C5192"/>
    <mergeCell ref="D5192:N5192"/>
    <mergeCell ref="B5146:D5146"/>
    <mergeCell ref="I5146:K5146"/>
    <mergeCell ref="B5148:C5148"/>
    <mergeCell ref="D5148:N5148"/>
    <mergeCell ref="B5149:N5149"/>
    <mergeCell ref="B5150:C5150"/>
    <mergeCell ref="D5150:N5150"/>
    <mergeCell ref="B5151:C5151"/>
    <mergeCell ref="E5151:H5151"/>
    <mergeCell ref="I5151:K5151"/>
    <mergeCell ref="L5151:N5151"/>
    <mergeCell ref="E5152:H5152"/>
    <mergeCell ref="I5152:K5164"/>
    <mergeCell ref="L5152:N5164"/>
    <mergeCell ref="B5153:H5153"/>
    <mergeCell ref="B5168:D5168"/>
    <mergeCell ref="I5168:K5168"/>
    <mergeCell ref="E5108:H5108"/>
    <mergeCell ref="I5108:K5120"/>
    <mergeCell ref="L5108:N5120"/>
    <mergeCell ref="B5109:H5109"/>
    <mergeCell ref="B5124:D5124"/>
    <mergeCell ref="I5124:K5124"/>
    <mergeCell ref="B5126:C5126"/>
    <mergeCell ref="D5126:N5126"/>
    <mergeCell ref="B5127:N5127"/>
    <mergeCell ref="B5128:C5128"/>
    <mergeCell ref="D5128:N5128"/>
    <mergeCell ref="B5129:C5129"/>
    <mergeCell ref="E5129:H5129"/>
    <mergeCell ref="I5129:K5129"/>
    <mergeCell ref="L5129:N5129"/>
    <mergeCell ref="E5130:H5130"/>
    <mergeCell ref="I5130:K5142"/>
    <mergeCell ref="L5130:N5142"/>
    <mergeCell ref="B5131:H5131"/>
    <mergeCell ref="B5085:C5085"/>
    <mergeCell ref="E5085:H5085"/>
    <mergeCell ref="I5085:K5085"/>
    <mergeCell ref="L5085:N5085"/>
    <mergeCell ref="E5086:H5086"/>
    <mergeCell ref="I5086:K5098"/>
    <mergeCell ref="L5086:N5098"/>
    <mergeCell ref="B5087:H5087"/>
    <mergeCell ref="B5102:D5102"/>
    <mergeCell ref="I5102:K5102"/>
    <mergeCell ref="B5104:C5104"/>
    <mergeCell ref="D5104:N5104"/>
    <mergeCell ref="B5105:N5105"/>
    <mergeCell ref="B5106:C5106"/>
    <mergeCell ref="D5106:N5106"/>
    <mergeCell ref="B5107:C5107"/>
    <mergeCell ref="E5107:H5107"/>
    <mergeCell ref="I5107:K5107"/>
    <mergeCell ref="L5107:N5107"/>
    <mergeCell ref="B5061:N5061"/>
    <mergeCell ref="B5062:C5062"/>
    <mergeCell ref="D5062:N5062"/>
    <mergeCell ref="B5063:C5063"/>
    <mergeCell ref="E5063:H5063"/>
    <mergeCell ref="I5063:K5063"/>
    <mergeCell ref="L5063:N5063"/>
    <mergeCell ref="E5064:H5064"/>
    <mergeCell ref="I5064:K5076"/>
    <mergeCell ref="L5064:N5076"/>
    <mergeCell ref="B5065:H5065"/>
    <mergeCell ref="B5080:D5080"/>
    <mergeCell ref="I5080:K5080"/>
    <mergeCell ref="B5082:C5082"/>
    <mergeCell ref="D5082:N5082"/>
    <mergeCell ref="B5083:N5083"/>
    <mergeCell ref="B5084:C5084"/>
    <mergeCell ref="D5084:N5084"/>
    <mergeCell ref="B5038:C5038"/>
    <mergeCell ref="D5038:N5038"/>
    <mergeCell ref="B5039:N5039"/>
    <mergeCell ref="B5040:C5040"/>
    <mergeCell ref="D5040:N5040"/>
    <mergeCell ref="B5041:C5041"/>
    <mergeCell ref="E5041:H5041"/>
    <mergeCell ref="I5041:K5041"/>
    <mergeCell ref="L5041:N5041"/>
    <mergeCell ref="E5042:H5042"/>
    <mergeCell ref="I5042:K5054"/>
    <mergeCell ref="L5042:N5054"/>
    <mergeCell ref="B5043:H5043"/>
    <mergeCell ref="B5058:D5058"/>
    <mergeCell ref="I5058:K5058"/>
    <mergeCell ref="B5060:C5060"/>
    <mergeCell ref="D5060:N5060"/>
    <mergeCell ref="B5014:D5014"/>
    <mergeCell ref="I5014:K5014"/>
    <mergeCell ref="B5016:C5016"/>
    <mergeCell ref="D5016:N5016"/>
    <mergeCell ref="B5017:N5017"/>
    <mergeCell ref="B5018:C5018"/>
    <mergeCell ref="D5018:N5018"/>
    <mergeCell ref="B5019:C5019"/>
    <mergeCell ref="E5019:H5019"/>
    <mergeCell ref="I5019:K5019"/>
    <mergeCell ref="L5019:N5019"/>
    <mergeCell ref="E5020:H5020"/>
    <mergeCell ref="I5020:K5032"/>
    <mergeCell ref="L5020:N5032"/>
    <mergeCell ref="B5021:H5021"/>
    <mergeCell ref="B5036:D5036"/>
    <mergeCell ref="I5036:K5036"/>
    <mergeCell ref="E4976:H4976"/>
    <mergeCell ref="I4976:K4988"/>
    <mergeCell ref="L4976:N4988"/>
    <mergeCell ref="B4977:H4977"/>
    <mergeCell ref="B4992:D4992"/>
    <mergeCell ref="I4992:K4992"/>
    <mergeCell ref="B4994:C4994"/>
    <mergeCell ref="D4994:N4994"/>
    <mergeCell ref="B4995:N4995"/>
    <mergeCell ref="B4996:C4996"/>
    <mergeCell ref="D4996:N4996"/>
    <mergeCell ref="B4997:C4997"/>
    <mergeCell ref="E4997:H4997"/>
    <mergeCell ref="I4997:K4997"/>
    <mergeCell ref="L4997:N4997"/>
    <mergeCell ref="E4998:H4998"/>
    <mergeCell ref="I4998:K5010"/>
    <mergeCell ref="L4998:N5010"/>
    <mergeCell ref="B4999:H4999"/>
    <mergeCell ref="B4953:C4953"/>
    <mergeCell ref="E4953:H4953"/>
    <mergeCell ref="I4953:K4953"/>
    <mergeCell ref="L4953:N4953"/>
    <mergeCell ref="E4954:H4954"/>
    <mergeCell ref="I4954:K4966"/>
    <mergeCell ref="L4954:N4966"/>
    <mergeCell ref="B4955:H4955"/>
    <mergeCell ref="B4970:D4970"/>
    <mergeCell ref="I4970:K4970"/>
    <mergeCell ref="B4972:C4972"/>
    <mergeCell ref="D4972:N4972"/>
    <mergeCell ref="B4973:N4973"/>
    <mergeCell ref="B4974:C4974"/>
    <mergeCell ref="D4974:N4974"/>
    <mergeCell ref="B4975:C4975"/>
    <mergeCell ref="E4975:H4975"/>
    <mergeCell ref="I4975:K4975"/>
    <mergeCell ref="L4975:N4975"/>
    <mergeCell ref="B4929:N4929"/>
    <mergeCell ref="B4930:C4930"/>
    <mergeCell ref="D4930:N4930"/>
    <mergeCell ref="B4931:C4931"/>
    <mergeCell ref="E4931:H4931"/>
    <mergeCell ref="I4931:K4931"/>
    <mergeCell ref="L4931:N4931"/>
    <mergeCell ref="E4932:H4932"/>
    <mergeCell ref="I4932:K4944"/>
    <mergeCell ref="L4932:N4944"/>
    <mergeCell ref="B4933:H4933"/>
    <mergeCell ref="B4948:D4948"/>
    <mergeCell ref="I4948:K4948"/>
    <mergeCell ref="B4950:C4950"/>
    <mergeCell ref="D4950:N4950"/>
    <mergeCell ref="B4951:N4951"/>
    <mergeCell ref="B4952:C4952"/>
    <mergeCell ref="D4952:N4952"/>
    <mergeCell ref="B4906:C4906"/>
    <mergeCell ref="D4906:N4906"/>
    <mergeCell ref="B4907:N4907"/>
    <mergeCell ref="B4908:C4908"/>
    <mergeCell ref="D4908:N4908"/>
    <mergeCell ref="B4909:C4909"/>
    <mergeCell ref="E4909:H4909"/>
    <mergeCell ref="I4909:K4909"/>
    <mergeCell ref="L4909:N4909"/>
    <mergeCell ref="E4910:H4910"/>
    <mergeCell ref="I4910:K4922"/>
    <mergeCell ref="L4910:N4922"/>
    <mergeCell ref="B4911:H4911"/>
    <mergeCell ref="B4926:D4926"/>
    <mergeCell ref="I4926:K4926"/>
    <mergeCell ref="B4928:C4928"/>
    <mergeCell ref="D4928:N4928"/>
    <mergeCell ref="B4857:D4857"/>
    <mergeCell ref="I4857:K4857"/>
    <mergeCell ref="B4884:C4884"/>
    <mergeCell ref="D4884:N4884"/>
    <mergeCell ref="B4885:N4885"/>
    <mergeCell ref="B4886:C4886"/>
    <mergeCell ref="D4886:N4886"/>
    <mergeCell ref="B4887:C4887"/>
    <mergeCell ref="E4887:H4887"/>
    <mergeCell ref="I4887:K4887"/>
    <mergeCell ref="L4887:N4887"/>
    <mergeCell ref="E4888:H4888"/>
    <mergeCell ref="I4888:K4900"/>
    <mergeCell ref="L4888:N4900"/>
    <mergeCell ref="B4889:H4889"/>
    <mergeCell ref="B4904:D4904"/>
    <mergeCell ref="I4904:K4904"/>
    <mergeCell ref="B4859:C4859"/>
    <mergeCell ref="D4859:N4859"/>
    <mergeCell ref="B4860:N4860"/>
    <mergeCell ref="B4861:C4861"/>
    <mergeCell ref="D4861:N4861"/>
    <mergeCell ref="B4862:C4862"/>
    <mergeCell ref="E4862:H4862"/>
    <mergeCell ref="I4862:K4862"/>
    <mergeCell ref="L4862:N4862"/>
    <mergeCell ref="E4863:H4863"/>
    <mergeCell ref="I4863:K4875"/>
    <mergeCell ref="L4863:N4875"/>
    <mergeCell ref="B4864:H4864"/>
    <mergeCell ref="B4879:D4879"/>
    <mergeCell ref="I4879:K4879"/>
    <mergeCell ref="E4819:H4819"/>
    <mergeCell ref="I4819:K4831"/>
    <mergeCell ref="L4819:N4831"/>
    <mergeCell ref="B4820:H4820"/>
    <mergeCell ref="B4835:D4835"/>
    <mergeCell ref="I4835:K4835"/>
    <mergeCell ref="B4837:C4837"/>
    <mergeCell ref="D4837:N4837"/>
    <mergeCell ref="B4838:N4838"/>
    <mergeCell ref="B4839:C4839"/>
    <mergeCell ref="D4839:N4839"/>
    <mergeCell ref="B4840:C4840"/>
    <mergeCell ref="E4840:H4840"/>
    <mergeCell ref="I4840:K4840"/>
    <mergeCell ref="L4840:N4840"/>
    <mergeCell ref="E4841:H4841"/>
    <mergeCell ref="I4841:K4853"/>
    <mergeCell ref="L4841:N4853"/>
    <mergeCell ref="B4842:H4842"/>
    <mergeCell ref="B4796:C4796"/>
    <mergeCell ref="E4796:H4796"/>
    <mergeCell ref="I4796:K4796"/>
    <mergeCell ref="L4796:N4796"/>
    <mergeCell ref="E4797:H4797"/>
    <mergeCell ref="I4797:K4809"/>
    <mergeCell ref="L4797:N4809"/>
    <mergeCell ref="B4798:H4798"/>
    <mergeCell ref="B4813:D4813"/>
    <mergeCell ref="I4813:K4813"/>
    <mergeCell ref="B4815:C4815"/>
    <mergeCell ref="D4815:N4815"/>
    <mergeCell ref="B4816:N4816"/>
    <mergeCell ref="B4817:C4817"/>
    <mergeCell ref="D4817:N4817"/>
    <mergeCell ref="B4818:C4818"/>
    <mergeCell ref="E4818:H4818"/>
    <mergeCell ref="I4818:K4818"/>
    <mergeCell ref="L4818:N4818"/>
    <mergeCell ref="B4772:N4772"/>
    <mergeCell ref="B4773:C4773"/>
    <mergeCell ref="D4773:N4773"/>
    <mergeCell ref="B4774:C4774"/>
    <mergeCell ref="E4774:H4774"/>
    <mergeCell ref="I4774:K4774"/>
    <mergeCell ref="L4774:N4774"/>
    <mergeCell ref="E4775:H4775"/>
    <mergeCell ref="I4775:K4787"/>
    <mergeCell ref="L4775:N4787"/>
    <mergeCell ref="B4776:H4776"/>
    <mergeCell ref="B4791:D4791"/>
    <mergeCell ref="I4791:K4791"/>
    <mergeCell ref="B4793:C4793"/>
    <mergeCell ref="D4793:N4793"/>
    <mergeCell ref="B4794:N4794"/>
    <mergeCell ref="B4795:C4795"/>
    <mergeCell ref="D4795:N4795"/>
    <mergeCell ref="B4749:C4749"/>
    <mergeCell ref="D4749:N4749"/>
    <mergeCell ref="B4750:N4750"/>
    <mergeCell ref="B4751:C4751"/>
    <mergeCell ref="D4751:N4751"/>
    <mergeCell ref="B4752:C4752"/>
    <mergeCell ref="E4752:H4752"/>
    <mergeCell ref="I4752:K4752"/>
    <mergeCell ref="L4752:N4752"/>
    <mergeCell ref="E4753:H4753"/>
    <mergeCell ref="I4753:K4765"/>
    <mergeCell ref="L4753:N4765"/>
    <mergeCell ref="B4754:H4754"/>
    <mergeCell ref="B4769:D4769"/>
    <mergeCell ref="I4769:K4769"/>
    <mergeCell ref="B4771:C4771"/>
    <mergeCell ref="D4771:N4771"/>
    <mergeCell ref="B4725:D4725"/>
    <mergeCell ref="I4725:K4725"/>
    <mergeCell ref="B4727:C4727"/>
    <mergeCell ref="D4727:N4727"/>
    <mergeCell ref="B4728:N4728"/>
    <mergeCell ref="B4729:C4729"/>
    <mergeCell ref="D4729:N4729"/>
    <mergeCell ref="B4730:C4730"/>
    <mergeCell ref="E4730:H4730"/>
    <mergeCell ref="I4730:K4730"/>
    <mergeCell ref="L4730:N4730"/>
    <mergeCell ref="E4731:H4731"/>
    <mergeCell ref="I4731:K4743"/>
    <mergeCell ref="L4731:N4743"/>
    <mergeCell ref="B4732:H4732"/>
    <mergeCell ref="B4747:D4747"/>
    <mergeCell ref="I4747:K4747"/>
    <mergeCell ref="E4687:H4687"/>
    <mergeCell ref="I4687:K4699"/>
    <mergeCell ref="L4687:N4699"/>
    <mergeCell ref="B4688:H4688"/>
    <mergeCell ref="B4703:D4703"/>
    <mergeCell ref="I4703:K4703"/>
    <mergeCell ref="B4705:C4705"/>
    <mergeCell ref="D4705:N4705"/>
    <mergeCell ref="B4706:N4706"/>
    <mergeCell ref="B4707:C4707"/>
    <mergeCell ref="D4707:N4707"/>
    <mergeCell ref="B4708:C4708"/>
    <mergeCell ref="E4708:H4708"/>
    <mergeCell ref="I4708:K4708"/>
    <mergeCell ref="L4708:N4708"/>
    <mergeCell ref="E4709:H4709"/>
    <mergeCell ref="I4709:K4721"/>
    <mergeCell ref="L4709:N4721"/>
    <mergeCell ref="B4710:H4710"/>
    <mergeCell ref="B4664:C4664"/>
    <mergeCell ref="E4664:H4664"/>
    <mergeCell ref="I4664:K4664"/>
    <mergeCell ref="L4664:N4664"/>
    <mergeCell ref="E4665:H4665"/>
    <mergeCell ref="I4665:K4677"/>
    <mergeCell ref="L4665:N4677"/>
    <mergeCell ref="B4666:H4666"/>
    <mergeCell ref="B4681:D4681"/>
    <mergeCell ref="I4681:K4681"/>
    <mergeCell ref="B4683:C4683"/>
    <mergeCell ref="D4683:N4683"/>
    <mergeCell ref="B4684:N4684"/>
    <mergeCell ref="B4685:C4685"/>
    <mergeCell ref="D4685:N4685"/>
    <mergeCell ref="B4686:C4686"/>
    <mergeCell ref="E4686:H4686"/>
    <mergeCell ref="I4686:K4686"/>
    <mergeCell ref="L4686:N4686"/>
    <mergeCell ref="B4640:N4640"/>
    <mergeCell ref="B4641:C4641"/>
    <mergeCell ref="D4641:N4641"/>
    <mergeCell ref="B4642:C4642"/>
    <mergeCell ref="E4642:H4642"/>
    <mergeCell ref="I4642:K4642"/>
    <mergeCell ref="L4642:N4642"/>
    <mergeCell ref="E4643:H4643"/>
    <mergeCell ref="I4643:K4655"/>
    <mergeCell ref="L4643:N4655"/>
    <mergeCell ref="B4644:H4644"/>
    <mergeCell ref="B4659:D4659"/>
    <mergeCell ref="I4659:K4659"/>
    <mergeCell ref="B4661:C4661"/>
    <mergeCell ref="D4661:N4661"/>
    <mergeCell ref="B4662:N4662"/>
    <mergeCell ref="B4663:C4663"/>
    <mergeCell ref="D4663:N4663"/>
    <mergeCell ref="B4617:C4617"/>
    <mergeCell ref="D4617:N4617"/>
    <mergeCell ref="B4618:N4618"/>
    <mergeCell ref="B4619:C4619"/>
    <mergeCell ref="D4619:N4619"/>
    <mergeCell ref="B4620:C4620"/>
    <mergeCell ref="E4620:H4620"/>
    <mergeCell ref="I4620:K4620"/>
    <mergeCell ref="L4620:N4620"/>
    <mergeCell ref="E4621:H4621"/>
    <mergeCell ref="I4621:K4633"/>
    <mergeCell ref="L4621:N4633"/>
    <mergeCell ref="B4622:H4622"/>
    <mergeCell ref="B4637:D4637"/>
    <mergeCell ref="I4637:K4637"/>
    <mergeCell ref="B4639:C4639"/>
    <mergeCell ref="D4639:N4639"/>
    <mergeCell ref="B4593:D4593"/>
    <mergeCell ref="I4593:K4593"/>
    <mergeCell ref="B4595:C4595"/>
    <mergeCell ref="D4595:N4595"/>
    <mergeCell ref="B4596:N4596"/>
    <mergeCell ref="B4597:C4597"/>
    <mergeCell ref="D4597:N4597"/>
    <mergeCell ref="B4598:C4598"/>
    <mergeCell ref="E4598:H4598"/>
    <mergeCell ref="I4598:K4598"/>
    <mergeCell ref="L4598:N4598"/>
    <mergeCell ref="E4599:H4599"/>
    <mergeCell ref="I4599:K4611"/>
    <mergeCell ref="L4599:N4611"/>
    <mergeCell ref="B4600:H4600"/>
    <mergeCell ref="B4615:D4615"/>
    <mergeCell ref="I4615:K4615"/>
    <mergeCell ref="E4526:H4526"/>
    <mergeCell ref="I4526:K4538"/>
    <mergeCell ref="L4526:N4538"/>
    <mergeCell ref="B4527:H4527"/>
    <mergeCell ref="B4542:D4542"/>
    <mergeCell ref="I4542:K4542"/>
    <mergeCell ref="B4573:C4573"/>
    <mergeCell ref="D4573:N4573"/>
    <mergeCell ref="B4574:N4574"/>
    <mergeCell ref="B4575:C4575"/>
    <mergeCell ref="D4575:N4575"/>
    <mergeCell ref="B4576:C4576"/>
    <mergeCell ref="E4576:H4576"/>
    <mergeCell ref="I4576:K4576"/>
    <mergeCell ref="L4576:N4576"/>
    <mergeCell ref="E4577:H4577"/>
    <mergeCell ref="I4577:K4589"/>
    <mergeCell ref="L4577:N4589"/>
    <mergeCell ref="B4578:H4578"/>
    <mergeCell ref="D4546:N4546"/>
    <mergeCell ref="B4547:C4547"/>
    <mergeCell ref="E4547:H4547"/>
    <mergeCell ref="I4547:K4547"/>
    <mergeCell ref="L4547:N4547"/>
    <mergeCell ref="E4548:H4548"/>
    <mergeCell ref="I4548:K4560"/>
    <mergeCell ref="L4548:N4560"/>
    <mergeCell ref="B4549:H4549"/>
    <mergeCell ref="B4564:D4564"/>
    <mergeCell ref="I4564:K4564"/>
    <mergeCell ref="B4503:C4503"/>
    <mergeCell ref="E4503:H4503"/>
    <mergeCell ref="I4503:K4503"/>
    <mergeCell ref="L4503:N4503"/>
    <mergeCell ref="E4504:H4504"/>
    <mergeCell ref="I4504:K4516"/>
    <mergeCell ref="L4504:N4516"/>
    <mergeCell ref="B4505:H4505"/>
    <mergeCell ref="B4520:D4520"/>
    <mergeCell ref="I4520:K4520"/>
    <mergeCell ref="B4522:C4522"/>
    <mergeCell ref="D4522:N4522"/>
    <mergeCell ref="B4523:N4523"/>
    <mergeCell ref="B4524:C4524"/>
    <mergeCell ref="D4524:N4524"/>
    <mergeCell ref="B4525:C4525"/>
    <mergeCell ref="E4525:H4525"/>
    <mergeCell ref="I4525:K4525"/>
    <mergeCell ref="L4525:N4525"/>
    <mergeCell ref="B4479:N4479"/>
    <mergeCell ref="B4480:C4480"/>
    <mergeCell ref="D4480:N4480"/>
    <mergeCell ref="B4481:C4481"/>
    <mergeCell ref="E4481:H4481"/>
    <mergeCell ref="I4481:K4481"/>
    <mergeCell ref="L4481:N4481"/>
    <mergeCell ref="E4482:H4482"/>
    <mergeCell ref="I4482:K4494"/>
    <mergeCell ref="L4482:N4494"/>
    <mergeCell ref="B4483:H4483"/>
    <mergeCell ref="B4498:D4498"/>
    <mergeCell ref="I4498:K4498"/>
    <mergeCell ref="B4500:C4500"/>
    <mergeCell ref="D4500:N4500"/>
    <mergeCell ref="B4501:N4501"/>
    <mergeCell ref="B4502:C4502"/>
    <mergeCell ref="D4502:N4502"/>
    <mergeCell ref="B4456:C4456"/>
    <mergeCell ref="D4456:N4456"/>
    <mergeCell ref="B4457:N4457"/>
    <mergeCell ref="B4458:C4458"/>
    <mergeCell ref="D4458:N4458"/>
    <mergeCell ref="B4459:C4459"/>
    <mergeCell ref="E4459:H4459"/>
    <mergeCell ref="I4459:K4459"/>
    <mergeCell ref="L4459:N4459"/>
    <mergeCell ref="E4460:H4460"/>
    <mergeCell ref="I4460:K4472"/>
    <mergeCell ref="L4460:N4472"/>
    <mergeCell ref="B4461:H4461"/>
    <mergeCell ref="B4476:D4476"/>
    <mergeCell ref="I4476:K4476"/>
    <mergeCell ref="B4478:C4478"/>
    <mergeCell ref="D4478:N4478"/>
    <mergeCell ref="B4432:D4432"/>
    <mergeCell ref="I4432:K4432"/>
    <mergeCell ref="B4434:C4434"/>
    <mergeCell ref="D4434:N4434"/>
    <mergeCell ref="B4435:N4435"/>
    <mergeCell ref="B4436:C4436"/>
    <mergeCell ref="D4436:N4436"/>
    <mergeCell ref="B4437:C4437"/>
    <mergeCell ref="E4437:H4437"/>
    <mergeCell ref="I4437:K4437"/>
    <mergeCell ref="L4437:N4437"/>
    <mergeCell ref="E4438:H4438"/>
    <mergeCell ref="I4438:K4450"/>
    <mergeCell ref="L4438:N4450"/>
    <mergeCell ref="B4439:H4439"/>
    <mergeCell ref="B4454:D4454"/>
    <mergeCell ref="I4454:K4454"/>
    <mergeCell ref="E4394:H4394"/>
    <mergeCell ref="I4394:K4406"/>
    <mergeCell ref="L4394:N4406"/>
    <mergeCell ref="B4395:H4395"/>
    <mergeCell ref="B4410:D4410"/>
    <mergeCell ref="I4410:K4410"/>
    <mergeCell ref="B4412:C4412"/>
    <mergeCell ref="D4412:N4412"/>
    <mergeCell ref="B4413:N4413"/>
    <mergeCell ref="B4414:C4414"/>
    <mergeCell ref="D4414:N4414"/>
    <mergeCell ref="B4415:C4415"/>
    <mergeCell ref="E4415:H4415"/>
    <mergeCell ref="I4415:K4415"/>
    <mergeCell ref="L4415:N4415"/>
    <mergeCell ref="E4416:H4416"/>
    <mergeCell ref="I4416:K4428"/>
    <mergeCell ref="L4416:N4428"/>
    <mergeCell ref="B4417:H4417"/>
    <mergeCell ref="B4371:C4371"/>
    <mergeCell ref="E4371:H4371"/>
    <mergeCell ref="I4371:K4371"/>
    <mergeCell ref="L4371:N4371"/>
    <mergeCell ref="E4372:H4372"/>
    <mergeCell ref="I4372:K4384"/>
    <mergeCell ref="L4372:N4384"/>
    <mergeCell ref="B4373:H4373"/>
    <mergeCell ref="B4388:D4388"/>
    <mergeCell ref="I4388:K4388"/>
    <mergeCell ref="B4390:C4390"/>
    <mergeCell ref="D4390:N4390"/>
    <mergeCell ref="B4391:N4391"/>
    <mergeCell ref="B4392:C4392"/>
    <mergeCell ref="D4392:N4392"/>
    <mergeCell ref="B4393:C4393"/>
    <mergeCell ref="E4393:H4393"/>
    <mergeCell ref="I4393:K4393"/>
    <mergeCell ref="L4393:N4393"/>
    <mergeCell ref="B4347:N4347"/>
    <mergeCell ref="B4348:C4348"/>
    <mergeCell ref="D4348:N4348"/>
    <mergeCell ref="B4349:C4349"/>
    <mergeCell ref="E4349:H4349"/>
    <mergeCell ref="I4349:K4349"/>
    <mergeCell ref="L4349:N4349"/>
    <mergeCell ref="E4350:H4350"/>
    <mergeCell ref="I4350:K4362"/>
    <mergeCell ref="L4350:N4362"/>
    <mergeCell ref="B4351:H4351"/>
    <mergeCell ref="B4366:D4366"/>
    <mergeCell ref="I4366:K4366"/>
    <mergeCell ref="B4368:C4368"/>
    <mergeCell ref="D4368:N4368"/>
    <mergeCell ref="B4369:N4369"/>
    <mergeCell ref="B4370:C4370"/>
    <mergeCell ref="D4370:N4370"/>
    <mergeCell ref="B4324:C4324"/>
    <mergeCell ref="D4324:N4324"/>
    <mergeCell ref="B4325:N4325"/>
    <mergeCell ref="B4326:C4326"/>
    <mergeCell ref="D4326:N4326"/>
    <mergeCell ref="B4327:C4327"/>
    <mergeCell ref="E4327:H4327"/>
    <mergeCell ref="I4327:K4327"/>
    <mergeCell ref="L4327:N4327"/>
    <mergeCell ref="E4328:H4328"/>
    <mergeCell ref="I4328:K4340"/>
    <mergeCell ref="L4328:N4340"/>
    <mergeCell ref="B4329:H4329"/>
    <mergeCell ref="B4344:D4344"/>
    <mergeCell ref="I4344:K4344"/>
    <mergeCell ref="B4346:C4346"/>
    <mergeCell ref="D4346:N4346"/>
    <mergeCell ref="B4300:D4300"/>
    <mergeCell ref="I4300:K4300"/>
    <mergeCell ref="B4302:C4302"/>
    <mergeCell ref="D4302:N4302"/>
    <mergeCell ref="B4303:N4303"/>
    <mergeCell ref="B4304:C4304"/>
    <mergeCell ref="D4304:N4304"/>
    <mergeCell ref="B4305:C4305"/>
    <mergeCell ref="E4305:H4305"/>
    <mergeCell ref="I4305:K4305"/>
    <mergeCell ref="L4305:N4305"/>
    <mergeCell ref="E4306:H4306"/>
    <mergeCell ref="I4306:K4318"/>
    <mergeCell ref="L4306:N4318"/>
    <mergeCell ref="B4307:H4307"/>
    <mergeCell ref="B4322:D4322"/>
    <mergeCell ref="I4322:K4322"/>
    <mergeCell ref="E4262:H4262"/>
    <mergeCell ref="I4262:K4274"/>
    <mergeCell ref="L4262:N4274"/>
    <mergeCell ref="B4263:H4263"/>
    <mergeCell ref="B4278:D4278"/>
    <mergeCell ref="I4278:K4278"/>
    <mergeCell ref="B4280:C4280"/>
    <mergeCell ref="D4280:N4280"/>
    <mergeCell ref="B4281:N4281"/>
    <mergeCell ref="B4282:C4282"/>
    <mergeCell ref="D4282:N4282"/>
    <mergeCell ref="B4283:C4283"/>
    <mergeCell ref="E4283:H4283"/>
    <mergeCell ref="I4283:K4283"/>
    <mergeCell ref="L4283:N4283"/>
    <mergeCell ref="E4284:H4284"/>
    <mergeCell ref="I4284:K4296"/>
    <mergeCell ref="L4284:N4296"/>
    <mergeCell ref="B4285:H4285"/>
    <mergeCell ref="B4239:C4239"/>
    <mergeCell ref="E4239:H4239"/>
    <mergeCell ref="I4239:K4239"/>
    <mergeCell ref="L4239:N4239"/>
    <mergeCell ref="E4240:H4240"/>
    <mergeCell ref="I4240:K4252"/>
    <mergeCell ref="L4240:N4252"/>
    <mergeCell ref="B4241:H4241"/>
    <mergeCell ref="B4256:D4256"/>
    <mergeCell ref="I4256:K4256"/>
    <mergeCell ref="B4258:C4258"/>
    <mergeCell ref="D4258:N4258"/>
    <mergeCell ref="B4259:N4259"/>
    <mergeCell ref="B4260:C4260"/>
    <mergeCell ref="D4260:N4260"/>
    <mergeCell ref="B4261:C4261"/>
    <mergeCell ref="E4261:H4261"/>
    <mergeCell ref="I4261:K4261"/>
    <mergeCell ref="L4261:N4261"/>
    <mergeCell ref="B4215:N4215"/>
    <mergeCell ref="B4216:C4216"/>
    <mergeCell ref="D4216:N4216"/>
    <mergeCell ref="B4217:C4217"/>
    <mergeCell ref="E4217:H4217"/>
    <mergeCell ref="I4217:K4217"/>
    <mergeCell ref="L4217:N4217"/>
    <mergeCell ref="E4218:H4218"/>
    <mergeCell ref="I4218:K4230"/>
    <mergeCell ref="L4218:N4230"/>
    <mergeCell ref="B4219:H4219"/>
    <mergeCell ref="B4234:D4234"/>
    <mergeCell ref="I4234:K4234"/>
    <mergeCell ref="B4236:C4236"/>
    <mergeCell ref="D4236:N4236"/>
    <mergeCell ref="B4237:N4237"/>
    <mergeCell ref="B4238:C4238"/>
    <mergeCell ref="D4238:N4238"/>
    <mergeCell ref="B4192:C4192"/>
    <mergeCell ref="D4192:N4192"/>
    <mergeCell ref="B4193:N4193"/>
    <mergeCell ref="B4194:C4194"/>
    <mergeCell ref="D4194:N4194"/>
    <mergeCell ref="B4195:C4195"/>
    <mergeCell ref="E4195:H4195"/>
    <mergeCell ref="I4195:K4195"/>
    <mergeCell ref="L4195:N4195"/>
    <mergeCell ref="E4196:H4196"/>
    <mergeCell ref="I4196:K4208"/>
    <mergeCell ref="L4196:N4208"/>
    <mergeCell ref="B4197:H4197"/>
    <mergeCell ref="B4212:D4212"/>
    <mergeCell ref="I4212:K4212"/>
    <mergeCell ref="B4214:C4214"/>
    <mergeCell ref="D4214:N4214"/>
    <mergeCell ref="B4168:D4168"/>
    <mergeCell ref="I4168:K4168"/>
    <mergeCell ref="B4170:C4170"/>
    <mergeCell ref="D4170:N4170"/>
    <mergeCell ref="B4171:N4171"/>
    <mergeCell ref="B4172:C4172"/>
    <mergeCell ref="D4172:N4172"/>
    <mergeCell ref="B4173:C4173"/>
    <mergeCell ref="E4173:H4173"/>
    <mergeCell ref="I4173:K4173"/>
    <mergeCell ref="L4173:N4173"/>
    <mergeCell ref="E4174:H4174"/>
    <mergeCell ref="I4174:K4186"/>
    <mergeCell ref="L4174:N4186"/>
    <mergeCell ref="B4175:H4175"/>
    <mergeCell ref="B4190:D4190"/>
    <mergeCell ref="I4190:K4190"/>
    <mergeCell ref="E4130:H4130"/>
    <mergeCell ref="I4130:K4142"/>
    <mergeCell ref="L4130:N4142"/>
    <mergeCell ref="B4131:H4131"/>
    <mergeCell ref="B4146:D4146"/>
    <mergeCell ref="I4146:K4146"/>
    <mergeCell ref="B4148:C4148"/>
    <mergeCell ref="D4148:N4148"/>
    <mergeCell ref="B4149:N4149"/>
    <mergeCell ref="B4150:C4150"/>
    <mergeCell ref="D4150:N4150"/>
    <mergeCell ref="B4151:C4151"/>
    <mergeCell ref="E4151:H4151"/>
    <mergeCell ref="I4151:K4151"/>
    <mergeCell ref="L4151:N4151"/>
    <mergeCell ref="E4152:H4152"/>
    <mergeCell ref="I4152:K4164"/>
    <mergeCell ref="L4152:N4164"/>
    <mergeCell ref="B4153:H4153"/>
    <mergeCell ref="B4107:C4107"/>
    <mergeCell ref="E4107:H4107"/>
    <mergeCell ref="I4107:K4107"/>
    <mergeCell ref="L4107:N4107"/>
    <mergeCell ref="E4108:H4108"/>
    <mergeCell ref="I4108:K4120"/>
    <mergeCell ref="L4108:N4120"/>
    <mergeCell ref="B4109:H4109"/>
    <mergeCell ref="B4124:D4124"/>
    <mergeCell ref="I4124:K4124"/>
    <mergeCell ref="B4126:C4126"/>
    <mergeCell ref="D4126:N4126"/>
    <mergeCell ref="B4127:N4127"/>
    <mergeCell ref="B4128:C4128"/>
    <mergeCell ref="D4128:N4128"/>
    <mergeCell ref="B4129:C4129"/>
    <mergeCell ref="E4129:H4129"/>
    <mergeCell ref="I4129:K4129"/>
    <mergeCell ref="L4129:N4129"/>
    <mergeCell ref="B4083:N4083"/>
    <mergeCell ref="B4084:C4084"/>
    <mergeCell ref="D4084:N4084"/>
    <mergeCell ref="B4085:C4085"/>
    <mergeCell ref="E4085:H4085"/>
    <mergeCell ref="I4085:K4085"/>
    <mergeCell ref="L4085:N4085"/>
    <mergeCell ref="E4086:H4086"/>
    <mergeCell ref="I4086:K4098"/>
    <mergeCell ref="L4086:N4098"/>
    <mergeCell ref="B4087:H4087"/>
    <mergeCell ref="B4102:D4102"/>
    <mergeCell ref="I4102:K4102"/>
    <mergeCell ref="B4104:C4104"/>
    <mergeCell ref="D4104:N4104"/>
    <mergeCell ref="B4105:N4105"/>
    <mergeCell ref="B4106:C4106"/>
    <mergeCell ref="D4106:N4106"/>
    <mergeCell ref="B4060:C4060"/>
    <mergeCell ref="D4060:N4060"/>
    <mergeCell ref="B4061:N4061"/>
    <mergeCell ref="B4062:C4062"/>
    <mergeCell ref="D4062:N4062"/>
    <mergeCell ref="B4063:C4063"/>
    <mergeCell ref="E4063:H4063"/>
    <mergeCell ref="I4063:K4063"/>
    <mergeCell ref="L4063:N4063"/>
    <mergeCell ref="E4064:H4064"/>
    <mergeCell ref="I4064:K4076"/>
    <mergeCell ref="L4064:N4076"/>
    <mergeCell ref="B4065:H4065"/>
    <mergeCell ref="B4080:D4080"/>
    <mergeCell ref="I4080:K4080"/>
    <mergeCell ref="B4082:C4082"/>
    <mergeCell ref="D4082:N4082"/>
    <mergeCell ref="B4036:D4036"/>
    <mergeCell ref="I4036:K4036"/>
    <mergeCell ref="B4038:C4038"/>
    <mergeCell ref="D4038:N4038"/>
    <mergeCell ref="B4039:N4039"/>
    <mergeCell ref="B4040:C4040"/>
    <mergeCell ref="D4040:N4040"/>
    <mergeCell ref="B4041:C4041"/>
    <mergeCell ref="E4041:H4041"/>
    <mergeCell ref="I4041:K4041"/>
    <mergeCell ref="L4041:N4041"/>
    <mergeCell ref="E4042:H4042"/>
    <mergeCell ref="I4042:K4054"/>
    <mergeCell ref="L4042:N4054"/>
    <mergeCell ref="B4043:H4043"/>
    <mergeCell ref="B4058:D4058"/>
    <mergeCell ref="I4058:K4058"/>
    <mergeCell ref="E3998:H3998"/>
    <mergeCell ref="I3998:K4010"/>
    <mergeCell ref="L3998:N4010"/>
    <mergeCell ref="B3999:H3999"/>
    <mergeCell ref="B4014:D4014"/>
    <mergeCell ref="I4014:K4014"/>
    <mergeCell ref="B4016:C4016"/>
    <mergeCell ref="D4016:N4016"/>
    <mergeCell ref="B4017:N4017"/>
    <mergeCell ref="B4018:C4018"/>
    <mergeCell ref="D4018:N4018"/>
    <mergeCell ref="B4019:C4019"/>
    <mergeCell ref="E4019:H4019"/>
    <mergeCell ref="I4019:K4019"/>
    <mergeCell ref="L4019:N4019"/>
    <mergeCell ref="E4020:H4020"/>
    <mergeCell ref="I4020:K4032"/>
    <mergeCell ref="L4020:N4032"/>
    <mergeCell ref="B4021:H4021"/>
    <mergeCell ref="B3975:C3975"/>
    <mergeCell ref="E3975:H3975"/>
    <mergeCell ref="I3975:K3975"/>
    <mergeCell ref="L3975:N3975"/>
    <mergeCell ref="E3976:H3976"/>
    <mergeCell ref="I3976:K3988"/>
    <mergeCell ref="L3976:N3988"/>
    <mergeCell ref="B3977:H3977"/>
    <mergeCell ref="B3992:D3992"/>
    <mergeCell ref="I3992:K3992"/>
    <mergeCell ref="B3994:C3994"/>
    <mergeCell ref="D3994:N3994"/>
    <mergeCell ref="B3995:N3995"/>
    <mergeCell ref="B3996:C3996"/>
    <mergeCell ref="D3996:N3996"/>
    <mergeCell ref="B3997:C3997"/>
    <mergeCell ref="E3997:H3997"/>
    <mergeCell ref="I3997:K3997"/>
    <mergeCell ref="L3997:N3997"/>
    <mergeCell ref="B3951:N3951"/>
    <mergeCell ref="B3952:C3952"/>
    <mergeCell ref="D3952:N3952"/>
    <mergeCell ref="B3953:C3953"/>
    <mergeCell ref="E3953:H3953"/>
    <mergeCell ref="I3953:K3953"/>
    <mergeCell ref="L3953:N3953"/>
    <mergeCell ref="E3954:H3954"/>
    <mergeCell ref="I3954:K3966"/>
    <mergeCell ref="L3954:N3966"/>
    <mergeCell ref="B3955:H3955"/>
    <mergeCell ref="B3970:D3970"/>
    <mergeCell ref="I3970:K3970"/>
    <mergeCell ref="B3972:C3972"/>
    <mergeCell ref="D3972:N3972"/>
    <mergeCell ref="B3973:N3973"/>
    <mergeCell ref="B3974:C3974"/>
    <mergeCell ref="D3974:N3974"/>
    <mergeCell ref="B3928:C3928"/>
    <mergeCell ref="D3928:N3928"/>
    <mergeCell ref="B3929:N3929"/>
    <mergeCell ref="B3930:C3930"/>
    <mergeCell ref="D3930:N3930"/>
    <mergeCell ref="B3931:C3931"/>
    <mergeCell ref="E3931:H3931"/>
    <mergeCell ref="I3931:K3931"/>
    <mergeCell ref="L3931:N3931"/>
    <mergeCell ref="E3932:H3932"/>
    <mergeCell ref="I3932:K3944"/>
    <mergeCell ref="L3932:N3944"/>
    <mergeCell ref="B3933:H3933"/>
    <mergeCell ref="B3948:D3948"/>
    <mergeCell ref="I3948:K3948"/>
    <mergeCell ref="B3950:C3950"/>
    <mergeCell ref="D3950:N3950"/>
    <mergeCell ref="B3904:D3904"/>
    <mergeCell ref="I3904:K3904"/>
    <mergeCell ref="B3906:C3906"/>
    <mergeCell ref="D3906:N3906"/>
    <mergeCell ref="B3907:N3907"/>
    <mergeCell ref="B3908:C3908"/>
    <mergeCell ref="D3908:N3908"/>
    <mergeCell ref="B3909:C3909"/>
    <mergeCell ref="E3909:H3909"/>
    <mergeCell ref="I3909:K3909"/>
    <mergeCell ref="L3909:N3909"/>
    <mergeCell ref="E3910:H3910"/>
    <mergeCell ref="I3910:K3922"/>
    <mergeCell ref="L3910:N3922"/>
    <mergeCell ref="B3911:H3911"/>
    <mergeCell ref="B3926:D3926"/>
    <mergeCell ref="I3926:K3926"/>
    <mergeCell ref="E3866:H3866"/>
    <mergeCell ref="I3866:K3878"/>
    <mergeCell ref="L3866:N3878"/>
    <mergeCell ref="B3867:H3867"/>
    <mergeCell ref="B3882:D3882"/>
    <mergeCell ref="I3882:K3882"/>
    <mergeCell ref="B3884:C3884"/>
    <mergeCell ref="D3884:N3884"/>
    <mergeCell ref="B3885:N3885"/>
    <mergeCell ref="B3886:C3886"/>
    <mergeCell ref="D3886:N3886"/>
    <mergeCell ref="B3887:C3887"/>
    <mergeCell ref="E3887:H3887"/>
    <mergeCell ref="I3887:K3887"/>
    <mergeCell ref="L3887:N3887"/>
    <mergeCell ref="E3888:H3888"/>
    <mergeCell ref="I3888:K3900"/>
    <mergeCell ref="L3888:N3900"/>
    <mergeCell ref="B3889:H3889"/>
    <mergeCell ref="B3843:C3843"/>
    <mergeCell ref="E3843:H3843"/>
    <mergeCell ref="I3843:K3843"/>
    <mergeCell ref="L3843:N3843"/>
    <mergeCell ref="E3844:H3844"/>
    <mergeCell ref="I3844:K3856"/>
    <mergeCell ref="L3844:N3856"/>
    <mergeCell ref="B3845:H3845"/>
    <mergeCell ref="B3860:D3860"/>
    <mergeCell ref="I3860:K3860"/>
    <mergeCell ref="B3862:C3862"/>
    <mergeCell ref="D3862:N3862"/>
    <mergeCell ref="B3863:N3863"/>
    <mergeCell ref="B3864:C3864"/>
    <mergeCell ref="D3864:N3864"/>
    <mergeCell ref="B3865:C3865"/>
    <mergeCell ref="E3865:H3865"/>
    <mergeCell ref="I3865:K3865"/>
    <mergeCell ref="L3865:N3865"/>
    <mergeCell ref="B3819:N3819"/>
    <mergeCell ref="B3820:C3820"/>
    <mergeCell ref="D3820:N3820"/>
    <mergeCell ref="B3821:C3821"/>
    <mergeCell ref="E3821:H3821"/>
    <mergeCell ref="I3821:K3821"/>
    <mergeCell ref="L3821:N3821"/>
    <mergeCell ref="E3822:H3822"/>
    <mergeCell ref="I3822:K3834"/>
    <mergeCell ref="L3822:N3834"/>
    <mergeCell ref="B3823:H3823"/>
    <mergeCell ref="B3838:D3838"/>
    <mergeCell ref="I3838:K3838"/>
    <mergeCell ref="B3840:C3840"/>
    <mergeCell ref="D3840:N3840"/>
    <mergeCell ref="B3841:N3841"/>
    <mergeCell ref="B3842:C3842"/>
    <mergeCell ref="D3842:N3842"/>
    <mergeCell ref="B3796:C3796"/>
    <mergeCell ref="D3796:N3796"/>
    <mergeCell ref="B3797:N3797"/>
    <mergeCell ref="B3798:C3798"/>
    <mergeCell ref="D3798:N3798"/>
    <mergeCell ref="B3799:C3799"/>
    <mergeCell ref="E3799:H3799"/>
    <mergeCell ref="I3799:K3799"/>
    <mergeCell ref="L3799:N3799"/>
    <mergeCell ref="E3800:H3800"/>
    <mergeCell ref="I3800:K3812"/>
    <mergeCell ref="L3800:N3812"/>
    <mergeCell ref="B3801:H3801"/>
    <mergeCell ref="B3816:D3816"/>
    <mergeCell ref="I3816:K3816"/>
    <mergeCell ref="B3818:C3818"/>
    <mergeCell ref="D3818:N3818"/>
    <mergeCell ref="B3772:D3772"/>
    <mergeCell ref="I3772:K3772"/>
    <mergeCell ref="B3774:C3774"/>
    <mergeCell ref="D3774:N3774"/>
    <mergeCell ref="B3775:N3775"/>
    <mergeCell ref="B3776:C3776"/>
    <mergeCell ref="D3776:N3776"/>
    <mergeCell ref="B3777:C3777"/>
    <mergeCell ref="E3777:H3777"/>
    <mergeCell ref="I3777:K3777"/>
    <mergeCell ref="L3777:N3777"/>
    <mergeCell ref="E3778:H3778"/>
    <mergeCell ref="I3778:K3790"/>
    <mergeCell ref="L3778:N3790"/>
    <mergeCell ref="B3779:H3779"/>
    <mergeCell ref="B3794:D3794"/>
    <mergeCell ref="I3794:K3794"/>
    <mergeCell ref="E3734:H3734"/>
    <mergeCell ref="I3734:K3746"/>
    <mergeCell ref="L3734:N3746"/>
    <mergeCell ref="B3735:H3735"/>
    <mergeCell ref="B3750:D3750"/>
    <mergeCell ref="I3750:K3750"/>
    <mergeCell ref="B3752:C3752"/>
    <mergeCell ref="D3752:N3752"/>
    <mergeCell ref="B3753:N3753"/>
    <mergeCell ref="B3754:C3754"/>
    <mergeCell ref="D3754:N3754"/>
    <mergeCell ref="B3755:C3755"/>
    <mergeCell ref="E3755:H3755"/>
    <mergeCell ref="I3755:K3755"/>
    <mergeCell ref="L3755:N3755"/>
    <mergeCell ref="E3756:H3756"/>
    <mergeCell ref="I3756:K3768"/>
    <mergeCell ref="L3756:N3768"/>
    <mergeCell ref="B3757:H3757"/>
    <mergeCell ref="B3711:C3711"/>
    <mergeCell ref="E3711:H3711"/>
    <mergeCell ref="I3711:K3711"/>
    <mergeCell ref="L3711:N3711"/>
    <mergeCell ref="E3712:H3712"/>
    <mergeCell ref="I3712:K3724"/>
    <mergeCell ref="L3712:N3724"/>
    <mergeCell ref="B3713:H3713"/>
    <mergeCell ref="B3728:D3728"/>
    <mergeCell ref="I3728:K3728"/>
    <mergeCell ref="B3730:C3730"/>
    <mergeCell ref="D3730:N3730"/>
    <mergeCell ref="B3731:N3731"/>
    <mergeCell ref="B3732:C3732"/>
    <mergeCell ref="D3732:N3732"/>
    <mergeCell ref="B3733:C3733"/>
    <mergeCell ref="E3733:H3733"/>
    <mergeCell ref="I3733:K3733"/>
    <mergeCell ref="L3733:N3733"/>
    <mergeCell ref="B3687:N3687"/>
    <mergeCell ref="B3688:C3688"/>
    <mergeCell ref="D3688:N3688"/>
    <mergeCell ref="B3689:C3689"/>
    <mergeCell ref="E3689:H3689"/>
    <mergeCell ref="I3689:K3689"/>
    <mergeCell ref="L3689:N3689"/>
    <mergeCell ref="E3690:H3690"/>
    <mergeCell ref="I3690:K3702"/>
    <mergeCell ref="L3690:N3702"/>
    <mergeCell ref="B3691:H3691"/>
    <mergeCell ref="B3706:D3706"/>
    <mergeCell ref="I3706:K3706"/>
    <mergeCell ref="B3708:C3708"/>
    <mergeCell ref="D3708:N3708"/>
    <mergeCell ref="B3709:N3709"/>
    <mergeCell ref="B3710:C3710"/>
    <mergeCell ref="D3710:N3710"/>
    <mergeCell ref="B3664:C3664"/>
    <mergeCell ref="D3664:N3664"/>
    <mergeCell ref="B3665:N3665"/>
    <mergeCell ref="B3666:C3666"/>
    <mergeCell ref="D3666:N3666"/>
    <mergeCell ref="B3667:C3667"/>
    <mergeCell ref="E3667:H3667"/>
    <mergeCell ref="I3667:K3667"/>
    <mergeCell ref="L3667:N3667"/>
    <mergeCell ref="E3668:H3668"/>
    <mergeCell ref="I3668:K3680"/>
    <mergeCell ref="L3668:N3680"/>
    <mergeCell ref="B3669:H3669"/>
    <mergeCell ref="B3684:D3684"/>
    <mergeCell ref="I3684:K3684"/>
    <mergeCell ref="B3686:C3686"/>
    <mergeCell ref="D3686:N3686"/>
    <mergeCell ref="B3640:D3640"/>
    <mergeCell ref="I3640:K3640"/>
    <mergeCell ref="B3642:C3642"/>
    <mergeCell ref="D3642:N3642"/>
    <mergeCell ref="B3643:N3643"/>
    <mergeCell ref="B3644:C3644"/>
    <mergeCell ref="D3644:N3644"/>
    <mergeCell ref="B3645:C3645"/>
    <mergeCell ref="E3645:H3645"/>
    <mergeCell ref="I3645:K3645"/>
    <mergeCell ref="L3645:N3645"/>
    <mergeCell ref="E3646:H3646"/>
    <mergeCell ref="I3646:K3658"/>
    <mergeCell ref="L3646:N3658"/>
    <mergeCell ref="B3647:H3647"/>
    <mergeCell ref="B3662:D3662"/>
    <mergeCell ref="I3662:K3662"/>
    <mergeCell ref="E3602:H3602"/>
    <mergeCell ref="I3602:K3614"/>
    <mergeCell ref="L3602:N3614"/>
    <mergeCell ref="B3603:H3603"/>
    <mergeCell ref="B3618:D3618"/>
    <mergeCell ref="I3618:K3618"/>
    <mergeCell ref="B3620:C3620"/>
    <mergeCell ref="D3620:N3620"/>
    <mergeCell ref="B3621:N3621"/>
    <mergeCell ref="B3622:C3622"/>
    <mergeCell ref="D3622:N3622"/>
    <mergeCell ref="B3623:C3623"/>
    <mergeCell ref="E3623:H3623"/>
    <mergeCell ref="I3623:K3623"/>
    <mergeCell ref="L3623:N3623"/>
    <mergeCell ref="E3624:H3624"/>
    <mergeCell ref="I3624:K3636"/>
    <mergeCell ref="L3624:N3636"/>
    <mergeCell ref="B3625:H3625"/>
    <mergeCell ref="B3579:C3579"/>
    <mergeCell ref="E3579:H3579"/>
    <mergeCell ref="I3579:K3579"/>
    <mergeCell ref="L3579:N3579"/>
    <mergeCell ref="E3580:H3580"/>
    <mergeCell ref="I3580:K3592"/>
    <mergeCell ref="L3580:N3592"/>
    <mergeCell ref="B3581:H3581"/>
    <mergeCell ref="B3596:D3596"/>
    <mergeCell ref="I3596:K3596"/>
    <mergeCell ref="B3598:C3598"/>
    <mergeCell ref="D3598:N3598"/>
    <mergeCell ref="B3599:N3599"/>
    <mergeCell ref="B3600:C3600"/>
    <mergeCell ref="D3600:N3600"/>
    <mergeCell ref="B3601:C3601"/>
    <mergeCell ref="E3601:H3601"/>
    <mergeCell ref="I3601:K3601"/>
    <mergeCell ref="L3601:N3601"/>
    <mergeCell ref="B3555:N3555"/>
    <mergeCell ref="B3556:C3556"/>
    <mergeCell ref="D3556:N3556"/>
    <mergeCell ref="B3557:C3557"/>
    <mergeCell ref="E3557:H3557"/>
    <mergeCell ref="I3557:K3557"/>
    <mergeCell ref="L3557:N3557"/>
    <mergeCell ref="E3558:H3558"/>
    <mergeCell ref="I3558:K3570"/>
    <mergeCell ref="L3558:N3570"/>
    <mergeCell ref="B3559:H3559"/>
    <mergeCell ref="B3574:D3574"/>
    <mergeCell ref="I3574:K3574"/>
    <mergeCell ref="B3576:C3576"/>
    <mergeCell ref="D3576:N3576"/>
    <mergeCell ref="B3577:N3577"/>
    <mergeCell ref="B3578:C3578"/>
    <mergeCell ref="D3578:N3578"/>
    <mergeCell ref="B3532:C3532"/>
    <mergeCell ref="D3532:N3532"/>
    <mergeCell ref="B3533:N3533"/>
    <mergeCell ref="B3534:C3534"/>
    <mergeCell ref="D3534:N3534"/>
    <mergeCell ref="B3535:C3535"/>
    <mergeCell ref="E3535:H3535"/>
    <mergeCell ref="I3535:K3535"/>
    <mergeCell ref="L3535:N3535"/>
    <mergeCell ref="E3536:H3536"/>
    <mergeCell ref="I3536:K3548"/>
    <mergeCell ref="L3536:N3548"/>
    <mergeCell ref="B3537:H3537"/>
    <mergeCell ref="B3552:D3552"/>
    <mergeCell ref="I3552:K3552"/>
    <mergeCell ref="B3554:C3554"/>
    <mergeCell ref="D3554:N3554"/>
    <mergeCell ref="B3508:D3508"/>
    <mergeCell ref="I3508:K3508"/>
    <mergeCell ref="B3510:C3510"/>
    <mergeCell ref="D3510:N3510"/>
    <mergeCell ref="B3511:N3511"/>
    <mergeCell ref="B3512:C3512"/>
    <mergeCell ref="D3512:N3512"/>
    <mergeCell ref="B3513:C3513"/>
    <mergeCell ref="E3513:H3513"/>
    <mergeCell ref="I3513:K3513"/>
    <mergeCell ref="L3513:N3513"/>
    <mergeCell ref="E3514:H3514"/>
    <mergeCell ref="I3514:K3526"/>
    <mergeCell ref="L3514:N3526"/>
    <mergeCell ref="B3515:H3515"/>
    <mergeCell ref="B3530:D3530"/>
    <mergeCell ref="I3530:K3530"/>
    <mergeCell ref="B3445:N3445"/>
    <mergeCell ref="B3446:C3446"/>
    <mergeCell ref="D3446:N3446"/>
    <mergeCell ref="B3447:C3447"/>
    <mergeCell ref="E3447:H3447"/>
    <mergeCell ref="I3447:K3447"/>
    <mergeCell ref="B3488:C3488"/>
    <mergeCell ref="D3488:N3488"/>
    <mergeCell ref="B3489:N3489"/>
    <mergeCell ref="B3490:C3490"/>
    <mergeCell ref="D3490:N3490"/>
    <mergeCell ref="B3491:C3491"/>
    <mergeCell ref="E3491:H3491"/>
    <mergeCell ref="I3491:K3491"/>
    <mergeCell ref="L3491:N3491"/>
    <mergeCell ref="E3492:H3492"/>
    <mergeCell ref="I3492:K3504"/>
    <mergeCell ref="L3492:N3504"/>
    <mergeCell ref="B3493:H3493"/>
    <mergeCell ref="C3473:C3475"/>
    <mergeCell ref="B3464:D3464"/>
    <mergeCell ref="I3464:K3464"/>
    <mergeCell ref="B3466:C3466"/>
    <mergeCell ref="D3466:N3466"/>
    <mergeCell ref="B3467:N3467"/>
    <mergeCell ref="B3468:C3468"/>
    <mergeCell ref="D3468:N3468"/>
    <mergeCell ref="B3469:C3469"/>
    <mergeCell ref="E3469:H3469"/>
    <mergeCell ref="I3469:K3469"/>
    <mergeCell ref="L3469:N3469"/>
    <mergeCell ref="E3470:H3470"/>
    <mergeCell ref="I3470:K3482"/>
    <mergeCell ref="L3470:N3482"/>
    <mergeCell ref="B3471:H3471"/>
    <mergeCell ref="B3486:D3486"/>
    <mergeCell ref="I3486:K3486"/>
    <mergeCell ref="L3447:N3447"/>
    <mergeCell ref="E3448:H3448"/>
    <mergeCell ref="I3448:K3460"/>
    <mergeCell ref="L3448:N3460"/>
    <mergeCell ref="B3449:H3449"/>
    <mergeCell ref="B3403:C3403"/>
    <mergeCell ref="E3403:H3403"/>
    <mergeCell ref="I3403:K3403"/>
    <mergeCell ref="L3403:N3403"/>
    <mergeCell ref="E3404:H3404"/>
    <mergeCell ref="I3404:K3416"/>
    <mergeCell ref="L3404:N3416"/>
    <mergeCell ref="B3405:H3405"/>
    <mergeCell ref="B3420:D3420"/>
    <mergeCell ref="I3420:K3420"/>
    <mergeCell ref="B3422:C3422"/>
    <mergeCell ref="D3422:N3422"/>
    <mergeCell ref="B3423:N3423"/>
    <mergeCell ref="B3424:C3424"/>
    <mergeCell ref="D3424:N3424"/>
    <mergeCell ref="B3425:C3425"/>
    <mergeCell ref="E3425:H3425"/>
    <mergeCell ref="I3425:K3425"/>
    <mergeCell ref="L3425:N3425"/>
    <mergeCell ref="E3426:H3426"/>
    <mergeCell ref="I3426:K3438"/>
    <mergeCell ref="L3426:N3438"/>
    <mergeCell ref="B3427:H3427"/>
    <mergeCell ref="B3442:D3442"/>
    <mergeCell ref="I3442:K3442"/>
    <mergeCell ref="B3444:C3444"/>
    <mergeCell ref="D3444:N3444"/>
    <mergeCell ref="B3379:N3379"/>
    <mergeCell ref="B3380:C3380"/>
    <mergeCell ref="D3380:N3380"/>
    <mergeCell ref="B3381:C3381"/>
    <mergeCell ref="E3381:H3381"/>
    <mergeCell ref="I3381:K3381"/>
    <mergeCell ref="L3381:N3381"/>
    <mergeCell ref="E3382:H3382"/>
    <mergeCell ref="I3382:K3394"/>
    <mergeCell ref="L3382:N3394"/>
    <mergeCell ref="B3383:H3383"/>
    <mergeCell ref="B3398:D3398"/>
    <mergeCell ref="I3398:K3398"/>
    <mergeCell ref="B3400:C3400"/>
    <mergeCell ref="D3400:N3400"/>
    <mergeCell ref="B3401:N3401"/>
    <mergeCell ref="B3402:C3402"/>
    <mergeCell ref="D3402:N3402"/>
    <mergeCell ref="B3356:C3356"/>
    <mergeCell ref="D3356:N3356"/>
    <mergeCell ref="B3357:N3357"/>
    <mergeCell ref="B3358:C3358"/>
    <mergeCell ref="D3358:N3358"/>
    <mergeCell ref="B3359:C3359"/>
    <mergeCell ref="E3359:H3359"/>
    <mergeCell ref="I3359:K3359"/>
    <mergeCell ref="L3359:N3359"/>
    <mergeCell ref="E3360:H3360"/>
    <mergeCell ref="I3360:K3372"/>
    <mergeCell ref="L3360:N3372"/>
    <mergeCell ref="B3361:H3361"/>
    <mergeCell ref="B3376:D3376"/>
    <mergeCell ref="I3376:K3376"/>
    <mergeCell ref="B3378:C3378"/>
    <mergeCell ref="D3378:N3378"/>
    <mergeCell ref="B3332:D3332"/>
    <mergeCell ref="I3332:K3332"/>
    <mergeCell ref="B3334:C3334"/>
    <mergeCell ref="D3334:N3334"/>
    <mergeCell ref="B3335:N3335"/>
    <mergeCell ref="B3336:C3336"/>
    <mergeCell ref="D3336:N3336"/>
    <mergeCell ref="B3337:C3337"/>
    <mergeCell ref="E3337:H3337"/>
    <mergeCell ref="I3337:K3337"/>
    <mergeCell ref="L3337:N3337"/>
    <mergeCell ref="E3338:H3338"/>
    <mergeCell ref="I3338:K3350"/>
    <mergeCell ref="L3338:N3350"/>
    <mergeCell ref="B3339:H3339"/>
    <mergeCell ref="B3354:D3354"/>
    <mergeCell ref="I3354:K3354"/>
    <mergeCell ref="E3294:H3294"/>
    <mergeCell ref="I3294:K3306"/>
    <mergeCell ref="L3294:N3306"/>
    <mergeCell ref="B3295:H3295"/>
    <mergeCell ref="B3310:D3310"/>
    <mergeCell ref="I3310:K3310"/>
    <mergeCell ref="B3312:C3312"/>
    <mergeCell ref="D3312:N3312"/>
    <mergeCell ref="B3313:N3313"/>
    <mergeCell ref="B3314:C3314"/>
    <mergeCell ref="D3314:N3314"/>
    <mergeCell ref="B3315:C3315"/>
    <mergeCell ref="E3315:H3315"/>
    <mergeCell ref="I3315:K3315"/>
    <mergeCell ref="L3315:N3315"/>
    <mergeCell ref="E3316:H3316"/>
    <mergeCell ref="I3316:K3328"/>
    <mergeCell ref="L3316:N3328"/>
    <mergeCell ref="B3317:H3317"/>
    <mergeCell ref="B3271:C3271"/>
    <mergeCell ref="E3271:H3271"/>
    <mergeCell ref="I3271:K3271"/>
    <mergeCell ref="L3271:N3271"/>
    <mergeCell ref="E3272:H3272"/>
    <mergeCell ref="I3272:K3284"/>
    <mergeCell ref="L3272:N3284"/>
    <mergeCell ref="B3273:H3273"/>
    <mergeCell ref="B3288:D3288"/>
    <mergeCell ref="I3288:K3288"/>
    <mergeCell ref="B3290:C3290"/>
    <mergeCell ref="D3290:N3290"/>
    <mergeCell ref="B3291:N3291"/>
    <mergeCell ref="B3292:C3292"/>
    <mergeCell ref="D3292:N3292"/>
    <mergeCell ref="B3293:C3293"/>
    <mergeCell ref="E3293:H3293"/>
    <mergeCell ref="I3293:K3293"/>
    <mergeCell ref="L3293:N3293"/>
    <mergeCell ref="B3247:N3247"/>
    <mergeCell ref="B3248:C3248"/>
    <mergeCell ref="D3248:N3248"/>
    <mergeCell ref="B3249:C3249"/>
    <mergeCell ref="E3249:H3249"/>
    <mergeCell ref="I3249:K3249"/>
    <mergeCell ref="L3249:N3249"/>
    <mergeCell ref="E3250:H3250"/>
    <mergeCell ref="I3250:K3262"/>
    <mergeCell ref="L3250:N3262"/>
    <mergeCell ref="B3251:H3251"/>
    <mergeCell ref="B3266:D3266"/>
    <mergeCell ref="I3266:K3266"/>
    <mergeCell ref="B3268:C3268"/>
    <mergeCell ref="D3268:N3268"/>
    <mergeCell ref="B3269:N3269"/>
    <mergeCell ref="B3270:C3270"/>
    <mergeCell ref="D3270:N3270"/>
    <mergeCell ref="B3223:C3223"/>
    <mergeCell ref="D3223:N3223"/>
    <mergeCell ref="B3224:N3224"/>
    <mergeCell ref="B3225:C3225"/>
    <mergeCell ref="D3225:N3225"/>
    <mergeCell ref="B3226:C3226"/>
    <mergeCell ref="E3226:H3226"/>
    <mergeCell ref="I3226:K3226"/>
    <mergeCell ref="L3226:N3226"/>
    <mergeCell ref="E3227:H3227"/>
    <mergeCell ref="I3227:K3239"/>
    <mergeCell ref="L3227:N3239"/>
    <mergeCell ref="B3228:H3228"/>
    <mergeCell ref="B3243:D3243"/>
    <mergeCell ref="I3243:K3243"/>
    <mergeCell ref="B3246:C3246"/>
    <mergeCell ref="D3246:N3246"/>
    <mergeCell ref="C3230:C3231"/>
    <mergeCell ref="B3204:C3204"/>
    <mergeCell ref="E3204:H3204"/>
    <mergeCell ref="I3204:K3204"/>
    <mergeCell ref="L3204:N3204"/>
    <mergeCell ref="E3205:H3205"/>
    <mergeCell ref="I3205:K3217"/>
    <mergeCell ref="L3205:N3217"/>
    <mergeCell ref="B3206:H3206"/>
    <mergeCell ref="B3221:D3221"/>
    <mergeCell ref="I3221:K3221"/>
    <mergeCell ref="B3134:C3134"/>
    <mergeCell ref="D3134:N3134"/>
    <mergeCell ref="B3135:N3135"/>
    <mergeCell ref="B3136:C3136"/>
    <mergeCell ref="D3136:N3136"/>
    <mergeCell ref="B3137:C3137"/>
    <mergeCell ref="E3137:H3137"/>
    <mergeCell ref="I3137:K3137"/>
    <mergeCell ref="L3137:N3137"/>
    <mergeCell ref="E3138:H3138"/>
    <mergeCell ref="I3138:K3150"/>
    <mergeCell ref="L3138:N3150"/>
    <mergeCell ref="B3139:H3139"/>
    <mergeCell ref="B3154:D3154"/>
    <mergeCell ref="I3154:K3154"/>
    <mergeCell ref="I3176:K3176"/>
    <mergeCell ref="E3116:H3116"/>
    <mergeCell ref="I3116:K3128"/>
    <mergeCell ref="L3116:N3128"/>
    <mergeCell ref="B3117:H3117"/>
    <mergeCell ref="B3132:D3132"/>
    <mergeCell ref="I3132:K3132"/>
    <mergeCell ref="B3201:C3201"/>
    <mergeCell ref="D3201:N3201"/>
    <mergeCell ref="B3202:N3202"/>
    <mergeCell ref="B3203:C3203"/>
    <mergeCell ref="D3203:N3203"/>
    <mergeCell ref="B3156:C3156"/>
    <mergeCell ref="D3156:N3156"/>
    <mergeCell ref="B3157:N3157"/>
    <mergeCell ref="B3158:C3158"/>
    <mergeCell ref="D3158:N3158"/>
    <mergeCell ref="B3159:C3159"/>
    <mergeCell ref="E3159:H3159"/>
    <mergeCell ref="I3159:K3159"/>
    <mergeCell ref="L3159:N3159"/>
    <mergeCell ref="E3160:H3160"/>
    <mergeCell ref="I3160:K3172"/>
    <mergeCell ref="L3160:N3172"/>
    <mergeCell ref="B3161:H3161"/>
    <mergeCell ref="B3176:D3176"/>
    <mergeCell ref="B3093:C3093"/>
    <mergeCell ref="E3093:H3093"/>
    <mergeCell ref="I3093:K3093"/>
    <mergeCell ref="L3093:N3093"/>
    <mergeCell ref="E3094:H3094"/>
    <mergeCell ref="I3094:K3106"/>
    <mergeCell ref="L3094:N3106"/>
    <mergeCell ref="B3095:H3095"/>
    <mergeCell ref="B3110:D3110"/>
    <mergeCell ref="I3110:K3110"/>
    <mergeCell ref="B3112:C3112"/>
    <mergeCell ref="D3112:N3112"/>
    <mergeCell ref="B3113:N3113"/>
    <mergeCell ref="B3114:C3114"/>
    <mergeCell ref="D3114:N3114"/>
    <mergeCell ref="B3115:C3115"/>
    <mergeCell ref="E3115:H3115"/>
    <mergeCell ref="I3115:K3115"/>
    <mergeCell ref="L3115:N3115"/>
    <mergeCell ref="B3069:N3069"/>
    <mergeCell ref="B3070:C3070"/>
    <mergeCell ref="D3070:N3070"/>
    <mergeCell ref="B3071:C3071"/>
    <mergeCell ref="E3071:H3071"/>
    <mergeCell ref="I3071:K3071"/>
    <mergeCell ref="L3071:N3071"/>
    <mergeCell ref="E3072:H3072"/>
    <mergeCell ref="I3072:K3084"/>
    <mergeCell ref="L3072:N3084"/>
    <mergeCell ref="B3073:H3073"/>
    <mergeCell ref="B3088:D3088"/>
    <mergeCell ref="I3088:K3088"/>
    <mergeCell ref="B3090:C3090"/>
    <mergeCell ref="D3090:N3090"/>
    <mergeCell ref="B3091:N3091"/>
    <mergeCell ref="B3092:C3092"/>
    <mergeCell ref="D3092:N3092"/>
    <mergeCell ref="B3046:C3046"/>
    <mergeCell ref="D3046:N3046"/>
    <mergeCell ref="B3047:N3047"/>
    <mergeCell ref="B3048:C3048"/>
    <mergeCell ref="D3048:N3048"/>
    <mergeCell ref="B3049:C3049"/>
    <mergeCell ref="E3049:H3049"/>
    <mergeCell ref="I3049:K3049"/>
    <mergeCell ref="L3049:N3049"/>
    <mergeCell ref="E3050:H3050"/>
    <mergeCell ref="I3050:K3062"/>
    <mergeCell ref="L3050:N3062"/>
    <mergeCell ref="B3051:H3051"/>
    <mergeCell ref="B3066:D3066"/>
    <mergeCell ref="I3066:K3066"/>
    <mergeCell ref="B3068:C3068"/>
    <mergeCell ref="D3068:N3068"/>
    <mergeCell ref="B3022:D3022"/>
    <mergeCell ref="I3022:K3022"/>
    <mergeCell ref="B3024:C3024"/>
    <mergeCell ref="D3024:N3024"/>
    <mergeCell ref="B3025:N3025"/>
    <mergeCell ref="B3026:C3026"/>
    <mergeCell ref="D3026:N3026"/>
    <mergeCell ref="B3027:C3027"/>
    <mergeCell ref="E3027:H3027"/>
    <mergeCell ref="I3027:K3027"/>
    <mergeCell ref="L3027:N3027"/>
    <mergeCell ref="E3028:H3028"/>
    <mergeCell ref="I3028:K3040"/>
    <mergeCell ref="L3028:N3040"/>
    <mergeCell ref="B3029:H3029"/>
    <mergeCell ref="B3044:D3044"/>
    <mergeCell ref="I3044:K3044"/>
    <mergeCell ref="E2986:H2986"/>
    <mergeCell ref="I2986:K2998"/>
    <mergeCell ref="L2986:N2998"/>
    <mergeCell ref="B2987:H2987"/>
    <mergeCell ref="B3002:D3002"/>
    <mergeCell ref="I3002:K3002"/>
    <mergeCell ref="B3004:C3004"/>
    <mergeCell ref="D3004:N3004"/>
    <mergeCell ref="B3005:N3005"/>
    <mergeCell ref="B3006:C3006"/>
    <mergeCell ref="D3006:N3006"/>
    <mergeCell ref="B3007:C3007"/>
    <mergeCell ref="E3007:H3007"/>
    <mergeCell ref="I3007:K3007"/>
    <mergeCell ref="L3007:N3007"/>
    <mergeCell ref="E3008:H3008"/>
    <mergeCell ref="I3008:K3018"/>
    <mergeCell ref="L3008:N3018"/>
    <mergeCell ref="B3009:H3009"/>
    <mergeCell ref="B2963:C2963"/>
    <mergeCell ref="E2963:H2963"/>
    <mergeCell ref="I2963:K2963"/>
    <mergeCell ref="L2963:N2963"/>
    <mergeCell ref="E2964:H2964"/>
    <mergeCell ref="I2964:K2976"/>
    <mergeCell ref="L2964:N2976"/>
    <mergeCell ref="B2965:H2965"/>
    <mergeCell ref="B2980:D2980"/>
    <mergeCell ref="I2980:K2980"/>
    <mergeCell ref="B2982:C2982"/>
    <mergeCell ref="D2982:N2982"/>
    <mergeCell ref="B2983:N2983"/>
    <mergeCell ref="B2984:C2984"/>
    <mergeCell ref="D2984:N2984"/>
    <mergeCell ref="B2985:C2985"/>
    <mergeCell ref="E2985:H2985"/>
    <mergeCell ref="I2985:K2985"/>
    <mergeCell ref="L2985:N2985"/>
    <mergeCell ref="B5:C5"/>
    <mergeCell ref="D5:N5"/>
    <mergeCell ref="B6:N6"/>
    <mergeCell ref="B7:C7"/>
    <mergeCell ref="D7:N7"/>
    <mergeCell ref="B47:B62"/>
    <mergeCell ref="B43:C43"/>
    <mergeCell ref="E43:H43"/>
    <mergeCell ref="I43:K43"/>
    <mergeCell ref="L43:N43"/>
    <mergeCell ref="E44:H44"/>
    <mergeCell ref="I44:K62"/>
    <mergeCell ref="L44:N62"/>
    <mergeCell ref="B45:H45"/>
    <mergeCell ref="B36:D36"/>
    <mergeCell ref="I36:K36"/>
    <mergeCell ref="B40:C40"/>
    <mergeCell ref="D40:N40"/>
    <mergeCell ref="B41:N41"/>
    <mergeCell ref="B42:C42"/>
    <mergeCell ref="D42:N42"/>
    <mergeCell ref="B8:C8"/>
    <mergeCell ref="E8:H8"/>
    <mergeCell ref="I8:K8"/>
    <mergeCell ref="L8:N8"/>
    <mergeCell ref="E9:H9"/>
    <mergeCell ref="I9:K31"/>
    <mergeCell ref="L9:N31"/>
    <mergeCell ref="B10:H10"/>
    <mergeCell ref="C18:C20"/>
    <mergeCell ref="C23:C25"/>
    <mergeCell ref="C21:C22"/>
    <mergeCell ref="B98:D98"/>
    <mergeCell ref="I98:K98"/>
    <mergeCell ref="B101:C101"/>
    <mergeCell ref="D101:N101"/>
    <mergeCell ref="B102:N102"/>
    <mergeCell ref="B103:C103"/>
    <mergeCell ref="D103:N103"/>
    <mergeCell ref="B73:C73"/>
    <mergeCell ref="E73:H73"/>
    <mergeCell ref="I73:K73"/>
    <mergeCell ref="L73:N73"/>
    <mergeCell ref="E74:H74"/>
    <mergeCell ref="I74:K94"/>
    <mergeCell ref="L74:N94"/>
    <mergeCell ref="B75:H75"/>
    <mergeCell ref="B67:D67"/>
    <mergeCell ref="I67:K67"/>
    <mergeCell ref="B70:C70"/>
    <mergeCell ref="D70:N70"/>
    <mergeCell ref="B71:N71"/>
    <mergeCell ref="B72:C72"/>
    <mergeCell ref="D72:N72"/>
    <mergeCell ref="C77:C79"/>
    <mergeCell ref="C80:C82"/>
    <mergeCell ref="C83:C85"/>
    <mergeCell ref="C86:C87"/>
    <mergeCell ref="C91:C92"/>
    <mergeCell ref="B77:B92"/>
    <mergeCell ref="B134:C134"/>
    <mergeCell ref="E134:H134"/>
    <mergeCell ref="I134:K134"/>
    <mergeCell ref="L134:N134"/>
    <mergeCell ref="E135:H135"/>
    <mergeCell ref="I135:K147"/>
    <mergeCell ref="L135:N147"/>
    <mergeCell ref="B136:H136"/>
    <mergeCell ref="B138:B147"/>
    <mergeCell ref="B128:D128"/>
    <mergeCell ref="I128:K128"/>
    <mergeCell ref="B131:C131"/>
    <mergeCell ref="D131:N131"/>
    <mergeCell ref="B132:N132"/>
    <mergeCell ref="B133:C133"/>
    <mergeCell ref="D133:N133"/>
    <mergeCell ref="B104:C104"/>
    <mergeCell ref="E104:H104"/>
    <mergeCell ref="I104:K104"/>
    <mergeCell ref="L104:N104"/>
    <mergeCell ref="E105:H105"/>
    <mergeCell ref="I105:K123"/>
    <mergeCell ref="L105:N123"/>
    <mergeCell ref="B106:H106"/>
    <mergeCell ref="B187:N187"/>
    <mergeCell ref="B188:C188"/>
    <mergeCell ref="D188:N188"/>
    <mergeCell ref="B189:C189"/>
    <mergeCell ref="E189:H189"/>
    <mergeCell ref="I189:K189"/>
    <mergeCell ref="L189:N189"/>
    <mergeCell ref="B152:D152"/>
    <mergeCell ref="I152:K152"/>
    <mergeCell ref="B186:C186"/>
    <mergeCell ref="D186:N186"/>
    <mergeCell ref="L158:N158"/>
    <mergeCell ref="E159:H159"/>
    <mergeCell ref="I159:K178"/>
    <mergeCell ref="L159:N178"/>
    <mergeCell ref="B160:H160"/>
    <mergeCell ref="B162:B178"/>
    <mergeCell ref="B183:D183"/>
    <mergeCell ref="I183:K183"/>
    <mergeCell ref="C162:C164"/>
    <mergeCell ref="C165:C167"/>
    <mergeCell ref="C168:C170"/>
    <mergeCell ref="C171:C172"/>
    <mergeCell ref="C173:C175"/>
    <mergeCell ref="B158:C158"/>
    <mergeCell ref="E158:H158"/>
    <mergeCell ref="I158:K158"/>
    <mergeCell ref="B157:C157"/>
    <mergeCell ref="D157:N157"/>
    <mergeCell ref="B220:C220"/>
    <mergeCell ref="E220:H220"/>
    <mergeCell ref="I220:K220"/>
    <mergeCell ref="L220:N220"/>
    <mergeCell ref="E221:H221"/>
    <mergeCell ref="I221:K235"/>
    <mergeCell ref="L221:N235"/>
    <mergeCell ref="B222:H222"/>
    <mergeCell ref="B224:B235"/>
    <mergeCell ref="B214:D214"/>
    <mergeCell ref="I214:K214"/>
    <mergeCell ref="B217:C217"/>
    <mergeCell ref="D217:N217"/>
    <mergeCell ref="B218:N218"/>
    <mergeCell ref="B219:C219"/>
    <mergeCell ref="D219:N219"/>
    <mergeCell ref="E190:H190"/>
    <mergeCell ref="I190:K209"/>
    <mergeCell ref="L190:N209"/>
    <mergeCell ref="B191:H191"/>
    <mergeCell ref="B247:C247"/>
    <mergeCell ref="E247:H247"/>
    <mergeCell ref="I247:K268"/>
    <mergeCell ref="L247:N268"/>
    <mergeCell ref="B248:H248"/>
    <mergeCell ref="C250:C252"/>
    <mergeCell ref="C253:C256"/>
    <mergeCell ref="C257:C260"/>
    <mergeCell ref="C261:C264"/>
    <mergeCell ref="B245:C245"/>
    <mergeCell ref="D245:N245"/>
    <mergeCell ref="B246:C246"/>
    <mergeCell ref="E246:H246"/>
    <mergeCell ref="I246:K246"/>
    <mergeCell ref="L246:N246"/>
    <mergeCell ref="B240:D240"/>
    <mergeCell ref="I240:K240"/>
    <mergeCell ref="B243:C243"/>
    <mergeCell ref="D243:N243"/>
    <mergeCell ref="B244:N244"/>
    <mergeCell ref="B310:D310"/>
    <mergeCell ref="I310:K310"/>
    <mergeCell ref="B313:C313"/>
    <mergeCell ref="D313:N313"/>
    <mergeCell ref="B280:C280"/>
    <mergeCell ref="E280:H280"/>
    <mergeCell ref="I280:K280"/>
    <mergeCell ref="L280:N280"/>
    <mergeCell ref="E281:H281"/>
    <mergeCell ref="I281:K305"/>
    <mergeCell ref="L281:N305"/>
    <mergeCell ref="B282:H282"/>
    <mergeCell ref="B273:D273"/>
    <mergeCell ref="I273:K273"/>
    <mergeCell ref="B277:C277"/>
    <mergeCell ref="D277:N277"/>
    <mergeCell ref="B278:N278"/>
    <mergeCell ref="B279:C279"/>
    <mergeCell ref="D279:N279"/>
    <mergeCell ref="B348:D348"/>
    <mergeCell ref="I348:K348"/>
    <mergeCell ref="B351:C351"/>
    <mergeCell ref="D351:N351"/>
    <mergeCell ref="B352:N352"/>
    <mergeCell ref="B353:C353"/>
    <mergeCell ref="D353:N353"/>
    <mergeCell ref="B317:C317"/>
    <mergeCell ref="E317:H317"/>
    <mergeCell ref="I317:K343"/>
    <mergeCell ref="L317:N343"/>
    <mergeCell ref="B318:H318"/>
    <mergeCell ref="C321:C323"/>
    <mergeCell ref="B314:N314"/>
    <mergeCell ref="B315:C315"/>
    <mergeCell ref="D315:N315"/>
    <mergeCell ref="B316:C316"/>
    <mergeCell ref="E316:H316"/>
    <mergeCell ref="I316:K316"/>
    <mergeCell ref="L316:N316"/>
    <mergeCell ref="B385:D385"/>
    <mergeCell ref="I385:K385"/>
    <mergeCell ref="B388:C388"/>
    <mergeCell ref="D388:N388"/>
    <mergeCell ref="B389:N389"/>
    <mergeCell ref="B390:C390"/>
    <mergeCell ref="D390:N390"/>
    <mergeCell ref="B354:C354"/>
    <mergeCell ref="E354:H354"/>
    <mergeCell ref="I354:K354"/>
    <mergeCell ref="L354:N354"/>
    <mergeCell ref="B355:C355"/>
    <mergeCell ref="E355:H355"/>
    <mergeCell ref="I355:K380"/>
    <mergeCell ref="L355:N380"/>
    <mergeCell ref="B356:H356"/>
    <mergeCell ref="C359:C361"/>
    <mergeCell ref="B420:C420"/>
    <mergeCell ref="E420:H420"/>
    <mergeCell ref="I420:K420"/>
    <mergeCell ref="L420:N420"/>
    <mergeCell ref="E421:H421"/>
    <mergeCell ref="I421:K441"/>
    <mergeCell ref="L421:N441"/>
    <mergeCell ref="B422:H422"/>
    <mergeCell ref="B414:D414"/>
    <mergeCell ref="I414:K414"/>
    <mergeCell ref="B417:C417"/>
    <mergeCell ref="D417:N417"/>
    <mergeCell ref="B418:N418"/>
    <mergeCell ref="B419:C419"/>
    <mergeCell ref="D419:N419"/>
    <mergeCell ref="B391:C391"/>
    <mergeCell ref="E391:H391"/>
    <mergeCell ref="I391:K391"/>
    <mergeCell ref="L391:N391"/>
    <mergeCell ref="E392:H392"/>
    <mergeCell ref="I392:K409"/>
    <mergeCell ref="L392:N409"/>
    <mergeCell ref="B393:H393"/>
    <mergeCell ref="B452:C452"/>
    <mergeCell ref="E452:H452"/>
    <mergeCell ref="I452:K452"/>
    <mergeCell ref="L452:N452"/>
    <mergeCell ref="B453:C453"/>
    <mergeCell ref="E453:H453"/>
    <mergeCell ref="I453:K474"/>
    <mergeCell ref="L453:N474"/>
    <mergeCell ref="B454:H454"/>
    <mergeCell ref="C456:C457"/>
    <mergeCell ref="B446:D446"/>
    <mergeCell ref="I446:K446"/>
    <mergeCell ref="B449:C449"/>
    <mergeCell ref="D449:N449"/>
    <mergeCell ref="B450:N450"/>
    <mergeCell ref="B451:C451"/>
    <mergeCell ref="D451:N451"/>
    <mergeCell ref="B485:C485"/>
    <mergeCell ref="E485:H485"/>
    <mergeCell ref="I485:K485"/>
    <mergeCell ref="L485:N485"/>
    <mergeCell ref="B486:C486"/>
    <mergeCell ref="E486:H486"/>
    <mergeCell ref="I486:K508"/>
    <mergeCell ref="L486:N508"/>
    <mergeCell ref="B487:H487"/>
    <mergeCell ref="C490:C492"/>
    <mergeCell ref="B479:D479"/>
    <mergeCell ref="I479:K479"/>
    <mergeCell ref="B482:C482"/>
    <mergeCell ref="D482:N482"/>
    <mergeCell ref="B483:N483"/>
    <mergeCell ref="B484:C484"/>
    <mergeCell ref="D484:N484"/>
    <mergeCell ref="B546:D546"/>
    <mergeCell ref="I546:K546"/>
    <mergeCell ref="B549:C549"/>
    <mergeCell ref="D549:N549"/>
    <mergeCell ref="B550:N550"/>
    <mergeCell ref="B551:C551"/>
    <mergeCell ref="D551:N551"/>
    <mergeCell ref="B519:C519"/>
    <mergeCell ref="E519:H519"/>
    <mergeCell ref="I519:K519"/>
    <mergeCell ref="L519:N519"/>
    <mergeCell ref="B520:C520"/>
    <mergeCell ref="E520:H520"/>
    <mergeCell ref="I520:K541"/>
    <mergeCell ref="L520:N541"/>
    <mergeCell ref="B521:H521"/>
    <mergeCell ref="B513:D513"/>
    <mergeCell ref="I513:K513"/>
    <mergeCell ref="B516:C516"/>
    <mergeCell ref="D516:N516"/>
    <mergeCell ref="B517:N517"/>
    <mergeCell ref="B518:C518"/>
    <mergeCell ref="D518:N518"/>
    <mergeCell ref="B580:D580"/>
    <mergeCell ref="I580:K580"/>
    <mergeCell ref="B583:C583"/>
    <mergeCell ref="D583:N583"/>
    <mergeCell ref="B584:N584"/>
    <mergeCell ref="B585:C585"/>
    <mergeCell ref="D585:N585"/>
    <mergeCell ref="B552:C552"/>
    <mergeCell ref="E552:H552"/>
    <mergeCell ref="I552:K552"/>
    <mergeCell ref="L552:N552"/>
    <mergeCell ref="B553:C553"/>
    <mergeCell ref="E553:H553"/>
    <mergeCell ref="I553:K575"/>
    <mergeCell ref="L553:N575"/>
    <mergeCell ref="B554:H554"/>
    <mergeCell ref="C556:C557"/>
    <mergeCell ref="B614:C614"/>
    <mergeCell ref="E614:H614"/>
    <mergeCell ref="I614:K614"/>
    <mergeCell ref="L614:N614"/>
    <mergeCell ref="E615:H615"/>
    <mergeCell ref="I615:K637"/>
    <mergeCell ref="L615:N637"/>
    <mergeCell ref="B616:H616"/>
    <mergeCell ref="B608:D608"/>
    <mergeCell ref="I608:K608"/>
    <mergeCell ref="B611:C611"/>
    <mergeCell ref="D611:N611"/>
    <mergeCell ref="B612:N612"/>
    <mergeCell ref="B613:C613"/>
    <mergeCell ref="D613:N613"/>
    <mergeCell ref="B586:C586"/>
    <mergeCell ref="E586:H586"/>
    <mergeCell ref="I586:K586"/>
    <mergeCell ref="L586:N586"/>
    <mergeCell ref="E587:H587"/>
    <mergeCell ref="I587:K603"/>
    <mergeCell ref="L587:N603"/>
    <mergeCell ref="B588:H588"/>
    <mergeCell ref="E649:H649"/>
    <mergeCell ref="I649:K670"/>
    <mergeCell ref="L649:N670"/>
    <mergeCell ref="B650:H650"/>
    <mergeCell ref="B646:N646"/>
    <mergeCell ref="B647:C647"/>
    <mergeCell ref="D647:N647"/>
    <mergeCell ref="B648:C648"/>
    <mergeCell ref="E648:H648"/>
    <mergeCell ref="I648:K648"/>
    <mergeCell ref="L648:N648"/>
    <mergeCell ref="B642:D642"/>
    <mergeCell ref="I642:K642"/>
    <mergeCell ref="B645:C645"/>
    <mergeCell ref="D645:N645"/>
    <mergeCell ref="B682:C682"/>
    <mergeCell ref="E682:H682"/>
    <mergeCell ref="I682:K701"/>
    <mergeCell ref="L682:N701"/>
    <mergeCell ref="B683:H683"/>
    <mergeCell ref="C685:C687"/>
    <mergeCell ref="C688:C691"/>
    <mergeCell ref="C692:C695"/>
    <mergeCell ref="C696:C698"/>
    <mergeCell ref="B679:N679"/>
    <mergeCell ref="B680:C680"/>
    <mergeCell ref="D680:N680"/>
    <mergeCell ref="B681:C681"/>
    <mergeCell ref="E681:H681"/>
    <mergeCell ref="I681:K681"/>
    <mergeCell ref="L681:N681"/>
    <mergeCell ref="B675:D675"/>
    <mergeCell ref="I675:K675"/>
    <mergeCell ref="B678:C678"/>
    <mergeCell ref="D678:N678"/>
    <mergeCell ref="B712:C712"/>
    <mergeCell ref="E712:H712"/>
    <mergeCell ref="I712:K712"/>
    <mergeCell ref="L712:N712"/>
    <mergeCell ref="B713:C713"/>
    <mergeCell ref="E713:H713"/>
    <mergeCell ref="I713:K732"/>
    <mergeCell ref="L713:N732"/>
    <mergeCell ref="B714:H714"/>
    <mergeCell ref="C716:C718"/>
    <mergeCell ref="B706:D706"/>
    <mergeCell ref="I706:K706"/>
    <mergeCell ref="B709:C709"/>
    <mergeCell ref="D709:N709"/>
    <mergeCell ref="B710:N710"/>
    <mergeCell ref="B711:C711"/>
    <mergeCell ref="D711:N711"/>
    <mergeCell ref="B744:C744"/>
    <mergeCell ref="E744:H744"/>
    <mergeCell ref="I744:K764"/>
    <mergeCell ref="L744:N764"/>
    <mergeCell ref="B745:H745"/>
    <mergeCell ref="C747:C749"/>
    <mergeCell ref="C750:C752"/>
    <mergeCell ref="C753:C756"/>
    <mergeCell ref="C757:C760"/>
    <mergeCell ref="B741:N741"/>
    <mergeCell ref="B742:C742"/>
    <mergeCell ref="D742:N742"/>
    <mergeCell ref="B743:C743"/>
    <mergeCell ref="E743:H743"/>
    <mergeCell ref="I743:K743"/>
    <mergeCell ref="L743:N743"/>
    <mergeCell ref="C719:C722"/>
    <mergeCell ref="C723:C726"/>
    <mergeCell ref="C727:C730"/>
    <mergeCell ref="B737:D737"/>
    <mergeCell ref="I737:K737"/>
    <mergeCell ref="B740:C740"/>
    <mergeCell ref="D740:N740"/>
    <mergeCell ref="B775:C775"/>
    <mergeCell ref="E775:H775"/>
    <mergeCell ref="I775:K775"/>
    <mergeCell ref="L775:N775"/>
    <mergeCell ref="B776:C776"/>
    <mergeCell ref="E776:H776"/>
    <mergeCell ref="I776:K796"/>
    <mergeCell ref="L776:N796"/>
    <mergeCell ref="B777:H777"/>
    <mergeCell ref="C779:C782"/>
    <mergeCell ref="B769:D769"/>
    <mergeCell ref="I769:K769"/>
    <mergeCell ref="B772:C772"/>
    <mergeCell ref="D772:N772"/>
    <mergeCell ref="B773:N773"/>
    <mergeCell ref="B774:C774"/>
    <mergeCell ref="D774:N774"/>
    <mergeCell ref="B827:D827"/>
    <mergeCell ref="I827:K827"/>
    <mergeCell ref="B830:C830"/>
    <mergeCell ref="D830:N830"/>
    <mergeCell ref="B831:N831"/>
    <mergeCell ref="B832:C832"/>
    <mergeCell ref="D832:N832"/>
    <mergeCell ref="B808:C808"/>
    <mergeCell ref="E808:H808"/>
    <mergeCell ref="I808:K808"/>
    <mergeCell ref="L808:N808"/>
    <mergeCell ref="B809:C809"/>
    <mergeCell ref="E809:H809"/>
    <mergeCell ref="I809:K822"/>
    <mergeCell ref="L809:N822"/>
    <mergeCell ref="B810:H810"/>
    <mergeCell ref="B801:D801"/>
    <mergeCell ref="I801:K801"/>
    <mergeCell ref="B805:C805"/>
    <mergeCell ref="D805:N805"/>
    <mergeCell ref="B806:N806"/>
    <mergeCell ref="B807:C807"/>
    <mergeCell ref="D807:N807"/>
    <mergeCell ref="B861:C861"/>
    <mergeCell ref="E861:H861"/>
    <mergeCell ref="I861:K861"/>
    <mergeCell ref="L861:N861"/>
    <mergeCell ref="B862:C862"/>
    <mergeCell ref="E862:H862"/>
    <mergeCell ref="I862:K878"/>
    <mergeCell ref="L862:N878"/>
    <mergeCell ref="B863:H863"/>
    <mergeCell ref="B855:D855"/>
    <mergeCell ref="I855:K855"/>
    <mergeCell ref="B858:C858"/>
    <mergeCell ref="D858:N858"/>
    <mergeCell ref="B859:N859"/>
    <mergeCell ref="B860:C860"/>
    <mergeCell ref="D860:N860"/>
    <mergeCell ref="B833:C833"/>
    <mergeCell ref="E833:H833"/>
    <mergeCell ref="I833:K833"/>
    <mergeCell ref="L833:N833"/>
    <mergeCell ref="B834:C834"/>
    <mergeCell ref="E834:H834"/>
    <mergeCell ref="I834:K850"/>
    <mergeCell ref="L834:N850"/>
    <mergeCell ref="B835:H835"/>
    <mergeCell ref="B910:D910"/>
    <mergeCell ref="I910:K910"/>
    <mergeCell ref="B913:C913"/>
    <mergeCell ref="D913:N913"/>
    <mergeCell ref="B914:N914"/>
    <mergeCell ref="B915:C915"/>
    <mergeCell ref="D915:N915"/>
    <mergeCell ref="B889:C889"/>
    <mergeCell ref="E889:H889"/>
    <mergeCell ref="I889:K889"/>
    <mergeCell ref="L889:N889"/>
    <mergeCell ref="B890:C890"/>
    <mergeCell ref="E890:H890"/>
    <mergeCell ref="I890:K905"/>
    <mergeCell ref="L890:N905"/>
    <mergeCell ref="B891:H891"/>
    <mergeCell ref="B883:D883"/>
    <mergeCell ref="I883:K883"/>
    <mergeCell ref="B886:C886"/>
    <mergeCell ref="D886:N886"/>
    <mergeCell ref="B887:N887"/>
    <mergeCell ref="B888:C888"/>
    <mergeCell ref="D888:N888"/>
    <mergeCell ref="I958:K958"/>
    <mergeCell ref="B961:C961"/>
    <mergeCell ref="D961:N961"/>
    <mergeCell ref="B962:N962"/>
    <mergeCell ref="B963:C963"/>
    <mergeCell ref="D963:N963"/>
    <mergeCell ref="C922:C931"/>
    <mergeCell ref="C932:C934"/>
    <mergeCell ref="C935:C940"/>
    <mergeCell ref="C941:C945"/>
    <mergeCell ref="C946:C951"/>
    <mergeCell ref="B958:D958"/>
    <mergeCell ref="B916:C916"/>
    <mergeCell ref="E916:H916"/>
    <mergeCell ref="I916:K916"/>
    <mergeCell ref="L916:N916"/>
    <mergeCell ref="B917:C917"/>
    <mergeCell ref="E917:H917"/>
    <mergeCell ref="I917:K953"/>
    <mergeCell ref="L917:N953"/>
    <mergeCell ref="B918:H918"/>
    <mergeCell ref="C920:C921"/>
    <mergeCell ref="I1005:K1005"/>
    <mergeCell ref="B1007:C1007"/>
    <mergeCell ref="D1007:N1007"/>
    <mergeCell ref="B1008:N1008"/>
    <mergeCell ref="B1009:C1009"/>
    <mergeCell ref="D1009:N1009"/>
    <mergeCell ref="C970:C979"/>
    <mergeCell ref="C980:C982"/>
    <mergeCell ref="C983:C988"/>
    <mergeCell ref="C989:C993"/>
    <mergeCell ref="C994:C999"/>
    <mergeCell ref="B1005:D1005"/>
    <mergeCell ref="B964:C964"/>
    <mergeCell ref="E964:H964"/>
    <mergeCell ref="I964:K964"/>
    <mergeCell ref="L964:N964"/>
    <mergeCell ref="B965:C965"/>
    <mergeCell ref="E965:H965"/>
    <mergeCell ref="I965:K1001"/>
    <mergeCell ref="L965:N1001"/>
    <mergeCell ref="B966:H966"/>
    <mergeCell ref="C968:C969"/>
    <mergeCell ref="I1052:K1052"/>
    <mergeCell ref="B1055:C1055"/>
    <mergeCell ref="D1055:N1055"/>
    <mergeCell ref="B1056:N1056"/>
    <mergeCell ref="B1057:C1057"/>
    <mergeCell ref="D1057:N1057"/>
    <mergeCell ref="C1016:C1025"/>
    <mergeCell ref="C1026:C1028"/>
    <mergeCell ref="C1029:C1034"/>
    <mergeCell ref="C1035:C1039"/>
    <mergeCell ref="C1040:C1045"/>
    <mergeCell ref="B1052:D1052"/>
    <mergeCell ref="B1010:C1010"/>
    <mergeCell ref="E1010:H1010"/>
    <mergeCell ref="I1010:K1010"/>
    <mergeCell ref="L1010:N1010"/>
    <mergeCell ref="B1011:C1011"/>
    <mergeCell ref="E1011:H1011"/>
    <mergeCell ref="I1011:K1047"/>
    <mergeCell ref="L1011:N1047"/>
    <mergeCell ref="B1012:H1012"/>
    <mergeCell ref="C1014:C1015"/>
    <mergeCell ref="I1100:K1100"/>
    <mergeCell ref="B1104:C1104"/>
    <mergeCell ref="D1104:N1104"/>
    <mergeCell ref="B1105:N1105"/>
    <mergeCell ref="B1106:C1106"/>
    <mergeCell ref="D1106:N1106"/>
    <mergeCell ref="C1064:C1073"/>
    <mergeCell ref="C1074:C1076"/>
    <mergeCell ref="C1077:C1082"/>
    <mergeCell ref="C1083:C1087"/>
    <mergeCell ref="C1088:C1093"/>
    <mergeCell ref="B1100:D1100"/>
    <mergeCell ref="B1058:C1058"/>
    <mergeCell ref="E1058:H1058"/>
    <mergeCell ref="I1058:K1058"/>
    <mergeCell ref="L1058:N1058"/>
    <mergeCell ref="B1059:C1059"/>
    <mergeCell ref="E1059:H1059"/>
    <mergeCell ref="I1059:K1095"/>
    <mergeCell ref="L1059:N1095"/>
    <mergeCell ref="B1060:H1060"/>
    <mergeCell ref="C1062:C1063"/>
    <mergeCell ref="B1134:D1134"/>
    <mergeCell ref="I1134:K1134"/>
    <mergeCell ref="B1137:C1137"/>
    <mergeCell ref="D1137:N1137"/>
    <mergeCell ref="B1138:N1138"/>
    <mergeCell ref="B1139:C1139"/>
    <mergeCell ref="D1139:N1139"/>
    <mergeCell ref="B1107:C1107"/>
    <mergeCell ref="E1107:H1107"/>
    <mergeCell ref="I1107:K1107"/>
    <mergeCell ref="L1107:N1107"/>
    <mergeCell ref="B1108:C1108"/>
    <mergeCell ref="E1108:H1108"/>
    <mergeCell ref="I1108:K1129"/>
    <mergeCell ref="L1108:N1129"/>
    <mergeCell ref="B1109:H1109"/>
    <mergeCell ref="C1112:C1113"/>
    <mergeCell ref="I1185:K1185"/>
    <mergeCell ref="B1188:C1188"/>
    <mergeCell ref="D1188:N1188"/>
    <mergeCell ref="B1189:N1189"/>
    <mergeCell ref="B1190:C1190"/>
    <mergeCell ref="D1190:N1190"/>
    <mergeCell ref="D1150:D1151"/>
    <mergeCell ref="H1150:H1151"/>
    <mergeCell ref="C1152:C1157"/>
    <mergeCell ref="C1158:C1162"/>
    <mergeCell ref="C1163:C1168"/>
    <mergeCell ref="B1185:D1185"/>
    <mergeCell ref="B1140:C1140"/>
    <mergeCell ref="E1140:H1140"/>
    <mergeCell ref="I1140:K1140"/>
    <mergeCell ref="L1140:N1140"/>
    <mergeCell ref="B1141:C1141"/>
    <mergeCell ref="E1141:H1141"/>
    <mergeCell ref="I1141:K1180"/>
    <mergeCell ref="L1141:N1180"/>
    <mergeCell ref="B1142:H1142"/>
    <mergeCell ref="C1144:C1151"/>
    <mergeCell ref="B1218:D1218"/>
    <mergeCell ref="I1218:K1218"/>
    <mergeCell ref="B1221:C1221"/>
    <mergeCell ref="D1221:N1221"/>
    <mergeCell ref="B1222:N1222"/>
    <mergeCell ref="B1223:C1223"/>
    <mergeCell ref="D1223:N1223"/>
    <mergeCell ref="B1191:C1191"/>
    <mergeCell ref="E1191:H1191"/>
    <mergeCell ref="I1191:K1191"/>
    <mergeCell ref="L1191:N1191"/>
    <mergeCell ref="B1192:C1192"/>
    <mergeCell ref="E1192:H1192"/>
    <mergeCell ref="I1192:K1213"/>
    <mergeCell ref="L1192:N1213"/>
    <mergeCell ref="B1193:H1193"/>
    <mergeCell ref="C1197:C1198"/>
    <mergeCell ref="B1251:D1251"/>
    <mergeCell ref="I1251:K1251"/>
    <mergeCell ref="B1254:C1254"/>
    <mergeCell ref="D1254:N1254"/>
    <mergeCell ref="B1255:N1255"/>
    <mergeCell ref="B1256:C1256"/>
    <mergeCell ref="D1256:N1256"/>
    <mergeCell ref="B1224:C1224"/>
    <mergeCell ref="E1224:H1224"/>
    <mergeCell ref="I1224:K1224"/>
    <mergeCell ref="L1224:N1224"/>
    <mergeCell ref="B1225:C1225"/>
    <mergeCell ref="E1225:H1225"/>
    <mergeCell ref="I1225:K1246"/>
    <mergeCell ref="L1225:N1246"/>
    <mergeCell ref="B1226:H1226"/>
    <mergeCell ref="C1230:C1231"/>
    <mergeCell ref="B1284:D1284"/>
    <mergeCell ref="I1284:K1284"/>
    <mergeCell ref="B1287:C1287"/>
    <mergeCell ref="D1287:N1287"/>
    <mergeCell ref="B1288:N1288"/>
    <mergeCell ref="B1289:C1289"/>
    <mergeCell ref="D1289:N1289"/>
    <mergeCell ref="B1257:C1257"/>
    <mergeCell ref="E1257:H1257"/>
    <mergeCell ref="I1257:K1257"/>
    <mergeCell ref="L1257:N1257"/>
    <mergeCell ref="B1258:C1258"/>
    <mergeCell ref="E1258:H1258"/>
    <mergeCell ref="I1258:K1279"/>
    <mergeCell ref="L1258:N1279"/>
    <mergeCell ref="B1259:H1259"/>
    <mergeCell ref="C1263:C1264"/>
    <mergeCell ref="B1323:C1323"/>
    <mergeCell ref="E1323:H1323"/>
    <mergeCell ref="I1323:K1323"/>
    <mergeCell ref="L1323:N1323"/>
    <mergeCell ref="B1324:C1324"/>
    <mergeCell ref="E1324:H1324"/>
    <mergeCell ref="I1324:K1345"/>
    <mergeCell ref="L1324:N1345"/>
    <mergeCell ref="B1325:H1325"/>
    <mergeCell ref="B1317:D1317"/>
    <mergeCell ref="I1317:K1317"/>
    <mergeCell ref="B1320:C1320"/>
    <mergeCell ref="D1320:N1320"/>
    <mergeCell ref="B1321:N1321"/>
    <mergeCell ref="B1322:C1322"/>
    <mergeCell ref="D1322:N1322"/>
    <mergeCell ref="B1290:C1290"/>
    <mergeCell ref="E1290:H1290"/>
    <mergeCell ref="I1290:K1290"/>
    <mergeCell ref="L1290:N1290"/>
    <mergeCell ref="B1291:C1291"/>
    <mergeCell ref="E1291:H1291"/>
    <mergeCell ref="I1291:K1312"/>
    <mergeCell ref="L1291:N1312"/>
    <mergeCell ref="B1292:H1292"/>
    <mergeCell ref="C1296:C1297"/>
    <mergeCell ref="B1386:D1386"/>
    <mergeCell ref="I1386:K1386"/>
    <mergeCell ref="B1389:C1389"/>
    <mergeCell ref="D1389:N1389"/>
    <mergeCell ref="B1390:N1390"/>
    <mergeCell ref="B1391:C1391"/>
    <mergeCell ref="D1391:N1391"/>
    <mergeCell ref="B1356:C1356"/>
    <mergeCell ref="E1356:H1356"/>
    <mergeCell ref="I1356:K1356"/>
    <mergeCell ref="L1356:N1356"/>
    <mergeCell ref="E1357:H1357"/>
    <mergeCell ref="I1357:K1381"/>
    <mergeCell ref="L1357:N1381"/>
    <mergeCell ref="B1358:H1358"/>
    <mergeCell ref="B1350:D1350"/>
    <mergeCell ref="I1350:K1350"/>
    <mergeCell ref="B1353:C1353"/>
    <mergeCell ref="D1353:N1353"/>
    <mergeCell ref="B1354:N1354"/>
    <mergeCell ref="B1355:C1355"/>
    <mergeCell ref="D1355:N1355"/>
    <mergeCell ref="E1421:H1421"/>
    <mergeCell ref="I1421:K1439"/>
    <mergeCell ref="L1421:N1439"/>
    <mergeCell ref="B1422:H1422"/>
    <mergeCell ref="B1417:C1417"/>
    <mergeCell ref="D1417:N1417"/>
    <mergeCell ref="B1418:N1418"/>
    <mergeCell ref="B1419:C1419"/>
    <mergeCell ref="D1419:N1419"/>
    <mergeCell ref="B1420:C1420"/>
    <mergeCell ref="E1420:H1420"/>
    <mergeCell ref="I1420:K1420"/>
    <mergeCell ref="L1420:N1420"/>
    <mergeCell ref="B1414:D1414"/>
    <mergeCell ref="I1414:K1414"/>
    <mergeCell ref="B1392:C1392"/>
    <mergeCell ref="E1392:H1392"/>
    <mergeCell ref="I1392:K1392"/>
    <mergeCell ref="L1392:N1392"/>
    <mergeCell ref="E1393:H1393"/>
    <mergeCell ref="I1393:K1409"/>
    <mergeCell ref="L1393:N1409"/>
    <mergeCell ref="B1394:H1394"/>
    <mergeCell ref="B1478:D1478"/>
    <mergeCell ref="I1478:K1478"/>
    <mergeCell ref="B1449:C1449"/>
    <mergeCell ref="E1449:H1449"/>
    <mergeCell ref="I1449:K1449"/>
    <mergeCell ref="L1449:N1449"/>
    <mergeCell ref="E1450:H1450"/>
    <mergeCell ref="I1450:K1474"/>
    <mergeCell ref="L1450:N1474"/>
    <mergeCell ref="B1451:H1451"/>
    <mergeCell ref="B1443:D1443"/>
    <mergeCell ref="I1443:K1443"/>
    <mergeCell ref="B1446:C1446"/>
    <mergeCell ref="D1446:N1446"/>
    <mergeCell ref="B1447:N1447"/>
    <mergeCell ref="B1448:C1448"/>
    <mergeCell ref="D1448:N1448"/>
    <mergeCell ref="B1507:C1507"/>
    <mergeCell ref="D1507:N1507"/>
    <mergeCell ref="B1508:N1508"/>
    <mergeCell ref="B1509:C1509"/>
    <mergeCell ref="D1509:N1509"/>
    <mergeCell ref="B1510:C1510"/>
    <mergeCell ref="E1510:H1510"/>
    <mergeCell ref="I1510:K1510"/>
    <mergeCell ref="L1510:N1510"/>
    <mergeCell ref="E1485:H1485"/>
    <mergeCell ref="I1485:K1499"/>
    <mergeCell ref="L1485:N1499"/>
    <mergeCell ref="B1486:H1486"/>
    <mergeCell ref="B1504:D1504"/>
    <mergeCell ref="I1504:K1504"/>
    <mergeCell ref="B1481:C1481"/>
    <mergeCell ref="D1481:N1481"/>
    <mergeCell ref="B1482:N1482"/>
    <mergeCell ref="B1483:C1483"/>
    <mergeCell ref="D1483:N1483"/>
    <mergeCell ref="B1484:C1484"/>
    <mergeCell ref="E1484:H1484"/>
    <mergeCell ref="I1484:K1484"/>
    <mergeCell ref="L1484:N1484"/>
    <mergeCell ref="B1543:C1543"/>
    <mergeCell ref="E1543:H1543"/>
    <mergeCell ref="I1543:K1543"/>
    <mergeCell ref="L1543:N1543"/>
    <mergeCell ref="E1544:H1544"/>
    <mergeCell ref="I1544:K1568"/>
    <mergeCell ref="L1544:N1568"/>
    <mergeCell ref="B1545:H1545"/>
    <mergeCell ref="B1537:D1537"/>
    <mergeCell ref="I1537:K1537"/>
    <mergeCell ref="B1540:C1540"/>
    <mergeCell ref="D1540:N1540"/>
    <mergeCell ref="B1541:N1541"/>
    <mergeCell ref="B1542:C1542"/>
    <mergeCell ref="D1542:N1542"/>
    <mergeCell ref="E1511:H1511"/>
    <mergeCell ref="I1511:K1532"/>
    <mergeCell ref="L1511:N1532"/>
    <mergeCell ref="B1512:H1512"/>
    <mergeCell ref="B1580:C1580"/>
    <mergeCell ref="E1580:H1580"/>
    <mergeCell ref="I1580:K1597"/>
    <mergeCell ref="L1580:N1597"/>
    <mergeCell ref="B1581:H1581"/>
    <mergeCell ref="C1583:C1586"/>
    <mergeCell ref="B1576:C1576"/>
    <mergeCell ref="D1576:N1576"/>
    <mergeCell ref="B1577:N1577"/>
    <mergeCell ref="B1578:C1578"/>
    <mergeCell ref="D1578:N1578"/>
    <mergeCell ref="B1579:C1579"/>
    <mergeCell ref="E1579:H1579"/>
    <mergeCell ref="I1579:K1579"/>
    <mergeCell ref="L1579:N1579"/>
    <mergeCell ref="B1573:D1573"/>
    <mergeCell ref="I1573:K1573"/>
    <mergeCell ref="B1635:D1635"/>
    <mergeCell ref="I1635:K1635"/>
    <mergeCell ref="B1638:C1638"/>
    <mergeCell ref="D1638:N1638"/>
    <mergeCell ref="B1639:N1639"/>
    <mergeCell ref="B1640:C1640"/>
    <mergeCell ref="D1640:N1640"/>
    <mergeCell ref="B1608:C1608"/>
    <mergeCell ref="E1608:H1608"/>
    <mergeCell ref="I1608:K1608"/>
    <mergeCell ref="L1608:N1608"/>
    <mergeCell ref="E1609:H1609"/>
    <mergeCell ref="I1609:K1630"/>
    <mergeCell ref="L1609:N1630"/>
    <mergeCell ref="B1610:H1610"/>
    <mergeCell ref="B1602:D1602"/>
    <mergeCell ref="I1602:K1602"/>
    <mergeCell ref="B1605:C1605"/>
    <mergeCell ref="D1605:N1605"/>
    <mergeCell ref="B1606:N1606"/>
    <mergeCell ref="B1607:C1607"/>
    <mergeCell ref="D1607:N1607"/>
    <mergeCell ref="B1668:C1668"/>
    <mergeCell ref="D1668:N1668"/>
    <mergeCell ref="B1669:C1669"/>
    <mergeCell ref="E1669:H1669"/>
    <mergeCell ref="I1669:K1669"/>
    <mergeCell ref="L1669:N1669"/>
    <mergeCell ref="B1663:D1663"/>
    <mergeCell ref="I1663:K1663"/>
    <mergeCell ref="B1666:C1666"/>
    <mergeCell ref="D1666:N1666"/>
    <mergeCell ref="B1667:N1667"/>
    <mergeCell ref="B1651:B1653"/>
    <mergeCell ref="B1641:C1641"/>
    <mergeCell ref="E1641:H1641"/>
    <mergeCell ref="I1641:K1641"/>
    <mergeCell ref="L1641:N1641"/>
    <mergeCell ref="E1642:H1642"/>
    <mergeCell ref="I1642:K1659"/>
    <mergeCell ref="L1642:N1659"/>
    <mergeCell ref="B1643:H1643"/>
    <mergeCell ref="B1645:B1649"/>
    <mergeCell ref="E1702:H1702"/>
    <mergeCell ref="I1702:K1716"/>
    <mergeCell ref="L1702:N1716"/>
    <mergeCell ref="B1703:H1703"/>
    <mergeCell ref="B1698:C1698"/>
    <mergeCell ref="D1698:N1698"/>
    <mergeCell ref="B1699:N1699"/>
    <mergeCell ref="B1700:C1700"/>
    <mergeCell ref="D1700:N1700"/>
    <mergeCell ref="B1701:C1701"/>
    <mergeCell ref="E1701:H1701"/>
    <mergeCell ref="I1701:K1701"/>
    <mergeCell ref="L1701:N1701"/>
    <mergeCell ref="B1670:C1670"/>
    <mergeCell ref="E1670:H1670"/>
    <mergeCell ref="I1670:K1691"/>
    <mergeCell ref="L1670:N1691"/>
    <mergeCell ref="B1671:H1671"/>
    <mergeCell ref="B1695:D1695"/>
    <mergeCell ref="I1695:K1695"/>
    <mergeCell ref="B1726:C1726"/>
    <mergeCell ref="E1726:H1726"/>
    <mergeCell ref="I1726:K1726"/>
    <mergeCell ref="L1726:N1726"/>
    <mergeCell ref="E1727:H1727"/>
    <mergeCell ref="I1727:K1747"/>
    <mergeCell ref="L1727:N1747"/>
    <mergeCell ref="B1728:H1728"/>
    <mergeCell ref="B1730:B1734"/>
    <mergeCell ref="C1730:C1731"/>
    <mergeCell ref="C1737:C1738"/>
    <mergeCell ref="C1732:C1736"/>
    <mergeCell ref="B1720:D1720"/>
    <mergeCell ref="I1720:K1720"/>
    <mergeCell ref="B1723:C1723"/>
    <mergeCell ref="D1723:N1723"/>
    <mergeCell ref="B1724:N1724"/>
    <mergeCell ref="B1725:C1725"/>
    <mergeCell ref="D1725:N1725"/>
    <mergeCell ref="E1759:H1759"/>
    <mergeCell ref="I1759:K1778"/>
    <mergeCell ref="L1759:N1778"/>
    <mergeCell ref="B1760:H1760"/>
    <mergeCell ref="B1756:N1756"/>
    <mergeCell ref="B1757:C1757"/>
    <mergeCell ref="D1757:N1757"/>
    <mergeCell ref="B1758:C1758"/>
    <mergeCell ref="E1758:H1758"/>
    <mergeCell ref="I1758:K1758"/>
    <mergeCell ref="L1758:N1758"/>
    <mergeCell ref="B1736:B1737"/>
    <mergeCell ref="B1739:B1740"/>
    <mergeCell ref="B1752:D1752"/>
    <mergeCell ref="I1752:K1752"/>
    <mergeCell ref="B1755:C1755"/>
    <mergeCell ref="D1755:N1755"/>
    <mergeCell ref="B1809:D1809"/>
    <mergeCell ref="I1809:K1809"/>
    <mergeCell ref="B1811:C1811"/>
    <mergeCell ref="D1811:N1811"/>
    <mergeCell ref="B1789:C1789"/>
    <mergeCell ref="E1789:H1789"/>
    <mergeCell ref="I1789:K1789"/>
    <mergeCell ref="L1789:N1789"/>
    <mergeCell ref="E1790:H1790"/>
    <mergeCell ref="I1790:K1804"/>
    <mergeCell ref="L1790:N1804"/>
    <mergeCell ref="B1791:H1791"/>
    <mergeCell ref="B1783:D1783"/>
    <mergeCell ref="I1783:K1783"/>
    <mergeCell ref="B1786:C1786"/>
    <mergeCell ref="D1786:N1786"/>
    <mergeCell ref="B1787:N1787"/>
    <mergeCell ref="B1788:C1788"/>
    <mergeCell ref="D1788:N1788"/>
    <mergeCell ref="B1835:D1835"/>
    <mergeCell ref="I1835:K1835"/>
    <mergeCell ref="B1838:C1838"/>
    <mergeCell ref="D1838:N1838"/>
    <mergeCell ref="B1839:N1839"/>
    <mergeCell ref="B1840:C1840"/>
    <mergeCell ref="D1840:N1840"/>
    <mergeCell ref="E1815:H1815"/>
    <mergeCell ref="I1815:K1830"/>
    <mergeCell ref="L1815:N1830"/>
    <mergeCell ref="B1816:H1816"/>
    <mergeCell ref="B1812:N1812"/>
    <mergeCell ref="B1813:C1813"/>
    <mergeCell ref="D1813:N1813"/>
    <mergeCell ref="B1814:C1814"/>
    <mergeCell ref="E1814:H1814"/>
    <mergeCell ref="I1814:K1814"/>
    <mergeCell ref="L1814:N1814"/>
    <mergeCell ref="E1877:H1877"/>
    <mergeCell ref="I1877:K1899"/>
    <mergeCell ref="L1877:N1899"/>
    <mergeCell ref="B1878:H1878"/>
    <mergeCell ref="B1873:C1873"/>
    <mergeCell ref="D1873:N1873"/>
    <mergeCell ref="B1874:N1874"/>
    <mergeCell ref="B1875:C1875"/>
    <mergeCell ref="D1875:N1875"/>
    <mergeCell ref="B1876:C1876"/>
    <mergeCell ref="E1876:H1876"/>
    <mergeCell ref="I1876:K1876"/>
    <mergeCell ref="L1876:N1876"/>
    <mergeCell ref="B1870:D1870"/>
    <mergeCell ref="I1870:K1870"/>
    <mergeCell ref="B1841:C1841"/>
    <mergeCell ref="E1841:H1841"/>
    <mergeCell ref="I1841:K1841"/>
    <mergeCell ref="L1841:N1841"/>
    <mergeCell ref="E1842:H1842"/>
    <mergeCell ref="I1842:K1866"/>
    <mergeCell ref="L1842:N1866"/>
    <mergeCell ref="B1843:H1843"/>
    <mergeCell ref="C1845:C1846"/>
    <mergeCell ref="C1847:C1851"/>
    <mergeCell ref="C1852:C1853"/>
    <mergeCell ref="C1880:C1881"/>
    <mergeCell ref="C1882:C1886"/>
    <mergeCell ref="C1887:C1888"/>
    <mergeCell ref="I1929:K1929"/>
    <mergeCell ref="B1932:C1932"/>
    <mergeCell ref="D1932:N1932"/>
    <mergeCell ref="B1933:N1933"/>
    <mergeCell ref="B1934:C1934"/>
    <mergeCell ref="D1934:N1934"/>
    <mergeCell ref="B1929:D1929"/>
    <mergeCell ref="B1909:C1909"/>
    <mergeCell ref="E1909:H1909"/>
    <mergeCell ref="I1909:K1909"/>
    <mergeCell ref="L1909:N1909"/>
    <mergeCell ref="E1910:H1910"/>
    <mergeCell ref="I1910:K1924"/>
    <mergeCell ref="L1910:N1924"/>
    <mergeCell ref="B1911:H1911"/>
    <mergeCell ref="B1903:D1903"/>
    <mergeCell ref="I1903:K1903"/>
    <mergeCell ref="B1906:C1906"/>
    <mergeCell ref="D1906:N1906"/>
    <mergeCell ref="B1907:N1907"/>
    <mergeCell ref="B1908:C1908"/>
    <mergeCell ref="D1908:N1908"/>
    <mergeCell ref="B1955:C1955"/>
    <mergeCell ref="D1955:N1955"/>
    <mergeCell ref="B1956:N1956"/>
    <mergeCell ref="B1957:C1957"/>
    <mergeCell ref="D1957:N1957"/>
    <mergeCell ref="B1958:C1958"/>
    <mergeCell ref="E1958:H1958"/>
    <mergeCell ref="I1958:K1958"/>
    <mergeCell ref="L1958:N1958"/>
    <mergeCell ref="B1952:D1952"/>
    <mergeCell ref="I1952:K1952"/>
    <mergeCell ref="B1935:C1935"/>
    <mergeCell ref="E1935:H1935"/>
    <mergeCell ref="I1935:K1935"/>
    <mergeCell ref="L1935:N1935"/>
    <mergeCell ref="E1936:H1936"/>
    <mergeCell ref="I1936:K1948"/>
    <mergeCell ref="L1936:N1948"/>
    <mergeCell ref="B1937:H1937"/>
    <mergeCell ref="B1995:C1995"/>
    <mergeCell ref="E1995:H1995"/>
    <mergeCell ref="I1995:K1995"/>
    <mergeCell ref="L1995:N1995"/>
    <mergeCell ref="E1996:H1996"/>
    <mergeCell ref="I1996:K2009"/>
    <mergeCell ref="L1996:N2009"/>
    <mergeCell ref="B1997:H1997"/>
    <mergeCell ref="B1989:D1989"/>
    <mergeCell ref="I1989:K1989"/>
    <mergeCell ref="B1992:C1992"/>
    <mergeCell ref="D1992:N1992"/>
    <mergeCell ref="B1993:N1993"/>
    <mergeCell ref="B1994:C1994"/>
    <mergeCell ref="D1994:N1994"/>
    <mergeCell ref="B1959:C1959"/>
    <mergeCell ref="E1959:H1959"/>
    <mergeCell ref="I1959:K1984"/>
    <mergeCell ref="L1959:N1984"/>
    <mergeCell ref="B1960:H1960"/>
    <mergeCell ref="C1963:C1969"/>
    <mergeCell ref="C1973:C1976"/>
    <mergeCell ref="C1977:C1980"/>
    <mergeCell ref="C1981:C1983"/>
    <mergeCell ref="B2038:D2038"/>
    <mergeCell ref="I2038:K2038"/>
    <mergeCell ref="B2019:C2019"/>
    <mergeCell ref="E2019:H2019"/>
    <mergeCell ref="I2019:K2019"/>
    <mergeCell ref="L2019:N2019"/>
    <mergeCell ref="E2020:H2020"/>
    <mergeCell ref="I2020:K2033"/>
    <mergeCell ref="L2020:N2033"/>
    <mergeCell ref="B2021:H2021"/>
    <mergeCell ref="I2013:K2013"/>
    <mergeCell ref="B2016:C2016"/>
    <mergeCell ref="D2016:N2016"/>
    <mergeCell ref="B2017:N2017"/>
    <mergeCell ref="B2018:C2018"/>
    <mergeCell ref="D2018:N2018"/>
    <mergeCell ref="B2013:D2013"/>
    <mergeCell ref="B2061:D2061"/>
    <mergeCell ref="I2061:K2061"/>
    <mergeCell ref="B2064:C2064"/>
    <mergeCell ref="D2064:N2064"/>
    <mergeCell ref="B2065:N2065"/>
    <mergeCell ref="B2066:C2066"/>
    <mergeCell ref="D2066:N2066"/>
    <mergeCell ref="E2045:H2045"/>
    <mergeCell ref="I2045:K2056"/>
    <mergeCell ref="L2045:N2056"/>
    <mergeCell ref="B2046:H2046"/>
    <mergeCell ref="B2041:C2041"/>
    <mergeCell ref="D2041:N2041"/>
    <mergeCell ref="B2042:N2042"/>
    <mergeCell ref="B2043:C2043"/>
    <mergeCell ref="D2043:N2043"/>
    <mergeCell ref="B2044:C2044"/>
    <mergeCell ref="E2044:H2044"/>
    <mergeCell ref="I2044:K2044"/>
    <mergeCell ref="L2044:N2044"/>
    <mergeCell ref="B2092:C2092"/>
    <mergeCell ref="D2092:N2092"/>
    <mergeCell ref="B2093:N2093"/>
    <mergeCell ref="B2094:C2094"/>
    <mergeCell ref="D2094:N2094"/>
    <mergeCell ref="B2095:C2095"/>
    <mergeCell ref="E2095:H2095"/>
    <mergeCell ref="I2095:K2095"/>
    <mergeCell ref="L2095:N2095"/>
    <mergeCell ref="B2089:D2089"/>
    <mergeCell ref="I2089:K2089"/>
    <mergeCell ref="B2067:C2067"/>
    <mergeCell ref="E2067:H2067"/>
    <mergeCell ref="I2067:K2067"/>
    <mergeCell ref="L2067:N2067"/>
    <mergeCell ref="E2068:H2068"/>
    <mergeCell ref="I2068:K2084"/>
    <mergeCell ref="L2068:N2084"/>
    <mergeCell ref="B2069:H2069"/>
    <mergeCell ref="B2129:C2129"/>
    <mergeCell ref="E2129:H2129"/>
    <mergeCell ref="I2129:K2129"/>
    <mergeCell ref="L2129:N2129"/>
    <mergeCell ref="E2130:H2130"/>
    <mergeCell ref="I2130:K2141"/>
    <mergeCell ref="L2130:N2141"/>
    <mergeCell ref="B2131:H2131"/>
    <mergeCell ref="B2123:D2123"/>
    <mergeCell ref="I2123:K2123"/>
    <mergeCell ref="B2126:C2126"/>
    <mergeCell ref="D2126:N2126"/>
    <mergeCell ref="B2127:N2127"/>
    <mergeCell ref="B2128:C2128"/>
    <mergeCell ref="D2128:N2128"/>
    <mergeCell ref="B2096:C2096"/>
    <mergeCell ref="E2096:H2096"/>
    <mergeCell ref="I2096:K2118"/>
    <mergeCell ref="L2096:N2118"/>
    <mergeCell ref="B2097:H2097"/>
    <mergeCell ref="C2099:C2102"/>
    <mergeCell ref="C2103:C2104"/>
    <mergeCell ref="C2105:C2106"/>
    <mergeCell ref="C2107:C2108"/>
    <mergeCell ref="C2109:C2110"/>
    <mergeCell ref="E2153:H2153"/>
    <mergeCell ref="I2153:K2166"/>
    <mergeCell ref="L2153:N2166"/>
    <mergeCell ref="B2154:H2154"/>
    <mergeCell ref="B2149:C2149"/>
    <mergeCell ref="D2149:N2149"/>
    <mergeCell ref="B2150:N2150"/>
    <mergeCell ref="B2151:C2151"/>
    <mergeCell ref="D2151:N2151"/>
    <mergeCell ref="B2152:C2152"/>
    <mergeCell ref="E2152:H2152"/>
    <mergeCell ref="I2152:K2152"/>
    <mergeCell ref="L2152:N2152"/>
    <mergeCell ref="B2146:D2146"/>
    <mergeCell ref="I2146:K2146"/>
    <mergeCell ref="B2204:D2204"/>
    <mergeCell ref="I2204:K2204"/>
    <mergeCell ref="B2207:C2207"/>
    <mergeCell ref="D2207:N2207"/>
    <mergeCell ref="B2208:N2208"/>
    <mergeCell ref="B2209:C2209"/>
    <mergeCell ref="D2209:N2209"/>
    <mergeCell ref="B2177:C2177"/>
    <mergeCell ref="E2177:H2177"/>
    <mergeCell ref="I2177:K2177"/>
    <mergeCell ref="L2177:N2177"/>
    <mergeCell ref="B2178:C2178"/>
    <mergeCell ref="E2178:H2178"/>
    <mergeCell ref="I2178:K2199"/>
    <mergeCell ref="L2178:N2199"/>
    <mergeCell ref="B2179:H2179"/>
    <mergeCell ref="B2171:D2171"/>
    <mergeCell ref="I2171:K2171"/>
    <mergeCell ref="B2174:C2174"/>
    <mergeCell ref="D2174:N2174"/>
    <mergeCell ref="B2175:N2175"/>
    <mergeCell ref="B2176:C2176"/>
    <mergeCell ref="D2176:N2176"/>
    <mergeCell ref="B2243:C2243"/>
    <mergeCell ref="E2243:H2243"/>
    <mergeCell ref="I2243:K2243"/>
    <mergeCell ref="L2243:N2243"/>
    <mergeCell ref="E2244:H2244"/>
    <mergeCell ref="I2244:K2255"/>
    <mergeCell ref="L2244:N2255"/>
    <mergeCell ref="B2245:H2245"/>
    <mergeCell ref="B2237:D2237"/>
    <mergeCell ref="I2237:K2237"/>
    <mergeCell ref="B2240:C2240"/>
    <mergeCell ref="D2240:N2240"/>
    <mergeCell ref="B2241:N2241"/>
    <mergeCell ref="B2242:C2242"/>
    <mergeCell ref="D2242:N2242"/>
    <mergeCell ref="B2210:C2210"/>
    <mergeCell ref="E2210:H2210"/>
    <mergeCell ref="I2210:K2210"/>
    <mergeCell ref="L2210:N2210"/>
    <mergeCell ref="B2211:C2211"/>
    <mergeCell ref="E2211:H2211"/>
    <mergeCell ref="I2211:K2232"/>
    <mergeCell ref="L2211:N2232"/>
    <mergeCell ref="B2212:H2212"/>
    <mergeCell ref="E2267:H2267"/>
    <mergeCell ref="I2267:K2281"/>
    <mergeCell ref="L2267:N2281"/>
    <mergeCell ref="B2268:H2268"/>
    <mergeCell ref="B2286:D2286"/>
    <mergeCell ref="I2286:K2286"/>
    <mergeCell ref="B2263:C2263"/>
    <mergeCell ref="D2263:N2263"/>
    <mergeCell ref="B2264:N2264"/>
    <mergeCell ref="B2265:C2265"/>
    <mergeCell ref="D2265:N2265"/>
    <mergeCell ref="B2266:C2266"/>
    <mergeCell ref="E2266:H2266"/>
    <mergeCell ref="I2266:K2266"/>
    <mergeCell ref="L2266:N2266"/>
    <mergeCell ref="B2260:D2260"/>
    <mergeCell ref="I2260:K2260"/>
    <mergeCell ref="B2313:C2313"/>
    <mergeCell ref="D2313:N2313"/>
    <mergeCell ref="B2314:N2314"/>
    <mergeCell ref="B2315:C2315"/>
    <mergeCell ref="D2315:N2315"/>
    <mergeCell ref="B2316:C2316"/>
    <mergeCell ref="E2316:H2316"/>
    <mergeCell ref="I2316:K2316"/>
    <mergeCell ref="L2316:N2316"/>
    <mergeCell ref="E2293:H2293"/>
    <mergeCell ref="I2293:K2305"/>
    <mergeCell ref="L2293:N2305"/>
    <mergeCell ref="B2294:H2294"/>
    <mergeCell ref="B2310:D2310"/>
    <mergeCell ref="I2310:K2310"/>
    <mergeCell ref="B2289:C2289"/>
    <mergeCell ref="D2289:N2289"/>
    <mergeCell ref="B2290:N2290"/>
    <mergeCell ref="B2291:C2291"/>
    <mergeCell ref="D2291:N2291"/>
    <mergeCell ref="B2292:C2292"/>
    <mergeCell ref="E2292:H2292"/>
    <mergeCell ref="I2292:K2292"/>
    <mergeCell ref="L2292:N2292"/>
    <mergeCell ref="B2344:D2344"/>
    <mergeCell ref="I2344:K2344"/>
    <mergeCell ref="B2347:C2347"/>
    <mergeCell ref="D2347:N2347"/>
    <mergeCell ref="B2348:N2348"/>
    <mergeCell ref="B2349:C2349"/>
    <mergeCell ref="D2349:N2349"/>
    <mergeCell ref="B2317:C2317"/>
    <mergeCell ref="E2317:H2317"/>
    <mergeCell ref="I2317:K2339"/>
    <mergeCell ref="L2317:N2339"/>
    <mergeCell ref="B2318:H2318"/>
    <mergeCell ref="C2320:C2323"/>
    <mergeCell ref="C2324:C2325"/>
    <mergeCell ref="C2326:C2327"/>
    <mergeCell ref="C2328:C2329"/>
    <mergeCell ref="C2330:C2331"/>
    <mergeCell ref="B2379:C2379"/>
    <mergeCell ref="E2379:H2379"/>
    <mergeCell ref="I2379:K2379"/>
    <mergeCell ref="L2379:N2379"/>
    <mergeCell ref="B2380:C2380"/>
    <mergeCell ref="E2380:H2380"/>
    <mergeCell ref="I2380:K2401"/>
    <mergeCell ref="L2380:N2401"/>
    <mergeCell ref="B2381:H2381"/>
    <mergeCell ref="B2373:D2373"/>
    <mergeCell ref="I2373:K2373"/>
    <mergeCell ref="B2376:C2376"/>
    <mergeCell ref="D2376:N2376"/>
    <mergeCell ref="B2377:N2377"/>
    <mergeCell ref="B2378:C2378"/>
    <mergeCell ref="D2378:N2378"/>
    <mergeCell ref="B2350:C2350"/>
    <mergeCell ref="E2350:H2350"/>
    <mergeCell ref="I2350:K2350"/>
    <mergeCell ref="L2350:N2350"/>
    <mergeCell ref="E2351:H2351"/>
    <mergeCell ref="I2351:K2368"/>
    <mergeCell ref="L2351:N2368"/>
    <mergeCell ref="B2352:H2352"/>
    <mergeCell ref="B2412:C2412"/>
    <mergeCell ref="E2412:H2412"/>
    <mergeCell ref="I2412:K2412"/>
    <mergeCell ref="L2412:N2412"/>
    <mergeCell ref="B2413:C2413"/>
    <mergeCell ref="E2413:H2413"/>
    <mergeCell ref="I2413:K2434"/>
    <mergeCell ref="L2413:N2434"/>
    <mergeCell ref="B2414:H2414"/>
    <mergeCell ref="C2418:C2419"/>
    <mergeCell ref="B2406:D2406"/>
    <mergeCell ref="I2406:K2406"/>
    <mergeCell ref="B2409:C2409"/>
    <mergeCell ref="D2409:N2409"/>
    <mergeCell ref="B2410:N2410"/>
    <mergeCell ref="B2411:C2411"/>
    <mergeCell ref="D2411:N2411"/>
    <mergeCell ref="B2446:C2446"/>
    <mergeCell ref="E2446:H2446"/>
    <mergeCell ref="I2446:K2468"/>
    <mergeCell ref="L2446:N2468"/>
    <mergeCell ref="B2447:H2447"/>
    <mergeCell ref="C2450:C2451"/>
    <mergeCell ref="C2452:C2453"/>
    <mergeCell ref="C2454:C2455"/>
    <mergeCell ref="B2444:C2444"/>
    <mergeCell ref="D2444:N2444"/>
    <mergeCell ref="B2445:C2445"/>
    <mergeCell ref="E2445:H2445"/>
    <mergeCell ref="I2445:K2445"/>
    <mergeCell ref="L2445:N2445"/>
    <mergeCell ref="C2420:C2421"/>
    <mergeCell ref="B2439:D2439"/>
    <mergeCell ref="I2439:K2439"/>
    <mergeCell ref="B2442:C2442"/>
    <mergeCell ref="D2442:N2442"/>
    <mergeCell ref="B2443:N2443"/>
    <mergeCell ref="C2487:C2488"/>
    <mergeCell ref="B2506:D2506"/>
    <mergeCell ref="I2506:K2506"/>
    <mergeCell ref="B2509:C2509"/>
    <mergeCell ref="D2509:N2509"/>
    <mergeCell ref="B2510:N2510"/>
    <mergeCell ref="B2479:C2479"/>
    <mergeCell ref="E2479:H2479"/>
    <mergeCell ref="I2479:K2479"/>
    <mergeCell ref="L2479:N2479"/>
    <mergeCell ref="B2480:C2480"/>
    <mergeCell ref="E2480:H2480"/>
    <mergeCell ref="I2480:K2501"/>
    <mergeCell ref="L2480:N2501"/>
    <mergeCell ref="B2481:H2481"/>
    <mergeCell ref="C2485:C2486"/>
    <mergeCell ref="B2473:D2473"/>
    <mergeCell ref="I2473:K2473"/>
    <mergeCell ref="B2476:C2476"/>
    <mergeCell ref="D2476:N2476"/>
    <mergeCell ref="B2477:N2477"/>
    <mergeCell ref="B2478:C2478"/>
    <mergeCell ref="D2478:N2478"/>
    <mergeCell ref="B2541:C2541"/>
    <mergeCell ref="D2541:N2541"/>
    <mergeCell ref="B2542:N2542"/>
    <mergeCell ref="B2543:C2543"/>
    <mergeCell ref="D2543:N2543"/>
    <mergeCell ref="B2544:C2544"/>
    <mergeCell ref="E2544:H2544"/>
    <mergeCell ref="I2544:K2544"/>
    <mergeCell ref="L2544:N2544"/>
    <mergeCell ref="B2513:C2513"/>
    <mergeCell ref="E2513:H2513"/>
    <mergeCell ref="I2513:K2534"/>
    <mergeCell ref="L2513:N2534"/>
    <mergeCell ref="B2514:H2514"/>
    <mergeCell ref="B2539:D2539"/>
    <mergeCell ref="I2539:K2539"/>
    <mergeCell ref="B2511:C2511"/>
    <mergeCell ref="D2511:N2511"/>
    <mergeCell ref="B2512:C2512"/>
    <mergeCell ref="E2512:H2512"/>
    <mergeCell ref="I2512:K2512"/>
    <mergeCell ref="L2512:N2512"/>
    <mergeCell ref="E2578:H2578"/>
    <mergeCell ref="I2578:K2601"/>
    <mergeCell ref="L2578:N2601"/>
    <mergeCell ref="B2579:H2579"/>
    <mergeCell ref="B2574:C2574"/>
    <mergeCell ref="D2574:N2574"/>
    <mergeCell ref="B2575:N2575"/>
    <mergeCell ref="B2576:C2576"/>
    <mergeCell ref="D2576:N2576"/>
    <mergeCell ref="B2577:C2577"/>
    <mergeCell ref="E2577:H2577"/>
    <mergeCell ref="I2577:K2577"/>
    <mergeCell ref="L2577:N2577"/>
    <mergeCell ref="B2545:C2545"/>
    <mergeCell ref="E2545:H2545"/>
    <mergeCell ref="I2545:K2566"/>
    <mergeCell ref="L2545:N2566"/>
    <mergeCell ref="B2546:H2546"/>
    <mergeCell ref="B2571:D2571"/>
    <mergeCell ref="I2571:K2571"/>
    <mergeCell ref="B2640:D2640"/>
    <mergeCell ref="I2640:K2640"/>
    <mergeCell ref="B2643:C2643"/>
    <mergeCell ref="D2643:N2643"/>
    <mergeCell ref="B2644:N2644"/>
    <mergeCell ref="B2645:C2645"/>
    <mergeCell ref="D2645:N2645"/>
    <mergeCell ref="B2613:C2613"/>
    <mergeCell ref="E2613:H2613"/>
    <mergeCell ref="I2613:K2613"/>
    <mergeCell ref="L2613:N2613"/>
    <mergeCell ref="E2614:H2614"/>
    <mergeCell ref="I2614:K2635"/>
    <mergeCell ref="L2614:N2635"/>
    <mergeCell ref="B2615:H2615"/>
    <mergeCell ref="B2606:D2606"/>
    <mergeCell ref="I2606:K2606"/>
    <mergeCell ref="B2610:C2610"/>
    <mergeCell ref="D2610:N2610"/>
    <mergeCell ref="B2611:N2611"/>
    <mergeCell ref="B2612:C2612"/>
    <mergeCell ref="D2612:N2612"/>
    <mergeCell ref="B2679:C2679"/>
    <mergeCell ref="E2679:H2679"/>
    <mergeCell ref="I2679:K2679"/>
    <mergeCell ref="L2679:N2679"/>
    <mergeCell ref="E2680:H2680"/>
    <mergeCell ref="I2680:K2702"/>
    <mergeCell ref="L2680:N2702"/>
    <mergeCell ref="B2681:H2681"/>
    <mergeCell ref="B2673:D2673"/>
    <mergeCell ref="I2673:K2673"/>
    <mergeCell ref="B2676:C2676"/>
    <mergeCell ref="D2676:N2676"/>
    <mergeCell ref="B2677:N2677"/>
    <mergeCell ref="B2678:C2678"/>
    <mergeCell ref="D2678:N2678"/>
    <mergeCell ref="B2646:C2646"/>
    <mergeCell ref="E2646:H2646"/>
    <mergeCell ref="I2646:K2646"/>
    <mergeCell ref="L2646:N2646"/>
    <mergeCell ref="B2647:C2647"/>
    <mergeCell ref="E2647:H2647"/>
    <mergeCell ref="I2647:K2668"/>
    <mergeCell ref="L2647:N2668"/>
    <mergeCell ref="B2648:H2648"/>
    <mergeCell ref="B2740:D2740"/>
    <mergeCell ref="I2740:K2740"/>
    <mergeCell ref="B2743:C2743"/>
    <mergeCell ref="D2743:N2743"/>
    <mergeCell ref="B2744:N2744"/>
    <mergeCell ref="B2745:C2745"/>
    <mergeCell ref="D2745:N2745"/>
    <mergeCell ref="B2713:C2713"/>
    <mergeCell ref="E2713:H2713"/>
    <mergeCell ref="I2713:K2713"/>
    <mergeCell ref="L2713:N2713"/>
    <mergeCell ref="B2714:C2714"/>
    <mergeCell ref="E2714:H2714"/>
    <mergeCell ref="I2714:K2735"/>
    <mergeCell ref="L2714:N2735"/>
    <mergeCell ref="B2715:H2715"/>
    <mergeCell ref="B2707:D2707"/>
    <mergeCell ref="I2707:K2707"/>
    <mergeCell ref="B2710:C2710"/>
    <mergeCell ref="D2710:N2710"/>
    <mergeCell ref="B2711:N2711"/>
    <mergeCell ref="B2712:C2712"/>
    <mergeCell ref="D2712:N2712"/>
    <mergeCell ref="B2780:C2780"/>
    <mergeCell ref="D2780:N2780"/>
    <mergeCell ref="B2781:N2781"/>
    <mergeCell ref="B2782:C2782"/>
    <mergeCell ref="D2782:N2782"/>
    <mergeCell ref="B2783:C2783"/>
    <mergeCell ref="E2783:H2783"/>
    <mergeCell ref="I2783:K2783"/>
    <mergeCell ref="L2783:N2783"/>
    <mergeCell ref="C2754:C2755"/>
    <mergeCell ref="C2756:C2759"/>
    <mergeCell ref="C2760:C2763"/>
    <mergeCell ref="C2764:C2767"/>
    <mergeCell ref="B2777:D2777"/>
    <mergeCell ref="I2777:K2777"/>
    <mergeCell ref="B2746:C2746"/>
    <mergeCell ref="E2746:H2746"/>
    <mergeCell ref="I2746:K2746"/>
    <mergeCell ref="L2746:N2746"/>
    <mergeCell ref="B2747:C2747"/>
    <mergeCell ref="E2747:H2747"/>
    <mergeCell ref="I2747:K2772"/>
    <mergeCell ref="L2747:N2772"/>
    <mergeCell ref="B2748:H2748"/>
    <mergeCell ref="C2750:C2753"/>
    <mergeCell ref="B2819:C2819"/>
    <mergeCell ref="E2819:H2819"/>
    <mergeCell ref="I2819:K2819"/>
    <mergeCell ref="L2819:N2819"/>
    <mergeCell ref="B2820:C2820"/>
    <mergeCell ref="E2820:H2820"/>
    <mergeCell ref="I2820:K2841"/>
    <mergeCell ref="L2820:N2841"/>
    <mergeCell ref="B2821:H2821"/>
    <mergeCell ref="B2813:D2813"/>
    <mergeCell ref="I2813:K2813"/>
    <mergeCell ref="B2816:C2816"/>
    <mergeCell ref="D2816:N2816"/>
    <mergeCell ref="B2817:N2817"/>
    <mergeCell ref="B2818:C2818"/>
    <mergeCell ref="D2818:N2818"/>
    <mergeCell ref="B2784:C2784"/>
    <mergeCell ref="E2784:H2784"/>
    <mergeCell ref="I2784:K2808"/>
    <mergeCell ref="L2784:N2808"/>
    <mergeCell ref="B2785:H2785"/>
    <mergeCell ref="C2787:C2790"/>
    <mergeCell ref="C2791:C2792"/>
    <mergeCell ref="C2793:C2796"/>
    <mergeCell ref="C2797:C2800"/>
    <mergeCell ref="C2801:C2804"/>
    <mergeCell ref="B2879:D2879"/>
    <mergeCell ref="I2879:K2879"/>
    <mergeCell ref="B2852:C2852"/>
    <mergeCell ref="E2852:H2852"/>
    <mergeCell ref="I2852:K2852"/>
    <mergeCell ref="L2852:N2852"/>
    <mergeCell ref="B2853:C2853"/>
    <mergeCell ref="E2853:H2853"/>
    <mergeCell ref="I2853:K2874"/>
    <mergeCell ref="L2853:N2874"/>
    <mergeCell ref="B2854:H2854"/>
    <mergeCell ref="B2846:D2846"/>
    <mergeCell ref="I2846:K2846"/>
    <mergeCell ref="B2849:C2849"/>
    <mergeCell ref="D2849:N2849"/>
    <mergeCell ref="B2850:N2850"/>
    <mergeCell ref="B2851:C2851"/>
    <mergeCell ref="D2851:N2851"/>
    <mergeCell ref="E2909:H2909"/>
    <mergeCell ref="B2938:D2938"/>
    <mergeCell ref="I2938:K2938"/>
    <mergeCell ref="C2890:C2891"/>
    <mergeCell ref="I2909:K2909"/>
    <mergeCell ref="B2883:C2883"/>
    <mergeCell ref="D2883:N2883"/>
    <mergeCell ref="B2884:N2884"/>
    <mergeCell ref="B2885:C2885"/>
    <mergeCell ref="D2885:N2885"/>
    <mergeCell ref="B2886:C2886"/>
    <mergeCell ref="E2886:H2886"/>
    <mergeCell ref="I2886:K2886"/>
    <mergeCell ref="L2886:N2886"/>
    <mergeCell ref="E2887:H2887"/>
    <mergeCell ref="I2887:K2899"/>
    <mergeCell ref="L2887:N2899"/>
    <mergeCell ref="B2888:H2888"/>
    <mergeCell ref="B2903:D2903"/>
    <mergeCell ref="I2903:K2903"/>
    <mergeCell ref="B2906:C2906"/>
    <mergeCell ref="D2906:N2906"/>
    <mergeCell ref="B2907:N2907"/>
    <mergeCell ref="B2908:C2908"/>
    <mergeCell ref="B2909:C2909"/>
    <mergeCell ref="C2917:C2918"/>
    <mergeCell ref="C2919:C2920"/>
    <mergeCell ref="C2923:C2924"/>
    <mergeCell ref="D2927:D2928"/>
    <mergeCell ref="D2925:D2926"/>
    <mergeCell ref="C2927:C2928"/>
    <mergeCell ref="I2910:K2934"/>
    <mergeCell ref="C15:C17"/>
    <mergeCell ref="C12:C14"/>
    <mergeCell ref="C47:C49"/>
    <mergeCell ref="C50:C52"/>
    <mergeCell ref="C53:C55"/>
    <mergeCell ref="C56:C57"/>
    <mergeCell ref="C58:C60"/>
    <mergeCell ref="C88:C90"/>
    <mergeCell ref="B155:C155"/>
    <mergeCell ref="D155:N155"/>
    <mergeCell ref="B156:N156"/>
    <mergeCell ref="B2943:C2943"/>
    <mergeCell ref="D2943:N2943"/>
    <mergeCell ref="B2944:C2944"/>
    <mergeCell ref="E2944:H2944"/>
    <mergeCell ref="B2941:C2941"/>
    <mergeCell ref="D2941:N2941"/>
    <mergeCell ref="C2925:C2926"/>
    <mergeCell ref="C2931:C2932"/>
    <mergeCell ref="D2913:D2914"/>
    <mergeCell ref="D2908:N2908"/>
    <mergeCell ref="L2909:N2909"/>
    <mergeCell ref="E2910:H2910"/>
    <mergeCell ref="B2942:N2942"/>
    <mergeCell ref="D2915:D2916"/>
    <mergeCell ref="C2913:C2914"/>
    <mergeCell ref="D2917:D2918"/>
    <mergeCell ref="D2919:D2920"/>
    <mergeCell ref="C2921:C2922"/>
    <mergeCell ref="D2921:D2922"/>
    <mergeCell ref="D2923:D2924"/>
    <mergeCell ref="C2915:C2916"/>
    <mergeCell ref="B6076:C6076"/>
    <mergeCell ref="E6076:H6076"/>
    <mergeCell ref="I6076:K6076"/>
    <mergeCell ref="L6076:N6076"/>
    <mergeCell ref="E6077:H6077"/>
    <mergeCell ref="I6077:K6089"/>
    <mergeCell ref="L6077:N6089"/>
    <mergeCell ref="B6078:H6078"/>
    <mergeCell ref="L2910:N2934"/>
    <mergeCell ref="B2911:H2911"/>
    <mergeCell ref="I2944:K2944"/>
    <mergeCell ref="L2944:N2944"/>
    <mergeCell ref="E2945:H2945"/>
    <mergeCell ref="I2945:K2954"/>
    <mergeCell ref="L2945:N2954"/>
    <mergeCell ref="B2946:H2946"/>
    <mergeCell ref="B2958:D2958"/>
    <mergeCell ref="B6051:C6051"/>
    <mergeCell ref="D6051:N6051"/>
    <mergeCell ref="B6052:N6052"/>
    <mergeCell ref="B6053:C6053"/>
    <mergeCell ref="D6053:N6053"/>
    <mergeCell ref="B6054:C6054"/>
    <mergeCell ref="E6054:H6054"/>
    <mergeCell ref="I6054:K6054"/>
    <mergeCell ref="L6054:N6054"/>
    <mergeCell ref="I2958:K2958"/>
    <mergeCell ref="B2960:C2960"/>
    <mergeCell ref="D2960:N2960"/>
    <mergeCell ref="B2961:N2961"/>
    <mergeCell ref="B2962:C2962"/>
    <mergeCell ref="D2962:N2962"/>
    <mergeCell ref="B6093:D6093"/>
    <mergeCell ref="I6093:K6093"/>
    <mergeCell ref="B3178:C3178"/>
    <mergeCell ref="D3178:N3178"/>
    <mergeCell ref="B3179:N3179"/>
    <mergeCell ref="B3180:C3180"/>
    <mergeCell ref="D3180:N3180"/>
    <mergeCell ref="B3181:C3181"/>
    <mergeCell ref="E3181:H3181"/>
    <mergeCell ref="I3181:K3181"/>
    <mergeCell ref="L3181:N3181"/>
    <mergeCell ref="E3182:H3182"/>
    <mergeCell ref="I3182:K3194"/>
    <mergeCell ref="L3182:N3194"/>
    <mergeCell ref="B3183:H3183"/>
    <mergeCell ref="B3198:D3198"/>
    <mergeCell ref="I3198:K3198"/>
    <mergeCell ref="B4544:C4544"/>
    <mergeCell ref="D4544:N4544"/>
    <mergeCell ref="B4545:N4545"/>
    <mergeCell ref="B4546:C4546"/>
    <mergeCell ref="E6055:H6055"/>
    <mergeCell ref="I6055:K6067"/>
    <mergeCell ref="L6055:N6067"/>
    <mergeCell ref="B6056:H6056"/>
    <mergeCell ref="B6071:D6071"/>
    <mergeCell ref="I6071:K6071"/>
    <mergeCell ref="B6073:C6073"/>
    <mergeCell ref="D6073:N6073"/>
    <mergeCell ref="B6074:N6074"/>
    <mergeCell ref="B6075:C6075"/>
    <mergeCell ref="D6075:N6075"/>
  </mergeCells>
  <dataValidations count="1">
    <dataValidation allowBlank="1" showInputMessage="1" showErrorMessage="1" sqref="B9 B44 B74 B105 B135 B190 B221 B281 B392 B421 B587 B615 B649 B1357 B1393 B1421 B1450 B1485 B1511 B159 B1544 B1609 B1642 B1702 B1727 B1759 B1790 B1815 B1842 B1877 B1910 B1936 B1996 B2020 B2045 B2068 B2130 B2153 B2244 B2267 B2293 B2351 B2578 B2614 B2680 B2887 B2910 B2945 B2964 B2986 B3008 B3028 B3050 B3072 B3094 B3116 B3205 B3227 B3250 B3272 B3294 B3316 B3338 B3360 B3382 B3404 B3426 B3448 B3470 B3492 B3514 B3536 B3558 B3580 B3602 B3624 B3646 B3668 B3690 B3712 B3734 B3756 B3778 B3800 B3822 B3844 B3866 B3888 B3910 B3932 B3954 B3976 B3998 B4020 B4042 B4064 B4086 B4108 B4130 B4152 B4174 B4196 B4218 B4240 B4262 B4284 B4306 B4328 B4350 B4372 B4394 B4416 B4438 B4460 B4482 B4504 B4526 B4577 B4599 B4621 B4643 B4665 B4687 B4709 B4731 B4753 B4775 B4797 B4819 B4841 B4888 B4910 B4932 B4954 B4976 B4998 B5020 B5042 B5064 B5086 B5108 B5130 B5152 B5174 B5196 B5218 B5240 B5262 B5284 B3160 B3138 B5306 B5328 B5350 B5372 B5394 B5416 B5438 B5460 B5504 B5526 B5548 B5570 B5592 B5614 B5636 B5658 B5680 B5702 B5724 B5746 B5768 B5790 B5812 B5834 B5856 B5878 B5901 B5923 B5945 B5967 B5989 B6011 B6033 B5482 B6055 B6077 B3182 B4548 B4863" xr:uid="{92901B9E-D531-4BE4-A8F1-EB5717FB9463}"/>
  </dataValidations>
  <pageMargins left="0.7" right="0.7" top="0.75" bottom="0.75" header="0" footer="0"/>
  <pageSetup scale="48" orientation="portrait"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00"/>
  <sheetViews>
    <sheetView showGridLines="0" workbookViewId="0"/>
  </sheetViews>
  <sheetFormatPr baseColWidth="10" defaultColWidth="14.42578125" defaultRowHeight="15" customHeight="1" x14ac:dyDescent="0.25"/>
  <cols>
    <col min="1" max="1" width="40.85546875" customWidth="1"/>
    <col min="2" max="2" width="9.7109375" customWidth="1"/>
    <col min="3" max="3" width="30.140625" customWidth="1"/>
    <col min="4" max="4" width="20.85546875" customWidth="1"/>
    <col min="5" max="5" width="36.140625" customWidth="1"/>
    <col min="6" max="6" width="10.42578125" customWidth="1"/>
    <col min="7" max="26" width="11.42578125" customWidth="1"/>
  </cols>
  <sheetData>
    <row r="1" spans="1:26" ht="15.75" x14ac:dyDescent="0.25">
      <c r="A1" s="169"/>
      <c r="B1" s="169"/>
      <c r="C1" s="169"/>
      <c r="D1" s="169"/>
      <c r="E1" s="169"/>
      <c r="F1" s="169"/>
      <c r="G1" s="169"/>
      <c r="H1" s="169"/>
      <c r="I1" s="169"/>
      <c r="J1" s="169"/>
      <c r="K1" s="169"/>
      <c r="L1" s="169"/>
      <c r="M1" s="169"/>
      <c r="N1" s="169"/>
      <c r="O1" s="169"/>
      <c r="P1" s="169"/>
      <c r="Q1" s="169"/>
      <c r="R1" s="169"/>
      <c r="S1" s="169"/>
      <c r="T1" s="169"/>
      <c r="U1" s="169"/>
      <c r="V1" s="169"/>
      <c r="W1" s="169"/>
      <c r="X1" s="169"/>
      <c r="Y1" s="169"/>
      <c r="Z1" s="169"/>
    </row>
    <row r="2" spans="1:26" ht="15.75" x14ac:dyDescent="0.25">
      <c r="A2" s="169"/>
      <c r="B2" s="811" t="e">
        <f>+#REF!</f>
        <v>#REF!</v>
      </c>
      <c r="C2" s="747"/>
      <c r="D2" s="747"/>
      <c r="E2" s="747"/>
      <c r="F2" s="170"/>
      <c r="G2" s="169"/>
      <c r="H2" s="169"/>
      <c r="I2" s="169"/>
      <c r="J2" s="169"/>
      <c r="K2" s="169"/>
      <c r="L2" s="169"/>
      <c r="M2" s="169"/>
      <c r="N2" s="169"/>
      <c r="O2" s="169"/>
      <c r="P2" s="169"/>
      <c r="Q2" s="169"/>
      <c r="R2" s="169"/>
      <c r="S2" s="169"/>
      <c r="T2" s="169"/>
      <c r="U2" s="169"/>
      <c r="V2" s="169"/>
      <c r="W2" s="169"/>
      <c r="X2" s="169"/>
      <c r="Y2" s="169"/>
      <c r="Z2" s="169"/>
    </row>
    <row r="3" spans="1:26" ht="15.75" x14ac:dyDescent="0.25">
      <c r="A3" s="171"/>
      <c r="B3" s="747"/>
      <c r="C3" s="747"/>
      <c r="D3" s="747"/>
      <c r="E3" s="747"/>
      <c r="F3" s="170"/>
      <c r="G3" s="169"/>
      <c r="H3" s="169"/>
      <c r="I3" s="169"/>
      <c r="J3" s="169"/>
      <c r="K3" s="169"/>
      <c r="L3" s="169"/>
      <c r="M3" s="169"/>
      <c r="N3" s="169"/>
      <c r="O3" s="169"/>
      <c r="P3" s="169"/>
      <c r="Q3" s="169"/>
      <c r="R3" s="169"/>
      <c r="S3" s="169"/>
      <c r="T3" s="169"/>
      <c r="U3" s="169"/>
      <c r="V3" s="169"/>
      <c r="W3" s="169"/>
      <c r="X3" s="169"/>
      <c r="Y3" s="169"/>
      <c r="Z3" s="169"/>
    </row>
    <row r="4" spans="1:26" ht="15.75" x14ac:dyDescent="0.25">
      <c r="A4" s="171"/>
      <c r="B4" s="170"/>
      <c r="C4" s="170"/>
      <c r="D4" s="170"/>
      <c r="E4" s="170"/>
      <c r="F4" s="170"/>
      <c r="G4" s="169"/>
      <c r="H4" s="169"/>
      <c r="I4" s="169"/>
      <c r="J4" s="169"/>
      <c r="K4" s="169"/>
      <c r="L4" s="169"/>
      <c r="M4" s="169"/>
      <c r="N4" s="169"/>
      <c r="O4" s="169"/>
      <c r="P4" s="169"/>
      <c r="Q4" s="169"/>
      <c r="R4" s="169"/>
      <c r="S4" s="169"/>
      <c r="T4" s="169"/>
      <c r="U4" s="169"/>
      <c r="V4" s="169"/>
      <c r="W4" s="169"/>
      <c r="X4" s="169"/>
      <c r="Y4" s="169"/>
      <c r="Z4" s="169"/>
    </row>
    <row r="5" spans="1:26" ht="15.75" x14ac:dyDescent="0.25">
      <c r="A5" s="172" t="s">
        <v>7</v>
      </c>
      <c r="B5" s="169">
        <f>+Buenaventura!F7</f>
        <v>0</v>
      </c>
      <c r="C5" s="169"/>
      <c r="D5" s="169"/>
      <c r="E5" s="169"/>
      <c r="F5" s="169"/>
      <c r="G5" s="169"/>
      <c r="H5" s="169"/>
      <c r="I5" s="169"/>
      <c r="J5" s="169"/>
      <c r="K5" s="169"/>
      <c r="L5" s="169"/>
      <c r="M5" s="169"/>
      <c r="N5" s="169"/>
      <c r="O5" s="169"/>
      <c r="P5" s="169"/>
      <c r="Q5" s="169"/>
      <c r="R5" s="169"/>
      <c r="S5" s="169"/>
      <c r="T5" s="169"/>
      <c r="U5" s="169"/>
      <c r="V5" s="169"/>
      <c r="W5" s="169"/>
      <c r="X5" s="169"/>
      <c r="Y5" s="169"/>
      <c r="Z5" s="169"/>
    </row>
    <row r="6" spans="1:26" ht="15.75" x14ac:dyDescent="0.25">
      <c r="A6" s="172"/>
      <c r="B6" s="169"/>
      <c r="C6" s="169"/>
      <c r="D6" s="169"/>
      <c r="E6" s="169"/>
      <c r="F6" s="169"/>
      <c r="G6" s="169"/>
      <c r="H6" s="169"/>
      <c r="I6" s="169"/>
      <c r="J6" s="169"/>
      <c r="K6" s="169"/>
      <c r="L6" s="169"/>
      <c r="M6" s="169"/>
      <c r="N6" s="169"/>
      <c r="O6" s="169"/>
      <c r="P6" s="169"/>
      <c r="Q6" s="169"/>
      <c r="R6" s="169"/>
      <c r="S6" s="169"/>
      <c r="T6" s="169"/>
      <c r="U6" s="169"/>
      <c r="V6" s="169"/>
      <c r="W6" s="169"/>
      <c r="X6" s="169"/>
      <c r="Y6" s="169"/>
      <c r="Z6" s="169"/>
    </row>
    <row r="7" spans="1:26" ht="15.75" x14ac:dyDescent="0.25">
      <c r="A7" s="172" t="s">
        <v>631</v>
      </c>
      <c r="B7" s="812">
        <f>+Buenaventura!G8</f>
        <v>0</v>
      </c>
      <c r="C7" s="747"/>
      <c r="D7" s="169"/>
      <c r="E7" s="169"/>
      <c r="F7" s="169"/>
      <c r="G7" s="169"/>
      <c r="H7" s="169"/>
      <c r="I7" s="169"/>
      <c r="J7" s="169"/>
      <c r="K7" s="169"/>
      <c r="L7" s="169"/>
      <c r="M7" s="169"/>
      <c r="N7" s="169"/>
      <c r="O7" s="169"/>
      <c r="P7" s="169"/>
      <c r="Q7" s="169"/>
      <c r="R7" s="169"/>
      <c r="S7" s="169"/>
      <c r="T7" s="169"/>
      <c r="U7" s="169"/>
      <c r="V7" s="169"/>
      <c r="W7" s="169"/>
      <c r="X7" s="169"/>
      <c r="Y7" s="169"/>
      <c r="Z7" s="169"/>
    </row>
    <row r="8" spans="1:26" ht="15.75" x14ac:dyDescent="0.25">
      <c r="A8" s="172" t="s">
        <v>632</v>
      </c>
      <c r="B8" s="173" t="s">
        <v>633</v>
      </c>
      <c r="C8" s="169"/>
      <c r="D8" s="169"/>
      <c r="E8" s="169"/>
      <c r="F8" s="169"/>
      <c r="G8" s="169"/>
      <c r="H8" s="169"/>
      <c r="I8" s="169"/>
      <c r="J8" s="169"/>
      <c r="K8" s="169"/>
      <c r="L8" s="169"/>
      <c r="M8" s="169"/>
      <c r="N8" s="169"/>
      <c r="O8" s="169"/>
      <c r="P8" s="169"/>
      <c r="Q8" s="169"/>
      <c r="R8" s="169"/>
      <c r="S8" s="169"/>
      <c r="T8" s="169"/>
      <c r="U8" s="169"/>
      <c r="V8" s="169"/>
      <c r="W8" s="169"/>
      <c r="X8" s="169"/>
      <c r="Y8" s="169"/>
      <c r="Z8" s="169"/>
    </row>
    <row r="9" spans="1:26" ht="15.75" x14ac:dyDescent="0.25">
      <c r="A9" s="172"/>
      <c r="B9" s="169"/>
      <c r="C9" s="169"/>
      <c r="D9" s="169"/>
      <c r="E9" s="169"/>
      <c r="F9" s="169"/>
      <c r="G9" s="169"/>
      <c r="H9" s="169"/>
      <c r="I9" s="169"/>
      <c r="J9" s="169"/>
      <c r="K9" s="169"/>
      <c r="L9" s="169"/>
      <c r="M9" s="169"/>
      <c r="N9" s="169"/>
      <c r="O9" s="169"/>
      <c r="P9" s="169"/>
      <c r="Q9" s="169"/>
      <c r="R9" s="169"/>
      <c r="S9" s="169"/>
      <c r="T9" s="169"/>
      <c r="U9" s="169"/>
      <c r="V9" s="169"/>
      <c r="W9" s="169"/>
      <c r="X9" s="169"/>
      <c r="Y9" s="169"/>
      <c r="Z9" s="169"/>
    </row>
    <row r="10" spans="1:26" ht="15.75" x14ac:dyDescent="0.25">
      <c r="A10" s="172" t="s">
        <v>634</v>
      </c>
      <c r="B10" s="174">
        <v>2</v>
      </c>
      <c r="C10" s="169" t="s">
        <v>635</v>
      </c>
      <c r="D10" s="169"/>
      <c r="E10" s="169"/>
      <c r="F10" s="169"/>
      <c r="G10" s="169"/>
      <c r="H10" s="169"/>
      <c r="I10" s="169"/>
      <c r="J10" s="169"/>
      <c r="K10" s="169"/>
      <c r="L10" s="169"/>
      <c r="M10" s="169"/>
      <c r="N10" s="169"/>
      <c r="O10" s="169"/>
      <c r="P10" s="169"/>
      <c r="Q10" s="169"/>
      <c r="R10" s="169"/>
      <c r="S10" s="169"/>
      <c r="T10" s="169"/>
      <c r="U10" s="169"/>
      <c r="V10" s="169"/>
      <c r="W10" s="169"/>
      <c r="X10" s="169"/>
      <c r="Y10" s="169"/>
      <c r="Z10" s="169"/>
    </row>
    <row r="11" spans="1:26" ht="15.75" x14ac:dyDescent="0.25">
      <c r="A11" s="172" t="s">
        <v>636</v>
      </c>
      <c r="B11" s="169" t="s">
        <v>637</v>
      </c>
      <c r="C11" s="169"/>
      <c r="D11" s="169"/>
      <c r="E11" s="169"/>
      <c r="F11" s="169"/>
      <c r="G11" s="169"/>
      <c r="H11" s="169"/>
      <c r="I11" s="169"/>
      <c r="J11" s="169"/>
      <c r="K11" s="169"/>
      <c r="L11" s="169"/>
      <c r="M11" s="169"/>
      <c r="N11" s="169"/>
      <c r="O11" s="169"/>
      <c r="P11" s="169"/>
      <c r="Q11" s="169"/>
      <c r="R11" s="169"/>
      <c r="S11" s="169"/>
      <c r="T11" s="169"/>
      <c r="U11" s="169"/>
      <c r="V11" s="169"/>
      <c r="W11" s="169"/>
      <c r="X11" s="169"/>
      <c r="Y11" s="169"/>
      <c r="Z11" s="169"/>
    </row>
    <row r="12" spans="1:26" ht="15.75" x14ac:dyDescent="0.25">
      <c r="A12" s="172" t="s">
        <v>638</v>
      </c>
      <c r="B12" s="169">
        <f>+Buenaventura!A4</f>
        <v>0</v>
      </c>
      <c r="C12" s="169"/>
      <c r="D12" s="169"/>
      <c r="E12" s="169"/>
      <c r="F12" s="169"/>
      <c r="G12" s="169"/>
      <c r="H12" s="169"/>
      <c r="I12" s="169"/>
      <c r="J12" s="169"/>
      <c r="K12" s="169"/>
      <c r="L12" s="169"/>
      <c r="M12" s="169"/>
      <c r="N12" s="169"/>
      <c r="O12" s="169"/>
      <c r="P12" s="169"/>
      <c r="Q12" s="169"/>
      <c r="R12" s="169"/>
      <c r="S12" s="169"/>
      <c r="T12" s="169"/>
      <c r="U12" s="169"/>
      <c r="V12" s="169"/>
      <c r="W12" s="169"/>
      <c r="X12" s="169"/>
      <c r="Y12" s="169"/>
      <c r="Z12" s="169"/>
    </row>
    <row r="13" spans="1:26" ht="15.75" x14ac:dyDescent="0.25">
      <c r="A13" s="172" t="s">
        <v>18</v>
      </c>
      <c r="B13" s="169">
        <f>+Buenaventura!A14:C14</f>
        <v>0</v>
      </c>
      <c r="C13" s="169"/>
      <c r="D13" s="169"/>
      <c r="E13" s="169"/>
      <c r="F13" s="169"/>
      <c r="G13" s="169"/>
      <c r="H13" s="169"/>
      <c r="I13" s="169"/>
      <c r="J13" s="169"/>
      <c r="K13" s="169"/>
      <c r="L13" s="169"/>
      <c r="M13" s="169"/>
      <c r="N13" s="169"/>
      <c r="O13" s="169"/>
      <c r="P13" s="169"/>
      <c r="Q13" s="169"/>
      <c r="R13" s="169"/>
      <c r="S13" s="169"/>
      <c r="T13" s="169"/>
      <c r="U13" s="169"/>
      <c r="V13" s="169"/>
      <c r="W13" s="169"/>
      <c r="X13" s="169"/>
      <c r="Y13" s="169"/>
      <c r="Z13" s="169"/>
    </row>
    <row r="14" spans="1:26" ht="15.75" x14ac:dyDescent="0.25">
      <c r="A14" s="172"/>
      <c r="B14" s="169"/>
      <c r="C14" s="169"/>
      <c r="D14" s="169"/>
      <c r="E14" s="169"/>
      <c r="F14" s="169"/>
      <c r="G14" s="169"/>
      <c r="H14" s="169"/>
      <c r="I14" s="169"/>
      <c r="J14" s="169"/>
      <c r="K14" s="169"/>
      <c r="L14" s="169"/>
      <c r="M14" s="169"/>
      <c r="N14" s="169"/>
      <c r="O14" s="169"/>
      <c r="P14" s="169"/>
      <c r="Q14" s="169"/>
      <c r="R14" s="169"/>
      <c r="S14" s="169"/>
      <c r="T14" s="169"/>
      <c r="U14" s="169"/>
      <c r="V14" s="169"/>
      <c r="W14" s="169"/>
      <c r="X14" s="169"/>
      <c r="Y14" s="169"/>
      <c r="Z14" s="169"/>
    </row>
    <row r="15" spans="1:26" ht="15.75" x14ac:dyDescent="0.25">
      <c r="A15" s="172" t="s">
        <v>639</v>
      </c>
      <c r="B15" s="813" t="str">
        <f>+Buenaventura!H4</f>
        <v>CONTRATAR EN NOMBRE DE LA NACIÓN – CONSEJO SUPERIOR DE LA JUDICATURA – DIRECCIÓN SECCIONAL DE ADMINISTRACIÓN JUDICIAL DE CALI – VALLE DEL CAUCA, EL MANTENIMIENTO Y REPARACIONES LOCATIVAS DE LOS INMUEBLES PALACIO NACIONAL DE BUENAVENTURA Y SEDE JUDICIAL TRANSFERENCIAS DE BUENAVENTURA, INCLUYENDO MATERIALES A TODO COSTO.</v>
      </c>
      <c r="C15" s="747"/>
      <c r="D15" s="747"/>
      <c r="E15" s="747"/>
      <c r="F15" s="175"/>
      <c r="G15" s="169"/>
      <c r="H15" s="169"/>
      <c r="I15" s="169"/>
      <c r="J15" s="169"/>
      <c r="K15" s="169"/>
      <c r="L15" s="169"/>
      <c r="M15" s="169"/>
      <c r="N15" s="169"/>
      <c r="O15" s="169"/>
      <c r="P15" s="169"/>
      <c r="Q15" s="169"/>
      <c r="R15" s="169"/>
      <c r="S15" s="169"/>
      <c r="T15" s="169"/>
      <c r="U15" s="169"/>
      <c r="V15" s="169"/>
      <c r="W15" s="169"/>
      <c r="X15" s="169"/>
      <c r="Y15" s="169"/>
      <c r="Z15" s="169"/>
    </row>
    <row r="16" spans="1:26" ht="114.75" customHeight="1" x14ac:dyDescent="0.25">
      <c r="A16" s="169"/>
      <c r="B16" s="747"/>
      <c r="C16" s="747"/>
      <c r="D16" s="747"/>
      <c r="E16" s="747"/>
      <c r="F16" s="175"/>
      <c r="G16" s="169"/>
      <c r="H16" s="169"/>
      <c r="I16" s="169"/>
      <c r="J16" s="169"/>
      <c r="K16" s="169"/>
      <c r="L16" s="169"/>
      <c r="M16" s="169"/>
      <c r="N16" s="169"/>
      <c r="O16" s="169"/>
      <c r="P16" s="169"/>
      <c r="Q16" s="169"/>
      <c r="R16" s="169"/>
      <c r="S16" s="169"/>
      <c r="T16" s="169"/>
      <c r="U16" s="169"/>
      <c r="V16" s="169"/>
      <c r="W16" s="169"/>
      <c r="X16" s="169"/>
      <c r="Y16" s="169"/>
      <c r="Z16" s="169"/>
    </row>
    <row r="17" spans="1:26" ht="15.75" x14ac:dyDescent="0.25">
      <c r="A17" s="169"/>
      <c r="B17" s="169"/>
      <c r="C17" s="169"/>
      <c r="D17" s="169"/>
      <c r="E17" s="169"/>
      <c r="F17" s="169"/>
      <c r="G17" s="169"/>
      <c r="H17" s="169"/>
      <c r="I17" s="169"/>
      <c r="J17" s="169"/>
      <c r="K17" s="169"/>
      <c r="L17" s="169"/>
      <c r="M17" s="169"/>
      <c r="N17" s="169"/>
      <c r="O17" s="169"/>
      <c r="P17" s="169"/>
      <c r="Q17" s="169"/>
      <c r="R17" s="169"/>
      <c r="S17" s="169"/>
      <c r="T17" s="169"/>
      <c r="U17" s="169"/>
      <c r="V17" s="169"/>
      <c r="W17" s="169"/>
      <c r="X17" s="169"/>
      <c r="Y17" s="169"/>
      <c r="Z17" s="169"/>
    </row>
    <row r="18" spans="1:26" ht="15.75" x14ac:dyDescent="0.25">
      <c r="A18" s="814" t="s">
        <v>640</v>
      </c>
      <c r="B18" s="747"/>
      <c r="C18" s="747"/>
      <c r="D18" s="747"/>
      <c r="E18" s="747"/>
      <c r="F18" s="747"/>
      <c r="G18" s="169"/>
      <c r="H18" s="169"/>
      <c r="I18" s="169"/>
      <c r="J18" s="169"/>
      <c r="K18" s="169"/>
      <c r="L18" s="169"/>
      <c r="M18" s="169"/>
      <c r="N18" s="169"/>
      <c r="O18" s="169"/>
      <c r="P18" s="169"/>
      <c r="Q18" s="169"/>
      <c r="R18" s="169"/>
      <c r="S18" s="169"/>
      <c r="T18" s="169"/>
      <c r="U18" s="169"/>
      <c r="V18" s="169"/>
      <c r="W18" s="169"/>
      <c r="X18" s="169"/>
      <c r="Y18" s="169"/>
      <c r="Z18" s="169"/>
    </row>
    <row r="19" spans="1:26" ht="18" x14ac:dyDescent="0.25">
      <c r="A19" s="169"/>
      <c r="B19" s="177"/>
      <c r="C19" s="177"/>
      <c r="D19" s="177"/>
      <c r="E19" s="178" t="s">
        <v>641</v>
      </c>
      <c r="F19" s="178"/>
      <c r="G19" s="169"/>
      <c r="H19" s="169"/>
      <c r="I19" s="169"/>
      <c r="J19" s="169"/>
      <c r="K19" s="169"/>
      <c r="L19" s="169"/>
      <c r="M19" s="169"/>
      <c r="N19" s="169"/>
      <c r="O19" s="169"/>
      <c r="P19" s="169"/>
      <c r="Q19" s="169"/>
      <c r="R19" s="169"/>
      <c r="S19" s="169"/>
      <c r="T19" s="169"/>
      <c r="U19" s="169"/>
      <c r="V19" s="169"/>
      <c r="W19" s="169"/>
      <c r="X19" s="169"/>
      <c r="Y19" s="169"/>
      <c r="Z19" s="169"/>
    </row>
    <row r="20" spans="1:26" ht="18" x14ac:dyDescent="0.25">
      <c r="A20" s="179" t="str">
        <f>+Buenaventura!A20</f>
        <v xml:space="preserve">ITEM </v>
      </c>
      <c r="B20" s="815" t="str">
        <f>VLOOKUP(A20,Buenaventura!$A$20:$C$243,2,FALSE)</f>
        <v>ID</v>
      </c>
      <c r="C20" s="747"/>
      <c r="D20" s="747"/>
      <c r="E20" s="180" t="str">
        <f>+Buenaventura!G20</f>
        <v>V/TOTAL</v>
      </c>
      <c r="F20" s="181"/>
      <c r="G20" s="182"/>
      <c r="H20" s="182"/>
      <c r="I20" s="182"/>
      <c r="J20" s="182"/>
      <c r="K20" s="182"/>
      <c r="L20" s="182"/>
      <c r="M20" s="182"/>
      <c r="N20" s="182"/>
      <c r="O20" s="182"/>
      <c r="P20" s="182"/>
      <c r="Q20" s="182"/>
      <c r="R20" s="182"/>
      <c r="S20" s="182"/>
      <c r="T20" s="182"/>
      <c r="U20" s="182"/>
      <c r="V20" s="182"/>
      <c r="W20" s="182"/>
      <c r="X20" s="182"/>
      <c r="Y20" s="182"/>
      <c r="Z20" s="182"/>
    </row>
    <row r="21" spans="1:26" ht="18" customHeight="1" x14ac:dyDescent="0.25">
      <c r="A21" s="179" t="str">
        <f>+Buenaventura!A21</f>
        <v xml:space="preserve"> Mantenimiento de pasamanos existentes</v>
      </c>
      <c r="B21" s="815">
        <f>VLOOKUP(A21,Buenaventura!$A$20:$C$243,2,FALSE)</f>
        <v>0</v>
      </c>
      <c r="C21" s="747"/>
      <c r="D21" s="747"/>
      <c r="E21" s="180">
        <f>+Buenaventura!G21</f>
        <v>0</v>
      </c>
      <c r="F21" s="181"/>
      <c r="G21" s="182"/>
      <c r="H21" s="182"/>
      <c r="I21" s="182"/>
      <c r="J21" s="182"/>
      <c r="K21" s="182"/>
      <c r="L21" s="182"/>
      <c r="M21" s="182"/>
      <c r="N21" s="182"/>
      <c r="O21" s="182"/>
      <c r="P21" s="182"/>
      <c r="Q21" s="182"/>
      <c r="R21" s="182"/>
      <c r="S21" s="182"/>
      <c r="T21" s="182"/>
      <c r="U21" s="182"/>
      <c r="V21" s="182"/>
      <c r="W21" s="182"/>
      <c r="X21" s="182"/>
      <c r="Y21" s="182"/>
      <c r="Z21" s="182"/>
    </row>
    <row r="22" spans="1:26" ht="18" customHeight="1" x14ac:dyDescent="0.25">
      <c r="A22" s="179">
        <f>+Buenaventura!A22</f>
        <v>1</v>
      </c>
      <c r="B22" s="815" t="str">
        <f>VLOOKUP(A22,Buenaventura!$A$20:$C$243,2,FALSE)</f>
        <v>PR-36</v>
      </c>
      <c r="C22" s="747"/>
      <c r="D22" s="747"/>
      <c r="E22" s="180">
        <f>+Buenaventura!G22</f>
        <v>0</v>
      </c>
      <c r="F22" s="181"/>
      <c r="G22" s="182"/>
      <c r="H22" s="182"/>
      <c r="I22" s="182"/>
      <c r="J22" s="182"/>
      <c r="K22" s="182"/>
      <c r="L22" s="182"/>
      <c r="M22" s="182"/>
      <c r="N22" s="182"/>
      <c r="O22" s="182"/>
      <c r="P22" s="182"/>
      <c r="Q22" s="182"/>
      <c r="R22" s="182"/>
      <c r="S22" s="182"/>
      <c r="T22" s="182"/>
      <c r="U22" s="182"/>
      <c r="V22" s="182"/>
      <c r="W22" s="182"/>
      <c r="X22" s="182"/>
      <c r="Y22" s="182"/>
      <c r="Z22" s="182"/>
    </row>
    <row r="23" spans="1:26" ht="18" customHeight="1" x14ac:dyDescent="0.25">
      <c r="A23" s="179">
        <f>+Buenaventura!A23</f>
        <v>2</v>
      </c>
      <c r="B23" s="815" t="str">
        <f>VLOOKUP(A23,Buenaventura!$A$20:$C$243,2,FALSE)</f>
        <v>CA-41</v>
      </c>
      <c r="C23" s="747"/>
      <c r="D23" s="747"/>
      <c r="E23" s="180">
        <f>+Buenaventura!G23</f>
        <v>0</v>
      </c>
      <c r="F23" s="181"/>
      <c r="G23" s="182"/>
      <c r="H23" s="182"/>
      <c r="I23" s="182"/>
      <c r="J23" s="182"/>
      <c r="K23" s="182"/>
      <c r="L23" s="182"/>
      <c r="M23" s="182"/>
      <c r="N23" s="182"/>
      <c r="O23" s="182"/>
      <c r="P23" s="182"/>
      <c r="Q23" s="182"/>
      <c r="R23" s="182"/>
      <c r="S23" s="182"/>
      <c r="T23" s="182"/>
      <c r="U23" s="182"/>
      <c r="V23" s="182"/>
      <c r="W23" s="182"/>
      <c r="X23" s="182"/>
      <c r="Y23" s="182"/>
      <c r="Z23" s="182"/>
    </row>
    <row r="24" spans="1:26" ht="18" customHeight="1" x14ac:dyDescent="0.25">
      <c r="A24" s="179">
        <f>+Buenaventura!A24</f>
        <v>3</v>
      </c>
      <c r="B24" s="815" t="str">
        <f>VLOOKUP(A24,Buenaventura!$A$20:$C$243,2,FALSE)</f>
        <v>CA-19</v>
      </c>
      <c r="C24" s="747"/>
      <c r="D24" s="747"/>
      <c r="E24" s="180">
        <f>+Buenaventura!G24</f>
        <v>0</v>
      </c>
      <c r="F24" s="181"/>
      <c r="G24" s="182"/>
      <c r="H24" s="182"/>
      <c r="I24" s="182"/>
      <c r="J24" s="182"/>
      <c r="K24" s="182"/>
      <c r="L24" s="182"/>
      <c r="M24" s="182"/>
      <c r="N24" s="182"/>
      <c r="O24" s="182"/>
      <c r="P24" s="182"/>
      <c r="Q24" s="182"/>
      <c r="R24" s="182"/>
      <c r="S24" s="182"/>
      <c r="T24" s="182"/>
      <c r="U24" s="182"/>
      <c r="V24" s="182"/>
      <c r="W24" s="182"/>
      <c r="X24" s="182"/>
      <c r="Y24" s="182"/>
      <c r="Z24" s="182"/>
    </row>
    <row r="25" spans="1:26" ht="18" customHeight="1" x14ac:dyDescent="0.25">
      <c r="A25" s="179" t="e">
        <f>+Buenaventura!#REF!</f>
        <v>#REF!</v>
      </c>
      <c r="B25" s="815" t="e">
        <f>VLOOKUP(A25,Buenaventura!$A$20:$C$243,2,FALSE)</f>
        <v>#REF!</v>
      </c>
      <c r="C25" s="747"/>
      <c r="D25" s="747"/>
      <c r="E25" s="180" t="e">
        <f>+Buenaventura!#REF!</f>
        <v>#REF!</v>
      </c>
      <c r="F25" s="181"/>
      <c r="G25" s="182"/>
      <c r="H25" s="182"/>
      <c r="I25" s="182"/>
      <c r="J25" s="182"/>
      <c r="K25" s="182"/>
      <c r="L25" s="182"/>
      <c r="M25" s="182"/>
      <c r="N25" s="182"/>
      <c r="O25" s="182"/>
      <c r="P25" s="182"/>
      <c r="Q25" s="182"/>
      <c r="R25" s="182"/>
      <c r="S25" s="182"/>
      <c r="T25" s="182"/>
      <c r="U25" s="182"/>
      <c r="V25" s="182"/>
      <c r="W25" s="182"/>
      <c r="X25" s="182"/>
      <c r="Y25" s="182"/>
      <c r="Z25" s="182"/>
    </row>
    <row r="26" spans="1:26" ht="18" customHeight="1" x14ac:dyDescent="0.25">
      <c r="A26" s="179" t="e">
        <f>+Buenaventura!#REF!</f>
        <v>#REF!</v>
      </c>
      <c r="B26" s="815" t="e">
        <f>VLOOKUP(A26,Buenaventura!$A$20:$C$243,2,FALSE)</f>
        <v>#REF!</v>
      </c>
      <c r="C26" s="747"/>
      <c r="D26" s="747"/>
      <c r="E26" s="180" t="e">
        <f>+Buenaventura!#REF!</f>
        <v>#REF!</v>
      </c>
      <c r="F26" s="181"/>
      <c r="G26" s="182"/>
      <c r="H26" s="182"/>
      <c r="I26" s="182"/>
      <c r="J26" s="182"/>
      <c r="K26" s="182"/>
      <c r="L26" s="182"/>
      <c r="M26" s="182"/>
      <c r="N26" s="182"/>
      <c r="O26" s="182"/>
      <c r="P26" s="182"/>
      <c r="Q26" s="182"/>
      <c r="R26" s="182"/>
      <c r="S26" s="182"/>
      <c r="T26" s="182"/>
      <c r="U26" s="182"/>
      <c r="V26" s="182"/>
      <c r="W26" s="182"/>
      <c r="X26" s="182"/>
      <c r="Y26" s="182"/>
      <c r="Z26" s="182"/>
    </row>
    <row r="27" spans="1:26" ht="18" customHeight="1" x14ac:dyDescent="0.25">
      <c r="A27" s="179" t="e">
        <f>+Buenaventura!#REF!</f>
        <v>#REF!</v>
      </c>
      <c r="B27" s="815" t="e">
        <f>VLOOKUP(A27,Buenaventura!$A$20:$C$243,2,FALSE)</f>
        <v>#REF!</v>
      </c>
      <c r="C27" s="747"/>
      <c r="D27" s="747"/>
      <c r="E27" s="180" t="e">
        <f>+Buenaventura!#REF!</f>
        <v>#REF!</v>
      </c>
      <c r="F27" s="181"/>
      <c r="G27" s="182"/>
      <c r="H27" s="182"/>
      <c r="I27" s="182"/>
      <c r="J27" s="182"/>
      <c r="K27" s="182"/>
      <c r="L27" s="182"/>
      <c r="M27" s="182"/>
      <c r="N27" s="182"/>
      <c r="O27" s="182"/>
      <c r="P27" s="182"/>
      <c r="Q27" s="182"/>
      <c r="R27" s="182"/>
      <c r="S27" s="182"/>
      <c r="T27" s="182"/>
      <c r="U27" s="182"/>
      <c r="V27" s="182"/>
      <c r="W27" s="182"/>
      <c r="X27" s="182"/>
      <c r="Y27" s="182"/>
      <c r="Z27" s="182"/>
    </row>
    <row r="28" spans="1:26" ht="18" customHeight="1" x14ac:dyDescent="0.25">
      <c r="A28" s="179" t="e">
        <f>+Buenaventura!#REF!</f>
        <v>#REF!</v>
      </c>
      <c r="B28" s="815" t="e">
        <f>VLOOKUP(A28,Buenaventura!$A$20:$C$243,2,FALSE)</f>
        <v>#REF!</v>
      </c>
      <c r="C28" s="747"/>
      <c r="D28" s="747"/>
      <c r="E28" s="180" t="e">
        <f>+Buenaventura!#REF!</f>
        <v>#REF!</v>
      </c>
      <c r="F28" s="181"/>
      <c r="G28" s="182"/>
      <c r="H28" s="182"/>
      <c r="I28" s="182"/>
      <c r="J28" s="182"/>
      <c r="K28" s="182"/>
      <c r="L28" s="182"/>
      <c r="M28" s="182"/>
      <c r="N28" s="182"/>
      <c r="O28" s="182"/>
      <c r="P28" s="182"/>
      <c r="Q28" s="182"/>
      <c r="R28" s="182"/>
      <c r="S28" s="182"/>
      <c r="T28" s="182"/>
      <c r="U28" s="182"/>
      <c r="V28" s="182"/>
      <c r="W28" s="182"/>
      <c r="X28" s="182"/>
      <c r="Y28" s="182"/>
      <c r="Z28" s="182"/>
    </row>
    <row r="29" spans="1:26" ht="18" customHeight="1" x14ac:dyDescent="0.25">
      <c r="A29" s="179">
        <f>+Buenaventura!A70</f>
        <v>44</v>
      </c>
      <c r="B29" s="815" t="str">
        <f>VLOOKUP(A29,Buenaventura!$A$20:$C$243,2,FALSE)</f>
        <v>DI-29</v>
      </c>
      <c r="C29" s="747"/>
      <c r="D29" s="747"/>
      <c r="E29" s="180">
        <f>+Buenaventura!G70</f>
        <v>0</v>
      </c>
      <c r="F29" s="181"/>
      <c r="G29" s="182"/>
      <c r="H29" s="182"/>
      <c r="I29" s="182"/>
      <c r="J29" s="182"/>
      <c r="K29" s="182"/>
      <c r="L29" s="182"/>
      <c r="M29" s="182"/>
      <c r="N29" s="182"/>
      <c r="O29" s="182"/>
      <c r="P29" s="182"/>
      <c r="Q29" s="182"/>
      <c r="R29" s="182"/>
      <c r="S29" s="182"/>
      <c r="T29" s="182"/>
      <c r="U29" s="182"/>
      <c r="V29" s="182"/>
      <c r="W29" s="182"/>
      <c r="X29" s="182"/>
      <c r="Y29" s="182"/>
      <c r="Z29" s="182"/>
    </row>
    <row r="30" spans="1:26" ht="18" customHeight="1" x14ac:dyDescent="0.25">
      <c r="A30" s="179" t="str">
        <f>+Buenaventura!A37</f>
        <v xml:space="preserve">Carpintería en madera </v>
      </c>
      <c r="B30" s="815">
        <f>VLOOKUP(A30,Buenaventura!$A$20:$C$243,2,FALSE)</f>
        <v>0</v>
      </c>
      <c r="C30" s="747"/>
      <c r="D30" s="747"/>
      <c r="E30" s="180">
        <f>+Buenaventura!G37</f>
        <v>0</v>
      </c>
      <c r="F30" s="181"/>
      <c r="G30" s="182"/>
      <c r="H30" s="182"/>
      <c r="I30" s="182"/>
      <c r="J30" s="182"/>
      <c r="K30" s="182"/>
      <c r="L30" s="182"/>
      <c r="M30" s="182"/>
      <c r="N30" s="182"/>
      <c r="O30" s="182"/>
      <c r="P30" s="182"/>
      <c r="Q30" s="182"/>
      <c r="R30" s="182"/>
      <c r="S30" s="182"/>
      <c r="T30" s="182"/>
      <c r="U30" s="182"/>
      <c r="V30" s="182"/>
      <c r="W30" s="182"/>
      <c r="X30" s="182"/>
      <c r="Y30" s="182"/>
      <c r="Z30" s="182"/>
    </row>
    <row r="31" spans="1:26" ht="18" customHeight="1" x14ac:dyDescent="0.25">
      <c r="A31" s="179">
        <f>+Buenaventura!A38</f>
        <v>15</v>
      </c>
      <c r="B31" s="815" t="str">
        <f>VLOOKUP(A31,Buenaventura!$A$20:$C$243,2,FALSE)</f>
        <v>PR-40</v>
      </c>
      <c r="C31" s="747"/>
      <c r="D31" s="747"/>
      <c r="E31" s="180">
        <f>+Buenaventura!G38</f>
        <v>0</v>
      </c>
      <c r="F31" s="181"/>
      <c r="G31" s="182"/>
      <c r="H31" s="182"/>
      <c r="I31" s="182"/>
      <c r="J31" s="182"/>
      <c r="K31" s="182"/>
      <c r="L31" s="182"/>
      <c r="M31" s="182"/>
      <c r="N31" s="182"/>
      <c r="O31" s="182"/>
      <c r="P31" s="182"/>
      <c r="Q31" s="182"/>
      <c r="R31" s="182"/>
      <c r="S31" s="182"/>
      <c r="T31" s="182"/>
      <c r="U31" s="182"/>
      <c r="V31" s="182"/>
      <c r="W31" s="182"/>
      <c r="X31" s="182"/>
      <c r="Y31" s="182"/>
      <c r="Z31" s="182"/>
    </row>
    <row r="32" spans="1:26" ht="18" customHeight="1" x14ac:dyDescent="0.25">
      <c r="A32" s="179">
        <f>+Buenaventura!A39</f>
        <v>16</v>
      </c>
      <c r="B32" s="815" t="str">
        <f>VLOOKUP(A32,Buenaventura!$A$20:$C$243,2,FALSE)</f>
        <v>PR-71</v>
      </c>
      <c r="C32" s="747"/>
      <c r="D32" s="747"/>
      <c r="E32" s="180">
        <f>+Buenaventura!G39</f>
        <v>0</v>
      </c>
      <c r="F32" s="181"/>
      <c r="G32" s="182"/>
      <c r="H32" s="182"/>
      <c r="I32" s="182"/>
      <c r="J32" s="182"/>
      <c r="K32" s="182"/>
      <c r="L32" s="182"/>
      <c r="M32" s="182"/>
      <c r="N32" s="182"/>
      <c r="O32" s="182"/>
      <c r="P32" s="182"/>
      <c r="Q32" s="182"/>
      <c r="R32" s="182"/>
      <c r="S32" s="182"/>
      <c r="T32" s="182"/>
      <c r="U32" s="182"/>
      <c r="V32" s="182"/>
      <c r="W32" s="182"/>
      <c r="X32" s="182"/>
      <c r="Y32" s="182"/>
      <c r="Z32" s="182"/>
    </row>
    <row r="33" spans="1:26" ht="18" customHeight="1" x14ac:dyDescent="0.25">
      <c r="A33" s="179">
        <f>+Buenaventura!A40</f>
        <v>17</v>
      </c>
      <c r="B33" s="815" t="str">
        <f>VLOOKUP(A33,Buenaventura!$A$20:$C$243,2,FALSE)</f>
        <v>PR-68</v>
      </c>
      <c r="C33" s="747"/>
      <c r="D33" s="747"/>
      <c r="E33" s="180">
        <f>+Buenaventura!G40</f>
        <v>0</v>
      </c>
      <c r="F33" s="181"/>
      <c r="G33" s="182"/>
      <c r="H33" s="182"/>
      <c r="I33" s="182"/>
      <c r="J33" s="182"/>
      <c r="K33" s="182"/>
      <c r="L33" s="182"/>
      <c r="M33" s="182"/>
      <c r="N33" s="182"/>
      <c r="O33" s="182"/>
      <c r="P33" s="182"/>
      <c r="Q33" s="182"/>
      <c r="R33" s="182"/>
      <c r="S33" s="182"/>
      <c r="T33" s="182"/>
      <c r="U33" s="182"/>
      <c r="V33" s="182"/>
      <c r="W33" s="182"/>
      <c r="X33" s="182"/>
      <c r="Y33" s="182"/>
      <c r="Z33" s="182"/>
    </row>
    <row r="34" spans="1:26" ht="18" customHeight="1" x14ac:dyDescent="0.25">
      <c r="A34" s="179">
        <f>+Buenaventura!A41</f>
        <v>18</v>
      </c>
      <c r="B34" s="815" t="str">
        <f>VLOOKUP(A34,Buenaventura!$A$20:$C$243,2,FALSE)</f>
        <v>PR-70</v>
      </c>
      <c r="C34" s="747"/>
      <c r="D34" s="747"/>
      <c r="E34" s="180">
        <f>+Buenaventura!G41</f>
        <v>0</v>
      </c>
      <c r="F34" s="181"/>
      <c r="G34" s="182"/>
      <c r="H34" s="182"/>
      <c r="I34" s="182"/>
      <c r="J34" s="182"/>
      <c r="K34" s="182"/>
      <c r="L34" s="182"/>
      <c r="M34" s="182"/>
      <c r="N34" s="182"/>
      <c r="O34" s="182"/>
      <c r="P34" s="182"/>
      <c r="Q34" s="182"/>
      <c r="R34" s="182"/>
      <c r="S34" s="182"/>
      <c r="T34" s="182"/>
      <c r="U34" s="182"/>
      <c r="V34" s="182"/>
      <c r="W34" s="182"/>
      <c r="X34" s="182"/>
      <c r="Y34" s="182"/>
      <c r="Z34" s="182"/>
    </row>
    <row r="35" spans="1:26" ht="18" customHeight="1" x14ac:dyDescent="0.25">
      <c r="A35" s="179">
        <f>+Buenaventura!A42</f>
        <v>19</v>
      </c>
      <c r="B35" s="815" t="str">
        <f>VLOOKUP(A35,Buenaventura!$A$20:$C$243,2,FALSE)</f>
        <v>CA-47</v>
      </c>
      <c r="C35" s="747"/>
      <c r="D35" s="747"/>
      <c r="E35" s="180">
        <f>+Buenaventura!G42</f>
        <v>0</v>
      </c>
      <c r="F35" s="181"/>
      <c r="G35" s="182"/>
      <c r="H35" s="182"/>
      <c r="I35" s="182"/>
      <c r="J35" s="182"/>
      <c r="K35" s="182"/>
      <c r="L35" s="182"/>
      <c r="M35" s="182"/>
      <c r="N35" s="182"/>
      <c r="O35" s="182"/>
      <c r="P35" s="182"/>
      <c r="Q35" s="182"/>
      <c r="R35" s="182"/>
      <c r="S35" s="182"/>
      <c r="T35" s="182"/>
      <c r="U35" s="182"/>
      <c r="V35" s="182"/>
      <c r="W35" s="182"/>
      <c r="X35" s="182"/>
      <c r="Y35" s="182"/>
      <c r="Z35" s="182"/>
    </row>
    <row r="36" spans="1:26" ht="18" customHeight="1" x14ac:dyDescent="0.25">
      <c r="A36" s="179">
        <f>+Buenaventura!A44</f>
        <v>21</v>
      </c>
      <c r="B36" s="815" t="str">
        <f>VLOOKUP(A36,Buenaventura!$A$20:$C$243,2,FALSE)</f>
        <v>CA-25</v>
      </c>
      <c r="C36" s="747"/>
      <c r="D36" s="747"/>
      <c r="E36" s="180">
        <f>+Buenaventura!G44</f>
        <v>0</v>
      </c>
      <c r="F36" s="181"/>
      <c r="G36" s="182"/>
      <c r="H36" s="182"/>
      <c r="I36" s="182"/>
      <c r="J36" s="182"/>
      <c r="K36" s="182"/>
      <c r="L36" s="182"/>
      <c r="M36" s="182"/>
      <c r="N36" s="182"/>
      <c r="O36" s="182"/>
      <c r="P36" s="182"/>
      <c r="Q36" s="182"/>
      <c r="R36" s="182"/>
      <c r="S36" s="182"/>
      <c r="T36" s="182"/>
      <c r="U36" s="182"/>
      <c r="V36" s="182"/>
      <c r="W36" s="182"/>
      <c r="X36" s="182"/>
      <c r="Y36" s="182"/>
      <c r="Z36" s="182"/>
    </row>
    <row r="37" spans="1:26" ht="18" customHeight="1" x14ac:dyDescent="0.25">
      <c r="A37" s="179" t="str">
        <f>+Buenaventura!A50</f>
        <v>MantenimientoTerrazas</v>
      </c>
      <c r="B37" s="815">
        <f>VLOOKUP(A37,Buenaventura!$A$20:$C$243,2,FALSE)</f>
        <v>0</v>
      </c>
      <c r="C37" s="747"/>
      <c r="D37" s="747"/>
      <c r="E37" s="180">
        <f>+Buenaventura!G50</f>
        <v>0</v>
      </c>
      <c r="F37" s="181"/>
      <c r="G37" s="182"/>
      <c r="H37" s="182"/>
      <c r="I37" s="182"/>
      <c r="J37" s="182"/>
      <c r="K37" s="182"/>
      <c r="L37" s="182"/>
      <c r="M37" s="182"/>
      <c r="N37" s="182"/>
      <c r="O37" s="182"/>
      <c r="P37" s="182"/>
      <c r="Q37" s="182"/>
      <c r="R37" s="182"/>
      <c r="S37" s="182"/>
      <c r="T37" s="182"/>
      <c r="U37" s="182"/>
      <c r="V37" s="182"/>
      <c r="W37" s="182"/>
      <c r="X37" s="182"/>
      <c r="Y37" s="182"/>
      <c r="Z37" s="182"/>
    </row>
    <row r="38" spans="1:26" ht="18" customHeight="1" x14ac:dyDescent="0.25">
      <c r="A38" s="179">
        <f>+Buenaventura!A51</f>
        <v>27</v>
      </c>
      <c r="B38" s="815" t="str">
        <f>VLOOKUP(A38,Buenaventura!$A$20:$C$243,2,FALSE)</f>
        <v>RI-08</v>
      </c>
      <c r="C38" s="747"/>
      <c r="D38" s="747"/>
      <c r="E38" s="180">
        <f>+Buenaventura!G51</f>
        <v>0</v>
      </c>
      <c r="F38" s="181"/>
      <c r="G38" s="182"/>
      <c r="H38" s="182"/>
      <c r="I38" s="182"/>
      <c r="J38" s="182"/>
      <c r="K38" s="182"/>
      <c r="L38" s="182"/>
      <c r="M38" s="182"/>
      <c r="N38" s="182"/>
      <c r="O38" s="182"/>
      <c r="P38" s="182"/>
      <c r="Q38" s="182"/>
      <c r="R38" s="182"/>
      <c r="S38" s="182"/>
      <c r="T38" s="182"/>
      <c r="U38" s="182"/>
      <c r="V38" s="182"/>
      <c r="W38" s="182"/>
      <c r="X38" s="182"/>
      <c r="Y38" s="182"/>
      <c r="Z38" s="182"/>
    </row>
    <row r="39" spans="1:26" ht="18" customHeight="1" x14ac:dyDescent="0.25">
      <c r="A39" s="179">
        <f>+Buenaventura!A52</f>
        <v>28</v>
      </c>
      <c r="B39" s="815" t="str">
        <f>VLOOKUP(A39,Buenaventura!$A$20:$C$243,2,FALSE)</f>
        <v>PR-29</v>
      </c>
      <c r="C39" s="747"/>
      <c r="D39" s="747"/>
      <c r="E39" s="180">
        <f>+Buenaventura!G52</f>
        <v>0</v>
      </c>
      <c r="F39" s="181"/>
      <c r="G39" s="182"/>
      <c r="H39" s="182"/>
      <c r="I39" s="182"/>
      <c r="J39" s="182"/>
      <c r="K39" s="182"/>
      <c r="L39" s="182"/>
      <c r="M39" s="182"/>
      <c r="N39" s="182"/>
      <c r="O39" s="182"/>
      <c r="P39" s="182"/>
      <c r="Q39" s="182"/>
      <c r="R39" s="182"/>
      <c r="S39" s="182"/>
      <c r="T39" s="182"/>
      <c r="U39" s="182"/>
      <c r="V39" s="182"/>
      <c r="W39" s="182"/>
      <c r="X39" s="182"/>
      <c r="Y39" s="182"/>
      <c r="Z39" s="182"/>
    </row>
    <row r="40" spans="1:26" ht="18" customHeight="1" x14ac:dyDescent="0.25">
      <c r="A40" s="179">
        <f>+Buenaventura!A53</f>
        <v>29</v>
      </c>
      <c r="B40" s="815" t="str">
        <f>VLOOKUP(A40,Buenaventura!$A$20:$C$243,2,FALSE)</f>
        <v>IH-01</v>
      </c>
      <c r="C40" s="747"/>
      <c r="D40" s="747"/>
      <c r="E40" s="180">
        <f>+Buenaventura!G53</f>
        <v>0</v>
      </c>
      <c r="F40" s="181"/>
      <c r="G40" s="182"/>
      <c r="H40" s="182"/>
      <c r="I40" s="182"/>
      <c r="J40" s="182"/>
      <c r="K40" s="182"/>
      <c r="L40" s="182"/>
      <c r="M40" s="182"/>
      <c r="N40" s="182"/>
      <c r="O40" s="182"/>
      <c r="P40" s="182"/>
      <c r="Q40" s="182"/>
      <c r="R40" s="182"/>
      <c r="S40" s="182"/>
      <c r="T40" s="182"/>
      <c r="U40" s="182"/>
      <c r="V40" s="182"/>
      <c r="W40" s="182"/>
      <c r="X40" s="182"/>
      <c r="Y40" s="182"/>
      <c r="Z40" s="182"/>
    </row>
    <row r="41" spans="1:26" ht="18" customHeight="1" x14ac:dyDescent="0.25">
      <c r="A41" s="179" t="e">
        <f>+Buenaventura!#REF!</f>
        <v>#REF!</v>
      </c>
      <c r="B41" s="815" t="e">
        <f>VLOOKUP(A41,Buenaventura!$A$20:$C$243,2,FALSE)</f>
        <v>#REF!</v>
      </c>
      <c r="C41" s="747"/>
      <c r="D41" s="747"/>
      <c r="E41" s="180" t="e">
        <f>+Buenaventura!#REF!</f>
        <v>#REF!</v>
      </c>
      <c r="F41" s="181"/>
      <c r="G41" s="182"/>
      <c r="H41" s="182"/>
      <c r="I41" s="182"/>
      <c r="J41" s="182"/>
      <c r="K41" s="182"/>
      <c r="L41" s="182"/>
      <c r="M41" s="182"/>
      <c r="N41" s="182"/>
      <c r="O41" s="182"/>
      <c r="P41" s="182"/>
      <c r="Q41" s="182"/>
      <c r="R41" s="182"/>
      <c r="S41" s="182"/>
      <c r="T41" s="182"/>
      <c r="U41" s="182"/>
      <c r="V41" s="182"/>
      <c r="W41" s="182"/>
      <c r="X41" s="182"/>
      <c r="Y41" s="182"/>
      <c r="Z41" s="182"/>
    </row>
    <row r="42" spans="1:26" ht="18" customHeight="1" x14ac:dyDescent="0.25">
      <c r="A42" s="179" t="e">
        <f>+Buenaventura!#REF!</f>
        <v>#REF!</v>
      </c>
      <c r="B42" s="815" t="e">
        <f>VLOOKUP(A42,Buenaventura!$A$20:$C$243,2,FALSE)</f>
        <v>#REF!</v>
      </c>
      <c r="C42" s="747"/>
      <c r="D42" s="747"/>
      <c r="E42" s="180" t="e">
        <f>+Buenaventura!#REF!</f>
        <v>#REF!</v>
      </c>
      <c r="F42" s="181"/>
      <c r="G42" s="182"/>
      <c r="H42" s="182"/>
      <c r="I42" s="182"/>
      <c r="J42" s="182"/>
      <c r="K42" s="182"/>
      <c r="L42" s="182"/>
      <c r="M42" s="182"/>
      <c r="N42" s="182"/>
      <c r="O42" s="182"/>
      <c r="P42" s="182"/>
      <c r="Q42" s="182"/>
      <c r="R42" s="182"/>
      <c r="S42" s="182"/>
      <c r="T42" s="182"/>
      <c r="U42" s="182"/>
      <c r="V42" s="182"/>
      <c r="W42" s="182"/>
      <c r="X42" s="182"/>
      <c r="Y42" s="182"/>
      <c r="Z42" s="182"/>
    </row>
    <row r="43" spans="1:26" ht="18" customHeight="1" x14ac:dyDescent="0.25">
      <c r="A43" s="179" t="e">
        <f>+Buenaventura!#REF!</f>
        <v>#REF!</v>
      </c>
      <c r="B43" s="815" t="e">
        <f>VLOOKUP(A43,Buenaventura!$A$20:$C$243,2,FALSE)</f>
        <v>#REF!</v>
      </c>
      <c r="C43" s="747"/>
      <c r="D43" s="747"/>
      <c r="E43" s="180" t="e">
        <f>+Buenaventura!#REF!</f>
        <v>#REF!</v>
      </c>
      <c r="F43" s="181"/>
      <c r="G43" s="182"/>
      <c r="H43" s="182"/>
      <c r="I43" s="182"/>
      <c r="J43" s="182"/>
      <c r="K43" s="182"/>
      <c r="L43" s="182"/>
      <c r="M43" s="182"/>
      <c r="N43" s="182"/>
      <c r="O43" s="182"/>
      <c r="P43" s="182"/>
      <c r="Q43" s="182"/>
      <c r="R43" s="182"/>
      <c r="S43" s="182"/>
      <c r="T43" s="182"/>
      <c r="U43" s="182"/>
      <c r="V43" s="182"/>
      <c r="W43" s="182"/>
      <c r="X43" s="182"/>
      <c r="Y43" s="182"/>
      <c r="Z43" s="182"/>
    </row>
    <row r="44" spans="1:26" ht="18" customHeight="1" x14ac:dyDescent="0.25">
      <c r="A44" s="179" t="e">
        <f>+Buenaventura!#REF!</f>
        <v>#REF!</v>
      </c>
      <c r="B44" s="815" t="e">
        <f>VLOOKUP(A44,Buenaventura!$A$20:$C$243,2,FALSE)</f>
        <v>#REF!</v>
      </c>
      <c r="C44" s="747"/>
      <c r="D44" s="747"/>
      <c r="E44" s="180" t="e">
        <f>+Buenaventura!#REF!</f>
        <v>#REF!</v>
      </c>
      <c r="F44" s="181"/>
      <c r="G44" s="182"/>
      <c r="H44" s="182"/>
      <c r="I44" s="182"/>
      <c r="J44" s="182"/>
      <c r="K44" s="182"/>
      <c r="L44" s="182"/>
      <c r="M44" s="182"/>
      <c r="N44" s="182"/>
      <c r="O44" s="182"/>
      <c r="P44" s="182"/>
      <c r="Q44" s="182"/>
      <c r="R44" s="182"/>
      <c r="S44" s="182"/>
      <c r="T44" s="182"/>
      <c r="U44" s="182"/>
      <c r="V44" s="182"/>
      <c r="W44" s="182"/>
      <c r="X44" s="182"/>
      <c r="Y44" s="182"/>
      <c r="Z44" s="182"/>
    </row>
    <row r="45" spans="1:26" ht="18" customHeight="1" x14ac:dyDescent="0.25">
      <c r="A45" s="179" t="e">
        <f>+Buenaventura!#REF!</f>
        <v>#REF!</v>
      </c>
      <c r="B45" s="815" t="e">
        <f>VLOOKUP(A45,Buenaventura!$A$20:$C$243,2,FALSE)</f>
        <v>#REF!</v>
      </c>
      <c r="C45" s="747"/>
      <c r="D45" s="747"/>
      <c r="E45" s="180" t="e">
        <f>+Buenaventura!#REF!</f>
        <v>#REF!</v>
      </c>
      <c r="F45" s="181"/>
      <c r="G45" s="182"/>
      <c r="H45" s="182"/>
      <c r="I45" s="182"/>
      <c r="J45" s="182"/>
      <c r="K45" s="182"/>
      <c r="L45" s="182"/>
      <c r="M45" s="182"/>
      <c r="N45" s="182"/>
      <c r="O45" s="182"/>
      <c r="P45" s="182"/>
      <c r="Q45" s="182"/>
      <c r="R45" s="182"/>
      <c r="S45" s="182"/>
      <c r="T45" s="182"/>
      <c r="U45" s="182"/>
      <c r="V45" s="182"/>
      <c r="W45" s="182"/>
      <c r="X45" s="182"/>
      <c r="Y45" s="182"/>
      <c r="Z45" s="182"/>
    </row>
    <row r="46" spans="1:26" ht="18" customHeight="1" x14ac:dyDescent="0.25">
      <c r="A46" s="179" t="e">
        <f>+Buenaventura!#REF!</f>
        <v>#REF!</v>
      </c>
      <c r="B46" s="815" t="e">
        <f>VLOOKUP(A46,Buenaventura!$A$20:$C$243,2,FALSE)</f>
        <v>#REF!</v>
      </c>
      <c r="C46" s="747"/>
      <c r="D46" s="747"/>
      <c r="E46" s="180" t="e">
        <f>+Buenaventura!#REF!</f>
        <v>#REF!</v>
      </c>
      <c r="F46" s="181"/>
      <c r="G46" s="182"/>
      <c r="H46" s="182"/>
      <c r="I46" s="182"/>
      <c r="J46" s="182"/>
      <c r="K46" s="182"/>
      <c r="L46" s="182"/>
      <c r="M46" s="182"/>
      <c r="N46" s="182"/>
      <c r="O46" s="182"/>
      <c r="P46" s="182"/>
      <c r="Q46" s="182"/>
      <c r="R46" s="182"/>
      <c r="S46" s="182"/>
      <c r="T46" s="182"/>
      <c r="U46" s="182"/>
      <c r="V46" s="182"/>
      <c r="W46" s="182"/>
      <c r="X46" s="182"/>
      <c r="Y46" s="182"/>
      <c r="Z46" s="182"/>
    </row>
    <row r="47" spans="1:26" ht="18" customHeight="1" x14ac:dyDescent="0.25">
      <c r="A47" s="179" t="e">
        <f>+Buenaventura!#REF!</f>
        <v>#REF!</v>
      </c>
      <c r="B47" s="815" t="e">
        <f>VLOOKUP(A47,Buenaventura!$A$20:$C$243,2,FALSE)</f>
        <v>#REF!</v>
      </c>
      <c r="C47" s="747"/>
      <c r="D47" s="747"/>
      <c r="E47" s="180" t="e">
        <f>+Buenaventura!#REF!</f>
        <v>#REF!</v>
      </c>
      <c r="F47" s="181"/>
      <c r="G47" s="182"/>
      <c r="H47" s="182"/>
      <c r="I47" s="182"/>
      <c r="J47" s="182"/>
      <c r="K47" s="182"/>
      <c r="L47" s="182"/>
      <c r="M47" s="182"/>
      <c r="N47" s="182"/>
      <c r="O47" s="182"/>
      <c r="P47" s="182"/>
      <c r="Q47" s="182"/>
      <c r="R47" s="182"/>
      <c r="S47" s="182"/>
      <c r="T47" s="182"/>
      <c r="U47" s="182"/>
      <c r="V47" s="182"/>
      <c r="W47" s="182"/>
      <c r="X47" s="182"/>
      <c r="Y47" s="182"/>
      <c r="Z47" s="182"/>
    </row>
    <row r="48" spans="1:26" ht="18" customHeight="1" x14ac:dyDescent="0.25">
      <c r="A48" s="179" t="str">
        <f>+Buenaventura!A57</f>
        <v>Tratamiento de humedades internas</v>
      </c>
      <c r="B48" s="815">
        <f>VLOOKUP(A48,Buenaventura!$A$20:$C$243,2,FALSE)</f>
        <v>0</v>
      </c>
      <c r="C48" s="747"/>
      <c r="D48" s="747"/>
      <c r="E48" s="180">
        <f>+Buenaventura!G57</f>
        <v>0</v>
      </c>
      <c r="F48" s="181"/>
      <c r="G48" s="182"/>
      <c r="H48" s="182"/>
      <c r="I48" s="182"/>
      <c r="J48" s="182"/>
      <c r="K48" s="182"/>
      <c r="L48" s="182"/>
      <c r="M48" s="182"/>
      <c r="N48" s="182"/>
      <c r="O48" s="182"/>
      <c r="P48" s="182"/>
      <c r="Q48" s="182"/>
      <c r="R48" s="182"/>
      <c r="S48" s="182"/>
      <c r="T48" s="182"/>
      <c r="U48" s="182"/>
      <c r="V48" s="182"/>
      <c r="W48" s="182"/>
      <c r="X48" s="182"/>
      <c r="Y48" s="182"/>
      <c r="Z48" s="182"/>
    </row>
    <row r="49" spans="1:26" ht="18" customHeight="1" x14ac:dyDescent="0.25">
      <c r="A49" s="179">
        <f>+Buenaventura!A58</f>
        <v>33</v>
      </c>
      <c r="B49" s="815" t="str">
        <f>VLOOKUP(A49,Buenaventura!$A$20:$C$243,2,FALSE)</f>
        <v>PR-01</v>
      </c>
      <c r="C49" s="747"/>
      <c r="D49" s="747"/>
      <c r="E49" s="180">
        <f>+Buenaventura!G58</f>
        <v>0</v>
      </c>
      <c r="F49" s="181"/>
      <c r="G49" s="182"/>
      <c r="H49" s="182"/>
      <c r="I49" s="182"/>
      <c r="J49" s="182"/>
      <c r="K49" s="182"/>
      <c r="L49" s="182"/>
      <c r="M49" s="182"/>
      <c r="N49" s="182"/>
      <c r="O49" s="182"/>
      <c r="P49" s="182"/>
      <c r="Q49" s="182"/>
      <c r="R49" s="182"/>
      <c r="S49" s="182"/>
      <c r="T49" s="182"/>
      <c r="U49" s="182"/>
      <c r="V49" s="182"/>
      <c r="W49" s="182"/>
      <c r="X49" s="182"/>
      <c r="Y49" s="182"/>
      <c r="Z49" s="182"/>
    </row>
    <row r="50" spans="1:26" ht="18" customHeight="1" x14ac:dyDescent="0.25">
      <c r="A50" s="179">
        <f>+Buenaventura!A59</f>
        <v>34</v>
      </c>
      <c r="B50" s="815" t="str">
        <f>VLOOKUP(A50,Buenaventura!$A$20:$C$243,2,FALSE)</f>
        <v>RI-09</v>
      </c>
      <c r="C50" s="747"/>
      <c r="D50" s="747"/>
      <c r="E50" s="180">
        <f>+Buenaventura!G59</f>
        <v>0</v>
      </c>
      <c r="F50" s="181"/>
      <c r="G50" s="182"/>
      <c r="H50" s="182"/>
      <c r="I50" s="182"/>
      <c r="J50" s="182"/>
      <c r="K50" s="182"/>
      <c r="L50" s="182"/>
      <c r="M50" s="182"/>
      <c r="N50" s="182"/>
      <c r="O50" s="182"/>
      <c r="P50" s="182"/>
      <c r="Q50" s="182"/>
      <c r="R50" s="182"/>
      <c r="S50" s="182"/>
      <c r="T50" s="182"/>
      <c r="U50" s="182"/>
      <c r="V50" s="182"/>
      <c r="W50" s="182"/>
      <c r="X50" s="182"/>
      <c r="Y50" s="182"/>
      <c r="Z50" s="182"/>
    </row>
    <row r="51" spans="1:26" ht="18" customHeight="1" x14ac:dyDescent="0.25">
      <c r="A51" s="179">
        <f>+Buenaventura!A60</f>
        <v>35</v>
      </c>
      <c r="B51" s="815" t="str">
        <f>VLOOKUP(A51,Buenaventura!$A$20:$C$243,2,FALSE)</f>
        <v>AC-01</v>
      </c>
      <c r="C51" s="747"/>
      <c r="D51" s="747"/>
      <c r="E51" s="180">
        <f>+Buenaventura!G60</f>
        <v>0</v>
      </c>
      <c r="F51" s="181"/>
      <c r="G51" s="182"/>
      <c r="H51" s="182"/>
      <c r="I51" s="182"/>
      <c r="J51" s="182"/>
      <c r="K51" s="182"/>
      <c r="L51" s="182"/>
      <c r="M51" s="182"/>
      <c r="N51" s="182"/>
      <c r="O51" s="182"/>
      <c r="P51" s="182"/>
      <c r="Q51" s="182"/>
      <c r="R51" s="182"/>
      <c r="S51" s="182"/>
      <c r="T51" s="182"/>
      <c r="U51" s="182"/>
      <c r="V51" s="182"/>
      <c r="W51" s="182"/>
      <c r="X51" s="182"/>
      <c r="Y51" s="182"/>
      <c r="Z51" s="182"/>
    </row>
    <row r="52" spans="1:26" ht="18" customHeight="1" x14ac:dyDescent="0.25">
      <c r="A52" s="233">
        <f>+Buenaventura!A243</f>
        <v>0</v>
      </c>
      <c r="B52" s="817" t="e">
        <f>VLOOKUP(A52,Buenaventura!$A$20:$C$243,2,FALSE)</f>
        <v>#N/A</v>
      </c>
      <c r="C52" s="750"/>
      <c r="D52" s="750"/>
      <c r="E52" s="180">
        <f>+Buenaventura!G243</f>
        <v>0</v>
      </c>
      <c r="F52" s="181"/>
      <c r="G52" s="182"/>
      <c r="H52" s="182"/>
      <c r="I52" s="182"/>
      <c r="J52" s="182"/>
      <c r="K52" s="182"/>
      <c r="L52" s="182"/>
      <c r="M52" s="182"/>
      <c r="N52" s="182"/>
      <c r="O52" s="182"/>
      <c r="P52" s="182"/>
      <c r="Q52" s="182"/>
      <c r="R52" s="182"/>
      <c r="S52" s="182"/>
      <c r="T52" s="182"/>
      <c r="U52" s="182"/>
      <c r="V52" s="182"/>
      <c r="W52" s="182"/>
      <c r="X52" s="182"/>
      <c r="Y52" s="182"/>
      <c r="Z52" s="182"/>
    </row>
    <row r="53" spans="1:26" ht="8.25" customHeight="1" x14ac:dyDescent="0.25">
      <c r="A53" s="183"/>
      <c r="B53" s="815"/>
      <c r="C53" s="747"/>
      <c r="D53" s="747"/>
      <c r="E53" s="181"/>
      <c r="F53" s="181"/>
      <c r="G53" s="182"/>
      <c r="H53" s="182"/>
      <c r="I53" s="182"/>
      <c r="J53" s="182"/>
      <c r="K53" s="182"/>
      <c r="L53" s="182"/>
      <c r="M53" s="182"/>
      <c r="N53" s="182"/>
      <c r="O53" s="182"/>
      <c r="P53" s="182"/>
      <c r="Q53" s="182"/>
      <c r="R53" s="182"/>
      <c r="S53" s="182"/>
      <c r="T53" s="182"/>
      <c r="U53" s="182"/>
      <c r="V53" s="182"/>
      <c r="W53" s="182"/>
      <c r="X53" s="182"/>
      <c r="Y53" s="182"/>
      <c r="Z53" s="182"/>
    </row>
    <row r="54" spans="1:26" ht="15.75" customHeight="1" x14ac:dyDescent="0.25">
      <c r="A54" s="184" t="s">
        <v>642</v>
      </c>
      <c r="B54" s="185"/>
      <c r="C54" s="185"/>
      <c r="D54" s="185"/>
      <c r="E54" s="186" t="e">
        <f>ROUND(SUM(E20:E53),0)</f>
        <v>#REF!</v>
      </c>
      <c r="F54" s="187"/>
      <c r="G54" s="169"/>
      <c r="H54" s="169"/>
      <c r="I54" s="169"/>
      <c r="J54" s="169"/>
      <c r="K54" s="169"/>
      <c r="L54" s="169"/>
      <c r="M54" s="169"/>
      <c r="N54" s="169"/>
      <c r="O54" s="169"/>
      <c r="P54" s="169"/>
      <c r="Q54" s="169"/>
      <c r="R54" s="169"/>
      <c r="S54" s="169"/>
      <c r="T54" s="169"/>
      <c r="U54" s="169"/>
      <c r="V54" s="169"/>
      <c r="W54" s="169"/>
      <c r="X54" s="169"/>
      <c r="Y54" s="169"/>
      <c r="Z54" s="169"/>
    </row>
    <row r="55" spans="1:26" ht="15.75" customHeight="1" x14ac:dyDescent="0.25">
      <c r="A55" s="184" t="s">
        <v>643</v>
      </c>
      <c r="B55" s="169"/>
      <c r="C55" s="185"/>
      <c r="D55" s="188" t="e">
        <f>+E55/E54</f>
        <v>#REF!</v>
      </c>
      <c r="E55" s="186">
        <f>+Buenaventura!G250-Buenaventura!G245</f>
        <v>0</v>
      </c>
      <c r="F55" s="187"/>
      <c r="G55" s="169"/>
      <c r="H55" s="169"/>
      <c r="I55" s="169"/>
      <c r="J55" s="169"/>
      <c r="K55" s="169"/>
      <c r="L55" s="169"/>
      <c r="M55" s="169"/>
      <c r="N55" s="169"/>
      <c r="O55" s="169"/>
      <c r="P55" s="169"/>
      <c r="Q55" s="169"/>
      <c r="R55" s="169"/>
      <c r="S55" s="169"/>
      <c r="T55" s="169"/>
      <c r="U55" s="169"/>
      <c r="V55" s="169"/>
      <c r="W55" s="169"/>
      <c r="X55" s="169"/>
      <c r="Y55" s="169"/>
      <c r="Z55" s="169"/>
    </row>
    <row r="56" spans="1:26" ht="15.75" customHeight="1" x14ac:dyDescent="0.25">
      <c r="A56" s="184" t="s">
        <v>644</v>
      </c>
      <c r="B56" s="189"/>
      <c r="C56" s="185"/>
      <c r="D56" s="185"/>
      <c r="E56" s="190" t="e">
        <f>+E55+E54</f>
        <v>#REF!</v>
      </c>
      <c r="F56" s="187"/>
      <c r="G56" s="169"/>
      <c r="H56" s="169"/>
      <c r="I56" s="169"/>
      <c r="J56" s="169"/>
      <c r="K56" s="169"/>
      <c r="L56" s="169"/>
      <c r="M56" s="169"/>
      <c r="N56" s="169"/>
      <c r="O56" s="169"/>
      <c r="P56" s="169"/>
      <c r="Q56" s="169"/>
      <c r="R56" s="169"/>
      <c r="S56" s="169"/>
      <c r="T56" s="169"/>
      <c r="U56" s="169"/>
      <c r="V56" s="169"/>
      <c r="W56" s="169"/>
      <c r="X56" s="169"/>
      <c r="Y56" s="169"/>
      <c r="Z56" s="169"/>
    </row>
    <row r="57" spans="1:26" ht="15.75" customHeight="1" x14ac:dyDescent="0.25">
      <c r="A57" s="184"/>
      <c r="B57" s="189"/>
      <c r="C57" s="185"/>
      <c r="D57" s="185"/>
      <c r="E57" s="187"/>
      <c r="F57" s="187"/>
      <c r="G57" s="169"/>
      <c r="H57" s="169"/>
      <c r="I57" s="169"/>
      <c r="J57" s="169"/>
      <c r="K57" s="169"/>
      <c r="L57" s="169"/>
      <c r="M57" s="169"/>
      <c r="N57" s="169"/>
      <c r="O57" s="169"/>
      <c r="P57" s="169"/>
      <c r="Q57" s="169"/>
      <c r="R57" s="169"/>
      <c r="S57" s="169"/>
      <c r="T57" s="169"/>
      <c r="U57" s="169"/>
      <c r="V57" s="169"/>
      <c r="W57" s="169"/>
      <c r="X57" s="169"/>
      <c r="Y57" s="169"/>
      <c r="Z57" s="169"/>
    </row>
    <row r="58" spans="1:26" ht="15.75" customHeight="1" x14ac:dyDescent="0.25">
      <c r="A58" s="184" t="s">
        <v>645</v>
      </c>
      <c r="B58" s="189"/>
      <c r="C58" s="185"/>
      <c r="D58" s="185"/>
      <c r="E58" s="190" t="e">
        <f>SUM(E59:E61)</f>
        <v>#REF!</v>
      </c>
      <c r="F58" s="187"/>
      <c r="G58" s="169"/>
      <c r="H58" s="169"/>
      <c r="I58" s="169"/>
      <c r="J58" s="169"/>
      <c r="K58" s="169"/>
      <c r="L58" s="169"/>
      <c r="M58" s="169"/>
      <c r="N58" s="169"/>
      <c r="O58" s="169"/>
      <c r="P58" s="169"/>
      <c r="Q58" s="169"/>
      <c r="R58" s="169"/>
      <c r="S58" s="169"/>
      <c r="T58" s="169"/>
      <c r="U58" s="169"/>
      <c r="V58" s="169"/>
      <c r="W58" s="169"/>
      <c r="X58" s="169"/>
      <c r="Y58" s="169"/>
      <c r="Z58" s="169"/>
    </row>
    <row r="59" spans="1:26" ht="15.75" customHeight="1" x14ac:dyDescent="0.25">
      <c r="A59" s="191" t="s">
        <v>646</v>
      </c>
      <c r="B59" s="192"/>
      <c r="C59" s="192"/>
      <c r="D59" s="192"/>
      <c r="E59" s="180" t="e">
        <f>SUM(Buenaventura!I20:I56)*(1+D55)</f>
        <v>#REF!</v>
      </c>
      <c r="F59" s="180"/>
      <c r="G59" s="182"/>
      <c r="H59" s="182"/>
      <c r="I59" s="182"/>
      <c r="J59" s="182"/>
      <c r="K59" s="182"/>
      <c r="L59" s="182"/>
      <c r="M59" s="182"/>
      <c r="N59" s="182"/>
      <c r="O59" s="182"/>
      <c r="P59" s="182"/>
      <c r="Q59" s="182"/>
      <c r="R59" s="182"/>
      <c r="S59" s="182"/>
      <c r="T59" s="182"/>
      <c r="U59" s="182"/>
      <c r="V59" s="182"/>
      <c r="W59" s="182"/>
      <c r="X59" s="182"/>
      <c r="Y59" s="182"/>
      <c r="Z59" s="182"/>
    </row>
    <row r="60" spans="1:26" ht="15.75" customHeight="1" x14ac:dyDescent="0.25">
      <c r="A60" s="191" t="s">
        <v>647</v>
      </c>
      <c r="B60" s="192"/>
      <c r="C60" s="192"/>
      <c r="D60" s="192"/>
      <c r="E60" s="180" t="e">
        <f>SUM(Buenaventura!I57:I243)*(1+D55)</f>
        <v>#REF!</v>
      </c>
      <c r="F60" s="180"/>
      <c r="G60" s="182"/>
      <c r="H60" s="182"/>
      <c r="I60" s="182"/>
      <c r="J60" s="182"/>
      <c r="K60" s="182"/>
      <c r="L60" s="182"/>
      <c r="M60" s="182"/>
      <c r="N60" s="182"/>
      <c r="O60" s="182"/>
      <c r="P60" s="182"/>
      <c r="Q60" s="182"/>
      <c r="R60" s="182"/>
      <c r="S60" s="182"/>
      <c r="T60" s="182"/>
      <c r="U60" s="182"/>
      <c r="V60" s="182"/>
      <c r="W60" s="182"/>
      <c r="X60" s="182"/>
      <c r="Y60" s="182"/>
      <c r="Z60" s="182"/>
    </row>
    <row r="61" spans="1:26" ht="15.75" customHeight="1" x14ac:dyDescent="0.25">
      <c r="A61" s="191" t="s">
        <v>648</v>
      </c>
      <c r="B61" s="192"/>
      <c r="C61" s="192"/>
      <c r="D61" s="192"/>
      <c r="E61" s="180">
        <v>0</v>
      </c>
      <c r="F61" s="180"/>
      <c r="G61" s="182"/>
      <c r="H61" s="182"/>
      <c r="I61" s="182"/>
      <c r="J61" s="182"/>
      <c r="K61" s="182"/>
      <c r="L61" s="182"/>
      <c r="M61" s="182"/>
      <c r="N61" s="182"/>
      <c r="O61" s="182"/>
      <c r="P61" s="182"/>
      <c r="Q61" s="182"/>
      <c r="R61" s="182"/>
      <c r="S61" s="182"/>
      <c r="T61" s="182"/>
      <c r="U61" s="182"/>
      <c r="V61" s="182"/>
      <c r="W61" s="182"/>
      <c r="X61" s="182"/>
      <c r="Y61" s="182"/>
      <c r="Z61" s="182"/>
    </row>
    <row r="62" spans="1:26" ht="15.75" customHeight="1" x14ac:dyDescent="0.25">
      <c r="A62" s="184" t="s">
        <v>649</v>
      </c>
      <c r="B62" s="189"/>
      <c r="C62" s="185"/>
      <c r="D62" s="185"/>
      <c r="E62" s="190">
        <f>SUM(E63:E66)</f>
        <v>0</v>
      </c>
      <c r="F62" s="187"/>
      <c r="G62" s="169"/>
      <c r="H62" s="169"/>
      <c r="I62" s="169"/>
      <c r="J62" s="169"/>
      <c r="K62" s="169"/>
      <c r="L62" s="169"/>
      <c r="M62" s="169"/>
      <c r="N62" s="169"/>
      <c r="O62" s="169"/>
      <c r="P62" s="169"/>
      <c r="Q62" s="169"/>
      <c r="R62" s="169"/>
      <c r="S62" s="169"/>
      <c r="T62" s="169"/>
      <c r="U62" s="169"/>
      <c r="V62" s="169"/>
      <c r="W62" s="169"/>
      <c r="X62" s="169"/>
      <c r="Y62" s="169"/>
      <c r="Z62" s="169"/>
    </row>
    <row r="63" spans="1:26" ht="15.75" customHeight="1" x14ac:dyDescent="0.25">
      <c r="A63" s="193" t="s">
        <v>650</v>
      </c>
      <c r="B63" s="189"/>
      <c r="C63" s="185"/>
      <c r="D63" s="185"/>
      <c r="E63" s="186">
        <v>0</v>
      </c>
      <c r="F63" s="187"/>
      <c r="G63" s="169"/>
      <c r="H63" s="169"/>
      <c r="I63" s="169"/>
      <c r="J63" s="169"/>
      <c r="K63" s="169"/>
      <c r="L63" s="169"/>
      <c r="M63" s="169"/>
      <c r="N63" s="169"/>
      <c r="O63" s="169"/>
      <c r="P63" s="169"/>
      <c r="Q63" s="169"/>
      <c r="R63" s="169"/>
      <c r="S63" s="169"/>
      <c r="T63" s="169"/>
      <c r="U63" s="169"/>
      <c r="V63" s="169"/>
      <c r="W63" s="169"/>
      <c r="X63" s="169"/>
      <c r="Y63" s="169"/>
      <c r="Z63" s="169"/>
    </row>
    <row r="64" spans="1:26" ht="15.75" customHeight="1" x14ac:dyDescent="0.25">
      <c r="A64" s="193" t="s">
        <v>651</v>
      </c>
      <c r="B64" s="189"/>
      <c r="C64" s="185"/>
      <c r="D64" s="185"/>
      <c r="E64" s="186">
        <v>0</v>
      </c>
      <c r="F64" s="187"/>
      <c r="G64" s="169"/>
      <c r="H64" s="169"/>
      <c r="I64" s="169"/>
      <c r="J64" s="169"/>
      <c r="K64" s="169"/>
      <c r="L64" s="169"/>
      <c r="M64" s="169"/>
      <c r="N64" s="169"/>
      <c r="O64" s="169"/>
      <c r="P64" s="169"/>
      <c r="Q64" s="169"/>
      <c r="R64" s="169"/>
      <c r="S64" s="169"/>
      <c r="T64" s="169"/>
      <c r="U64" s="169"/>
      <c r="V64" s="169"/>
      <c r="W64" s="169"/>
      <c r="X64" s="169"/>
      <c r="Y64" s="169"/>
      <c r="Z64" s="169"/>
    </row>
    <row r="65" spans="1:26" ht="15.75" customHeight="1" x14ac:dyDescent="0.25">
      <c r="A65" s="193" t="s">
        <v>652</v>
      </c>
      <c r="B65" s="189"/>
      <c r="C65" s="185"/>
      <c r="D65" s="185"/>
      <c r="E65" s="186">
        <v>0</v>
      </c>
      <c r="F65" s="187"/>
      <c r="G65" s="169"/>
      <c r="H65" s="169"/>
      <c r="I65" s="169"/>
      <c r="J65" s="169"/>
      <c r="K65" s="169"/>
      <c r="L65" s="169"/>
      <c r="M65" s="169"/>
      <c r="N65" s="169"/>
      <c r="O65" s="169"/>
      <c r="P65" s="169"/>
      <c r="Q65" s="169"/>
      <c r="R65" s="169"/>
      <c r="S65" s="169"/>
      <c r="T65" s="169"/>
      <c r="U65" s="169"/>
      <c r="V65" s="169"/>
      <c r="W65" s="169"/>
      <c r="X65" s="169"/>
      <c r="Y65" s="169"/>
      <c r="Z65" s="169"/>
    </row>
    <row r="66" spans="1:26" ht="15.75" customHeight="1" x14ac:dyDescent="0.25">
      <c r="A66" s="193"/>
      <c r="B66" s="189"/>
      <c r="C66" s="185"/>
      <c r="D66" s="185"/>
      <c r="E66" s="186">
        <v>0</v>
      </c>
      <c r="F66" s="187"/>
      <c r="G66" s="169"/>
      <c r="H66" s="169"/>
      <c r="I66" s="169"/>
      <c r="J66" s="169"/>
      <c r="K66" s="169"/>
      <c r="L66" s="169"/>
      <c r="M66" s="169"/>
      <c r="N66" s="169"/>
      <c r="O66" s="169"/>
      <c r="P66" s="169"/>
      <c r="Q66" s="169"/>
      <c r="R66" s="169"/>
      <c r="S66" s="169"/>
      <c r="T66" s="169"/>
      <c r="U66" s="169"/>
      <c r="V66" s="169"/>
      <c r="W66" s="169"/>
      <c r="X66" s="169"/>
      <c r="Y66" s="169"/>
      <c r="Z66" s="169"/>
    </row>
    <row r="67" spans="1:26" ht="15.75" customHeight="1" x14ac:dyDescent="0.25">
      <c r="A67" s="194" t="s">
        <v>653</v>
      </c>
      <c r="B67" s="192"/>
      <c r="C67" s="192"/>
      <c r="D67" s="192"/>
      <c r="E67" s="195">
        <f>+E68</f>
        <v>0</v>
      </c>
      <c r="F67" s="180"/>
      <c r="G67" s="169"/>
      <c r="H67" s="169"/>
      <c r="I67" s="169"/>
      <c r="J67" s="169"/>
      <c r="K67" s="169"/>
      <c r="L67" s="169"/>
      <c r="M67" s="169"/>
      <c r="N67" s="169"/>
      <c r="O67" s="169"/>
      <c r="P67" s="169"/>
      <c r="Q67" s="169"/>
      <c r="R67" s="169"/>
      <c r="S67" s="169"/>
      <c r="T67" s="169"/>
      <c r="U67" s="169"/>
      <c r="V67" s="169"/>
      <c r="W67" s="169"/>
      <c r="X67" s="169"/>
      <c r="Y67" s="169"/>
      <c r="Z67" s="169"/>
    </row>
    <row r="68" spans="1:26" ht="15.75" customHeight="1" x14ac:dyDescent="0.25">
      <c r="A68" s="818" t="s">
        <v>654</v>
      </c>
      <c r="B68" s="747"/>
      <c r="C68" s="747"/>
      <c r="D68" s="747"/>
      <c r="E68" s="180">
        <v>0</v>
      </c>
      <c r="F68" s="180"/>
      <c r="G68" s="169"/>
      <c r="H68" s="169"/>
      <c r="I68" s="169"/>
      <c r="J68" s="169"/>
      <c r="K68" s="169"/>
      <c r="L68" s="169"/>
      <c r="M68" s="169"/>
      <c r="N68" s="169"/>
      <c r="O68" s="169"/>
      <c r="P68" s="169"/>
      <c r="Q68" s="169"/>
      <c r="R68" s="169"/>
      <c r="S68" s="169"/>
      <c r="T68" s="169"/>
      <c r="U68" s="169"/>
      <c r="V68" s="169"/>
      <c r="W68" s="169"/>
      <c r="X68" s="169"/>
      <c r="Y68" s="169"/>
      <c r="Z68" s="169"/>
    </row>
    <row r="69" spans="1:26" ht="30.75" customHeight="1" x14ac:dyDescent="0.25">
      <c r="A69" s="170"/>
      <c r="B69" s="189"/>
      <c r="C69" s="177"/>
      <c r="D69" s="177"/>
      <c r="E69" s="186"/>
      <c r="F69" s="186"/>
      <c r="G69" s="169"/>
      <c r="H69" s="169"/>
      <c r="I69" s="169"/>
      <c r="J69" s="169"/>
      <c r="K69" s="169"/>
      <c r="L69" s="169"/>
      <c r="M69" s="169"/>
      <c r="N69" s="169"/>
      <c r="O69" s="169"/>
      <c r="P69" s="169"/>
      <c r="Q69" s="169"/>
      <c r="R69" s="169"/>
      <c r="S69" s="169"/>
      <c r="T69" s="169"/>
      <c r="U69" s="169"/>
      <c r="V69" s="169"/>
      <c r="W69" s="169"/>
      <c r="X69" s="169"/>
      <c r="Y69" s="169"/>
      <c r="Z69" s="169"/>
    </row>
    <row r="70" spans="1:26" ht="15.75" customHeight="1" x14ac:dyDescent="0.25">
      <c r="A70" s="170"/>
      <c r="B70" s="189"/>
      <c r="C70" s="177"/>
      <c r="D70" s="177"/>
      <c r="E70" s="186"/>
      <c r="F70" s="186"/>
      <c r="G70" s="169"/>
      <c r="H70" s="169"/>
      <c r="I70" s="169"/>
      <c r="J70" s="169"/>
      <c r="K70" s="169"/>
      <c r="L70" s="169"/>
      <c r="M70" s="169"/>
      <c r="N70" s="169"/>
      <c r="O70" s="169"/>
      <c r="P70" s="169"/>
      <c r="Q70" s="169"/>
      <c r="R70" s="169"/>
      <c r="S70" s="169"/>
      <c r="T70" s="169"/>
      <c r="U70" s="169"/>
      <c r="V70" s="169"/>
      <c r="W70" s="169"/>
      <c r="X70" s="169"/>
      <c r="Y70" s="169"/>
      <c r="Z70" s="169"/>
    </row>
    <row r="71" spans="1:26" ht="15.75" customHeight="1" x14ac:dyDescent="0.25">
      <c r="A71" s="176" t="s">
        <v>655</v>
      </c>
      <c r="B71" s="185"/>
      <c r="C71" s="185"/>
      <c r="D71" s="185"/>
      <c r="E71" s="190" t="e">
        <f>ROUND(SUM(E56,E58,E62,E67),0)</f>
        <v>#REF!</v>
      </c>
      <c r="F71" s="187"/>
      <c r="G71" s="169"/>
      <c r="H71" s="169"/>
      <c r="I71" s="169"/>
      <c r="J71" s="169"/>
      <c r="K71" s="169"/>
      <c r="L71" s="169"/>
      <c r="M71" s="169"/>
      <c r="N71" s="169"/>
      <c r="O71" s="169"/>
      <c r="P71" s="169"/>
      <c r="Q71" s="169"/>
      <c r="R71" s="169"/>
      <c r="S71" s="169"/>
      <c r="T71" s="169"/>
      <c r="U71" s="169"/>
      <c r="V71" s="169"/>
      <c r="W71" s="169"/>
      <c r="X71" s="169"/>
      <c r="Y71" s="169"/>
      <c r="Z71" s="169"/>
    </row>
    <row r="72" spans="1:26" ht="15.75" customHeight="1" x14ac:dyDescent="0.25">
      <c r="A72" s="176"/>
      <c r="B72" s="185"/>
      <c r="C72" s="185"/>
      <c r="D72" s="185"/>
      <c r="E72" s="187"/>
      <c r="F72" s="187"/>
      <c r="G72" s="169"/>
      <c r="H72" s="169"/>
      <c r="I72" s="169"/>
      <c r="J72" s="169"/>
      <c r="K72" s="169"/>
      <c r="L72" s="169"/>
      <c r="M72" s="169"/>
      <c r="N72" s="169"/>
      <c r="O72" s="169"/>
      <c r="P72" s="169"/>
      <c r="Q72" s="169"/>
      <c r="R72" s="169"/>
      <c r="S72" s="169"/>
      <c r="T72" s="169"/>
      <c r="U72" s="169"/>
      <c r="V72" s="169"/>
      <c r="W72" s="169"/>
      <c r="X72" s="169"/>
      <c r="Y72" s="169"/>
      <c r="Z72" s="169"/>
    </row>
    <row r="73" spans="1:26" ht="15.75" customHeight="1" x14ac:dyDescent="0.25">
      <c r="A73" s="819" t="s">
        <v>656</v>
      </c>
      <c r="B73" s="782"/>
      <c r="C73" s="782"/>
      <c r="D73" s="782"/>
      <c r="E73" s="782"/>
      <c r="F73" s="782"/>
      <c r="G73" s="169"/>
      <c r="H73" s="169"/>
      <c r="I73" s="169"/>
      <c r="J73" s="169"/>
      <c r="K73" s="169"/>
      <c r="L73" s="169"/>
      <c r="M73" s="169"/>
      <c r="N73" s="169"/>
      <c r="O73" s="169"/>
      <c r="P73" s="169"/>
      <c r="Q73" s="169"/>
      <c r="R73" s="169"/>
      <c r="S73" s="169"/>
      <c r="T73" s="169"/>
      <c r="U73" s="169"/>
      <c r="V73" s="169"/>
      <c r="W73" s="169"/>
      <c r="X73" s="169"/>
      <c r="Y73" s="169"/>
      <c r="Z73" s="169"/>
    </row>
    <row r="74" spans="1:26" ht="15.75" customHeight="1" x14ac:dyDescent="0.25">
      <c r="A74" s="169" t="s">
        <v>657</v>
      </c>
      <c r="B74" s="177"/>
      <c r="C74" s="186"/>
      <c r="D74" s="186"/>
      <c r="E74" s="186">
        <f>+Buenaventura!G250</f>
        <v>0</v>
      </c>
      <c r="F74" s="186"/>
      <c r="G74" s="169"/>
      <c r="H74" s="169"/>
      <c r="I74" s="169"/>
      <c r="J74" s="169"/>
      <c r="K74" s="169"/>
      <c r="L74" s="169"/>
      <c r="M74" s="169"/>
      <c r="N74" s="169"/>
      <c r="O74" s="169"/>
      <c r="P74" s="169"/>
      <c r="Q74" s="169"/>
      <c r="R74" s="169"/>
      <c r="S74" s="169"/>
      <c r="T74" s="169"/>
      <c r="U74" s="169"/>
      <c r="V74" s="169"/>
      <c r="W74" s="169"/>
      <c r="X74" s="169"/>
      <c r="Y74" s="169"/>
      <c r="Z74" s="169"/>
    </row>
    <row r="75" spans="1:26" ht="15.75" customHeight="1" x14ac:dyDescent="0.25">
      <c r="A75" s="169" t="s">
        <v>658</v>
      </c>
      <c r="B75" s="177"/>
      <c r="C75" s="186"/>
      <c r="D75" s="186"/>
      <c r="E75" s="186" t="e">
        <f>+E58</f>
        <v>#REF!</v>
      </c>
      <c r="F75" s="186"/>
      <c r="G75" s="169"/>
      <c r="H75" s="169"/>
      <c r="I75" s="169"/>
      <c r="J75" s="169"/>
      <c r="K75" s="169"/>
      <c r="L75" s="169"/>
      <c r="M75" s="169"/>
      <c r="N75" s="169"/>
      <c r="O75" s="169"/>
      <c r="P75" s="169"/>
      <c r="Q75" s="169"/>
      <c r="R75" s="169"/>
      <c r="S75" s="169"/>
      <c r="T75" s="169"/>
      <c r="U75" s="169"/>
      <c r="V75" s="169"/>
      <c r="W75" s="169"/>
      <c r="X75" s="169"/>
      <c r="Y75" s="169"/>
      <c r="Z75" s="169"/>
    </row>
    <row r="76" spans="1:26" ht="15.75" customHeight="1" x14ac:dyDescent="0.25">
      <c r="A76" s="169" t="s">
        <v>659</v>
      </c>
      <c r="B76" s="177"/>
      <c r="C76" s="186"/>
      <c r="D76" s="186"/>
      <c r="E76" s="186">
        <f>+E62</f>
        <v>0</v>
      </c>
      <c r="F76" s="186"/>
      <c r="G76" s="169"/>
      <c r="H76" s="169"/>
      <c r="I76" s="169"/>
      <c r="J76" s="169"/>
      <c r="K76" s="169"/>
      <c r="L76" s="169"/>
      <c r="M76" s="169"/>
      <c r="N76" s="169"/>
      <c r="O76" s="169"/>
      <c r="P76" s="169"/>
      <c r="Q76" s="169"/>
      <c r="R76" s="169"/>
      <c r="S76" s="169"/>
      <c r="T76" s="169"/>
      <c r="U76" s="169"/>
      <c r="V76" s="169"/>
      <c r="W76" s="169"/>
      <c r="X76" s="169"/>
      <c r="Y76" s="169"/>
      <c r="Z76" s="169"/>
    </row>
    <row r="77" spans="1:26" ht="15.75" customHeight="1" x14ac:dyDescent="0.25">
      <c r="A77" s="169" t="s">
        <v>660</v>
      </c>
      <c r="B77" s="177"/>
      <c r="C77" s="186"/>
      <c r="D77" s="186"/>
      <c r="E77" s="186">
        <f>+E67</f>
        <v>0</v>
      </c>
      <c r="F77" s="186"/>
      <c r="G77" s="169"/>
      <c r="H77" s="169"/>
      <c r="I77" s="169"/>
      <c r="J77" s="169"/>
      <c r="K77" s="169"/>
      <c r="L77" s="169"/>
      <c r="M77" s="169"/>
      <c r="N77" s="169"/>
      <c r="O77" s="169"/>
      <c r="P77" s="169"/>
      <c r="Q77" s="169"/>
      <c r="R77" s="169"/>
      <c r="S77" s="169"/>
      <c r="T77" s="169"/>
      <c r="U77" s="169"/>
      <c r="V77" s="169"/>
      <c r="W77" s="169"/>
      <c r="X77" s="169"/>
      <c r="Y77" s="169"/>
      <c r="Z77" s="169"/>
    </row>
    <row r="78" spans="1:26" ht="15.75" customHeight="1" x14ac:dyDescent="0.25">
      <c r="A78" s="169" t="s">
        <v>661</v>
      </c>
      <c r="B78" s="177"/>
      <c r="C78" s="186"/>
      <c r="D78" s="186"/>
      <c r="E78" s="186"/>
      <c r="F78" s="186"/>
      <c r="G78" s="169"/>
      <c r="H78" s="169"/>
      <c r="I78" s="169"/>
      <c r="J78" s="169"/>
      <c r="K78" s="169"/>
      <c r="L78" s="169"/>
      <c r="M78" s="169"/>
      <c r="N78" s="169"/>
      <c r="O78" s="169"/>
      <c r="P78" s="169"/>
      <c r="Q78" s="169"/>
      <c r="R78" s="169"/>
      <c r="S78" s="169"/>
      <c r="T78" s="169"/>
      <c r="U78" s="169"/>
      <c r="V78" s="169"/>
      <c r="W78" s="169"/>
      <c r="X78" s="169"/>
      <c r="Y78" s="169"/>
      <c r="Z78" s="169"/>
    </row>
    <row r="79" spans="1:26" ht="15.75" customHeight="1" x14ac:dyDescent="0.25">
      <c r="A79" s="172" t="s">
        <v>662</v>
      </c>
      <c r="B79" s="185"/>
      <c r="C79" s="187"/>
      <c r="D79" s="187"/>
      <c r="E79" s="234" t="e">
        <f>SUM(E74:E78)</f>
        <v>#REF!</v>
      </c>
      <c r="F79" s="187"/>
      <c r="G79" s="169"/>
      <c r="H79" s="169"/>
      <c r="I79" s="169"/>
      <c r="J79" s="169"/>
      <c r="K79" s="169"/>
      <c r="L79" s="169"/>
      <c r="M79" s="169"/>
      <c r="N79" s="169"/>
      <c r="O79" s="169"/>
      <c r="P79" s="169"/>
      <c r="Q79" s="169"/>
      <c r="R79" s="169"/>
      <c r="S79" s="169"/>
      <c r="T79" s="169"/>
      <c r="U79" s="169"/>
      <c r="V79" s="169"/>
      <c r="W79" s="169"/>
      <c r="X79" s="169"/>
      <c r="Y79" s="169"/>
      <c r="Z79" s="169"/>
    </row>
    <row r="80" spans="1:26" ht="15.75" customHeight="1" x14ac:dyDescent="0.25">
      <c r="A80" s="169"/>
      <c r="B80" s="177"/>
      <c r="C80" s="186"/>
      <c r="D80" s="186"/>
      <c r="E80" s="186"/>
      <c r="F80" s="186"/>
      <c r="G80" s="169"/>
      <c r="H80" s="169"/>
      <c r="I80" s="169"/>
      <c r="J80" s="169"/>
      <c r="K80" s="169"/>
      <c r="L80" s="169"/>
      <c r="M80" s="169"/>
      <c r="N80" s="169"/>
      <c r="O80" s="169"/>
      <c r="P80" s="169"/>
      <c r="Q80" s="169"/>
      <c r="R80" s="169"/>
      <c r="S80" s="169"/>
      <c r="T80" s="169"/>
      <c r="U80" s="169"/>
      <c r="V80" s="169"/>
      <c r="W80" s="169"/>
      <c r="X80" s="169"/>
      <c r="Y80" s="169"/>
      <c r="Z80" s="169"/>
    </row>
    <row r="81" spans="1:26" ht="15.75" customHeight="1" x14ac:dyDescent="0.25">
      <c r="A81" s="169" t="s">
        <v>663</v>
      </c>
      <c r="B81" s="177"/>
      <c r="C81" s="186" t="e">
        <f>+E79</f>
        <v>#REF!</v>
      </c>
      <c r="D81" s="186"/>
      <c r="E81" s="186"/>
      <c r="F81" s="186"/>
      <c r="G81" s="169"/>
      <c r="H81" s="169"/>
      <c r="I81" s="169"/>
      <c r="J81" s="169"/>
      <c r="K81" s="169"/>
      <c r="L81" s="169"/>
      <c r="M81" s="169"/>
      <c r="N81" s="169"/>
      <c r="O81" s="169"/>
      <c r="P81" s="169"/>
      <c r="Q81" s="169"/>
      <c r="R81" s="169"/>
      <c r="S81" s="169"/>
      <c r="T81" s="169"/>
      <c r="U81" s="169"/>
      <c r="V81" s="169"/>
      <c r="W81" s="169"/>
      <c r="X81" s="169"/>
      <c r="Y81" s="169"/>
      <c r="Z81" s="169"/>
    </row>
    <row r="82" spans="1:26" ht="15.75" customHeight="1" x14ac:dyDescent="0.25">
      <c r="A82" s="169"/>
      <c r="B82" s="177"/>
      <c r="C82" s="186"/>
      <c r="D82" s="186"/>
      <c r="E82" s="186"/>
      <c r="F82" s="186"/>
      <c r="G82" s="169"/>
      <c r="H82" s="169"/>
      <c r="I82" s="169"/>
      <c r="J82" s="169"/>
      <c r="K82" s="169"/>
      <c r="L82" s="169"/>
      <c r="M82" s="169"/>
      <c r="N82" s="169"/>
      <c r="O82" s="169"/>
      <c r="P82" s="169"/>
      <c r="Q82" s="169"/>
      <c r="R82" s="169"/>
      <c r="S82" s="169"/>
      <c r="T82" s="169"/>
      <c r="U82" s="169"/>
      <c r="V82" s="169"/>
      <c r="W82" s="169"/>
      <c r="X82" s="169"/>
      <c r="Y82" s="169"/>
      <c r="Z82" s="169"/>
    </row>
    <row r="83" spans="1:26" ht="15.75" customHeight="1" x14ac:dyDescent="0.25">
      <c r="A83" s="169" t="s">
        <v>664</v>
      </c>
      <c r="B83" s="177"/>
      <c r="C83" s="186"/>
      <c r="D83" s="186"/>
      <c r="E83" s="186"/>
      <c r="F83" s="186"/>
      <c r="G83" s="169"/>
      <c r="H83" s="169"/>
      <c r="I83" s="169"/>
      <c r="J83" s="169"/>
      <c r="K83" s="169"/>
      <c r="L83" s="169"/>
      <c r="M83" s="169"/>
      <c r="N83" s="169"/>
      <c r="O83" s="169"/>
      <c r="P83" s="169"/>
      <c r="Q83" s="169"/>
      <c r="R83" s="169"/>
      <c r="S83" s="169"/>
      <c r="T83" s="169"/>
      <c r="U83" s="169"/>
      <c r="V83" s="169"/>
      <c r="W83" s="169"/>
      <c r="X83" s="169"/>
      <c r="Y83" s="169"/>
      <c r="Z83" s="169"/>
    </row>
    <row r="84" spans="1:26" ht="15.75" customHeight="1" x14ac:dyDescent="0.25">
      <c r="A84" s="169" t="str">
        <f>CONCATENATE("Valor Liquidado Acta No.",B10)</f>
        <v>Valor Liquidado Acta No.2</v>
      </c>
      <c r="B84" s="177"/>
      <c r="C84" s="186" t="e">
        <f>E71</f>
        <v>#REF!</v>
      </c>
      <c r="D84" s="186"/>
      <c r="E84" s="186"/>
      <c r="F84" s="186"/>
      <c r="G84" s="169"/>
      <c r="H84" s="169"/>
      <c r="I84" s="169"/>
      <c r="J84" s="169"/>
      <c r="K84" s="169"/>
      <c r="L84" s="169"/>
      <c r="M84" s="169"/>
      <c r="N84" s="169"/>
      <c r="O84" s="169"/>
      <c r="P84" s="169"/>
      <c r="Q84" s="169"/>
      <c r="R84" s="169"/>
      <c r="S84" s="169"/>
      <c r="T84" s="169"/>
      <c r="U84" s="169"/>
      <c r="V84" s="169"/>
      <c r="W84" s="169"/>
      <c r="X84" s="169"/>
      <c r="Y84" s="169"/>
      <c r="Z84" s="169"/>
    </row>
    <row r="85" spans="1:26" ht="15.75" customHeight="1" x14ac:dyDescent="0.25">
      <c r="A85" s="169" t="s">
        <v>665</v>
      </c>
      <c r="B85" s="177"/>
      <c r="C85" s="196"/>
      <c r="D85" s="186"/>
      <c r="E85" s="186"/>
      <c r="F85" s="186"/>
      <c r="G85" s="169"/>
      <c r="H85" s="169"/>
      <c r="I85" s="169"/>
      <c r="J85" s="169"/>
      <c r="K85" s="169"/>
      <c r="L85" s="169"/>
      <c r="M85" s="169"/>
      <c r="N85" s="169"/>
      <c r="O85" s="169"/>
      <c r="P85" s="169"/>
      <c r="Q85" s="169"/>
      <c r="R85" s="169"/>
      <c r="S85" s="169"/>
      <c r="T85" s="169"/>
      <c r="U85" s="169"/>
      <c r="V85" s="169"/>
      <c r="W85" s="169"/>
      <c r="X85" s="169"/>
      <c r="Y85" s="169"/>
      <c r="Z85" s="169"/>
    </row>
    <row r="86" spans="1:26" ht="15.75" customHeight="1" x14ac:dyDescent="0.25">
      <c r="A86" s="172" t="s">
        <v>666</v>
      </c>
      <c r="B86" s="177"/>
      <c r="C86" s="234" t="e">
        <f>ROUND(C84+C83+C85,0)</f>
        <v>#REF!</v>
      </c>
      <c r="D86" s="186"/>
      <c r="E86" s="186"/>
      <c r="F86" s="186"/>
      <c r="G86" s="169"/>
      <c r="H86" s="169"/>
      <c r="I86" s="169"/>
      <c r="J86" s="169"/>
      <c r="K86" s="169"/>
      <c r="L86" s="169"/>
      <c r="M86" s="169"/>
      <c r="N86" s="169"/>
      <c r="O86" s="169"/>
      <c r="P86" s="169"/>
      <c r="Q86" s="169"/>
      <c r="R86" s="169"/>
      <c r="S86" s="169"/>
      <c r="T86" s="169"/>
      <c r="U86" s="169"/>
      <c r="V86" s="169"/>
      <c r="W86" s="169"/>
      <c r="X86" s="169"/>
      <c r="Y86" s="169"/>
      <c r="Z86" s="169"/>
    </row>
    <row r="87" spans="1:26" ht="15.75" customHeight="1" x14ac:dyDescent="0.25">
      <c r="A87" s="169"/>
      <c r="B87" s="177"/>
      <c r="C87" s="186"/>
      <c r="D87" s="186"/>
      <c r="E87" s="186"/>
      <c r="F87" s="186"/>
      <c r="G87" s="169"/>
      <c r="H87" s="169"/>
      <c r="I87" s="169"/>
      <c r="J87" s="169"/>
      <c r="K87" s="169"/>
      <c r="L87" s="169"/>
      <c r="M87" s="169"/>
      <c r="N87" s="169"/>
      <c r="O87" s="169"/>
      <c r="P87" s="169"/>
      <c r="Q87" s="169"/>
      <c r="R87" s="169"/>
      <c r="S87" s="169"/>
      <c r="T87" s="169"/>
      <c r="U87" s="169"/>
      <c r="V87" s="169"/>
      <c r="W87" s="169"/>
      <c r="X87" s="169"/>
      <c r="Y87" s="169"/>
      <c r="Z87" s="169"/>
    </row>
    <row r="88" spans="1:26" ht="15.75" customHeight="1" x14ac:dyDescent="0.25">
      <c r="A88" s="169" t="s">
        <v>667</v>
      </c>
      <c r="B88" s="177"/>
      <c r="C88" s="186" t="e">
        <f>+E79-C86</f>
        <v>#REF!</v>
      </c>
      <c r="D88" s="186"/>
      <c r="E88" s="186"/>
      <c r="F88" s="186"/>
      <c r="G88" s="169"/>
      <c r="H88" s="169"/>
      <c r="I88" s="169"/>
      <c r="J88" s="169"/>
      <c r="K88" s="169"/>
      <c r="L88" s="169"/>
      <c r="M88" s="169"/>
      <c r="N88" s="169"/>
      <c r="O88" s="169"/>
      <c r="P88" s="169"/>
      <c r="Q88" s="169"/>
      <c r="R88" s="169"/>
      <c r="S88" s="169"/>
      <c r="T88" s="169"/>
      <c r="U88" s="169"/>
      <c r="V88" s="169"/>
      <c r="W88" s="169"/>
      <c r="X88" s="169"/>
      <c r="Y88" s="169"/>
      <c r="Z88" s="169"/>
    </row>
    <row r="89" spans="1:26" ht="15.75" customHeight="1" x14ac:dyDescent="0.25">
      <c r="A89" s="172" t="s">
        <v>668</v>
      </c>
      <c r="B89" s="185"/>
      <c r="C89" s="234" t="e">
        <f>+C86+C88</f>
        <v>#REF!</v>
      </c>
      <c r="D89" s="187"/>
      <c r="E89" s="234" t="e">
        <f>+E79</f>
        <v>#REF!</v>
      </c>
      <c r="F89" s="187"/>
      <c r="G89" s="169"/>
      <c r="H89" s="169"/>
      <c r="I89" s="169"/>
      <c r="J89" s="169"/>
      <c r="K89" s="169"/>
      <c r="L89" s="169"/>
      <c r="M89" s="169"/>
      <c r="N89" s="169"/>
      <c r="O89" s="169"/>
      <c r="P89" s="169"/>
      <c r="Q89" s="169"/>
      <c r="R89" s="169"/>
      <c r="S89" s="169"/>
      <c r="T89" s="169"/>
      <c r="U89" s="169"/>
      <c r="V89" s="169"/>
      <c r="W89" s="169"/>
      <c r="X89" s="169"/>
      <c r="Y89" s="169"/>
      <c r="Z89" s="169"/>
    </row>
    <row r="90" spans="1:26" ht="15.75" customHeight="1" x14ac:dyDescent="0.25">
      <c r="A90" s="169"/>
      <c r="B90" s="177"/>
      <c r="C90" s="196"/>
      <c r="D90" s="196"/>
      <c r="E90" s="196"/>
      <c r="F90" s="196"/>
      <c r="G90" s="169"/>
      <c r="H90" s="169"/>
      <c r="I90" s="169"/>
      <c r="J90" s="169"/>
      <c r="K90" s="169"/>
      <c r="L90" s="169"/>
      <c r="M90" s="169"/>
      <c r="N90" s="169"/>
      <c r="O90" s="169"/>
      <c r="P90" s="169"/>
      <c r="Q90" s="169"/>
      <c r="R90" s="169"/>
      <c r="S90" s="169"/>
      <c r="T90" s="169"/>
      <c r="U90" s="169"/>
      <c r="V90" s="169"/>
      <c r="W90" s="169"/>
      <c r="X90" s="169"/>
      <c r="Y90" s="169"/>
      <c r="Z90" s="169"/>
    </row>
    <row r="91" spans="1:26" ht="15.75" customHeight="1" x14ac:dyDescent="0.25">
      <c r="A91" s="819" t="s">
        <v>669</v>
      </c>
      <c r="B91" s="782"/>
      <c r="C91" s="782"/>
      <c r="D91" s="782"/>
      <c r="E91" s="782"/>
      <c r="F91" s="782"/>
      <c r="G91" s="169"/>
      <c r="H91" s="169"/>
      <c r="I91" s="169"/>
      <c r="J91" s="169"/>
      <c r="K91" s="169"/>
      <c r="L91" s="169"/>
      <c r="M91" s="169"/>
      <c r="N91" s="169"/>
      <c r="O91" s="169"/>
      <c r="P91" s="169"/>
      <c r="Q91" s="169"/>
      <c r="R91" s="169"/>
      <c r="S91" s="169"/>
      <c r="T91" s="169"/>
      <c r="U91" s="169"/>
      <c r="V91" s="169"/>
      <c r="W91" s="169"/>
      <c r="X91" s="169"/>
      <c r="Y91" s="169"/>
      <c r="Z91" s="169"/>
    </row>
    <row r="92" spans="1:26" ht="15.75" customHeight="1" x14ac:dyDescent="0.25">
      <c r="A92" s="169"/>
      <c r="B92" s="177"/>
      <c r="C92" s="196"/>
      <c r="D92" s="196"/>
      <c r="E92" s="196"/>
      <c r="F92" s="196"/>
      <c r="G92" s="169"/>
      <c r="H92" s="169"/>
      <c r="I92" s="169"/>
      <c r="J92" s="169"/>
      <c r="K92" s="169"/>
      <c r="L92" s="169"/>
      <c r="M92" s="169"/>
      <c r="N92" s="169"/>
      <c r="O92" s="169"/>
      <c r="P92" s="169"/>
      <c r="Q92" s="169"/>
      <c r="R92" s="169"/>
      <c r="S92" s="169"/>
      <c r="T92" s="169"/>
      <c r="U92" s="169"/>
      <c r="V92" s="169"/>
      <c r="W92" s="169"/>
      <c r="X92" s="169"/>
      <c r="Y92" s="169"/>
      <c r="Z92" s="169"/>
    </row>
    <row r="93" spans="1:26" ht="15.75" customHeight="1" x14ac:dyDescent="0.25">
      <c r="A93" s="169" t="str">
        <f>CONCATENATE("Valor Liquidado en Actas de Obra No. 1 a ",B10)</f>
        <v>Valor Liquidado en Actas de Obra No. 1 a 2</v>
      </c>
      <c r="B93" s="177"/>
      <c r="C93" s="196"/>
      <c r="D93" s="196"/>
      <c r="E93" s="186" t="e">
        <f>+C86</f>
        <v>#REF!</v>
      </c>
      <c r="F93" s="186"/>
      <c r="G93" s="169"/>
      <c r="H93" s="169"/>
      <c r="I93" s="169"/>
      <c r="J93" s="169"/>
      <c r="K93" s="169"/>
      <c r="L93" s="169"/>
      <c r="M93" s="169"/>
      <c r="N93" s="169"/>
      <c r="O93" s="169"/>
      <c r="P93" s="169"/>
      <c r="Q93" s="169"/>
      <c r="R93" s="169"/>
      <c r="S93" s="169"/>
      <c r="T93" s="169"/>
      <c r="U93" s="169"/>
      <c r="V93" s="169"/>
      <c r="W93" s="169"/>
      <c r="X93" s="169"/>
      <c r="Y93" s="169"/>
      <c r="Z93" s="169"/>
    </row>
    <row r="94" spans="1:26" ht="15.75" customHeight="1" x14ac:dyDescent="0.25">
      <c r="A94" s="169" t="s">
        <v>670</v>
      </c>
      <c r="B94" s="177"/>
      <c r="C94" s="196"/>
      <c r="D94" s="196"/>
      <c r="E94" s="235" t="e">
        <f>C86</f>
        <v>#REF!</v>
      </c>
      <c r="F94" s="186"/>
      <c r="G94" s="169"/>
      <c r="H94" s="169"/>
      <c r="I94" s="169"/>
      <c r="J94" s="169"/>
      <c r="K94" s="169"/>
      <c r="L94" s="169"/>
      <c r="M94" s="169"/>
      <c r="N94" s="169"/>
      <c r="O94" s="169"/>
      <c r="P94" s="169"/>
      <c r="Q94" s="169"/>
      <c r="R94" s="169"/>
      <c r="S94" s="169"/>
      <c r="T94" s="169"/>
      <c r="U94" s="169"/>
      <c r="V94" s="169"/>
      <c r="W94" s="169"/>
      <c r="X94" s="169"/>
      <c r="Y94" s="169"/>
      <c r="Z94" s="169"/>
    </row>
    <row r="95" spans="1:26" ht="15.75" customHeight="1" x14ac:dyDescent="0.25">
      <c r="A95" s="169"/>
      <c r="B95" s="177"/>
      <c r="C95" s="196"/>
      <c r="D95" s="196"/>
      <c r="E95" s="196"/>
      <c r="F95" s="196"/>
      <c r="G95" s="169"/>
      <c r="H95" s="169"/>
      <c r="I95" s="169"/>
      <c r="J95" s="169"/>
      <c r="K95" s="169"/>
      <c r="L95" s="169"/>
      <c r="M95" s="169"/>
      <c r="N95" s="169"/>
      <c r="O95" s="169"/>
      <c r="P95" s="169"/>
      <c r="Q95" s="169"/>
      <c r="R95" s="169"/>
      <c r="S95" s="169"/>
      <c r="T95" s="169"/>
      <c r="U95" s="169"/>
      <c r="V95" s="169"/>
      <c r="W95" s="169"/>
      <c r="X95" s="169"/>
      <c r="Y95" s="169"/>
      <c r="Z95" s="169"/>
    </row>
    <row r="96" spans="1:26" ht="15.75" customHeight="1" x14ac:dyDescent="0.25">
      <c r="A96" s="819" t="s">
        <v>671</v>
      </c>
      <c r="B96" s="782"/>
      <c r="C96" s="782"/>
      <c r="D96" s="782"/>
      <c r="E96" s="782"/>
      <c r="F96" s="782"/>
      <c r="G96" s="169"/>
      <c r="H96" s="169"/>
      <c r="I96" s="169"/>
      <c r="J96" s="169"/>
      <c r="K96" s="169"/>
      <c r="L96" s="169"/>
      <c r="M96" s="169"/>
      <c r="N96" s="169"/>
      <c r="O96" s="169"/>
      <c r="P96" s="169"/>
      <c r="Q96" s="169"/>
      <c r="R96" s="169"/>
      <c r="S96" s="169"/>
      <c r="T96" s="169"/>
      <c r="U96" s="169"/>
      <c r="V96" s="169"/>
      <c r="W96" s="169"/>
      <c r="X96" s="169"/>
      <c r="Y96" s="169"/>
      <c r="Z96" s="169"/>
    </row>
    <row r="97" spans="1:26" ht="15.75" customHeight="1" x14ac:dyDescent="0.25">
      <c r="A97" s="169" t="s">
        <v>672</v>
      </c>
      <c r="B97" s="177"/>
      <c r="C97" s="186"/>
      <c r="D97" s="186"/>
      <c r="E97" s="186"/>
      <c r="F97" s="186"/>
      <c r="G97" s="169"/>
      <c r="H97" s="169"/>
      <c r="I97" s="169"/>
      <c r="J97" s="169"/>
      <c r="K97" s="169"/>
      <c r="L97" s="169"/>
      <c r="M97" s="169"/>
      <c r="N97" s="169"/>
      <c r="O97" s="169"/>
      <c r="P97" s="169"/>
      <c r="Q97" s="169"/>
      <c r="R97" s="169"/>
      <c r="S97" s="169"/>
      <c r="T97" s="169"/>
      <c r="U97" s="169"/>
      <c r="V97" s="169"/>
      <c r="W97" s="169"/>
      <c r="X97" s="169"/>
      <c r="Y97" s="169"/>
      <c r="Z97" s="169"/>
    </row>
    <row r="98" spans="1:26" ht="15.75" customHeight="1" x14ac:dyDescent="0.25">
      <c r="A98" s="169" t="s">
        <v>673</v>
      </c>
      <c r="B98" s="177"/>
      <c r="C98" s="186"/>
      <c r="D98" s="186"/>
      <c r="E98" s="235">
        <f>+E97</f>
        <v>0</v>
      </c>
      <c r="F98" s="186"/>
      <c r="G98" s="169"/>
      <c r="H98" s="169"/>
      <c r="I98" s="169"/>
      <c r="J98" s="169"/>
      <c r="K98" s="169"/>
      <c r="L98" s="169"/>
      <c r="M98" s="169"/>
      <c r="N98" s="169"/>
      <c r="O98" s="169"/>
      <c r="P98" s="169"/>
      <c r="Q98" s="169"/>
      <c r="R98" s="169"/>
      <c r="S98" s="169"/>
      <c r="T98" s="169"/>
      <c r="U98" s="169"/>
      <c r="V98" s="169"/>
      <c r="W98" s="169"/>
      <c r="X98" s="169"/>
      <c r="Y98" s="169"/>
      <c r="Z98" s="169"/>
    </row>
    <row r="99" spans="1:26" ht="15.75" customHeight="1" x14ac:dyDescent="0.25">
      <c r="A99" s="169"/>
      <c r="B99" s="177"/>
      <c r="C99" s="186"/>
      <c r="D99" s="186"/>
      <c r="E99" s="186"/>
      <c r="F99" s="186"/>
      <c r="G99" s="169"/>
      <c r="H99" s="169"/>
      <c r="I99" s="169"/>
      <c r="J99" s="169"/>
      <c r="K99" s="169"/>
      <c r="L99" s="169"/>
      <c r="M99" s="169"/>
      <c r="N99" s="169"/>
      <c r="O99" s="169"/>
      <c r="P99" s="169"/>
      <c r="Q99" s="169"/>
      <c r="R99" s="169"/>
      <c r="S99" s="169"/>
      <c r="T99" s="169"/>
      <c r="U99" s="169"/>
      <c r="V99" s="169"/>
      <c r="W99" s="169"/>
      <c r="X99" s="169"/>
      <c r="Y99" s="169"/>
      <c r="Z99" s="169"/>
    </row>
    <row r="100" spans="1:26" ht="15.75" customHeight="1" x14ac:dyDescent="0.25">
      <c r="A100" s="169" t="s">
        <v>674</v>
      </c>
      <c r="B100" s="177"/>
      <c r="C100" s="186"/>
      <c r="D100" s="186"/>
      <c r="E100" s="186"/>
      <c r="F100" s="186"/>
      <c r="G100" s="169"/>
      <c r="H100" s="169"/>
      <c r="I100" s="169"/>
      <c r="J100" s="169"/>
      <c r="K100" s="169"/>
      <c r="L100" s="169"/>
      <c r="M100" s="169"/>
      <c r="N100" s="169"/>
      <c r="O100" s="169"/>
      <c r="P100" s="169"/>
      <c r="Q100" s="169"/>
      <c r="R100" s="169"/>
      <c r="S100" s="169"/>
      <c r="T100" s="169"/>
      <c r="U100" s="169"/>
      <c r="V100" s="169"/>
      <c r="W100" s="169"/>
      <c r="X100" s="169"/>
      <c r="Y100" s="169"/>
      <c r="Z100" s="169"/>
    </row>
    <row r="101" spans="1:26" ht="15.75" customHeight="1" x14ac:dyDescent="0.25">
      <c r="A101" s="169" t="s">
        <v>665</v>
      </c>
      <c r="B101" s="177"/>
      <c r="C101" s="196">
        <v>0</v>
      </c>
      <c r="D101" s="186"/>
      <c r="E101" s="186"/>
      <c r="F101" s="186"/>
      <c r="G101" s="169"/>
      <c r="H101" s="169"/>
      <c r="I101" s="169"/>
      <c r="J101" s="169"/>
      <c r="K101" s="169"/>
      <c r="L101" s="169"/>
      <c r="M101" s="169"/>
      <c r="N101" s="169"/>
      <c r="O101" s="169"/>
      <c r="P101" s="169"/>
      <c r="Q101" s="169"/>
      <c r="R101" s="169"/>
      <c r="S101" s="169"/>
      <c r="T101" s="169"/>
      <c r="U101" s="169"/>
      <c r="V101" s="169"/>
      <c r="W101" s="169"/>
      <c r="X101" s="169"/>
      <c r="Y101" s="169"/>
      <c r="Z101" s="169"/>
    </row>
    <row r="102" spans="1:26" ht="15.75" customHeight="1" x14ac:dyDescent="0.25">
      <c r="A102" s="169" t="s">
        <v>675</v>
      </c>
      <c r="B102" s="177"/>
      <c r="C102" s="186">
        <v>0</v>
      </c>
      <c r="D102" s="186"/>
      <c r="E102" s="186"/>
      <c r="F102" s="186"/>
      <c r="G102" s="169"/>
      <c r="H102" s="169"/>
      <c r="I102" s="169"/>
      <c r="J102" s="169"/>
      <c r="K102" s="169"/>
      <c r="L102" s="169"/>
      <c r="M102" s="169"/>
      <c r="N102" s="169"/>
      <c r="O102" s="169"/>
      <c r="P102" s="169"/>
      <c r="Q102" s="169"/>
      <c r="R102" s="169"/>
      <c r="S102" s="169"/>
      <c r="T102" s="169"/>
      <c r="U102" s="169"/>
      <c r="V102" s="169"/>
      <c r="W102" s="169"/>
      <c r="X102" s="169"/>
      <c r="Y102" s="169"/>
      <c r="Z102" s="169"/>
    </row>
    <row r="103" spans="1:26" ht="15.75" customHeight="1" x14ac:dyDescent="0.25">
      <c r="A103" s="169" t="s">
        <v>676</v>
      </c>
      <c r="B103" s="177"/>
      <c r="C103" s="235">
        <f>ROUND(C102+C101+C100,0)</f>
        <v>0</v>
      </c>
      <c r="D103" s="186"/>
      <c r="E103" s="186"/>
      <c r="F103" s="186"/>
      <c r="G103" s="169"/>
      <c r="H103" s="169"/>
      <c r="I103" s="169"/>
      <c r="J103" s="169"/>
      <c r="K103" s="169"/>
      <c r="L103" s="169"/>
      <c r="M103" s="169"/>
      <c r="N103" s="169"/>
      <c r="O103" s="169"/>
      <c r="P103" s="169"/>
      <c r="Q103" s="169"/>
      <c r="R103" s="169"/>
      <c r="S103" s="169"/>
      <c r="T103" s="169"/>
      <c r="U103" s="169"/>
      <c r="V103" s="169"/>
      <c r="W103" s="169"/>
      <c r="X103" s="169"/>
      <c r="Y103" s="169"/>
      <c r="Z103" s="169"/>
    </row>
    <row r="104" spans="1:26" ht="15.75" customHeight="1" x14ac:dyDescent="0.25">
      <c r="A104" s="169"/>
      <c r="B104" s="177"/>
      <c r="C104" s="186"/>
      <c r="D104" s="186"/>
      <c r="E104" s="186"/>
      <c r="F104" s="186"/>
      <c r="G104" s="169"/>
      <c r="H104" s="169"/>
      <c r="I104" s="169"/>
      <c r="J104" s="169"/>
      <c r="K104" s="169"/>
      <c r="L104" s="169"/>
      <c r="M104" s="169"/>
      <c r="N104" s="169"/>
      <c r="O104" s="169"/>
      <c r="P104" s="169"/>
      <c r="Q104" s="169"/>
      <c r="R104" s="169"/>
      <c r="S104" s="169"/>
      <c r="T104" s="169"/>
      <c r="U104" s="169"/>
      <c r="V104" s="169"/>
      <c r="W104" s="169"/>
      <c r="X104" s="169"/>
      <c r="Y104" s="169"/>
      <c r="Z104" s="169"/>
    </row>
    <row r="105" spans="1:26" ht="15.75" customHeight="1" x14ac:dyDescent="0.25">
      <c r="A105" s="169" t="s">
        <v>677</v>
      </c>
      <c r="B105" s="177"/>
      <c r="C105" s="186">
        <f>ROUND(E97-C103,9)</f>
        <v>0</v>
      </c>
      <c r="D105" s="186"/>
      <c r="E105" s="186"/>
      <c r="F105" s="186"/>
      <c r="G105" s="169"/>
      <c r="H105" s="169"/>
      <c r="I105" s="169"/>
      <c r="J105" s="169"/>
      <c r="K105" s="169"/>
      <c r="L105" s="169"/>
      <c r="M105" s="169"/>
      <c r="N105" s="169"/>
      <c r="O105" s="169"/>
      <c r="P105" s="169"/>
      <c r="Q105" s="169"/>
      <c r="R105" s="169"/>
      <c r="S105" s="169"/>
      <c r="T105" s="169"/>
      <c r="U105" s="169"/>
      <c r="V105" s="169"/>
      <c r="W105" s="169"/>
      <c r="X105" s="169"/>
      <c r="Y105" s="169"/>
      <c r="Z105" s="169"/>
    </row>
    <row r="106" spans="1:26" ht="15.75" customHeight="1" x14ac:dyDescent="0.25">
      <c r="A106" s="169" t="s">
        <v>668</v>
      </c>
      <c r="B106" s="177"/>
      <c r="C106" s="235">
        <f>ROUND(C103+C105,0)</f>
        <v>0</v>
      </c>
      <c r="D106" s="186"/>
      <c r="E106" s="235">
        <f>+E98</f>
        <v>0</v>
      </c>
      <c r="F106" s="186"/>
      <c r="G106" s="169"/>
      <c r="H106" s="169"/>
      <c r="I106" s="169"/>
      <c r="J106" s="169"/>
      <c r="K106" s="169"/>
      <c r="L106" s="169"/>
      <c r="M106" s="169"/>
      <c r="N106" s="169"/>
      <c r="O106" s="169"/>
      <c r="P106" s="169"/>
      <c r="Q106" s="169"/>
      <c r="R106" s="169"/>
      <c r="S106" s="169"/>
      <c r="T106" s="169"/>
      <c r="U106" s="169"/>
      <c r="V106" s="169"/>
      <c r="W106" s="169"/>
      <c r="X106" s="169"/>
      <c r="Y106" s="169"/>
      <c r="Z106" s="169"/>
    </row>
    <row r="107" spans="1:26" ht="15.75" customHeight="1" x14ac:dyDescent="0.25">
      <c r="A107" s="169"/>
      <c r="B107" s="177"/>
      <c r="C107" s="197"/>
      <c r="D107" s="196"/>
      <c r="E107" s="196"/>
      <c r="F107" s="196"/>
      <c r="G107" s="169"/>
      <c r="H107" s="169"/>
      <c r="I107" s="169"/>
      <c r="J107" s="169"/>
      <c r="K107" s="169"/>
      <c r="L107" s="169"/>
      <c r="M107" s="169"/>
      <c r="N107" s="169"/>
      <c r="O107" s="169"/>
      <c r="P107" s="169"/>
      <c r="Q107" s="169"/>
      <c r="R107" s="169"/>
      <c r="S107" s="169"/>
      <c r="T107" s="169"/>
      <c r="U107" s="169"/>
      <c r="V107" s="169"/>
      <c r="W107" s="169"/>
      <c r="X107" s="169"/>
      <c r="Y107" s="169"/>
      <c r="Z107" s="169"/>
    </row>
    <row r="108" spans="1:26" ht="15.75" customHeight="1" x14ac:dyDescent="0.25">
      <c r="A108" s="819" t="s">
        <v>678</v>
      </c>
      <c r="B108" s="782"/>
      <c r="C108" s="782"/>
      <c r="D108" s="782"/>
      <c r="E108" s="782"/>
      <c r="F108" s="782"/>
      <c r="G108" s="169"/>
      <c r="H108" s="169"/>
      <c r="I108" s="169"/>
      <c r="J108" s="169"/>
      <c r="K108" s="169"/>
      <c r="L108" s="169"/>
      <c r="M108" s="169"/>
      <c r="N108" s="169"/>
      <c r="O108" s="169"/>
      <c r="P108" s="169"/>
      <c r="Q108" s="169"/>
      <c r="R108" s="169"/>
      <c r="S108" s="169"/>
      <c r="T108" s="169"/>
      <c r="U108" s="169"/>
      <c r="V108" s="169"/>
      <c r="W108" s="169"/>
      <c r="X108" s="169"/>
      <c r="Y108" s="169"/>
      <c r="Z108" s="169"/>
    </row>
    <row r="109" spans="1:26" ht="15.75" customHeight="1" x14ac:dyDescent="0.25">
      <c r="A109" s="169"/>
      <c r="B109" s="177"/>
      <c r="C109" s="197"/>
      <c r="D109" s="196"/>
      <c r="E109" s="196"/>
      <c r="F109" s="196"/>
      <c r="G109" s="169"/>
      <c r="H109" s="169"/>
      <c r="I109" s="169"/>
      <c r="J109" s="169"/>
      <c r="K109" s="169"/>
      <c r="L109" s="169"/>
      <c r="M109" s="169"/>
      <c r="N109" s="169"/>
      <c r="O109" s="169"/>
      <c r="P109" s="169"/>
      <c r="Q109" s="169"/>
      <c r="R109" s="169"/>
      <c r="S109" s="169"/>
      <c r="T109" s="169"/>
      <c r="U109" s="169"/>
      <c r="V109" s="169"/>
      <c r="W109" s="169"/>
      <c r="X109" s="169"/>
      <c r="Y109" s="169"/>
      <c r="Z109" s="169"/>
    </row>
    <row r="110" spans="1:26" ht="15.75" customHeight="1" x14ac:dyDescent="0.25">
      <c r="A110" s="169" t="s">
        <v>679</v>
      </c>
      <c r="B110" s="177"/>
      <c r="C110" s="196"/>
      <c r="D110" s="169"/>
      <c r="E110" s="196"/>
      <c r="F110" s="196"/>
      <c r="G110" s="169"/>
      <c r="H110" s="169"/>
      <c r="I110" s="169"/>
      <c r="J110" s="169"/>
      <c r="K110" s="169"/>
      <c r="L110" s="169"/>
      <c r="M110" s="169"/>
      <c r="N110" s="169"/>
      <c r="O110" s="169"/>
      <c r="P110" s="169"/>
      <c r="Q110" s="169"/>
      <c r="R110" s="169"/>
      <c r="S110" s="169"/>
      <c r="T110" s="169"/>
      <c r="U110" s="169"/>
      <c r="V110" s="169"/>
      <c r="W110" s="169"/>
      <c r="X110" s="169"/>
      <c r="Y110" s="169"/>
      <c r="Z110" s="169"/>
    </row>
    <row r="111" spans="1:26" ht="15.75" customHeight="1" x14ac:dyDescent="0.25">
      <c r="A111" s="169" t="s">
        <v>680</v>
      </c>
      <c r="B111" s="177"/>
      <c r="C111" s="196"/>
      <c r="D111" s="169"/>
      <c r="E111" s="196"/>
      <c r="F111" s="196"/>
      <c r="G111" s="169"/>
      <c r="H111" s="169"/>
      <c r="I111" s="169"/>
      <c r="J111" s="169"/>
      <c r="K111" s="169"/>
      <c r="L111" s="169"/>
      <c r="M111" s="169"/>
      <c r="N111" s="169"/>
      <c r="O111" s="169"/>
      <c r="P111" s="169"/>
      <c r="Q111" s="169"/>
      <c r="R111" s="169"/>
      <c r="S111" s="169"/>
      <c r="T111" s="169"/>
      <c r="U111" s="169"/>
      <c r="V111" s="169"/>
      <c r="W111" s="169"/>
      <c r="X111" s="169"/>
      <c r="Y111" s="169"/>
      <c r="Z111" s="169"/>
    </row>
    <row r="112" spans="1:26" ht="15.75" customHeight="1" x14ac:dyDescent="0.25">
      <c r="A112" s="169" t="s">
        <v>681</v>
      </c>
      <c r="B112" s="177"/>
      <c r="C112" s="196"/>
      <c r="D112" s="196"/>
      <c r="E112" s="196"/>
      <c r="F112" s="196"/>
      <c r="G112" s="169"/>
      <c r="H112" s="169"/>
      <c r="I112" s="169"/>
      <c r="J112" s="169"/>
      <c r="K112" s="169"/>
      <c r="L112" s="169"/>
      <c r="M112" s="169"/>
      <c r="N112" s="169"/>
      <c r="O112" s="169"/>
      <c r="P112" s="169"/>
      <c r="Q112" s="169"/>
      <c r="R112" s="169"/>
      <c r="S112" s="169"/>
      <c r="T112" s="169"/>
      <c r="U112" s="169"/>
      <c r="V112" s="169"/>
      <c r="W112" s="169"/>
      <c r="X112" s="169"/>
      <c r="Y112" s="169"/>
      <c r="Z112" s="169"/>
    </row>
    <row r="113" spans="1:26" ht="15.75" customHeight="1" x14ac:dyDescent="0.25">
      <c r="A113" s="169" t="s">
        <v>682</v>
      </c>
      <c r="B113" s="177"/>
      <c r="C113" s="236">
        <f>SUM(C110:C111)</f>
        <v>0</v>
      </c>
      <c r="D113" s="196"/>
      <c r="E113" s="196"/>
      <c r="F113" s="196"/>
      <c r="G113" s="169"/>
      <c r="H113" s="169"/>
      <c r="I113" s="169"/>
      <c r="J113" s="169"/>
      <c r="K113" s="169"/>
      <c r="L113" s="169"/>
      <c r="M113" s="169"/>
      <c r="N113" s="169"/>
      <c r="O113" s="169"/>
      <c r="P113" s="169"/>
      <c r="Q113" s="169"/>
      <c r="R113" s="169"/>
      <c r="S113" s="169"/>
      <c r="T113" s="169"/>
      <c r="U113" s="169"/>
      <c r="V113" s="169"/>
      <c r="W113" s="169"/>
      <c r="X113" s="169"/>
      <c r="Y113" s="169"/>
      <c r="Z113" s="169"/>
    </row>
    <row r="114" spans="1:26" ht="15.75" customHeight="1" x14ac:dyDescent="0.25">
      <c r="A114" s="169"/>
      <c r="B114" s="169"/>
      <c r="C114" s="169"/>
      <c r="D114" s="169"/>
      <c r="E114" s="169"/>
      <c r="F114" s="169"/>
      <c r="G114" s="169"/>
      <c r="H114" s="169"/>
      <c r="I114" s="169"/>
      <c r="J114" s="169"/>
      <c r="K114" s="169"/>
      <c r="L114" s="169"/>
      <c r="M114" s="169"/>
      <c r="N114" s="169"/>
      <c r="O114" s="169"/>
      <c r="P114" s="169"/>
      <c r="Q114" s="169"/>
      <c r="R114" s="169"/>
      <c r="S114" s="169"/>
      <c r="T114" s="169"/>
      <c r="U114" s="169"/>
      <c r="V114" s="169"/>
      <c r="W114" s="169"/>
      <c r="X114" s="169"/>
      <c r="Y114" s="169"/>
      <c r="Z114" s="169"/>
    </row>
    <row r="115" spans="1:26" ht="15.75" customHeight="1" x14ac:dyDescent="0.25">
      <c r="A115" s="819" t="s">
        <v>683</v>
      </c>
      <c r="B115" s="782"/>
      <c r="C115" s="782"/>
      <c r="D115" s="782"/>
      <c r="E115" s="782"/>
      <c r="F115" s="782"/>
      <c r="G115" s="169"/>
      <c r="H115" s="169"/>
      <c r="I115" s="169"/>
      <c r="J115" s="169"/>
      <c r="K115" s="169"/>
      <c r="L115" s="169"/>
      <c r="M115" s="169"/>
      <c r="N115" s="169"/>
      <c r="O115" s="169"/>
      <c r="P115" s="169"/>
      <c r="Q115" s="169"/>
      <c r="R115" s="169"/>
      <c r="S115" s="169"/>
      <c r="T115" s="169"/>
      <c r="U115" s="169"/>
      <c r="V115" s="169"/>
      <c r="W115" s="169"/>
      <c r="X115" s="169"/>
      <c r="Y115" s="169"/>
      <c r="Z115" s="169"/>
    </row>
    <row r="116" spans="1:26" ht="15.75" customHeight="1" x14ac:dyDescent="0.25">
      <c r="A116" s="169" t="s">
        <v>684</v>
      </c>
      <c r="B116" s="177"/>
      <c r="C116" s="196"/>
      <c r="D116" s="196"/>
      <c r="E116" s="186" t="e">
        <f>ROUND(+E71,0)</f>
        <v>#REF!</v>
      </c>
      <c r="F116" s="186"/>
      <c r="G116" s="169"/>
      <c r="H116" s="169"/>
      <c r="I116" s="169"/>
      <c r="J116" s="169"/>
      <c r="K116" s="169"/>
      <c r="L116" s="169"/>
      <c r="M116" s="169"/>
      <c r="N116" s="169"/>
      <c r="O116" s="169"/>
      <c r="P116" s="169"/>
      <c r="Q116" s="169"/>
      <c r="R116" s="169"/>
      <c r="S116" s="169"/>
      <c r="T116" s="169"/>
      <c r="U116" s="169"/>
      <c r="V116" s="169"/>
      <c r="W116" s="169"/>
      <c r="X116" s="169"/>
      <c r="Y116" s="169"/>
      <c r="Z116" s="169"/>
    </row>
    <row r="117" spans="1:26" ht="15.75" customHeight="1" x14ac:dyDescent="0.25">
      <c r="A117" s="169" t="s">
        <v>685</v>
      </c>
      <c r="B117" s="177"/>
      <c r="C117" s="196"/>
      <c r="D117" s="196"/>
      <c r="E117" s="186">
        <f>ROUND(C102,0)</f>
        <v>0</v>
      </c>
      <c r="F117" s="186"/>
      <c r="G117" s="169"/>
      <c r="H117" s="169"/>
      <c r="I117" s="169"/>
      <c r="J117" s="169"/>
      <c r="K117" s="169"/>
      <c r="L117" s="169"/>
      <c r="M117" s="169"/>
      <c r="N117" s="169"/>
      <c r="O117" s="169"/>
      <c r="P117" s="169"/>
      <c r="Q117" s="169"/>
      <c r="R117" s="169"/>
      <c r="S117" s="169"/>
      <c r="T117" s="169"/>
      <c r="U117" s="169"/>
      <c r="V117" s="169"/>
      <c r="W117" s="169"/>
      <c r="X117" s="169"/>
      <c r="Y117" s="169"/>
      <c r="Z117" s="169"/>
    </row>
    <row r="118" spans="1:26" ht="15.75" customHeight="1" x14ac:dyDescent="0.25">
      <c r="A118" s="169" t="s">
        <v>686</v>
      </c>
      <c r="B118" s="177"/>
      <c r="C118" s="196"/>
      <c r="D118" s="196"/>
      <c r="E118" s="186">
        <f>ROUND(+C112,0)</f>
        <v>0</v>
      </c>
      <c r="F118" s="186"/>
      <c r="G118" s="169"/>
      <c r="H118" s="169"/>
      <c r="I118" s="169"/>
      <c r="J118" s="169"/>
      <c r="K118" s="169"/>
      <c r="L118" s="169"/>
      <c r="M118" s="169"/>
      <c r="N118" s="169"/>
      <c r="O118" s="169"/>
      <c r="P118" s="169"/>
      <c r="Q118" s="169"/>
      <c r="R118" s="169"/>
      <c r="S118" s="169"/>
      <c r="T118" s="169"/>
      <c r="U118" s="169"/>
      <c r="V118" s="169"/>
      <c r="W118" s="169"/>
      <c r="X118" s="169"/>
      <c r="Y118" s="169"/>
      <c r="Z118" s="169"/>
    </row>
    <row r="119" spans="1:26" ht="15.75" customHeight="1" x14ac:dyDescent="0.25">
      <c r="A119" s="169" t="s">
        <v>687</v>
      </c>
      <c r="B119" s="177"/>
      <c r="C119" s="196"/>
      <c r="D119" s="196"/>
      <c r="E119" s="235" t="e">
        <f>+ROUND(E116-(E117+E118),0)</f>
        <v>#REF!</v>
      </c>
      <c r="F119" s="186"/>
      <c r="G119" s="169"/>
      <c r="H119" s="169"/>
      <c r="I119" s="169"/>
      <c r="J119" s="169"/>
      <c r="K119" s="169"/>
      <c r="L119" s="169"/>
      <c r="M119" s="169"/>
      <c r="N119" s="169"/>
      <c r="O119" s="169"/>
      <c r="P119" s="169"/>
      <c r="Q119" s="169"/>
      <c r="R119" s="169"/>
      <c r="S119" s="169"/>
      <c r="T119" s="169"/>
      <c r="U119" s="169"/>
      <c r="V119" s="169"/>
      <c r="W119" s="169"/>
      <c r="X119" s="169"/>
      <c r="Y119" s="169"/>
      <c r="Z119" s="169"/>
    </row>
    <row r="120" spans="1:26" ht="15.75" customHeight="1" x14ac:dyDescent="0.25">
      <c r="A120" s="169" t="s">
        <v>688</v>
      </c>
      <c r="B120" s="177"/>
      <c r="C120" s="196"/>
      <c r="D120" s="196"/>
      <c r="E120" s="186">
        <v>0</v>
      </c>
      <c r="F120" s="186"/>
      <c r="G120" s="169"/>
      <c r="H120" s="169"/>
      <c r="I120" s="169"/>
      <c r="J120" s="169"/>
      <c r="K120" s="169"/>
      <c r="L120" s="169"/>
      <c r="M120" s="169"/>
      <c r="N120" s="169"/>
      <c r="O120" s="169"/>
      <c r="P120" s="169"/>
      <c r="Q120" s="169"/>
      <c r="R120" s="169"/>
      <c r="S120" s="169"/>
      <c r="T120" s="169"/>
      <c r="U120" s="169"/>
      <c r="V120" s="169"/>
      <c r="W120" s="169"/>
      <c r="X120" s="169"/>
      <c r="Y120" s="169"/>
      <c r="Z120" s="169"/>
    </row>
    <row r="121" spans="1:26" ht="15.75" customHeight="1" x14ac:dyDescent="0.25">
      <c r="A121" s="169"/>
      <c r="B121" s="177"/>
      <c r="C121" s="196"/>
      <c r="D121" s="196"/>
      <c r="E121" s="186"/>
      <c r="F121" s="186"/>
      <c r="G121" s="169"/>
      <c r="H121" s="169"/>
      <c r="I121" s="169"/>
      <c r="J121" s="169"/>
      <c r="K121" s="169"/>
      <c r="L121" s="169"/>
      <c r="M121" s="169"/>
      <c r="N121" s="169"/>
      <c r="O121" s="169"/>
      <c r="P121" s="169"/>
      <c r="Q121" s="169"/>
      <c r="R121" s="169"/>
      <c r="S121" s="169"/>
      <c r="T121" s="169"/>
      <c r="U121" s="169"/>
      <c r="V121" s="169"/>
      <c r="W121" s="169"/>
      <c r="X121" s="169"/>
      <c r="Y121" s="169"/>
      <c r="Z121" s="169"/>
    </row>
    <row r="122" spans="1:26" ht="15.75" customHeight="1" x14ac:dyDescent="0.25">
      <c r="A122" s="172" t="s">
        <v>689</v>
      </c>
      <c r="B122" s="177"/>
      <c r="C122" s="196"/>
      <c r="D122" s="196"/>
      <c r="E122" s="187" t="e">
        <f>+E119</f>
        <v>#REF!</v>
      </c>
      <c r="F122" s="187"/>
      <c r="G122" s="169"/>
      <c r="H122" s="169"/>
      <c r="I122" s="169"/>
      <c r="J122" s="169"/>
      <c r="K122" s="169"/>
      <c r="L122" s="169"/>
      <c r="M122" s="169"/>
      <c r="N122" s="169"/>
      <c r="O122" s="169"/>
      <c r="P122" s="169"/>
      <c r="Q122" s="169"/>
      <c r="R122" s="169"/>
      <c r="S122" s="169"/>
      <c r="T122" s="169"/>
      <c r="U122" s="169"/>
      <c r="V122" s="169"/>
      <c r="W122" s="169"/>
      <c r="X122" s="169"/>
      <c r="Y122" s="169"/>
      <c r="Z122" s="169"/>
    </row>
    <row r="123" spans="1:26" ht="15.75" customHeight="1" x14ac:dyDescent="0.25">
      <c r="A123" s="169"/>
      <c r="B123" s="177"/>
      <c r="C123" s="196"/>
      <c r="D123" s="196"/>
      <c r="E123" s="186"/>
      <c r="F123" s="186"/>
      <c r="G123" s="169"/>
      <c r="H123" s="169"/>
      <c r="I123" s="169"/>
      <c r="J123" s="169"/>
      <c r="K123" s="169"/>
      <c r="L123" s="169"/>
      <c r="M123" s="169"/>
      <c r="N123" s="169"/>
      <c r="O123" s="169"/>
      <c r="P123" s="169"/>
      <c r="Q123" s="169"/>
      <c r="R123" s="169"/>
      <c r="S123" s="169"/>
      <c r="T123" s="169"/>
      <c r="U123" s="169"/>
      <c r="V123" s="169"/>
      <c r="W123" s="169"/>
      <c r="X123" s="169"/>
      <c r="Y123" s="169"/>
      <c r="Z123" s="169"/>
    </row>
    <row r="124" spans="1:26" ht="15.75" customHeight="1" x14ac:dyDescent="0.25">
      <c r="A124" s="172" t="s">
        <v>690</v>
      </c>
      <c r="B124" s="177"/>
      <c r="C124" s="196"/>
      <c r="D124" s="196"/>
      <c r="E124" s="187" t="e">
        <f>ROUND(E122,0)</f>
        <v>#REF!</v>
      </c>
      <c r="F124" s="187"/>
      <c r="G124" s="169"/>
      <c r="H124" s="169"/>
      <c r="I124" s="169"/>
      <c r="J124" s="169"/>
      <c r="K124" s="169"/>
      <c r="L124" s="169"/>
      <c r="M124" s="169"/>
      <c r="N124" s="169"/>
      <c r="O124" s="169"/>
      <c r="P124" s="169"/>
      <c r="Q124" s="169"/>
      <c r="R124" s="169"/>
      <c r="S124" s="169"/>
      <c r="T124" s="169"/>
      <c r="U124" s="169"/>
      <c r="V124" s="169"/>
      <c r="W124" s="169"/>
      <c r="X124" s="169"/>
      <c r="Y124" s="169"/>
      <c r="Z124" s="169"/>
    </row>
    <row r="125" spans="1:26" ht="15.75" customHeight="1" x14ac:dyDescent="0.25">
      <c r="A125" s="169"/>
      <c r="B125" s="169"/>
      <c r="C125" s="169"/>
      <c r="D125" s="169"/>
      <c r="E125" s="169"/>
      <c r="F125" s="169"/>
      <c r="G125" s="169"/>
      <c r="H125" s="169"/>
      <c r="I125" s="169"/>
      <c r="J125" s="169"/>
      <c r="K125" s="169"/>
      <c r="L125" s="169"/>
      <c r="M125" s="169"/>
      <c r="N125" s="169"/>
      <c r="O125" s="169"/>
      <c r="P125" s="169"/>
      <c r="Q125" s="169"/>
      <c r="R125" s="169"/>
      <c r="S125" s="169"/>
      <c r="T125" s="169"/>
      <c r="U125" s="169"/>
      <c r="V125" s="169"/>
      <c r="W125" s="169"/>
      <c r="X125" s="169"/>
      <c r="Y125" s="169"/>
      <c r="Z125" s="169"/>
    </row>
    <row r="126" spans="1:26" ht="15.75" customHeight="1" x14ac:dyDescent="0.25">
      <c r="A126" s="820" t="s">
        <v>691</v>
      </c>
      <c r="B126" s="747"/>
      <c r="C126" s="747"/>
      <c r="D126" s="747"/>
      <c r="E126" s="747"/>
      <c r="F126" s="198"/>
      <c r="G126" s="169"/>
      <c r="H126" s="169"/>
      <c r="I126" s="169"/>
      <c r="J126" s="169"/>
      <c r="K126" s="169"/>
      <c r="L126" s="169"/>
      <c r="M126" s="169"/>
      <c r="N126" s="169"/>
      <c r="O126" s="169"/>
      <c r="P126" s="169"/>
      <c r="Q126" s="169"/>
      <c r="R126" s="169"/>
      <c r="S126" s="169"/>
      <c r="T126" s="169"/>
      <c r="U126" s="169"/>
      <c r="V126" s="169"/>
      <c r="W126" s="169"/>
      <c r="X126" s="169"/>
      <c r="Y126" s="169"/>
      <c r="Z126" s="169"/>
    </row>
    <row r="127" spans="1:26" ht="15.75" customHeight="1" x14ac:dyDescent="0.25">
      <c r="A127" s="169"/>
      <c r="B127" s="169"/>
      <c r="C127" s="169"/>
      <c r="D127" s="169"/>
      <c r="E127" s="169"/>
      <c r="F127" s="169"/>
      <c r="G127" s="169"/>
      <c r="H127" s="169"/>
      <c r="I127" s="169"/>
      <c r="J127" s="169"/>
      <c r="K127" s="169"/>
      <c r="L127" s="169"/>
      <c r="M127" s="169"/>
      <c r="N127" s="169"/>
      <c r="O127" s="169"/>
      <c r="P127" s="169"/>
      <c r="Q127" s="169"/>
      <c r="R127" s="169"/>
      <c r="S127" s="169"/>
      <c r="T127" s="169"/>
      <c r="U127" s="169"/>
      <c r="V127" s="169"/>
      <c r="W127" s="169"/>
      <c r="X127" s="169"/>
      <c r="Y127" s="169"/>
      <c r="Z127" s="169"/>
    </row>
    <row r="128" spans="1:26" ht="15.75" customHeight="1" x14ac:dyDescent="0.25">
      <c r="A128" s="821" t="s">
        <v>692</v>
      </c>
      <c r="B128" s="747"/>
      <c r="C128" s="747"/>
      <c r="D128" s="747"/>
      <c r="E128" s="747"/>
      <c r="F128" s="170"/>
      <c r="G128" s="169"/>
      <c r="H128" s="169"/>
      <c r="I128" s="169"/>
      <c r="J128" s="169"/>
      <c r="K128" s="169"/>
      <c r="L128" s="169"/>
      <c r="M128" s="169"/>
      <c r="N128" s="169"/>
      <c r="O128" s="169"/>
      <c r="P128" s="169"/>
      <c r="Q128" s="169"/>
      <c r="R128" s="169"/>
      <c r="S128" s="169"/>
      <c r="T128" s="169"/>
      <c r="U128" s="169"/>
      <c r="V128" s="169"/>
      <c r="W128" s="169"/>
      <c r="X128" s="169"/>
      <c r="Y128" s="169"/>
      <c r="Z128" s="169"/>
    </row>
    <row r="129" spans="1:26" ht="15.75" customHeight="1" x14ac:dyDescent="0.25">
      <c r="A129" s="169"/>
      <c r="B129" s="169"/>
      <c r="C129" s="169"/>
      <c r="D129" s="169"/>
      <c r="E129" s="169"/>
      <c r="F129" s="169"/>
      <c r="G129" s="169"/>
      <c r="H129" s="169"/>
      <c r="I129" s="169"/>
      <c r="J129" s="169"/>
      <c r="K129" s="169"/>
      <c r="L129" s="169"/>
      <c r="M129" s="169"/>
      <c r="N129" s="169"/>
      <c r="O129" s="169"/>
      <c r="P129" s="169"/>
      <c r="Q129" s="169"/>
      <c r="R129" s="169"/>
      <c r="S129" s="169"/>
      <c r="T129" s="169"/>
      <c r="U129" s="169"/>
      <c r="V129" s="169"/>
      <c r="W129" s="169"/>
      <c r="X129" s="169"/>
      <c r="Y129" s="169"/>
      <c r="Z129" s="169"/>
    </row>
    <row r="130" spans="1:26" ht="15.75" customHeight="1" x14ac:dyDescent="0.25">
      <c r="A130" s="169"/>
      <c r="B130" s="169"/>
      <c r="C130" s="169"/>
      <c r="D130" s="169"/>
      <c r="E130" s="169"/>
      <c r="F130" s="169"/>
      <c r="G130" s="169"/>
      <c r="H130" s="169"/>
      <c r="I130" s="169"/>
      <c r="J130" s="169"/>
      <c r="K130" s="169"/>
      <c r="L130" s="169"/>
      <c r="M130" s="169"/>
      <c r="N130" s="169"/>
      <c r="O130" s="169"/>
      <c r="P130" s="169"/>
      <c r="Q130" s="169"/>
      <c r="R130" s="169"/>
      <c r="S130" s="169"/>
      <c r="T130" s="169"/>
      <c r="U130" s="169"/>
      <c r="V130" s="169"/>
      <c r="W130" s="169"/>
      <c r="X130" s="169"/>
      <c r="Y130" s="169"/>
      <c r="Z130" s="169"/>
    </row>
    <row r="131" spans="1:26" ht="15.75" customHeight="1" x14ac:dyDescent="0.25">
      <c r="A131" s="237"/>
      <c r="B131" s="237"/>
      <c r="C131" s="169"/>
      <c r="D131" s="237"/>
      <c r="E131" s="237"/>
      <c r="F131" s="169"/>
      <c r="G131" s="169"/>
      <c r="H131" s="169"/>
      <c r="I131" s="169"/>
      <c r="J131" s="169"/>
      <c r="K131" s="169"/>
      <c r="L131" s="169"/>
      <c r="M131" s="169"/>
      <c r="N131" s="169"/>
      <c r="O131" s="169"/>
      <c r="P131" s="169"/>
      <c r="Q131" s="169"/>
      <c r="R131" s="169"/>
      <c r="S131" s="169"/>
      <c r="T131" s="169"/>
      <c r="U131" s="169"/>
      <c r="V131" s="169"/>
      <c r="W131" s="169"/>
      <c r="X131" s="169"/>
      <c r="Y131" s="169"/>
      <c r="Z131" s="169"/>
    </row>
    <row r="132" spans="1:26" ht="15.75" customHeight="1" x14ac:dyDescent="0.25">
      <c r="A132" s="199" t="s">
        <v>693</v>
      </c>
      <c r="B132" s="169"/>
      <c r="C132" s="169"/>
      <c r="D132" s="816" t="s">
        <v>694</v>
      </c>
      <c r="E132" s="745"/>
      <c r="F132" s="200"/>
      <c r="G132" s="169"/>
      <c r="H132" s="169"/>
      <c r="I132" s="169"/>
      <c r="J132" s="169"/>
      <c r="K132" s="169"/>
      <c r="L132" s="169"/>
      <c r="M132" s="169"/>
      <c r="N132" s="169"/>
      <c r="O132" s="169"/>
      <c r="P132" s="169"/>
      <c r="Q132" s="169"/>
      <c r="R132" s="169"/>
      <c r="S132" s="169"/>
      <c r="T132" s="169"/>
      <c r="U132" s="169"/>
      <c r="V132" s="169"/>
      <c r="W132" s="169"/>
      <c r="X132" s="169"/>
      <c r="Y132" s="169"/>
      <c r="Z132" s="169"/>
    </row>
    <row r="133" spans="1:26" ht="15.75" customHeight="1" x14ac:dyDescent="0.25">
      <c r="A133" s="199"/>
      <c r="B133" s="169"/>
      <c r="C133" s="169"/>
      <c r="D133" s="200"/>
      <c r="E133" s="200"/>
      <c r="F133" s="200"/>
      <c r="G133" s="169"/>
      <c r="H133" s="169"/>
      <c r="I133" s="169"/>
      <c r="J133" s="169"/>
      <c r="K133" s="169"/>
      <c r="L133" s="169"/>
      <c r="M133" s="169"/>
      <c r="N133" s="169"/>
      <c r="O133" s="169"/>
      <c r="P133" s="169"/>
      <c r="Q133" s="169"/>
      <c r="R133" s="169"/>
      <c r="S133" s="169"/>
      <c r="T133" s="169"/>
      <c r="U133" s="169"/>
      <c r="V133" s="169"/>
      <c r="W133" s="169"/>
      <c r="X133" s="169"/>
      <c r="Y133" s="169"/>
      <c r="Z133" s="169"/>
    </row>
    <row r="134" spans="1:26" ht="15.75" customHeight="1" x14ac:dyDescent="0.25">
      <c r="A134" s="199"/>
      <c r="B134" s="169"/>
      <c r="C134" s="169"/>
      <c r="D134" s="200"/>
      <c r="E134" s="200"/>
      <c r="F134" s="200"/>
      <c r="G134" s="169"/>
      <c r="H134" s="169"/>
      <c r="I134" s="169"/>
      <c r="J134" s="169"/>
      <c r="K134" s="169"/>
      <c r="L134" s="169"/>
      <c r="M134" s="169"/>
      <c r="N134" s="169"/>
      <c r="O134" s="169"/>
      <c r="P134" s="169"/>
      <c r="Q134" s="169"/>
      <c r="R134" s="169"/>
      <c r="S134" s="169"/>
      <c r="T134" s="169"/>
      <c r="U134" s="169"/>
      <c r="V134" s="169"/>
      <c r="W134" s="169"/>
      <c r="X134" s="169"/>
      <c r="Y134" s="169"/>
      <c r="Z134" s="169"/>
    </row>
    <row r="135" spans="1:26" ht="15.75" customHeight="1" x14ac:dyDescent="0.25">
      <c r="A135" s="199"/>
      <c r="B135" s="169"/>
      <c r="C135" s="169"/>
      <c r="D135" s="200"/>
      <c r="E135" s="200"/>
      <c r="F135" s="200"/>
      <c r="G135" s="169"/>
      <c r="H135" s="169"/>
      <c r="I135" s="169"/>
      <c r="J135" s="169"/>
      <c r="K135" s="169"/>
      <c r="L135" s="169"/>
      <c r="M135" s="169"/>
      <c r="N135" s="169"/>
      <c r="O135" s="169"/>
      <c r="P135" s="169"/>
      <c r="Q135" s="169"/>
      <c r="R135" s="169"/>
      <c r="S135" s="169"/>
      <c r="T135" s="169"/>
      <c r="U135" s="169"/>
      <c r="V135" s="169"/>
      <c r="W135" s="169"/>
      <c r="X135" s="169"/>
      <c r="Y135" s="169"/>
      <c r="Z135" s="169"/>
    </row>
    <row r="136" spans="1:26" ht="15.75" customHeight="1" x14ac:dyDescent="0.25">
      <c r="A136" s="238"/>
      <c r="B136" s="201"/>
      <c r="C136" s="169"/>
      <c r="D136" s="239"/>
      <c r="E136" s="239"/>
      <c r="F136" s="169"/>
      <c r="G136" s="169"/>
      <c r="H136" s="169"/>
      <c r="I136" s="169"/>
      <c r="J136" s="169"/>
      <c r="K136" s="169"/>
      <c r="L136" s="169"/>
      <c r="M136" s="169"/>
      <c r="N136" s="169"/>
      <c r="O136" s="169"/>
      <c r="P136" s="169"/>
      <c r="Q136" s="169"/>
      <c r="R136" s="169"/>
      <c r="S136" s="169"/>
      <c r="T136" s="169"/>
      <c r="U136" s="169"/>
      <c r="V136" s="169"/>
      <c r="W136" s="169"/>
      <c r="X136" s="169"/>
      <c r="Y136" s="169"/>
      <c r="Z136" s="169"/>
    </row>
    <row r="137" spans="1:26" ht="45.75" customHeight="1" x14ac:dyDescent="0.25">
      <c r="A137" s="202" t="s">
        <v>695</v>
      </c>
      <c r="B137" s="201"/>
      <c r="C137" s="169"/>
      <c r="D137" s="816" t="s">
        <v>696</v>
      </c>
      <c r="E137" s="745"/>
      <c r="F137" s="169"/>
      <c r="G137" s="169"/>
      <c r="H137" s="169"/>
      <c r="I137" s="169"/>
      <c r="J137" s="169"/>
      <c r="K137" s="169"/>
      <c r="L137" s="169"/>
      <c r="M137" s="169"/>
      <c r="N137" s="169"/>
      <c r="O137" s="169"/>
      <c r="P137" s="169"/>
      <c r="Q137" s="169"/>
      <c r="R137" s="169"/>
      <c r="S137" s="169"/>
      <c r="T137" s="169"/>
      <c r="U137" s="169"/>
      <c r="V137" s="169"/>
      <c r="W137" s="169"/>
      <c r="X137" s="169"/>
      <c r="Y137" s="169"/>
      <c r="Z137" s="169"/>
    </row>
    <row r="138" spans="1:26" ht="15.75" customHeight="1" x14ac:dyDescent="0.25">
      <c r="A138" s="201"/>
      <c r="B138" s="201"/>
      <c r="C138" s="203"/>
      <c r="D138" s="182"/>
      <c r="E138" s="182"/>
      <c r="F138" s="182"/>
      <c r="G138" s="169"/>
      <c r="H138" s="169"/>
      <c r="I138" s="169"/>
      <c r="J138" s="169"/>
      <c r="K138" s="169"/>
      <c r="L138" s="169"/>
      <c r="M138" s="169"/>
      <c r="N138" s="169"/>
      <c r="O138" s="169"/>
      <c r="P138" s="169"/>
      <c r="Q138" s="169"/>
      <c r="R138" s="169"/>
      <c r="S138" s="169"/>
      <c r="T138" s="169"/>
      <c r="U138" s="169"/>
      <c r="V138" s="169"/>
      <c r="W138" s="169"/>
      <c r="X138" s="169"/>
      <c r="Y138" s="169"/>
      <c r="Z138" s="169"/>
    </row>
    <row r="139" spans="1:26" ht="15.75" customHeight="1" x14ac:dyDescent="0.25">
      <c r="A139" s="169"/>
      <c r="B139" s="169"/>
      <c r="C139" s="169"/>
      <c r="D139" s="169"/>
      <c r="E139" s="169"/>
      <c r="F139" s="169"/>
      <c r="G139" s="169"/>
      <c r="H139" s="169"/>
      <c r="I139" s="169"/>
      <c r="J139" s="169"/>
      <c r="K139" s="169"/>
      <c r="L139" s="169"/>
      <c r="M139" s="169"/>
      <c r="N139" s="169"/>
      <c r="O139" s="169"/>
      <c r="P139" s="169"/>
      <c r="Q139" s="169"/>
      <c r="R139" s="169"/>
      <c r="S139" s="169"/>
      <c r="T139" s="169"/>
      <c r="U139" s="169"/>
      <c r="V139" s="169"/>
      <c r="W139" s="169"/>
      <c r="X139" s="169"/>
      <c r="Y139" s="169"/>
      <c r="Z139" s="169"/>
    </row>
    <row r="140" spans="1:26" ht="15.75" customHeight="1" x14ac:dyDescent="0.25">
      <c r="A140" s="169"/>
      <c r="B140" s="169"/>
      <c r="C140" s="169"/>
      <c r="D140" s="169"/>
      <c r="E140" s="169"/>
      <c r="F140" s="169"/>
      <c r="G140" s="169"/>
      <c r="H140" s="169"/>
      <c r="I140" s="169"/>
      <c r="J140" s="169"/>
      <c r="K140" s="169"/>
      <c r="L140" s="169"/>
      <c r="M140" s="169"/>
      <c r="N140" s="169"/>
      <c r="O140" s="169"/>
      <c r="P140" s="169"/>
      <c r="Q140" s="169"/>
      <c r="R140" s="169"/>
      <c r="S140" s="169"/>
      <c r="T140" s="169"/>
      <c r="U140" s="169"/>
      <c r="V140" s="169"/>
      <c r="W140" s="169"/>
      <c r="X140" s="169"/>
      <c r="Y140" s="169"/>
      <c r="Z140" s="169"/>
    </row>
    <row r="141" spans="1:26" ht="15.75" customHeight="1" x14ac:dyDescent="0.25">
      <c r="A141" s="169"/>
      <c r="B141" s="169"/>
      <c r="C141" s="169"/>
      <c r="D141" s="169"/>
      <c r="E141" s="169"/>
      <c r="F141" s="169"/>
      <c r="G141" s="169"/>
      <c r="H141" s="169"/>
      <c r="I141" s="169"/>
      <c r="J141" s="169"/>
      <c r="K141" s="169"/>
      <c r="L141" s="169"/>
      <c r="M141" s="169"/>
      <c r="N141" s="169"/>
      <c r="O141" s="169"/>
      <c r="P141" s="169"/>
      <c r="Q141" s="169"/>
      <c r="R141" s="169"/>
      <c r="S141" s="169"/>
      <c r="T141" s="169"/>
      <c r="U141" s="169"/>
      <c r="V141" s="169"/>
      <c r="W141" s="169"/>
      <c r="X141" s="169"/>
      <c r="Y141" s="169"/>
      <c r="Z141" s="169"/>
    </row>
    <row r="142" spans="1:26" ht="15.75" customHeight="1" x14ac:dyDescent="0.25">
      <c r="A142" s="169"/>
      <c r="B142" s="169"/>
      <c r="C142" s="169"/>
      <c r="D142" s="169"/>
      <c r="E142" s="169"/>
      <c r="F142" s="169"/>
      <c r="G142" s="169"/>
      <c r="H142" s="169"/>
      <c r="I142" s="169"/>
      <c r="J142" s="169"/>
      <c r="K142" s="169"/>
      <c r="L142" s="169"/>
      <c r="M142" s="169"/>
      <c r="N142" s="169"/>
      <c r="O142" s="169"/>
      <c r="P142" s="169"/>
      <c r="Q142" s="169"/>
      <c r="R142" s="169"/>
      <c r="S142" s="169"/>
      <c r="T142" s="169"/>
      <c r="U142" s="169"/>
      <c r="V142" s="169"/>
      <c r="W142" s="169"/>
      <c r="X142" s="169"/>
      <c r="Y142" s="169"/>
      <c r="Z142" s="169"/>
    </row>
    <row r="143" spans="1:26" ht="15.75" customHeight="1" x14ac:dyDescent="0.25">
      <c r="A143" s="169"/>
      <c r="B143" s="169"/>
      <c r="C143" s="169"/>
      <c r="D143" s="169"/>
      <c r="E143" s="169"/>
      <c r="F143" s="169"/>
      <c r="G143" s="169"/>
      <c r="H143" s="169"/>
      <c r="I143" s="169"/>
      <c r="J143" s="169"/>
      <c r="K143" s="169"/>
      <c r="L143" s="169"/>
      <c r="M143" s="169"/>
      <c r="N143" s="169"/>
      <c r="O143" s="169"/>
      <c r="P143" s="169"/>
      <c r="Q143" s="169"/>
      <c r="R143" s="169"/>
      <c r="S143" s="169"/>
      <c r="T143" s="169"/>
      <c r="U143" s="169"/>
      <c r="V143" s="169"/>
      <c r="W143" s="169"/>
      <c r="X143" s="169"/>
      <c r="Y143" s="169"/>
      <c r="Z143" s="169"/>
    </row>
    <row r="144" spans="1:26" ht="15.75" customHeight="1" x14ac:dyDescent="0.25">
      <c r="A144" s="169"/>
      <c r="B144" s="169"/>
      <c r="C144" s="169"/>
      <c r="D144" s="169"/>
      <c r="E144" s="169"/>
      <c r="F144" s="169"/>
      <c r="G144" s="169"/>
      <c r="H144" s="169"/>
      <c r="I144" s="169"/>
      <c r="J144" s="169"/>
      <c r="K144" s="169"/>
      <c r="L144" s="169"/>
      <c r="M144" s="169"/>
      <c r="N144" s="169"/>
      <c r="O144" s="169"/>
      <c r="P144" s="169"/>
      <c r="Q144" s="169"/>
      <c r="R144" s="169"/>
      <c r="S144" s="169"/>
      <c r="T144" s="169"/>
      <c r="U144" s="169"/>
      <c r="V144" s="169"/>
      <c r="W144" s="169"/>
      <c r="X144" s="169"/>
      <c r="Y144" s="169"/>
      <c r="Z144" s="169"/>
    </row>
    <row r="145" spans="1:26" ht="15.75" customHeight="1" x14ac:dyDescent="0.25">
      <c r="A145" s="169"/>
      <c r="B145" s="169"/>
      <c r="C145" s="169"/>
      <c r="D145" s="169"/>
      <c r="E145" s="169"/>
      <c r="F145" s="169"/>
      <c r="G145" s="169"/>
      <c r="H145" s="169"/>
      <c r="I145" s="169"/>
      <c r="J145" s="169"/>
      <c r="K145" s="169"/>
      <c r="L145" s="169"/>
      <c r="M145" s="169"/>
      <c r="N145" s="169"/>
      <c r="O145" s="169"/>
      <c r="P145" s="169"/>
      <c r="Q145" s="169"/>
      <c r="R145" s="169"/>
      <c r="S145" s="169"/>
      <c r="T145" s="169"/>
      <c r="U145" s="169"/>
      <c r="V145" s="169"/>
      <c r="W145" s="169"/>
      <c r="X145" s="169"/>
      <c r="Y145" s="169"/>
      <c r="Z145" s="169"/>
    </row>
    <row r="146" spans="1:26" ht="15.75" customHeight="1" x14ac:dyDescent="0.25">
      <c r="A146" s="169"/>
      <c r="B146" s="169"/>
      <c r="C146" s="169"/>
      <c r="D146" s="169"/>
      <c r="E146" s="169"/>
      <c r="F146" s="169"/>
      <c r="G146" s="169"/>
      <c r="H146" s="169"/>
      <c r="I146" s="169"/>
      <c r="J146" s="169"/>
      <c r="K146" s="169"/>
      <c r="L146" s="169"/>
      <c r="M146" s="169"/>
      <c r="N146" s="169"/>
      <c r="O146" s="169"/>
      <c r="P146" s="169"/>
      <c r="Q146" s="169"/>
      <c r="R146" s="169"/>
      <c r="S146" s="169"/>
      <c r="T146" s="169"/>
      <c r="U146" s="169"/>
      <c r="V146" s="169"/>
      <c r="W146" s="169"/>
      <c r="X146" s="169"/>
      <c r="Y146" s="169"/>
      <c r="Z146" s="169"/>
    </row>
    <row r="147" spans="1:26" ht="15.75" customHeight="1" x14ac:dyDescent="0.25">
      <c r="A147" s="169"/>
      <c r="B147" s="169"/>
      <c r="C147" s="169"/>
      <c r="D147" s="169"/>
      <c r="E147" s="169"/>
      <c r="F147" s="169"/>
      <c r="G147" s="169"/>
      <c r="H147" s="169"/>
      <c r="I147" s="169"/>
      <c r="J147" s="169"/>
      <c r="K147" s="169"/>
      <c r="L147" s="169"/>
      <c r="M147" s="169"/>
      <c r="N147" s="169"/>
      <c r="O147" s="169"/>
      <c r="P147" s="169"/>
      <c r="Q147" s="169"/>
      <c r="R147" s="169"/>
      <c r="S147" s="169"/>
      <c r="T147" s="169"/>
      <c r="U147" s="169"/>
      <c r="V147" s="169"/>
      <c r="W147" s="169"/>
      <c r="X147" s="169"/>
      <c r="Y147" s="169"/>
      <c r="Z147" s="169"/>
    </row>
    <row r="148" spans="1:26" ht="15.75" customHeight="1" x14ac:dyDescent="0.25">
      <c r="A148" s="169"/>
      <c r="B148" s="169"/>
      <c r="C148" s="169"/>
      <c r="D148" s="169"/>
      <c r="E148" s="169"/>
      <c r="F148" s="169"/>
      <c r="G148" s="169"/>
      <c r="H148" s="169"/>
      <c r="I148" s="169"/>
      <c r="J148" s="169"/>
      <c r="K148" s="169"/>
      <c r="L148" s="169"/>
      <c r="M148" s="169"/>
      <c r="N148" s="169"/>
      <c r="O148" s="169"/>
      <c r="P148" s="169"/>
      <c r="Q148" s="169"/>
      <c r="R148" s="169"/>
      <c r="S148" s="169"/>
      <c r="T148" s="169"/>
      <c r="U148" s="169"/>
      <c r="V148" s="169"/>
      <c r="W148" s="169"/>
      <c r="X148" s="169"/>
      <c r="Y148" s="169"/>
      <c r="Z148" s="169"/>
    </row>
    <row r="149" spans="1:26" ht="15.75" customHeight="1" x14ac:dyDescent="0.25">
      <c r="A149" s="169"/>
      <c r="B149" s="169"/>
      <c r="C149" s="169"/>
      <c r="D149" s="169"/>
      <c r="E149" s="169"/>
      <c r="F149" s="169"/>
      <c r="G149" s="169"/>
      <c r="H149" s="169"/>
      <c r="I149" s="169"/>
      <c r="J149" s="169"/>
      <c r="K149" s="169"/>
      <c r="L149" s="169"/>
      <c r="M149" s="169"/>
      <c r="N149" s="169"/>
      <c r="O149" s="169"/>
      <c r="P149" s="169"/>
      <c r="Q149" s="169"/>
      <c r="R149" s="169"/>
      <c r="S149" s="169"/>
      <c r="T149" s="169"/>
      <c r="U149" s="169"/>
      <c r="V149" s="169"/>
      <c r="W149" s="169"/>
      <c r="X149" s="169"/>
      <c r="Y149" s="169"/>
      <c r="Z149" s="169"/>
    </row>
    <row r="150" spans="1:26" ht="15.75" customHeight="1" x14ac:dyDescent="0.25">
      <c r="A150" s="169"/>
      <c r="B150" s="169"/>
      <c r="C150" s="169"/>
      <c r="D150" s="169"/>
      <c r="E150" s="169"/>
      <c r="F150" s="169"/>
      <c r="G150" s="169"/>
      <c r="H150" s="169"/>
      <c r="I150" s="169"/>
      <c r="J150" s="169"/>
      <c r="K150" s="169"/>
      <c r="L150" s="169"/>
      <c r="M150" s="169"/>
      <c r="N150" s="169"/>
      <c r="O150" s="169"/>
      <c r="P150" s="169"/>
      <c r="Q150" s="169"/>
      <c r="R150" s="169"/>
      <c r="S150" s="169"/>
      <c r="T150" s="169"/>
      <c r="U150" s="169"/>
      <c r="V150" s="169"/>
      <c r="W150" s="169"/>
      <c r="X150" s="169"/>
      <c r="Y150" s="169"/>
      <c r="Z150" s="169"/>
    </row>
    <row r="151" spans="1:26" ht="15.75" customHeight="1" x14ac:dyDescent="0.25">
      <c r="A151" s="169"/>
      <c r="B151" s="169"/>
      <c r="C151" s="169"/>
      <c r="D151" s="169"/>
      <c r="E151" s="169"/>
      <c r="F151" s="169"/>
      <c r="G151" s="169"/>
      <c r="H151" s="169"/>
      <c r="I151" s="169"/>
      <c r="J151" s="169"/>
      <c r="K151" s="169"/>
      <c r="L151" s="169"/>
      <c r="M151" s="169"/>
      <c r="N151" s="169"/>
      <c r="O151" s="169"/>
      <c r="P151" s="169"/>
      <c r="Q151" s="169"/>
      <c r="R151" s="169"/>
      <c r="S151" s="169"/>
      <c r="T151" s="169"/>
      <c r="U151" s="169"/>
      <c r="V151" s="169"/>
      <c r="W151" s="169"/>
      <c r="X151" s="169"/>
      <c r="Y151" s="169"/>
      <c r="Z151" s="169"/>
    </row>
    <row r="152" spans="1:26" ht="15.75" customHeight="1" x14ac:dyDescent="0.25">
      <c r="A152" s="169"/>
      <c r="B152" s="169"/>
      <c r="C152" s="169"/>
      <c r="D152" s="169"/>
      <c r="E152" s="169"/>
      <c r="F152" s="169"/>
      <c r="G152" s="169"/>
      <c r="H152" s="169"/>
      <c r="I152" s="169"/>
      <c r="J152" s="169"/>
      <c r="K152" s="169"/>
      <c r="L152" s="169"/>
      <c r="M152" s="169"/>
      <c r="N152" s="169"/>
      <c r="O152" s="169"/>
      <c r="P152" s="169"/>
      <c r="Q152" s="169"/>
      <c r="R152" s="169"/>
      <c r="S152" s="169"/>
      <c r="T152" s="169"/>
      <c r="U152" s="169"/>
      <c r="V152" s="169"/>
      <c r="W152" s="169"/>
      <c r="X152" s="169"/>
      <c r="Y152" s="169"/>
      <c r="Z152" s="169"/>
    </row>
    <row r="153" spans="1:26" ht="15.75" customHeight="1" x14ac:dyDescent="0.25">
      <c r="A153" s="169"/>
      <c r="B153" s="169"/>
      <c r="C153" s="169"/>
      <c r="D153" s="169"/>
      <c r="E153" s="169"/>
      <c r="F153" s="169"/>
      <c r="G153" s="169"/>
      <c r="H153" s="169"/>
      <c r="I153" s="169"/>
      <c r="J153" s="169"/>
      <c r="K153" s="169"/>
      <c r="L153" s="169"/>
      <c r="M153" s="169"/>
      <c r="N153" s="169"/>
      <c r="O153" s="169"/>
      <c r="P153" s="169"/>
      <c r="Q153" s="169"/>
      <c r="R153" s="169"/>
      <c r="S153" s="169"/>
      <c r="T153" s="169"/>
      <c r="U153" s="169"/>
      <c r="V153" s="169"/>
      <c r="W153" s="169"/>
      <c r="X153" s="169"/>
      <c r="Y153" s="169"/>
      <c r="Z153" s="169"/>
    </row>
    <row r="154" spans="1:26" ht="15.75" customHeight="1" x14ac:dyDescent="0.25">
      <c r="A154" s="169"/>
      <c r="B154" s="169"/>
      <c r="C154" s="169"/>
      <c r="D154" s="169"/>
      <c r="E154" s="169"/>
      <c r="F154" s="169"/>
      <c r="G154" s="169"/>
      <c r="H154" s="169"/>
      <c r="I154" s="169"/>
      <c r="J154" s="169"/>
      <c r="K154" s="169"/>
      <c r="L154" s="169"/>
      <c r="M154" s="169"/>
      <c r="N154" s="169"/>
      <c r="O154" s="169"/>
      <c r="P154" s="169"/>
      <c r="Q154" s="169"/>
      <c r="R154" s="169"/>
      <c r="S154" s="169"/>
      <c r="T154" s="169"/>
      <c r="U154" s="169"/>
      <c r="V154" s="169"/>
      <c r="W154" s="169"/>
      <c r="X154" s="169"/>
      <c r="Y154" s="169"/>
      <c r="Z154" s="169"/>
    </row>
    <row r="155" spans="1:26" ht="15.75" customHeight="1" x14ac:dyDescent="0.25">
      <c r="A155" s="169"/>
      <c r="B155" s="169"/>
      <c r="C155" s="169"/>
      <c r="D155" s="169"/>
      <c r="E155" s="169"/>
      <c r="F155" s="169"/>
      <c r="G155" s="169"/>
      <c r="H155" s="169"/>
      <c r="I155" s="169"/>
      <c r="J155" s="169"/>
      <c r="K155" s="169"/>
      <c r="L155" s="169"/>
      <c r="M155" s="169"/>
      <c r="N155" s="169"/>
      <c r="O155" s="169"/>
      <c r="P155" s="169"/>
      <c r="Q155" s="169"/>
      <c r="R155" s="169"/>
      <c r="S155" s="169"/>
      <c r="T155" s="169"/>
      <c r="U155" s="169"/>
      <c r="V155" s="169"/>
      <c r="W155" s="169"/>
      <c r="X155" s="169"/>
      <c r="Y155" s="169"/>
      <c r="Z155" s="169"/>
    </row>
    <row r="156" spans="1:26" ht="15.75" customHeight="1" x14ac:dyDescent="0.25">
      <c r="A156" s="169"/>
      <c r="B156" s="169"/>
      <c r="C156" s="169"/>
      <c r="D156" s="169"/>
      <c r="E156" s="169"/>
      <c r="F156" s="169"/>
      <c r="G156" s="169"/>
      <c r="H156" s="169"/>
      <c r="I156" s="169"/>
      <c r="J156" s="169"/>
      <c r="K156" s="169"/>
      <c r="L156" s="169"/>
      <c r="M156" s="169"/>
      <c r="N156" s="169"/>
      <c r="O156" s="169"/>
      <c r="P156" s="169"/>
      <c r="Q156" s="169"/>
      <c r="R156" s="169"/>
      <c r="S156" s="169"/>
      <c r="T156" s="169"/>
      <c r="U156" s="169"/>
      <c r="V156" s="169"/>
      <c r="W156" s="169"/>
      <c r="X156" s="169"/>
      <c r="Y156" s="169"/>
      <c r="Z156" s="169"/>
    </row>
    <row r="157" spans="1:26" ht="15.75" customHeight="1" x14ac:dyDescent="0.25">
      <c r="A157" s="169"/>
      <c r="B157" s="169"/>
      <c r="C157" s="169"/>
      <c r="D157" s="169"/>
      <c r="E157" s="169"/>
      <c r="F157" s="169"/>
      <c r="G157" s="169"/>
      <c r="H157" s="169"/>
      <c r="I157" s="169"/>
      <c r="J157" s="169"/>
      <c r="K157" s="169"/>
      <c r="L157" s="169"/>
      <c r="M157" s="169"/>
      <c r="N157" s="169"/>
      <c r="O157" s="169"/>
      <c r="P157" s="169"/>
      <c r="Q157" s="169"/>
      <c r="R157" s="169"/>
      <c r="S157" s="169"/>
      <c r="T157" s="169"/>
      <c r="U157" s="169"/>
      <c r="V157" s="169"/>
      <c r="W157" s="169"/>
      <c r="X157" s="169"/>
      <c r="Y157" s="169"/>
      <c r="Z157" s="169"/>
    </row>
    <row r="158" spans="1:26" ht="15.75" customHeight="1" x14ac:dyDescent="0.25">
      <c r="A158" s="169"/>
      <c r="B158" s="169"/>
      <c r="C158" s="169"/>
      <c r="D158" s="169"/>
      <c r="E158" s="169"/>
      <c r="F158" s="169"/>
      <c r="G158" s="169"/>
      <c r="H158" s="169"/>
      <c r="I158" s="169"/>
      <c r="J158" s="169"/>
      <c r="K158" s="169"/>
      <c r="L158" s="169"/>
      <c r="M158" s="169"/>
      <c r="N158" s="169"/>
      <c r="O158" s="169"/>
      <c r="P158" s="169"/>
      <c r="Q158" s="169"/>
      <c r="R158" s="169"/>
      <c r="S158" s="169"/>
      <c r="T158" s="169"/>
      <c r="U158" s="169"/>
      <c r="V158" s="169"/>
      <c r="W158" s="169"/>
      <c r="X158" s="169"/>
      <c r="Y158" s="169"/>
      <c r="Z158" s="169"/>
    </row>
    <row r="159" spans="1:26" ht="15.75" customHeight="1" x14ac:dyDescent="0.25">
      <c r="A159" s="169"/>
      <c r="B159" s="169"/>
      <c r="C159" s="169"/>
      <c r="D159" s="169"/>
      <c r="E159" s="169"/>
      <c r="F159" s="169"/>
      <c r="G159" s="169"/>
      <c r="H159" s="169"/>
      <c r="I159" s="169"/>
      <c r="J159" s="169"/>
      <c r="K159" s="169"/>
      <c r="L159" s="169"/>
      <c r="M159" s="169"/>
      <c r="N159" s="169"/>
      <c r="O159" s="169"/>
      <c r="P159" s="169"/>
      <c r="Q159" s="169"/>
      <c r="R159" s="169"/>
      <c r="S159" s="169"/>
      <c r="T159" s="169"/>
      <c r="U159" s="169"/>
      <c r="V159" s="169"/>
      <c r="W159" s="169"/>
      <c r="X159" s="169"/>
      <c r="Y159" s="169"/>
      <c r="Z159" s="169"/>
    </row>
    <row r="160" spans="1:26" ht="15.75" customHeight="1" x14ac:dyDescent="0.25">
      <c r="A160" s="169"/>
      <c r="B160" s="169"/>
      <c r="C160" s="169"/>
      <c r="D160" s="169"/>
      <c r="E160" s="169"/>
      <c r="F160" s="169"/>
      <c r="G160" s="169"/>
      <c r="H160" s="169"/>
      <c r="I160" s="169"/>
      <c r="J160" s="169"/>
      <c r="K160" s="169"/>
      <c r="L160" s="169"/>
      <c r="M160" s="169"/>
      <c r="N160" s="169"/>
      <c r="O160" s="169"/>
      <c r="P160" s="169"/>
      <c r="Q160" s="169"/>
      <c r="R160" s="169"/>
      <c r="S160" s="169"/>
      <c r="T160" s="169"/>
      <c r="U160" s="169"/>
      <c r="V160" s="169"/>
      <c r="W160" s="169"/>
      <c r="X160" s="169"/>
      <c r="Y160" s="169"/>
      <c r="Z160" s="169"/>
    </row>
    <row r="161" spans="1:26" ht="15.75" customHeight="1" x14ac:dyDescent="0.25">
      <c r="A161" s="169"/>
      <c r="B161" s="169"/>
      <c r="C161" s="169"/>
      <c r="D161" s="169"/>
      <c r="E161" s="169"/>
      <c r="F161" s="169"/>
      <c r="G161" s="169"/>
      <c r="H161" s="169"/>
      <c r="I161" s="169"/>
      <c r="J161" s="169"/>
      <c r="K161" s="169"/>
      <c r="L161" s="169"/>
      <c r="M161" s="169"/>
      <c r="N161" s="169"/>
      <c r="O161" s="169"/>
      <c r="P161" s="169"/>
      <c r="Q161" s="169"/>
      <c r="R161" s="169"/>
      <c r="S161" s="169"/>
      <c r="T161" s="169"/>
      <c r="U161" s="169"/>
      <c r="V161" s="169"/>
      <c r="W161" s="169"/>
      <c r="X161" s="169"/>
      <c r="Y161" s="169"/>
      <c r="Z161" s="169"/>
    </row>
    <row r="162" spans="1:26" ht="15.75" customHeight="1" x14ac:dyDescent="0.25">
      <c r="A162" s="169"/>
      <c r="B162" s="169"/>
      <c r="C162" s="169"/>
      <c r="D162" s="169"/>
      <c r="E162" s="169"/>
      <c r="F162" s="169"/>
      <c r="G162" s="169"/>
      <c r="H162" s="169"/>
      <c r="I162" s="169"/>
      <c r="J162" s="169"/>
      <c r="K162" s="169"/>
      <c r="L162" s="169"/>
      <c r="M162" s="169"/>
      <c r="N162" s="169"/>
      <c r="O162" s="169"/>
      <c r="P162" s="169"/>
      <c r="Q162" s="169"/>
      <c r="R162" s="169"/>
      <c r="S162" s="169"/>
      <c r="T162" s="169"/>
      <c r="U162" s="169"/>
      <c r="V162" s="169"/>
      <c r="W162" s="169"/>
      <c r="X162" s="169"/>
      <c r="Y162" s="169"/>
      <c r="Z162" s="169"/>
    </row>
    <row r="163" spans="1:26" ht="15.75" customHeight="1" x14ac:dyDescent="0.25">
      <c r="A163" s="169"/>
      <c r="B163" s="169"/>
      <c r="C163" s="169"/>
      <c r="D163" s="169"/>
      <c r="E163" s="169"/>
      <c r="F163" s="169"/>
      <c r="G163" s="169"/>
      <c r="H163" s="169"/>
      <c r="I163" s="169"/>
      <c r="J163" s="169"/>
      <c r="K163" s="169"/>
      <c r="L163" s="169"/>
      <c r="M163" s="169"/>
      <c r="N163" s="169"/>
      <c r="O163" s="169"/>
      <c r="P163" s="169"/>
      <c r="Q163" s="169"/>
      <c r="R163" s="169"/>
      <c r="S163" s="169"/>
      <c r="T163" s="169"/>
      <c r="U163" s="169"/>
      <c r="V163" s="169"/>
      <c r="W163" s="169"/>
      <c r="X163" s="169"/>
      <c r="Y163" s="169"/>
      <c r="Z163" s="169"/>
    </row>
    <row r="164" spans="1:26" ht="15.75" customHeight="1" x14ac:dyDescent="0.25">
      <c r="A164" s="169"/>
      <c r="B164" s="169"/>
      <c r="C164" s="169"/>
      <c r="D164" s="169"/>
      <c r="E164" s="169"/>
      <c r="F164" s="169"/>
      <c r="G164" s="169"/>
      <c r="H164" s="169"/>
      <c r="I164" s="169"/>
      <c r="J164" s="169"/>
      <c r="K164" s="169"/>
      <c r="L164" s="169"/>
      <c r="M164" s="169"/>
      <c r="N164" s="169"/>
      <c r="O164" s="169"/>
      <c r="P164" s="169"/>
      <c r="Q164" s="169"/>
      <c r="R164" s="169"/>
      <c r="S164" s="169"/>
      <c r="T164" s="169"/>
      <c r="U164" s="169"/>
      <c r="V164" s="169"/>
      <c r="W164" s="169"/>
      <c r="X164" s="169"/>
      <c r="Y164" s="169"/>
      <c r="Z164" s="169"/>
    </row>
    <row r="165" spans="1:26" ht="15.75" customHeight="1" x14ac:dyDescent="0.25">
      <c r="A165" s="169"/>
      <c r="B165" s="169"/>
      <c r="C165" s="169"/>
      <c r="D165" s="169"/>
      <c r="E165" s="169"/>
      <c r="F165" s="169"/>
      <c r="G165" s="169"/>
      <c r="H165" s="169"/>
      <c r="I165" s="169"/>
      <c r="J165" s="169"/>
      <c r="K165" s="169"/>
      <c r="L165" s="169"/>
      <c r="M165" s="169"/>
      <c r="N165" s="169"/>
      <c r="O165" s="169"/>
      <c r="P165" s="169"/>
      <c r="Q165" s="169"/>
      <c r="R165" s="169"/>
      <c r="S165" s="169"/>
      <c r="T165" s="169"/>
      <c r="U165" s="169"/>
      <c r="V165" s="169"/>
      <c r="W165" s="169"/>
      <c r="X165" s="169"/>
      <c r="Y165" s="169"/>
      <c r="Z165" s="169"/>
    </row>
    <row r="166" spans="1:26" ht="15.75" customHeight="1" x14ac:dyDescent="0.25">
      <c r="A166" s="169"/>
      <c r="B166" s="169"/>
      <c r="C166" s="169"/>
      <c r="D166" s="169"/>
      <c r="E166" s="169"/>
      <c r="F166" s="169"/>
      <c r="G166" s="169"/>
      <c r="H166" s="169"/>
      <c r="I166" s="169"/>
      <c r="J166" s="169"/>
      <c r="K166" s="169"/>
      <c r="L166" s="169"/>
      <c r="M166" s="169"/>
      <c r="N166" s="169"/>
      <c r="O166" s="169"/>
      <c r="P166" s="169"/>
      <c r="Q166" s="169"/>
      <c r="R166" s="169"/>
      <c r="S166" s="169"/>
      <c r="T166" s="169"/>
      <c r="U166" s="169"/>
      <c r="V166" s="169"/>
      <c r="W166" s="169"/>
      <c r="X166" s="169"/>
      <c r="Y166" s="169"/>
      <c r="Z166" s="169"/>
    </row>
    <row r="167" spans="1:26" ht="15.75" customHeight="1" x14ac:dyDescent="0.25">
      <c r="A167" s="169"/>
      <c r="B167" s="169"/>
      <c r="C167" s="169"/>
      <c r="D167" s="169"/>
      <c r="E167" s="169"/>
      <c r="F167" s="169"/>
      <c r="G167" s="169"/>
      <c r="H167" s="169"/>
      <c r="I167" s="169"/>
      <c r="J167" s="169"/>
      <c r="K167" s="169"/>
      <c r="L167" s="169"/>
      <c r="M167" s="169"/>
      <c r="N167" s="169"/>
      <c r="O167" s="169"/>
      <c r="P167" s="169"/>
      <c r="Q167" s="169"/>
      <c r="R167" s="169"/>
      <c r="S167" s="169"/>
      <c r="T167" s="169"/>
      <c r="U167" s="169"/>
      <c r="V167" s="169"/>
      <c r="W167" s="169"/>
      <c r="X167" s="169"/>
      <c r="Y167" s="169"/>
      <c r="Z167" s="169"/>
    </row>
    <row r="168" spans="1:26" ht="15.75" customHeight="1" x14ac:dyDescent="0.25">
      <c r="A168" s="169"/>
      <c r="B168" s="169"/>
      <c r="C168" s="169"/>
      <c r="D168" s="169"/>
      <c r="E168" s="169"/>
      <c r="F168" s="169"/>
      <c r="G168" s="169"/>
      <c r="H168" s="169"/>
      <c r="I168" s="169"/>
      <c r="J168" s="169"/>
      <c r="K168" s="169"/>
      <c r="L168" s="169"/>
      <c r="M168" s="169"/>
      <c r="N168" s="169"/>
      <c r="O168" s="169"/>
      <c r="P168" s="169"/>
      <c r="Q168" s="169"/>
      <c r="R168" s="169"/>
      <c r="S168" s="169"/>
      <c r="T168" s="169"/>
      <c r="U168" s="169"/>
      <c r="V168" s="169"/>
      <c r="W168" s="169"/>
      <c r="X168" s="169"/>
      <c r="Y168" s="169"/>
      <c r="Z168" s="169"/>
    </row>
    <row r="169" spans="1:26" ht="15.75" customHeight="1" x14ac:dyDescent="0.25">
      <c r="A169" s="169"/>
      <c r="B169" s="169"/>
      <c r="C169" s="169"/>
      <c r="D169" s="169"/>
      <c r="E169" s="169"/>
      <c r="F169" s="169"/>
      <c r="G169" s="169"/>
      <c r="H169" s="169"/>
      <c r="I169" s="169"/>
      <c r="J169" s="169"/>
      <c r="K169" s="169"/>
      <c r="L169" s="169"/>
      <c r="M169" s="169"/>
      <c r="N169" s="169"/>
      <c r="O169" s="169"/>
      <c r="P169" s="169"/>
      <c r="Q169" s="169"/>
      <c r="R169" s="169"/>
      <c r="S169" s="169"/>
      <c r="T169" s="169"/>
      <c r="U169" s="169"/>
      <c r="V169" s="169"/>
      <c r="W169" s="169"/>
      <c r="X169" s="169"/>
      <c r="Y169" s="169"/>
      <c r="Z169" s="169"/>
    </row>
    <row r="170" spans="1:26" ht="15.75" customHeight="1" x14ac:dyDescent="0.25">
      <c r="A170" s="169"/>
      <c r="B170" s="169"/>
      <c r="C170" s="169"/>
      <c r="D170" s="169"/>
      <c r="E170" s="169"/>
      <c r="F170" s="169"/>
      <c r="G170" s="169"/>
      <c r="H170" s="169"/>
      <c r="I170" s="169"/>
      <c r="J170" s="169"/>
      <c r="K170" s="169"/>
      <c r="L170" s="169"/>
      <c r="M170" s="169"/>
      <c r="N170" s="169"/>
      <c r="O170" s="169"/>
      <c r="P170" s="169"/>
      <c r="Q170" s="169"/>
      <c r="R170" s="169"/>
      <c r="S170" s="169"/>
      <c r="T170" s="169"/>
      <c r="U170" s="169"/>
      <c r="V170" s="169"/>
      <c r="W170" s="169"/>
      <c r="X170" s="169"/>
      <c r="Y170" s="169"/>
      <c r="Z170" s="169"/>
    </row>
    <row r="171" spans="1:26" ht="15.75" customHeight="1" x14ac:dyDescent="0.25">
      <c r="A171" s="169"/>
      <c r="B171" s="169"/>
      <c r="C171" s="169"/>
      <c r="D171" s="169"/>
      <c r="E171" s="169"/>
      <c r="F171" s="169"/>
      <c r="G171" s="169"/>
      <c r="H171" s="169"/>
      <c r="I171" s="169"/>
      <c r="J171" s="169"/>
      <c r="K171" s="169"/>
      <c r="L171" s="169"/>
      <c r="M171" s="169"/>
      <c r="N171" s="169"/>
      <c r="O171" s="169"/>
      <c r="P171" s="169"/>
      <c r="Q171" s="169"/>
      <c r="R171" s="169"/>
      <c r="S171" s="169"/>
      <c r="T171" s="169"/>
      <c r="U171" s="169"/>
      <c r="V171" s="169"/>
      <c r="W171" s="169"/>
      <c r="X171" s="169"/>
      <c r="Y171" s="169"/>
      <c r="Z171" s="169"/>
    </row>
    <row r="172" spans="1:26" ht="15.75" customHeight="1" x14ac:dyDescent="0.25">
      <c r="A172" s="169"/>
      <c r="B172" s="169"/>
      <c r="C172" s="169"/>
      <c r="D172" s="169"/>
      <c r="E172" s="169"/>
      <c r="F172" s="169"/>
      <c r="G172" s="169"/>
      <c r="H172" s="169"/>
      <c r="I172" s="169"/>
      <c r="J172" s="169"/>
      <c r="K172" s="169"/>
      <c r="L172" s="169"/>
      <c r="M172" s="169"/>
      <c r="N172" s="169"/>
      <c r="O172" s="169"/>
      <c r="P172" s="169"/>
      <c r="Q172" s="169"/>
      <c r="R172" s="169"/>
      <c r="S172" s="169"/>
      <c r="T172" s="169"/>
      <c r="U172" s="169"/>
      <c r="V172" s="169"/>
      <c r="W172" s="169"/>
      <c r="X172" s="169"/>
      <c r="Y172" s="169"/>
      <c r="Z172" s="169"/>
    </row>
    <row r="173" spans="1:26" ht="15.75" customHeight="1" x14ac:dyDescent="0.25">
      <c r="A173" s="169"/>
      <c r="B173" s="169"/>
      <c r="C173" s="169"/>
      <c r="D173" s="169"/>
      <c r="E173" s="169"/>
      <c r="F173" s="169"/>
      <c r="G173" s="169"/>
      <c r="H173" s="169"/>
      <c r="I173" s="169"/>
      <c r="J173" s="169"/>
      <c r="K173" s="169"/>
      <c r="L173" s="169"/>
      <c r="M173" s="169"/>
      <c r="N173" s="169"/>
      <c r="O173" s="169"/>
      <c r="P173" s="169"/>
      <c r="Q173" s="169"/>
      <c r="R173" s="169"/>
      <c r="S173" s="169"/>
      <c r="T173" s="169"/>
      <c r="U173" s="169"/>
      <c r="V173" s="169"/>
      <c r="W173" s="169"/>
      <c r="X173" s="169"/>
      <c r="Y173" s="169"/>
      <c r="Z173" s="169"/>
    </row>
    <row r="174" spans="1:26" ht="15.75" customHeight="1" x14ac:dyDescent="0.25">
      <c r="A174" s="169"/>
      <c r="B174" s="169"/>
      <c r="C174" s="169"/>
      <c r="D174" s="169"/>
      <c r="E174" s="169"/>
      <c r="F174" s="169"/>
      <c r="G174" s="169"/>
      <c r="H174" s="169"/>
      <c r="I174" s="169"/>
      <c r="J174" s="169"/>
      <c r="K174" s="169"/>
      <c r="L174" s="169"/>
      <c r="M174" s="169"/>
      <c r="N174" s="169"/>
      <c r="O174" s="169"/>
      <c r="P174" s="169"/>
      <c r="Q174" s="169"/>
      <c r="R174" s="169"/>
      <c r="S174" s="169"/>
      <c r="T174" s="169"/>
      <c r="U174" s="169"/>
      <c r="V174" s="169"/>
      <c r="W174" s="169"/>
      <c r="X174" s="169"/>
      <c r="Y174" s="169"/>
      <c r="Z174" s="169"/>
    </row>
    <row r="175" spans="1:26" ht="15.75" customHeight="1" x14ac:dyDescent="0.25">
      <c r="A175" s="169"/>
      <c r="B175" s="169"/>
      <c r="C175" s="169"/>
      <c r="D175" s="169"/>
      <c r="E175" s="169"/>
      <c r="F175" s="169"/>
      <c r="G175" s="169"/>
      <c r="H175" s="169"/>
      <c r="I175" s="169"/>
      <c r="J175" s="169"/>
      <c r="K175" s="169"/>
      <c r="L175" s="169"/>
      <c r="M175" s="169"/>
      <c r="N175" s="169"/>
      <c r="O175" s="169"/>
      <c r="P175" s="169"/>
      <c r="Q175" s="169"/>
      <c r="R175" s="169"/>
      <c r="S175" s="169"/>
      <c r="T175" s="169"/>
      <c r="U175" s="169"/>
      <c r="V175" s="169"/>
      <c r="W175" s="169"/>
      <c r="X175" s="169"/>
      <c r="Y175" s="169"/>
      <c r="Z175" s="169"/>
    </row>
    <row r="176" spans="1:26" ht="15.75" customHeight="1" x14ac:dyDescent="0.25">
      <c r="A176" s="169"/>
      <c r="B176" s="169"/>
      <c r="C176" s="169"/>
      <c r="D176" s="169"/>
      <c r="E176" s="169"/>
      <c r="F176" s="169"/>
      <c r="G176" s="169"/>
      <c r="H176" s="169"/>
      <c r="I176" s="169"/>
      <c r="J176" s="169"/>
      <c r="K176" s="169"/>
      <c r="L176" s="169"/>
      <c r="M176" s="169"/>
      <c r="N176" s="169"/>
      <c r="O176" s="169"/>
      <c r="P176" s="169"/>
      <c r="Q176" s="169"/>
      <c r="R176" s="169"/>
      <c r="S176" s="169"/>
      <c r="T176" s="169"/>
      <c r="U176" s="169"/>
      <c r="V176" s="169"/>
      <c r="W176" s="169"/>
      <c r="X176" s="169"/>
      <c r="Y176" s="169"/>
      <c r="Z176" s="169"/>
    </row>
    <row r="177" spans="1:26" ht="15.75" customHeight="1" x14ac:dyDescent="0.25">
      <c r="A177" s="169"/>
      <c r="B177" s="169"/>
      <c r="C177" s="169"/>
      <c r="D177" s="169"/>
      <c r="E177" s="169"/>
      <c r="F177" s="169"/>
      <c r="G177" s="169"/>
      <c r="H177" s="169"/>
      <c r="I177" s="169"/>
      <c r="J177" s="169"/>
      <c r="K177" s="169"/>
      <c r="L177" s="169"/>
      <c r="M177" s="169"/>
      <c r="N177" s="169"/>
      <c r="O177" s="169"/>
      <c r="P177" s="169"/>
      <c r="Q177" s="169"/>
      <c r="R177" s="169"/>
      <c r="S177" s="169"/>
      <c r="T177" s="169"/>
      <c r="U177" s="169"/>
      <c r="V177" s="169"/>
      <c r="W177" s="169"/>
      <c r="X177" s="169"/>
      <c r="Y177" s="169"/>
      <c r="Z177" s="169"/>
    </row>
    <row r="178" spans="1:26" ht="15.75" customHeight="1" x14ac:dyDescent="0.25">
      <c r="A178" s="169"/>
      <c r="B178" s="169"/>
      <c r="C178" s="169"/>
      <c r="D178" s="169"/>
      <c r="E178" s="169"/>
      <c r="F178" s="169"/>
      <c r="G178" s="169"/>
      <c r="H178" s="169"/>
      <c r="I178" s="169"/>
      <c r="J178" s="169"/>
      <c r="K178" s="169"/>
      <c r="L178" s="169"/>
      <c r="M178" s="169"/>
      <c r="N178" s="169"/>
      <c r="O178" s="169"/>
      <c r="P178" s="169"/>
      <c r="Q178" s="169"/>
      <c r="R178" s="169"/>
      <c r="S178" s="169"/>
      <c r="T178" s="169"/>
      <c r="U178" s="169"/>
      <c r="V178" s="169"/>
      <c r="W178" s="169"/>
      <c r="X178" s="169"/>
      <c r="Y178" s="169"/>
      <c r="Z178" s="169"/>
    </row>
    <row r="179" spans="1:26" ht="15.75" customHeight="1" x14ac:dyDescent="0.25">
      <c r="A179" s="169"/>
      <c r="B179" s="169"/>
      <c r="C179" s="169"/>
      <c r="D179" s="169"/>
      <c r="E179" s="169"/>
      <c r="F179" s="169"/>
      <c r="G179" s="169"/>
      <c r="H179" s="169"/>
      <c r="I179" s="169"/>
      <c r="J179" s="169"/>
      <c r="K179" s="169"/>
      <c r="L179" s="169"/>
      <c r="M179" s="169"/>
      <c r="N179" s="169"/>
      <c r="O179" s="169"/>
      <c r="P179" s="169"/>
      <c r="Q179" s="169"/>
      <c r="R179" s="169"/>
      <c r="S179" s="169"/>
      <c r="T179" s="169"/>
      <c r="U179" s="169"/>
      <c r="V179" s="169"/>
      <c r="W179" s="169"/>
      <c r="X179" s="169"/>
      <c r="Y179" s="169"/>
      <c r="Z179" s="169"/>
    </row>
    <row r="180" spans="1:26" ht="15.75" customHeight="1" x14ac:dyDescent="0.25">
      <c r="A180" s="169"/>
      <c r="B180" s="169"/>
      <c r="C180" s="169"/>
      <c r="D180" s="169"/>
      <c r="E180" s="169"/>
      <c r="F180" s="169"/>
      <c r="G180" s="169"/>
      <c r="H180" s="169"/>
      <c r="I180" s="169"/>
      <c r="J180" s="169"/>
      <c r="K180" s="169"/>
      <c r="L180" s="169"/>
      <c r="M180" s="169"/>
      <c r="N180" s="169"/>
      <c r="O180" s="169"/>
      <c r="P180" s="169"/>
      <c r="Q180" s="169"/>
      <c r="R180" s="169"/>
      <c r="S180" s="169"/>
      <c r="T180" s="169"/>
      <c r="U180" s="169"/>
      <c r="V180" s="169"/>
      <c r="W180" s="169"/>
      <c r="X180" s="169"/>
      <c r="Y180" s="169"/>
      <c r="Z180" s="169"/>
    </row>
    <row r="181" spans="1:26" ht="15.75" customHeight="1" x14ac:dyDescent="0.25">
      <c r="A181" s="169"/>
      <c r="B181" s="169"/>
      <c r="C181" s="169"/>
      <c r="D181" s="169"/>
      <c r="E181" s="169"/>
      <c r="F181" s="169"/>
      <c r="G181" s="169"/>
      <c r="H181" s="169"/>
      <c r="I181" s="169"/>
      <c r="J181" s="169"/>
      <c r="K181" s="169"/>
      <c r="L181" s="169"/>
      <c r="M181" s="169"/>
      <c r="N181" s="169"/>
      <c r="O181" s="169"/>
      <c r="P181" s="169"/>
      <c r="Q181" s="169"/>
      <c r="R181" s="169"/>
      <c r="S181" s="169"/>
      <c r="T181" s="169"/>
      <c r="U181" s="169"/>
      <c r="V181" s="169"/>
      <c r="W181" s="169"/>
      <c r="X181" s="169"/>
      <c r="Y181" s="169"/>
      <c r="Z181" s="169"/>
    </row>
    <row r="182" spans="1:26" ht="15.75" customHeight="1" x14ac:dyDescent="0.25">
      <c r="A182" s="169"/>
      <c r="B182" s="169"/>
      <c r="C182" s="169"/>
      <c r="D182" s="169"/>
      <c r="E182" s="169"/>
      <c r="F182" s="169"/>
      <c r="G182" s="169"/>
      <c r="H182" s="169"/>
      <c r="I182" s="169"/>
      <c r="J182" s="169"/>
      <c r="K182" s="169"/>
      <c r="L182" s="169"/>
      <c r="M182" s="169"/>
      <c r="N182" s="169"/>
      <c r="O182" s="169"/>
      <c r="P182" s="169"/>
      <c r="Q182" s="169"/>
      <c r="R182" s="169"/>
      <c r="S182" s="169"/>
      <c r="T182" s="169"/>
      <c r="U182" s="169"/>
      <c r="V182" s="169"/>
      <c r="W182" s="169"/>
      <c r="X182" s="169"/>
      <c r="Y182" s="169"/>
      <c r="Z182" s="169"/>
    </row>
    <row r="183" spans="1:26" ht="15.75" customHeight="1" x14ac:dyDescent="0.25">
      <c r="A183" s="169"/>
      <c r="B183" s="169"/>
      <c r="C183" s="169"/>
      <c r="D183" s="169"/>
      <c r="E183" s="169"/>
      <c r="F183" s="169"/>
      <c r="G183" s="169"/>
      <c r="H183" s="169"/>
      <c r="I183" s="169"/>
      <c r="J183" s="169"/>
      <c r="K183" s="169"/>
      <c r="L183" s="169"/>
      <c r="M183" s="169"/>
      <c r="N183" s="169"/>
      <c r="O183" s="169"/>
      <c r="P183" s="169"/>
      <c r="Q183" s="169"/>
      <c r="R183" s="169"/>
      <c r="S183" s="169"/>
      <c r="T183" s="169"/>
      <c r="U183" s="169"/>
      <c r="V183" s="169"/>
      <c r="W183" s="169"/>
      <c r="X183" s="169"/>
      <c r="Y183" s="169"/>
      <c r="Z183" s="169"/>
    </row>
    <row r="184" spans="1:26" ht="15.75" customHeight="1" x14ac:dyDescent="0.25">
      <c r="A184" s="169"/>
      <c r="B184" s="169"/>
      <c r="C184" s="169"/>
      <c r="D184" s="169"/>
      <c r="E184" s="169"/>
      <c r="F184" s="169"/>
      <c r="G184" s="169"/>
      <c r="H184" s="169"/>
      <c r="I184" s="169"/>
      <c r="J184" s="169"/>
      <c r="K184" s="169"/>
      <c r="L184" s="169"/>
      <c r="M184" s="169"/>
      <c r="N184" s="169"/>
      <c r="O184" s="169"/>
      <c r="P184" s="169"/>
      <c r="Q184" s="169"/>
      <c r="R184" s="169"/>
      <c r="S184" s="169"/>
      <c r="T184" s="169"/>
      <c r="U184" s="169"/>
      <c r="V184" s="169"/>
      <c r="W184" s="169"/>
      <c r="X184" s="169"/>
      <c r="Y184" s="169"/>
      <c r="Z184" s="169"/>
    </row>
    <row r="185" spans="1:26" ht="15.75" customHeight="1" x14ac:dyDescent="0.25">
      <c r="A185" s="169"/>
      <c r="B185" s="169"/>
      <c r="C185" s="169"/>
      <c r="D185" s="169"/>
      <c r="E185" s="169"/>
      <c r="F185" s="169"/>
      <c r="G185" s="169"/>
      <c r="H185" s="169"/>
      <c r="I185" s="169"/>
      <c r="J185" s="169"/>
      <c r="K185" s="169"/>
      <c r="L185" s="169"/>
      <c r="M185" s="169"/>
      <c r="N185" s="169"/>
      <c r="O185" s="169"/>
      <c r="P185" s="169"/>
      <c r="Q185" s="169"/>
      <c r="R185" s="169"/>
      <c r="S185" s="169"/>
      <c r="T185" s="169"/>
      <c r="U185" s="169"/>
      <c r="V185" s="169"/>
      <c r="W185" s="169"/>
      <c r="X185" s="169"/>
      <c r="Y185" s="169"/>
      <c r="Z185" s="169"/>
    </row>
    <row r="186" spans="1:26" ht="15.75" customHeight="1" x14ac:dyDescent="0.25">
      <c r="A186" s="169"/>
      <c r="B186" s="169"/>
      <c r="C186" s="169"/>
      <c r="D186" s="169"/>
      <c r="E186" s="169"/>
      <c r="F186" s="169"/>
      <c r="G186" s="169"/>
      <c r="H186" s="169"/>
      <c r="I186" s="169"/>
      <c r="J186" s="169"/>
      <c r="K186" s="169"/>
      <c r="L186" s="169"/>
      <c r="M186" s="169"/>
      <c r="N186" s="169"/>
      <c r="O186" s="169"/>
      <c r="P186" s="169"/>
      <c r="Q186" s="169"/>
      <c r="R186" s="169"/>
      <c r="S186" s="169"/>
      <c r="T186" s="169"/>
      <c r="U186" s="169"/>
      <c r="V186" s="169"/>
      <c r="W186" s="169"/>
      <c r="X186" s="169"/>
      <c r="Y186" s="169"/>
      <c r="Z186" s="169"/>
    </row>
    <row r="187" spans="1:26" ht="15.75" customHeight="1" x14ac:dyDescent="0.25">
      <c r="A187" s="169"/>
      <c r="B187" s="169"/>
      <c r="C187" s="169"/>
      <c r="D187" s="169"/>
      <c r="E187" s="169"/>
      <c r="F187" s="169"/>
      <c r="G187" s="169"/>
      <c r="H187" s="169"/>
      <c r="I187" s="169"/>
      <c r="J187" s="169"/>
      <c r="K187" s="169"/>
      <c r="L187" s="169"/>
      <c r="M187" s="169"/>
      <c r="N187" s="169"/>
      <c r="O187" s="169"/>
      <c r="P187" s="169"/>
      <c r="Q187" s="169"/>
      <c r="R187" s="169"/>
      <c r="S187" s="169"/>
      <c r="T187" s="169"/>
      <c r="U187" s="169"/>
      <c r="V187" s="169"/>
      <c r="W187" s="169"/>
      <c r="X187" s="169"/>
      <c r="Y187" s="169"/>
      <c r="Z187" s="169"/>
    </row>
    <row r="188" spans="1:26" ht="15.75" customHeight="1" x14ac:dyDescent="0.25">
      <c r="A188" s="169"/>
      <c r="B188" s="169"/>
      <c r="C188" s="169"/>
      <c r="D188" s="169"/>
      <c r="E188" s="169"/>
      <c r="F188" s="169"/>
      <c r="G188" s="169"/>
      <c r="H188" s="169"/>
      <c r="I188" s="169"/>
      <c r="J188" s="169"/>
      <c r="K188" s="169"/>
      <c r="L188" s="169"/>
      <c r="M188" s="169"/>
      <c r="N188" s="169"/>
      <c r="O188" s="169"/>
      <c r="P188" s="169"/>
      <c r="Q188" s="169"/>
      <c r="R188" s="169"/>
      <c r="S188" s="169"/>
      <c r="T188" s="169"/>
      <c r="U188" s="169"/>
      <c r="V188" s="169"/>
      <c r="W188" s="169"/>
      <c r="X188" s="169"/>
      <c r="Y188" s="169"/>
      <c r="Z188" s="169"/>
    </row>
    <row r="189" spans="1:26" ht="15.75" customHeight="1" x14ac:dyDescent="0.25">
      <c r="A189" s="169"/>
      <c r="B189" s="169"/>
      <c r="C189" s="169"/>
      <c r="D189" s="169"/>
      <c r="E189" s="169"/>
      <c r="F189" s="169"/>
      <c r="G189" s="169"/>
      <c r="H189" s="169"/>
      <c r="I189" s="169"/>
      <c r="J189" s="169"/>
      <c r="K189" s="169"/>
      <c r="L189" s="169"/>
      <c r="M189" s="169"/>
      <c r="N189" s="169"/>
      <c r="O189" s="169"/>
      <c r="P189" s="169"/>
      <c r="Q189" s="169"/>
      <c r="R189" s="169"/>
      <c r="S189" s="169"/>
      <c r="T189" s="169"/>
      <c r="U189" s="169"/>
      <c r="V189" s="169"/>
      <c r="W189" s="169"/>
      <c r="X189" s="169"/>
      <c r="Y189" s="169"/>
      <c r="Z189" s="169"/>
    </row>
    <row r="190" spans="1:26" ht="15.75" customHeight="1" x14ac:dyDescent="0.25">
      <c r="A190" s="169"/>
      <c r="B190" s="169"/>
      <c r="C190" s="169"/>
      <c r="D190" s="169"/>
      <c r="E190" s="169"/>
      <c r="F190" s="169"/>
      <c r="G190" s="169"/>
      <c r="H190" s="169"/>
      <c r="I190" s="169"/>
      <c r="J190" s="169"/>
      <c r="K190" s="169"/>
      <c r="L190" s="169"/>
      <c r="M190" s="169"/>
      <c r="N190" s="169"/>
      <c r="O190" s="169"/>
      <c r="P190" s="169"/>
      <c r="Q190" s="169"/>
      <c r="R190" s="169"/>
      <c r="S190" s="169"/>
      <c r="T190" s="169"/>
      <c r="U190" s="169"/>
      <c r="V190" s="169"/>
      <c r="W190" s="169"/>
      <c r="X190" s="169"/>
      <c r="Y190" s="169"/>
      <c r="Z190" s="169"/>
    </row>
    <row r="191" spans="1:26" ht="15.75" customHeight="1" x14ac:dyDescent="0.25">
      <c r="A191" s="169"/>
      <c r="B191" s="169"/>
      <c r="C191" s="169"/>
      <c r="D191" s="169"/>
      <c r="E191" s="169"/>
      <c r="F191" s="169"/>
      <c r="G191" s="169"/>
      <c r="H191" s="169"/>
      <c r="I191" s="169"/>
      <c r="J191" s="169"/>
      <c r="K191" s="169"/>
      <c r="L191" s="169"/>
      <c r="M191" s="169"/>
      <c r="N191" s="169"/>
      <c r="O191" s="169"/>
      <c r="P191" s="169"/>
      <c r="Q191" s="169"/>
      <c r="R191" s="169"/>
      <c r="S191" s="169"/>
      <c r="T191" s="169"/>
      <c r="U191" s="169"/>
      <c r="V191" s="169"/>
      <c r="W191" s="169"/>
      <c r="X191" s="169"/>
      <c r="Y191" s="169"/>
      <c r="Z191" s="169"/>
    </row>
    <row r="192" spans="1:26" ht="15.75" customHeight="1" x14ac:dyDescent="0.25">
      <c r="A192" s="169"/>
      <c r="B192" s="169"/>
      <c r="C192" s="169"/>
      <c r="D192" s="169"/>
      <c r="E192" s="169"/>
      <c r="F192" s="169"/>
      <c r="G192" s="169"/>
      <c r="H192" s="169"/>
      <c r="I192" s="169"/>
      <c r="J192" s="169"/>
      <c r="K192" s="169"/>
      <c r="L192" s="169"/>
      <c r="M192" s="169"/>
      <c r="N192" s="169"/>
      <c r="O192" s="169"/>
      <c r="P192" s="169"/>
      <c r="Q192" s="169"/>
      <c r="R192" s="169"/>
      <c r="S192" s="169"/>
      <c r="T192" s="169"/>
      <c r="U192" s="169"/>
      <c r="V192" s="169"/>
      <c r="W192" s="169"/>
      <c r="X192" s="169"/>
      <c r="Y192" s="169"/>
      <c r="Z192" s="169"/>
    </row>
    <row r="193" spans="1:26" ht="15.75" customHeight="1" x14ac:dyDescent="0.25">
      <c r="A193" s="169"/>
      <c r="B193" s="169"/>
      <c r="C193" s="169"/>
      <c r="D193" s="169"/>
      <c r="E193" s="169"/>
      <c r="F193" s="169"/>
      <c r="G193" s="169"/>
      <c r="H193" s="169"/>
      <c r="I193" s="169"/>
      <c r="J193" s="169"/>
      <c r="K193" s="169"/>
      <c r="L193" s="169"/>
      <c r="M193" s="169"/>
      <c r="N193" s="169"/>
      <c r="O193" s="169"/>
      <c r="P193" s="169"/>
      <c r="Q193" s="169"/>
      <c r="R193" s="169"/>
      <c r="S193" s="169"/>
      <c r="T193" s="169"/>
      <c r="U193" s="169"/>
      <c r="V193" s="169"/>
      <c r="W193" s="169"/>
      <c r="X193" s="169"/>
      <c r="Y193" s="169"/>
      <c r="Z193" s="169"/>
    </row>
    <row r="194" spans="1:26" ht="15.75" customHeight="1" x14ac:dyDescent="0.25">
      <c r="A194" s="169"/>
      <c r="B194" s="169"/>
      <c r="C194" s="169"/>
      <c r="D194" s="169"/>
      <c r="E194" s="169"/>
      <c r="F194" s="169"/>
      <c r="G194" s="169"/>
      <c r="H194" s="169"/>
      <c r="I194" s="169"/>
      <c r="J194" s="169"/>
      <c r="K194" s="169"/>
      <c r="L194" s="169"/>
      <c r="M194" s="169"/>
      <c r="N194" s="169"/>
      <c r="O194" s="169"/>
      <c r="P194" s="169"/>
      <c r="Q194" s="169"/>
      <c r="R194" s="169"/>
      <c r="S194" s="169"/>
      <c r="T194" s="169"/>
      <c r="U194" s="169"/>
      <c r="V194" s="169"/>
      <c r="W194" s="169"/>
      <c r="X194" s="169"/>
      <c r="Y194" s="169"/>
      <c r="Z194" s="169"/>
    </row>
    <row r="195" spans="1:26" ht="15.75" customHeight="1" x14ac:dyDescent="0.25">
      <c r="A195" s="169"/>
      <c r="B195" s="169"/>
      <c r="C195" s="169"/>
      <c r="D195" s="169"/>
      <c r="E195" s="169"/>
      <c r="F195" s="169"/>
      <c r="G195" s="169"/>
      <c r="H195" s="169"/>
      <c r="I195" s="169"/>
      <c r="J195" s="169"/>
      <c r="K195" s="169"/>
      <c r="L195" s="169"/>
      <c r="M195" s="169"/>
      <c r="N195" s="169"/>
      <c r="O195" s="169"/>
      <c r="P195" s="169"/>
      <c r="Q195" s="169"/>
      <c r="R195" s="169"/>
      <c r="S195" s="169"/>
      <c r="T195" s="169"/>
      <c r="U195" s="169"/>
      <c r="V195" s="169"/>
      <c r="W195" s="169"/>
      <c r="X195" s="169"/>
      <c r="Y195" s="169"/>
      <c r="Z195" s="169"/>
    </row>
    <row r="196" spans="1:26" ht="15.75" customHeight="1" x14ac:dyDescent="0.25">
      <c r="A196" s="169"/>
      <c r="B196" s="169"/>
      <c r="C196" s="169"/>
      <c r="D196" s="169"/>
      <c r="E196" s="169"/>
      <c r="F196" s="169"/>
      <c r="G196" s="169"/>
      <c r="H196" s="169"/>
      <c r="I196" s="169"/>
      <c r="J196" s="169"/>
      <c r="K196" s="169"/>
      <c r="L196" s="169"/>
      <c r="M196" s="169"/>
      <c r="N196" s="169"/>
      <c r="O196" s="169"/>
      <c r="P196" s="169"/>
      <c r="Q196" s="169"/>
      <c r="R196" s="169"/>
      <c r="S196" s="169"/>
      <c r="T196" s="169"/>
      <c r="U196" s="169"/>
      <c r="V196" s="169"/>
      <c r="W196" s="169"/>
      <c r="X196" s="169"/>
      <c r="Y196" s="169"/>
      <c r="Z196" s="169"/>
    </row>
    <row r="197" spans="1:26" ht="15.75" customHeight="1" x14ac:dyDescent="0.25">
      <c r="A197" s="169"/>
      <c r="B197" s="169"/>
      <c r="C197" s="169"/>
      <c r="D197" s="169"/>
      <c r="E197" s="169"/>
      <c r="F197" s="169"/>
      <c r="G197" s="169"/>
      <c r="H197" s="169"/>
      <c r="I197" s="169"/>
      <c r="J197" s="169"/>
      <c r="K197" s="169"/>
      <c r="L197" s="169"/>
      <c r="M197" s="169"/>
      <c r="N197" s="169"/>
      <c r="O197" s="169"/>
      <c r="P197" s="169"/>
      <c r="Q197" s="169"/>
      <c r="R197" s="169"/>
      <c r="S197" s="169"/>
      <c r="T197" s="169"/>
      <c r="U197" s="169"/>
      <c r="V197" s="169"/>
      <c r="W197" s="169"/>
      <c r="X197" s="169"/>
      <c r="Y197" s="169"/>
      <c r="Z197" s="169"/>
    </row>
    <row r="198" spans="1:26" ht="15.75" customHeight="1" x14ac:dyDescent="0.25">
      <c r="A198" s="169"/>
      <c r="B198" s="169"/>
      <c r="C198" s="169"/>
      <c r="D198" s="169"/>
      <c r="E198" s="169"/>
      <c r="F198" s="169"/>
      <c r="G198" s="169"/>
      <c r="H198" s="169"/>
      <c r="I198" s="169"/>
      <c r="J198" s="169"/>
      <c r="K198" s="169"/>
      <c r="L198" s="169"/>
      <c r="M198" s="169"/>
      <c r="N198" s="169"/>
      <c r="O198" s="169"/>
      <c r="P198" s="169"/>
      <c r="Q198" s="169"/>
      <c r="R198" s="169"/>
      <c r="S198" s="169"/>
      <c r="T198" s="169"/>
      <c r="U198" s="169"/>
      <c r="V198" s="169"/>
      <c r="W198" s="169"/>
      <c r="X198" s="169"/>
      <c r="Y198" s="169"/>
      <c r="Z198" s="169"/>
    </row>
    <row r="199" spans="1:26" ht="15.75" customHeight="1" x14ac:dyDescent="0.25">
      <c r="A199" s="169"/>
      <c r="B199" s="169"/>
      <c r="C199" s="169"/>
      <c r="D199" s="169"/>
      <c r="E199" s="169"/>
      <c r="F199" s="169"/>
      <c r="G199" s="169"/>
      <c r="H199" s="169"/>
      <c r="I199" s="169"/>
      <c r="J199" s="169"/>
      <c r="K199" s="169"/>
      <c r="L199" s="169"/>
      <c r="M199" s="169"/>
      <c r="N199" s="169"/>
      <c r="O199" s="169"/>
      <c r="P199" s="169"/>
      <c r="Q199" s="169"/>
      <c r="R199" s="169"/>
      <c r="S199" s="169"/>
      <c r="T199" s="169"/>
      <c r="U199" s="169"/>
      <c r="V199" s="169"/>
      <c r="W199" s="169"/>
      <c r="X199" s="169"/>
      <c r="Y199" s="169"/>
      <c r="Z199" s="169"/>
    </row>
    <row r="200" spans="1:26" ht="15.75" customHeight="1" x14ac:dyDescent="0.25">
      <c r="A200" s="169"/>
      <c r="B200" s="169"/>
      <c r="C200" s="169"/>
      <c r="D200" s="169"/>
      <c r="E200" s="169"/>
      <c r="F200" s="169"/>
      <c r="G200" s="169"/>
      <c r="H200" s="169"/>
      <c r="I200" s="169"/>
      <c r="J200" s="169"/>
      <c r="K200" s="169"/>
      <c r="L200" s="169"/>
      <c r="M200" s="169"/>
      <c r="N200" s="169"/>
      <c r="O200" s="169"/>
      <c r="P200" s="169"/>
      <c r="Q200" s="169"/>
      <c r="R200" s="169"/>
      <c r="S200" s="169"/>
      <c r="T200" s="169"/>
      <c r="U200" s="169"/>
      <c r="V200" s="169"/>
      <c r="W200" s="169"/>
      <c r="X200" s="169"/>
      <c r="Y200" s="169"/>
      <c r="Z200" s="169"/>
    </row>
    <row r="201" spans="1:26" ht="15.75" customHeight="1" x14ac:dyDescent="0.25">
      <c r="A201" s="169"/>
      <c r="B201" s="169"/>
      <c r="C201" s="169"/>
      <c r="D201" s="169"/>
      <c r="E201" s="169"/>
      <c r="F201" s="169"/>
      <c r="G201" s="169"/>
      <c r="H201" s="169"/>
      <c r="I201" s="169"/>
      <c r="J201" s="169"/>
      <c r="K201" s="169"/>
      <c r="L201" s="169"/>
      <c r="M201" s="169"/>
      <c r="N201" s="169"/>
      <c r="O201" s="169"/>
      <c r="P201" s="169"/>
      <c r="Q201" s="169"/>
      <c r="R201" s="169"/>
      <c r="S201" s="169"/>
      <c r="T201" s="169"/>
      <c r="U201" s="169"/>
      <c r="V201" s="169"/>
      <c r="W201" s="169"/>
      <c r="X201" s="169"/>
      <c r="Y201" s="169"/>
      <c r="Z201" s="169"/>
    </row>
    <row r="202" spans="1:26" ht="15.75" customHeight="1" x14ac:dyDescent="0.25">
      <c r="A202" s="169"/>
      <c r="B202" s="169"/>
      <c r="C202" s="169"/>
      <c r="D202" s="169"/>
      <c r="E202" s="169"/>
      <c r="F202" s="169"/>
      <c r="G202" s="169"/>
      <c r="H202" s="169"/>
      <c r="I202" s="169"/>
      <c r="J202" s="169"/>
      <c r="K202" s="169"/>
      <c r="L202" s="169"/>
      <c r="M202" s="169"/>
      <c r="N202" s="169"/>
      <c r="O202" s="169"/>
      <c r="P202" s="169"/>
      <c r="Q202" s="169"/>
      <c r="R202" s="169"/>
      <c r="S202" s="169"/>
      <c r="T202" s="169"/>
      <c r="U202" s="169"/>
      <c r="V202" s="169"/>
      <c r="W202" s="169"/>
      <c r="X202" s="169"/>
      <c r="Y202" s="169"/>
      <c r="Z202" s="169"/>
    </row>
    <row r="203" spans="1:26" ht="15.75" customHeight="1" x14ac:dyDescent="0.25">
      <c r="A203" s="169"/>
      <c r="B203" s="169"/>
      <c r="C203" s="169"/>
      <c r="D203" s="169"/>
      <c r="E203" s="169"/>
      <c r="F203" s="169"/>
      <c r="G203" s="169"/>
      <c r="H203" s="169"/>
      <c r="I203" s="169"/>
      <c r="J203" s="169"/>
      <c r="K203" s="169"/>
      <c r="L203" s="169"/>
      <c r="M203" s="169"/>
      <c r="N203" s="169"/>
      <c r="O203" s="169"/>
      <c r="P203" s="169"/>
      <c r="Q203" s="169"/>
      <c r="R203" s="169"/>
      <c r="S203" s="169"/>
      <c r="T203" s="169"/>
      <c r="U203" s="169"/>
      <c r="V203" s="169"/>
      <c r="W203" s="169"/>
      <c r="X203" s="169"/>
      <c r="Y203" s="169"/>
      <c r="Z203" s="169"/>
    </row>
    <row r="204" spans="1:26" ht="15.75" customHeight="1" x14ac:dyDescent="0.25">
      <c r="A204" s="169"/>
      <c r="B204" s="169"/>
      <c r="C204" s="169"/>
      <c r="D204" s="169"/>
      <c r="E204" s="169"/>
      <c r="F204" s="169"/>
      <c r="G204" s="169"/>
      <c r="H204" s="169"/>
      <c r="I204" s="169"/>
      <c r="J204" s="169"/>
      <c r="K204" s="169"/>
      <c r="L204" s="169"/>
      <c r="M204" s="169"/>
      <c r="N204" s="169"/>
      <c r="O204" s="169"/>
      <c r="P204" s="169"/>
      <c r="Q204" s="169"/>
      <c r="R204" s="169"/>
      <c r="S204" s="169"/>
      <c r="T204" s="169"/>
      <c r="U204" s="169"/>
      <c r="V204" s="169"/>
      <c r="W204" s="169"/>
      <c r="X204" s="169"/>
      <c r="Y204" s="169"/>
      <c r="Z204" s="169"/>
    </row>
    <row r="205" spans="1:26" ht="15.75" customHeight="1" x14ac:dyDescent="0.25">
      <c r="A205" s="169"/>
      <c r="B205" s="169"/>
      <c r="C205" s="169"/>
      <c r="D205" s="169"/>
      <c r="E205" s="169"/>
      <c r="F205" s="169"/>
      <c r="G205" s="169"/>
      <c r="H205" s="169"/>
      <c r="I205" s="169"/>
      <c r="J205" s="169"/>
      <c r="K205" s="169"/>
      <c r="L205" s="169"/>
      <c r="M205" s="169"/>
      <c r="N205" s="169"/>
      <c r="O205" s="169"/>
      <c r="P205" s="169"/>
      <c r="Q205" s="169"/>
      <c r="R205" s="169"/>
      <c r="S205" s="169"/>
      <c r="T205" s="169"/>
      <c r="U205" s="169"/>
      <c r="V205" s="169"/>
      <c r="W205" s="169"/>
      <c r="X205" s="169"/>
      <c r="Y205" s="169"/>
      <c r="Z205" s="169"/>
    </row>
    <row r="206" spans="1:26" ht="15.75" customHeight="1" x14ac:dyDescent="0.25">
      <c r="A206" s="169"/>
      <c r="B206" s="169"/>
      <c r="C206" s="169"/>
      <c r="D206" s="169"/>
      <c r="E206" s="169"/>
      <c r="F206" s="169"/>
      <c r="G206" s="169"/>
      <c r="H206" s="169"/>
      <c r="I206" s="169"/>
      <c r="J206" s="169"/>
      <c r="K206" s="169"/>
      <c r="L206" s="169"/>
      <c r="M206" s="169"/>
      <c r="N206" s="169"/>
      <c r="O206" s="169"/>
      <c r="P206" s="169"/>
      <c r="Q206" s="169"/>
      <c r="R206" s="169"/>
      <c r="S206" s="169"/>
      <c r="T206" s="169"/>
      <c r="U206" s="169"/>
      <c r="V206" s="169"/>
      <c r="W206" s="169"/>
      <c r="X206" s="169"/>
      <c r="Y206" s="169"/>
      <c r="Z206" s="169"/>
    </row>
    <row r="207" spans="1:26" ht="15.75" customHeight="1" x14ac:dyDescent="0.25">
      <c r="A207" s="169"/>
      <c r="B207" s="169"/>
      <c r="C207" s="169"/>
      <c r="D207" s="169"/>
      <c r="E207" s="169"/>
      <c r="F207" s="169"/>
      <c r="G207" s="169"/>
      <c r="H207" s="169"/>
      <c r="I207" s="169"/>
      <c r="J207" s="169"/>
      <c r="K207" s="169"/>
      <c r="L207" s="169"/>
      <c r="M207" s="169"/>
      <c r="N207" s="169"/>
      <c r="O207" s="169"/>
      <c r="P207" s="169"/>
      <c r="Q207" s="169"/>
      <c r="R207" s="169"/>
      <c r="S207" s="169"/>
      <c r="T207" s="169"/>
      <c r="U207" s="169"/>
      <c r="V207" s="169"/>
      <c r="W207" s="169"/>
      <c r="X207" s="169"/>
      <c r="Y207" s="169"/>
      <c r="Z207" s="169"/>
    </row>
    <row r="208" spans="1:26" ht="15.75" customHeight="1" x14ac:dyDescent="0.25">
      <c r="A208" s="169"/>
      <c r="B208" s="169"/>
      <c r="C208" s="169"/>
      <c r="D208" s="169"/>
      <c r="E208" s="169"/>
      <c r="F208" s="169"/>
      <c r="G208" s="169"/>
      <c r="H208" s="169"/>
      <c r="I208" s="169"/>
      <c r="J208" s="169"/>
      <c r="K208" s="169"/>
      <c r="L208" s="169"/>
      <c r="M208" s="169"/>
      <c r="N208" s="169"/>
      <c r="O208" s="169"/>
      <c r="P208" s="169"/>
      <c r="Q208" s="169"/>
      <c r="R208" s="169"/>
      <c r="S208" s="169"/>
      <c r="T208" s="169"/>
      <c r="U208" s="169"/>
      <c r="V208" s="169"/>
      <c r="W208" s="169"/>
      <c r="X208" s="169"/>
      <c r="Y208" s="169"/>
      <c r="Z208" s="169"/>
    </row>
    <row r="209" spans="1:26" ht="15.75" customHeight="1" x14ac:dyDescent="0.25">
      <c r="A209" s="169"/>
      <c r="B209" s="169"/>
      <c r="C209" s="169"/>
      <c r="D209" s="169"/>
      <c r="E209" s="169"/>
      <c r="F209" s="169"/>
      <c r="G209" s="169"/>
      <c r="H209" s="169"/>
      <c r="I209" s="169"/>
      <c r="J209" s="169"/>
      <c r="K209" s="169"/>
      <c r="L209" s="169"/>
      <c r="M209" s="169"/>
      <c r="N209" s="169"/>
      <c r="O209" s="169"/>
      <c r="P209" s="169"/>
      <c r="Q209" s="169"/>
      <c r="R209" s="169"/>
      <c r="S209" s="169"/>
      <c r="T209" s="169"/>
      <c r="U209" s="169"/>
      <c r="V209" s="169"/>
      <c r="W209" s="169"/>
      <c r="X209" s="169"/>
      <c r="Y209" s="169"/>
      <c r="Z209" s="169"/>
    </row>
    <row r="210" spans="1:26" ht="15.75" customHeight="1" x14ac:dyDescent="0.25">
      <c r="A210" s="169"/>
      <c r="B210" s="169"/>
      <c r="C210" s="169"/>
      <c r="D210" s="169"/>
      <c r="E210" s="169"/>
      <c r="F210" s="169"/>
      <c r="G210" s="169"/>
      <c r="H210" s="169"/>
      <c r="I210" s="169"/>
      <c r="J210" s="169"/>
      <c r="K210" s="169"/>
      <c r="L210" s="169"/>
      <c r="M210" s="169"/>
      <c r="N210" s="169"/>
      <c r="O210" s="169"/>
      <c r="P210" s="169"/>
      <c r="Q210" s="169"/>
      <c r="R210" s="169"/>
      <c r="S210" s="169"/>
      <c r="T210" s="169"/>
      <c r="U210" s="169"/>
      <c r="V210" s="169"/>
      <c r="W210" s="169"/>
      <c r="X210" s="169"/>
      <c r="Y210" s="169"/>
      <c r="Z210" s="169"/>
    </row>
    <row r="211" spans="1:26" ht="15.75" customHeight="1" x14ac:dyDescent="0.25">
      <c r="A211" s="169"/>
      <c r="B211" s="169"/>
      <c r="C211" s="169"/>
      <c r="D211" s="169"/>
      <c r="E211" s="169"/>
      <c r="F211" s="169"/>
      <c r="G211" s="169"/>
      <c r="H211" s="169"/>
      <c r="I211" s="169"/>
      <c r="J211" s="169"/>
      <c r="K211" s="169"/>
      <c r="L211" s="169"/>
      <c r="M211" s="169"/>
      <c r="N211" s="169"/>
      <c r="O211" s="169"/>
      <c r="P211" s="169"/>
      <c r="Q211" s="169"/>
      <c r="R211" s="169"/>
      <c r="S211" s="169"/>
      <c r="T211" s="169"/>
      <c r="U211" s="169"/>
      <c r="V211" s="169"/>
      <c r="W211" s="169"/>
      <c r="X211" s="169"/>
      <c r="Y211" s="169"/>
      <c r="Z211" s="169"/>
    </row>
    <row r="212" spans="1:26" ht="15.75" customHeight="1" x14ac:dyDescent="0.25">
      <c r="A212" s="169"/>
      <c r="B212" s="169"/>
      <c r="C212" s="169"/>
      <c r="D212" s="169"/>
      <c r="E212" s="169"/>
      <c r="F212" s="169"/>
      <c r="G212" s="169"/>
      <c r="H212" s="169"/>
      <c r="I212" s="169"/>
      <c r="J212" s="169"/>
      <c r="K212" s="169"/>
      <c r="L212" s="169"/>
      <c r="M212" s="169"/>
      <c r="N212" s="169"/>
      <c r="O212" s="169"/>
      <c r="P212" s="169"/>
      <c r="Q212" s="169"/>
      <c r="R212" s="169"/>
      <c r="S212" s="169"/>
      <c r="T212" s="169"/>
      <c r="U212" s="169"/>
      <c r="V212" s="169"/>
      <c r="W212" s="169"/>
      <c r="X212" s="169"/>
      <c r="Y212" s="169"/>
      <c r="Z212" s="169"/>
    </row>
    <row r="213" spans="1:26" ht="15.75" customHeight="1" x14ac:dyDescent="0.25">
      <c r="A213" s="169"/>
      <c r="B213" s="169"/>
      <c r="C213" s="169"/>
      <c r="D213" s="169"/>
      <c r="E213" s="169"/>
      <c r="F213" s="169"/>
      <c r="G213" s="169"/>
      <c r="H213" s="169"/>
      <c r="I213" s="169"/>
      <c r="J213" s="169"/>
      <c r="K213" s="169"/>
      <c r="L213" s="169"/>
      <c r="M213" s="169"/>
      <c r="N213" s="169"/>
      <c r="O213" s="169"/>
      <c r="P213" s="169"/>
      <c r="Q213" s="169"/>
      <c r="R213" s="169"/>
      <c r="S213" s="169"/>
      <c r="T213" s="169"/>
      <c r="U213" s="169"/>
      <c r="V213" s="169"/>
      <c r="W213" s="169"/>
      <c r="X213" s="169"/>
      <c r="Y213" s="169"/>
      <c r="Z213" s="169"/>
    </row>
    <row r="214" spans="1:26" ht="15.75" customHeight="1" x14ac:dyDescent="0.25">
      <c r="A214" s="169"/>
      <c r="B214" s="169"/>
      <c r="C214" s="169"/>
      <c r="D214" s="169"/>
      <c r="E214" s="169"/>
      <c r="F214" s="169"/>
      <c r="G214" s="169"/>
      <c r="H214" s="169"/>
      <c r="I214" s="169"/>
      <c r="J214" s="169"/>
      <c r="K214" s="169"/>
      <c r="L214" s="169"/>
      <c r="M214" s="169"/>
      <c r="N214" s="169"/>
      <c r="O214" s="169"/>
      <c r="P214" s="169"/>
      <c r="Q214" s="169"/>
      <c r="R214" s="169"/>
      <c r="S214" s="169"/>
      <c r="T214" s="169"/>
      <c r="U214" s="169"/>
      <c r="V214" s="169"/>
      <c r="W214" s="169"/>
      <c r="X214" s="169"/>
      <c r="Y214" s="169"/>
      <c r="Z214" s="169"/>
    </row>
    <row r="215" spans="1:26" ht="15.75" customHeight="1" x14ac:dyDescent="0.25">
      <c r="A215" s="169"/>
      <c r="B215" s="169"/>
      <c r="C215" s="169"/>
      <c r="D215" s="169"/>
      <c r="E215" s="169"/>
      <c r="F215" s="169"/>
      <c r="G215" s="169"/>
      <c r="H215" s="169"/>
      <c r="I215" s="169"/>
      <c r="J215" s="169"/>
      <c r="K215" s="169"/>
      <c r="L215" s="169"/>
      <c r="M215" s="169"/>
      <c r="N215" s="169"/>
      <c r="O215" s="169"/>
      <c r="P215" s="169"/>
      <c r="Q215" s="169"/>
      <c r="R215" s="169"/>
      <c r="S215" s="169"/>
      <c r="T215" s="169"/>
      <c r="U215" s="169"/>
      <c r="V215" s="169"/>
      <c r="W215" s="169"/>
      <c r="X215" s="169"/>
      <c r="Y215" s="169"/>
      <c r="Z215" s="169"/>
    </row>
    <row r="216" spans="1:26" ht="15.75" customHeight="1" x14ac:dyDescent="0.25">
      <c r="A216" s="169"/>
      <c r="B216" s="169"/>
      <c r="C216" s="169"/>
      <c r="D216" s="169"/>
      <c r="E216" s="169"/>
      <c r="F216" s="169"/>
      <c r="G216" s="169"/>
      <c r="H216" s="169"/>
      <c r="I216" s="169"/>
      <c r="J216" s="169"/>
      <c r="K216" s="169"/>
      <c r="L216" s="169"/>
      <c r="M216" s="169"/>
      <c r="N216" s="169"/>
      <c r="O216" s="169"/>
      <c r="P216" s="169"/>
      <c r="Q216" s="169"/>
      <c r="R216" s="169"/>
      <c r="S216" s="169"/>
      <c r="T216" s="169"/>
      <c r="U216" s="169"/>
      <c r="V216" s="169"/>
      <c r="W216" s="169"/>
      <c r="X216" s="169"/>
      <c r="Y216" s="169"/>
      <c r="Z216" s="169"/>
    </row>
    <row r="217" spans="1:26" ht="15.75" customHeight="1" x14ac:dyDescent="0.25">
      <c r="A217" s="169"/>
      <c r="B217" s="169"/>
      <c r="C217" s="169"/>
      <c r="D217" s="169"/>
      <c r="E217" s="169"/>
      <c r="F217" s="169"/>
      <c r="G217" s="169"/>
      <c r="H217" s="169"/>
      <c r="I217" s="169"/>
      <c r="J217" s="169"/>
      <c r="K217" s="169"/>
      <c r="L217" s="169"/>
      <c r="M217" s="169"/>
      <c r="N217" s="169"/>
      <c r="O217" s="169"/>
      <c r="P217" s="169"/>
      <c r="Q217" s="169"/>
      <c r="R217" s="169"/>
      <c r="S217" s="169"/>
      <c r="T217" s="169"/>
      <c r="U217" s="169"/>
      <c r="V217" s="169"/>
      <c r="W217" s="169"/>
      <c r="X217" s="169"/>
      <c r="Y217" s="169"/>
      <c r="Z217" s="169"/>
    </row>
    <row r="218" spans="1:26" ht="15.75" customHeight="1" x14ac:dyDescent="0.25">
      <c r="A218" s="169"/>
      <c r="B218" s="169"/>
      <c r="C218" s="169"/>
      <c r="D218" s="169"/>
      <c r="E218" s="169"/>
      <c r="F218" s="169"/>
      <c r="G218" s="169"/>
      <c r="H218" s="169"/>
      <c r="I218" s="169"/>
      <c r="J218" s="169"/>
      <c r="K218" s="169"/>
      <c r="L218" s="169"/>
      <c r="M218" s="169"/>
      <c r="N218" s="169"/>
      <c r="O218" s="169"/>
      <c r="P218" s="169"/>
      <c r="Q218" s="169"/>
      <c r="R218" s="169"/>
      <c r="S218" s="169"/>
      <c r="T218" s="169"/>
      <c r="U218" s="169"/>
      <c r="V218" s="169"/>
      <c r="W218" s="169"/>
      <c r="X218" s="169"/>
      <c r="Y218" s="169"/>
      <c r="Z218" s="169"/>
    </row>
    <row r="219" spans="1:26" ht="15.75" customHeight="1" x14ac:dyDescent="0.25">
      <c r="A219" s="169"/>
      <c r="B219" s="169"/>
      <c r="C219" s="169"/>
      <c r="D219" s="169"/>
      <c r="E219" s="169"/>
      <c r="F219" s="169"/>
      <c r="G219" s="169"/>
      <c r="H219" s="169"/>
      <c r="I219" s="169"/>
      <c r="J219" s="169"/>
      <c r="K219" s="169"/>
      <c r="L219" s="169"/>
      <c r="M219" s="169"/>
      <c r="N219" s="169"/>
      <c r="O219" s="169"/>
      <c r="P219" s="169"/>
      <c r="Q219" s="169"/>
      <c r="R219" s="169"/>
      <c r="S219" s="169"/>
      <c r="T219" s="169"/>
      <c r="U219" s="169"/>
      <c r="V219" s="169"/>
      <c r="W219" s="169"/>
      <c r="X219" s="169"/>
      <c r="Y219" s="169"/>
      <c r="Z219" s="169"/>
    </row>
    <row r="220" spans="1:26" ht="15.75" customHeight="1" x14ac:dyDescent="0.25">
      <c r="A220" s="169"/>
      <c r="B220" s="169"/>
      <c r="C220" s="169"/>
      <c r="D220" s="169"/>
      <c r="E220" s="169"/>
      <c r="F220" s="169"/>
      <c r="G220" s="169"/>
      <c r="H220" s="169"/>
      <c r="I220" s="169"/>
      <c r="J220" s="169"/>
      <c r="K220" s="169"/>
      <c r="L220" s="169"/>
      <c r="M220" s="169"/>
      <c r="N220" s="169"/>
      <c r="O220" s="169"/>
      <c r="P220" s="169"/>
      <c r="Q220" s="169"/>
      <c r="R220" s="169"/>
      <c r="S220" s="169"/>
      <c r="T220" s="169"/>
      <c r="U220" s="169"/>
      <c r="V220" s="169"/>
      <c r="W220" s="169"/>
      <c r="X220" s="169"/>
      <c r="Y220" s="169"/>
      <c r="Z220" s="169"/>
    </row>
    <row r="221" spans="1:26" ht="15.75" customHeight="1" x14ac:dyDescent="0.25">
      <c r="A221" s="169"/>
      <c r="B221" s="169"/>
      <c r="C221" s="169"/>
      <c r="D221" s="169"/>
      <c r="E221" s="169"/>
      <c r="F221" s="169"/>
      <c r="G221" s="169"/>
      <c r="H221" s="169"/>
      <c r="I221" s="169"/>
      <c r="J221" s="169"/>
      <c r="K221" s="169"/>
      <c r="L221" s="169"/>
      <c r="M221" s="169"/>
      <c r="N221" s="169"/>
      <c r="O221" s="169"/>
      <c r="P221" s="169"/>
      <c r="Q221" s="169"/>
      <c r="R221" s="169"/>
      <c r="S221" s="169"/>
      <c r="T221" s="169"/>
      <c r="U221" s="169"/>
      <c r="V221" s="169"/>
      <c r="W221" s="169"/>
      <c r="X221" s="169"/>
      <c r="Y221" s="169"/>
      <c r="Z221" s="169"/>
    </row>
    <row r="222" spans="1:26" ht="15.75" customHeight="1" x14ac:dyDescent="0.25">
      <c r="A222" s="169"/>
      <c r="B222" s="169"/>
      <c r="C222" s="169"/>
      <c r="D222" s="169"/>
      <c r="E222" s="169"/>
      <c r="F222" s="169"/>
      <c r="G222" s="169"/>
      <c r="H222" s="169"/>
      <c r="I222" s="169"/>
      <c r="J222" s="169"/>
      <c r="K222" s="169"/>
      <c r="L222" s="169"/>
      <c r="M222" s="169"/>
      <c r="N222" s="169"/>
      <c r="O222" s="169"/>
      <c r="P222" s="169"/>
      <c r="Q222" s="169"/>
      <c r="R222" s="169"/>
      <c r="S222" s="169"/>
      <c r="T222" s="169"/>
      <c r="U222" s="169"/>
      <c r="V222" s="169"/>
      <c r="W222" s="169"/>
      <c r="X222" s="169"/>
      <c r="Y222" s="169"/>
      <c r="Z222" s="169"/>
    </row>
    <row r="223" spans="1:26" ht="15.75" customHeight="1" x14ac:dyDescent="0.25">
      <c r="A223" s="169"/>
      <c r="B223" s="169"/>
      <c r="C223" s="169"/>
      <c r="D223" s="169"/>
      <c r="E223" s="169"/>
      <c r="F223" s="169"/>
      <c r="G223" s="169"/>
      <c r="H223" s="169"/>
      <c r="I223" s="169"/>
      <c r="J223" s="169"/>
      <c r="K223" s="169"/>
      <c r="L223" s="169"/>
      <c r="M223" s="169"/>
      <c r="N223" s="169"/>
      <c r="O223" s="169"/>
      <c r="P223" s="169"/>
      <c r="Q223" s="169"/>
      <c r="R223" s="169"/>
      <c r="S223" s="169"/>
      <c r="T223" s="169"/>
      <c r="U223" s="169"/>
      <c r="V223" s="169"/>
      <c r="W223" s="169"/>
      <c r="X223" s="169"/>
      <c r="Y223" s="169"/>
      <c r="Z223" s="169"/>
    </row>
    <row r="224" spans="1:26" ht="15.75" customHeight="1" x14ac:dyDescent="0.25">
      <c r="A224" s="169"/>
      <c r="B224" s="169"/>
      <c r="C224" s="169"/>
      <c r="D224" s="169"/>
      <c r="E224" s="169"/>
      <c r="F224" s="169"/>
      <c r="G224" s="169"/>
      <c r="H224" s="169"/>
      <c r="I224" s="169"/>
      <c r="J224" s="169"/>
      <c r="K224" s="169"/>
      <c r="L224" s="169"/>
      <c r="M224" s="169"/>
      <c r="N224" s="169"/>
      <c r="O224" s="169"/>
      <c r="P224" s="169"/>
      <c r="Q224" s="169"/>
      <c r="R224" s="169"/>
      <c r="S224" s="169"/>
      <c r="T224" s="169"/>
      <c r="U224" s="169"/>
      <c r="V224" s="169"/>
      <c r="W224" s="169"/>
      <c r="X224" s="169"/>
      <c r="Y224" s="169"/>
      <c r="Z224" s="169"/>
    </row>
    <row r="225" spans="1:26" ht="15.75" customHeight="1" x14ac:dyDescent="0.25">
      <c r="A225" s="169"/>
      <c r="B225" s="169"/>
      <c r="C225" s="169"/>
      <c r="D225" s="169"/>
      <c r="E225" s="169"/>
      <c r="F225" s="169"/>
      <c r="G225" s="169"/>
      <c r="H225" s="169"/>
      <c r="I225" s="169"/>
      <c r="J225" s="169"/>
      <c r="K225" s="169"/>
      <c r="L225" s="169"/>
      <c r="M225" s="169"/>
      <c r="N225" s="169"/>
      <c r="O225" s="169"/>
      <c r="P225" s="169"/>
      <c r="Q225" s="169"/>
      <c r="R225" s="169"/>
      <c r="S225" s="169"/>
      <c r="T225" s="169"/>
      <c r="U225" s="169"/>
      <c r="V225" s="169"/>
      <c r="W225" s="169"/>
      <c r="X225" s="169"/>
      <c r="Y225" s="169"/>
      <c r="Z225" s="169"/>
    </row>
    <row r="226" spans="1:26" ht="15.75" customHeight="1" x14ac:dyDescent="0.25">
      <c r="A226" s="169"/>
      <c r="B226" s="169"/>
      <c r="C226" s="169"/>
      <c r="D226" s="169"/>
      <c r="E226" s="169"/>
      <c r="F226" s="169"/>
      <c r="G226" s="169"/>
      <c r="H226" s="169"/>
      <c r="I226" s="169"/>
      <c r="J226" s="169"/>
      <c r="K226" s="169"/>
      <c r="L226" s="169"/>
      <c r="M226" s="169"/>
      <c r="N226" s="169"/>
      <c r="O226" s="169"/>
      <c r="P226" s="169"/>
      <c r="Q226" s="169"/>
      <c r="R226" s="169"/>
      <c r="S226" s="169"/>
      <c r="T226" s="169"/>
      <c r="U226" s="169"/>
      <c r="V226" s="169"/>
      <c r="W226" s="169"/>
      <c r="X226" s="169"/>
      <c r="Y226" s="169"/>
      <c r="Z226" s="169"/>
    </row>
    <row r="227" spans="1:26" ht="15.75" customHeight="1" x14ac:dyDescent="0.25">
      <c r="A227" s="169"/>
      <c r="B227" s="169"/>
      <c r="C227" s="169"/>
      <c r="D227" s="169"/>
      <c r="E227" s="169"/>
      <c r="F227" s="169"/>
      <c r="G227" s="169"/>
      <c r="H227" s="169"/>
      <c r="I227" s="169"/>
      <c r="J227" s="169"/>
      <c r="K227" s="169"/>
      <c r="L227" s="169"/>
      <c r="M227" s="169"/>
      <c r="N227" s="169"/>
      <c r="O227" s="169"/>
      <c r="P227" s="169"/>
      <c r="Q227" s="169"/>
      <c r="R227" s="169"/>
      <c r="S227" s="169"/>
      <c r="T227" s="169"/>
      <c r="U227" s="169"/>
      <c r="V227" s="169"/>
      <c r="W227" s="169"/>
      <c r="X227" s="169"/>
      <c r="Y227" s="169"/>
      <c r="Z227" s="169"/>
    </row>
    <row r="228" spans="1:26" ht="15.75" customHeight="1" x14ac:dyDescent="0.25">
      <c r="A228" s="169"/>
      <c r="B228" s="169"/>
      <c r="C228" s="169"/>
      <c r="D228" s="169"/>
      <c r="E228" s="169"/>
      <c r="F228" s="169"/>
      <c r="G228" s="169"/>
      <c r="H228" s="169"/>
      <c r="I228" s="169"/>
      <c r="J228" s="169"/>
      <c r="K228" s="169"/>
      <c r="L228" s="169"/>
      <c r="M228" s="169"/>
      <c r="N228" s="169"/>
      <c r="O228" s="169"/>
      <c r="P228" s="169"/>
      <c r="Q228" s="169"/>
      <c r="R228" s="169"/>
      <c r="S228" s="169"/>
      <c r="T228" s="169"/>
      <c r="U228" s="169"/>
      <c r="V228" s="169"/>
      <c r="W228" s="169"/>
      <c r="X228" s="169"/>
      <c r="Y228" s="169"/>
      <c r="Z228" s="169"/>
    </row>
    <row r="229" spans="1:26" ht="15.75" customHeight="1" x14ac:dyDescent="0.25">
      <c r="A229" s="169"/>
      <c r="B229" s="169"/>
      <c r="C229" s="169"/>
      <c r="D229" s="169"/>
      <c r="E229" s="169"/>
      <c r="F229" s="169"/>
      <c r="G229" s="169"/>
      <c r="H229" s="169"/>
      <c r="I229" s="169"/>
      <c r="J229" s="169"/>
      <c r="K229" s="169"/>
      <c r="L229" s="169"/>
      <c r="M229" s="169"/>
      <c r="N229" s="169"/>
      <c r="O229" s="169"/>
      <c r="P229" s="169"/>
      <c r="Q229" s="169"/>
      <c r="R229" s="169"/>
      <c r="S229" s="169"/>
      <c r="T229" s="169"/>
      <c r="U229" s="169"/>
      <c r="V229" s="169"/>
      <c r="W229" s="169"/>
      <c r="X229" s="169"/>
      <c r="Y229" s="169"/>
      <c r="Z229" s="169"/>
    </row>
    <row r="230" spans="1:26" ht="15.75" customHeight="1" x14ac:dyDescent="0.25">
      <c r="A230" s="169"/>
      <c r="B230" s="169"/>
      <c r="C230" s="169"/>
      <c r="D230" s="169"/>
      <c r="E230" s="169"/>
      <c r="F230" s="169"/>
      <c r="G230" s="169"/>
      <c r="H230" s="169"/>
      <c r="I230" s="169"/>
      <c r="J230" s="169"/>
      <c r="K230" s="169"/>
      <c r="L230" s="169"/>
      <c r="M230" s="169"/>
      <c r="N230" s="169"/>
      <c r="O230" s="169"/>
      <c r="P230" s="169"/>
      <c r="Q230" s="169"/>
      <c r="R230" s="169"/>
      <c r="S230" s="169"/>
      <c r="T230" s="169"/>
      <c r="U230" s="169"/>
      <c r="V230" s="169"/>
      <c r="W230" s="169"/>
      <c r="X230" s="169"/>
      <c r="Y230" s="169"/>
      <c r="Z230" s="169"/>
    </row>
    <row r="231" spans="1:26" ht="15.75" customHeight="1" x14ac:dyDescent="0.25">
      <c r="A231" s="169"/>
      <c r="B231" s="169"/>
      <c r="C231" s="169"/>
      <c r="D231" s="169"/>
      <c r="E231" s="169"/>
      <c r="F231" s="169"/>
      <c r="G231" s="169"/>
      <c r="H231" s="169"/>
      <c r="I231" s="169"/>
      <c r="J231" s="169"/>
      <c r="K231" s="169"/>
      <c r="L231" s="169"/>
      <c r="M231" s="169"/>
      <c r="N231" s="169"/>
      <c r="O231" s="169"/>
      <c r="P231" s="169"/>
      <c r="Q231" s="169"/>
      <c r="R231" s="169"/>
      <c r="S231" s="169"/>
      <c r="T231" s="169"/>
      <c r="U231" s="169"/>
      <c r="V231" s="169"/>
      <c r="W231" s="169"/>
      <c r="X231" s="169"/>
      <c r="Y231" s="169"/>
      <c r="Z231" s="169"/>
    </row>
    <row r="232" spans="1:26" ht="15.75" customHeight="1" x14ac:dyDescent="0.25">
      <c r="A232" s="169"/>
      <c r="B232" s="169"/>
      <c r="C232" s="169"/>
      <c r="D232" s="169"/>
      <c r="E232" s="169"/>
      <c r="F232" s="169"/>
      <c r="G232" s="169"/>
      <c r="H232" s="169"/>
      <c r="I232" s="169"/>
      <c r="J232" s="169"/>
      <c r="K232" s="169"/>
      <c r="L232" s="169"/>
      <c r="M232" s="169"/>
      <c r="N232" s="169"/>
      <c r="O232" s="169"/>
      <c r="P232" s="169"/>
      <c r="Q232" s="169"/>
      <c r="R232" s="169"/>
      <c r="S232" s="169"/>
      <c r="T232" s="169"/>
      <c r="U232" s="169"/>
      <c r="V232" s="169"/>
      <c r="W232" s="169"/>
      <c r="X232" s="169"/>
      <c r="Y232" s="169"/>
      <c r="Z232" s="169"/>
    </row>
    <row r="233" spans="1:26" ht="15.75" customHeight="1" x14ac:dyDescent="0.25">
      <c r="A233" s="169"/>
      <c r="B233" s="169"/>
      <c r="C233" s="169"/>
      <c r="D233" s="169"/>
      <c r="E233" s="169"/>
      <c r="F233" s="169"/>
      <c r="G233" s="169"/>
      <c r="H233" s="169"/>
      <c r="I233" s="169"/>
      <c r="J233" s="169"/>
      <c r="K233" s="169"/>
      <c r="L233" s="169"/>
      <c r="M233" s="169"/>
      <c r="N233" s="169"/>
      <c r="O233" s="169"/>
      <c r="P233" s="169"/>
      <c r="Q233" s="169"/>
      <c r="R233" s="169"/>
      <c r="S233" s="169"/>
      <c r="T233" s="169"/>
      <c r="U233" s="169"/>
      <c r="V233" s="169"/>
      <c r="W233" s="169"/>
      <c r="X233" s="169"/>
      <c r="Y233" s="169"/>
      <c r="Z233" s="169"/>
    </row>
    <row r="234" spans="1:26" ht="15.75" customHeight="1" x14ac:dyDescent="0.25">
      <c r="A234" s="169"/>
      <c r="B234" s="169"/>
      <c r="C234" s="169"/>
      <c r="D234" s="169"/>
      <c r="E234" s="169"/>
      <c r="F234" s="169"/>
      <c r="G234" s="169"/>
      <c r="H234" s="169"/>
      <c r="I234" s="169"/>
      <c r="J234" s="169"/>
      <c r="K234" s="169"/>
      <c r="L234" s="169"/>
      <c r="M234" s="169"/>
      <c r="N234" s="169"/>
      <c r="O234" s="169"/>
      <c r="P234" s="169"/>
      <c r="Q234" s="169"/>
      <c r="R234" s="169"/>
      <c r="S234" s="169"/>
      <c r="T234" s="169"/>
      <c r="U234" s="169"/>
      <c r="V234" s="169"/>
      <c r="W234" s="169"/>
      <c r="X234" s="169"/>
      <c r="Y234" s="169"/>
      <c r="Z234" s="169"/>
    </row>
    <row r="235" spans="1:26" ht="15.75" customHeight="1" x14ac:dyDescent="0.25">
      <c r="A235" s="169"/>
      <c r="B235" s="169"/>
      <c r="C235" s="169"/>
      <c r="D235" s="169"/>
      <c r="E235" s="169"/>
      <c r="F235" s="169"/>
      <c r="G235" s="169"/>
      <c r="H235" s="169"/>
      <c r="I235" s="169"/>
      <c r="J235" s="169"/>
      <c r="K235" s="169"/>
      <c r="L235" s="169"/>
      <c r="M235" s="169"/>
      <c r="N235" s="169"/>
      <c r="O235" s="169"/>
      <c r="P235" s="169"/>
      <c r="Q235" s="169"/>
      <c r="R235" s="169"/>
      <c r="S235" s="169"/>
      <c r="T235" s="169"/>
      <c r="U235" s="169"/>
      <c r="V235" s="169"/>
      <c r="W235" s="169"/>
      <c r="X235" s="169"/>
      <c r="Y235" s="169"/>
      <c r="Z235" s="169"/>
    </row>
    <row r="236" spans="1:26" ht="15.75" customHeight="1" x14ac:dyDescent="0.25">
      <c r="A236" s="169"/>
      <c r="B236" s="169"/>
      <c r="C236" s="169"/>
      <c r="D236" s="169"/>
      <c r="E236" s="169"/>
      <c r="F236" s="169"/>
      <c r="G236" s="169"/>
      <c r="H236" s="169"/>
      <c r="I236" s="169"/>
      <c r="J236" s="169"/>
      <c r="K236" s="169"/>
      <c r="L236" s="169"/>
      <c r="M236" s="169"/>
      <c r="N236" s="169"/>
      <c r="O236" s="169"/>
      <c r="P236" s="169"/>
      <c r="Q236" s="169"/>
      <c r="R236" s="169"/>
      <c r="S236" s="169"/>
      <c r="T236" s="169"/>
      <c r="U236" s="169"/>
      <c r="V236" s="169"/>
      <c r="W236" s="169"/>
      <c r="X236" s="169"/>
      <c r="Y236" s="169"/>
      <c r="Z236" s="169"/>
    </row>
    <row r="237" spans="1:26" ht="15.75" customHeight="1" x14ac:dyDescent="0.25">
      <c r="A237" s="169"/>
      <c r="B237" s="169"/>
      <c r="C237" s="169"/>
      <c r="D237" s="169"/>
      <c r="E237" s="169"/>
      <c r="F237" s="169"/>
      <c r="G237" s="169"/>
      <c r="H237" s="169"/>
      <c r="I237" s="169"/>
      <c r="J237" s="169"/>
      <c r="K237" s="169"/>
      <c r="L237" s="169"/>
      <c r="M237" s="169"/>
      <c r="N237" s="169"/>
      <c r="O237" s="169"/>
      <c r="P237" s="169"/>
      <c r="Q237" s="169"/>
      <c r="R237" s="169"/>
      <c r="S237" s="169"/>
      <c r="T237" s="169"/>
      <c r="U237" s="169"/>
      <c r="V237" s="169"/>
      <c r="W237" s="169"/>
      <c r="X237" s="169"/>
      <c r="Y237" s="169"/>
      <c r="Z237" s="169"/>
    </row>
    <row r="238" spans="1:26" ht="15.75" customHeight="1" x14ac:dyDescent="0.25">
      <c r="A238" s="169"/>
      <c r="B238" s="169"/>
      <c r="C238" s="169"/>
      <c r="D238" s="169"/>
      <c r="E238" s="169"/>
      <c r="F238" s="169"/>
      <c r="G238" s="169"/>
      <c r="H238" s="169"/>
      <c r="I238" s="169"/>
      <c r="J238" s="169"/>
      <c r="K238" s="169"/>
      <c r="L238" s="169"/>
      <c r="M238" s="169"/>
      <c r="N238" s="169"/>
      <c r="O238" s="169"/>
      <c r="P238" s="169"/>
      <c r="Q238" s="169"/>
      <c r="R238" s="169"/>
      <c r="S238" s="169"/>
      <c r="T238" s="169"/>
      <c r="U238" s="169"/>
      <c r="V238" s="169"/>
      <c r="W238" s="169"/>
      <c r="X238" s="169"/>
      <c r="Y238" s="169"/>
      <c r="Z238" s="169"/>
    </row>
    <row r="239" spans="1:26" ht="15.75" customHeight="1" x14ac:dyDescent="0.25">
      <c r="A239" s="169"/>
      <c r="B239" s="169"/>
      <c r="C239" s="169"/>
      <c r="D239" s="169"/>
      <c r="E239" s="169"/>
      <c r="F239" s="169"/>
      <c r="G239" s="169"/>
      <c r="H239" s="169"/>
      <c r="I239" s="169"/>
      <c r="J239" s="169"/>
      <c r="K239" s="169"/>
      <c r="L239" s="169"/>
      <c r="M239" s="169"/>
      <c r="N239" s="169"/>
      <c r="O239" s="169"/>
      <c r="P239" s="169"/>
      <c r="Q239" s="169"/>
      <c r="R239" s="169"/>
      <c r="S239" s="169"/>
      <c r="T239" s="169"/>
      <c r="U239" s="169"/>
      <c r="V239" s="169"/>
      <c r="W239" s="169"/>
      <c r="X239" s="169"/>
      <c r="Y239" s="169"/>
      <c r="Z239" s="169"/>
    </row>
    <row r="240" spans="1:26" ht="15.75" customHeight="1" x14ac:dyDescent="0.25">
      <c r="A240" s="169"/>
      <c r="B240" s="169"/>
      <c r="C240" s="169"/>
      <c r="D240" s="169"/>
      <c r="E240" s="169"/>
      <c r="F240" s="169"/>
      <c r="G240" s="169"/>
      <c r="H240" s="169"/>
      <c r="I240" s="169"/>
      <c r="J240" s="169"/>
      <c r="K240" s="169"/>
      <c r="L240" s="169"/>
      <c r="M240" s="169"/>
      <c r="N240" s="169"/>
      <c r="O240" s="169"/>
      <c r="P240" s="169"/>
      <c r="Q240" s="169"/>
      <c r="R240" s="169"/>
      <c r="S240" s="169"/>
      <c r="T240" s="169"/>
      <c r="U240" s="169"/>
      <c r="V240" s="169"/>
      <c r="W240" s="169"/>
      <c r="X240" s="169"/>
      <c r="Y240" s="169"/>
      <c r="Z240" s="169"/>
    </row>
    <row r="241" spans="1:26" ht="15.75" customHeight="1" x14ac:dyDescent="0.25">
      <c r="A241" s="169"/>
      <c r="B241" s="169"/>
      <c r="C241" s="169"/>
      <c r="D241" s="169"/>
      <c r="E241" s="169"/>
      <c r="F241" s="169"/>
      <c r="G241" s="169"/>
      <c r="H241" s="169"/>
      <c r="I241" s="169"/>
      <c r="J241" s="169"/>
      <c r="K241" s="169"/>
      <c r="L241" s="169"/>
      <c r="M241" s="169"/>
      <c r="N241" s="169"/>
      <c r="O241" s="169"/>
      <c r="P241" s="169"/>
      <c r="Q241" s="169"/>
      <c r="R241" s="169"/>
      <c r="S241" s="169"/>
      <c r="T241" s="169"/>
      <c r="U241" s="169"/>
      <c r="V241" s="169"/>
      <c r="W241" s="169"/>
      <c r="X241" s="169"/>
      <c r="Y241" s="169"/>
      <c r="Z241" s="169"/>
    </row>
    <row r="242" spans="1:26" ht="15.75" customHeight="1" x14ac:dyDescent="0.25">
      <c r="A242" s="169"/>
      <c r="B242" s="169"/>
      <c r="C242" s="169"/>
      <c r="D242" s="169"/>
      <c r="E242" s="169"/>
      <c r="F242" s="169"/>
      <c r="G242" s="169"/>
      <c r="H242" s="169"/>
      <c r="I242" s="169"/>
      <c r="J242" s="169"/>
      <c r="K242" s="169"/>
      <c r="L242" s="169"/>
      <c r="M242" s="169"/>
      <c r="N242" s="169"/>
      <c r="O242" s="169"/>
      <c r="P242" s="169"/>
      <c r="Q242" s="169"/>
      <c r="R242" s="169"/>
      <c r="S242" s="169"/>
      <c r="T242" s="169"/>
      <c r="U242" s="169"/>
      <c r="V242" s="169"/>
      <c r="W242" s="169"/>
      <c r="X242" s="169"/>
      <c r="Y242" s="169"/>
      <c r="Z242" s="169"/>
    </row>
    <row r="243" spans="1:26" ht="15.75" customHeight="1" x14ac:dyDescent="0.25">
      <c r="A243" s="169"/>
      <c r="B243" s="169"/>
      <c r="C243" s="169"/>
      <c r="D243" s="169"/>
      <c r="E243" s="169"/>
      <c r="F243" s="169"/>
      <c r="G243" s="169"/>
      <c r="H243" s="169"/>
      <c r="I243" s="169"/>
      <c r="J243" s="169"/>
      <c r="K243" s="169"/>
      <c r="L243" s="169"/>
      <c r="M243" s="169"/>
      <c r="N243" s="169"/>
      <c r="O243" s="169"/>
      <c r="P243" s="169"/>
      <c r="Q243" s="169"/>
      <c r="R243" s="169"/>
      <c r="S243" s="169"/>
      <c r="T243" s="169"/>
      <c r="U243" s="169"/>
      <c r="V243" s="169"/>
      <c r="W243" s="169"/>
      <c r="X243" s="169"/>
      <c r="Y243" s="169"/>
      <c r="Z243" s="169"/>
    </row>
    <row r="244" spans="1:26" ht="15.75" customHeight="1" x14ac:dyDescent="0.25">
      <c r="A244" s="169"/>
      <c r="B244" s="169"/>
      <c r="C244" s="169"/>
      <c r="D244" s="169"/>
      <c r="E244" s="169"/>
      <c r="F244" s="169"/>
      <c r="G244" s="169"/>
      <c r="H244" s="169"/>
      <c r="I244" s="169"/>
      <c r="J244" s="169"/>
      <c r="K244" s="169"/>
      <c r="L244" s="169"/>
      <c r="M244" s="169"/>
      <c r="N244" s="169"/>
      <c r="O244" s="169"/>
      <c r="P244" s="169"/>
      <c r="Q244" s="169"/>
      <c r="R244" s="169"/>
      <c r="S244" s="169"/>
      <c r="T244" s="169"/>
      <c r="U244" s="169"/>
      <c r="V244" s="169"/>
      <c r="W244" s="169"/>
      <c r="X244" s="169"/>
      <c r="Y244" s="169"/>
      <c r="Z244" s="169"/>
    </row>
    <row r="245" spans="1:26" ht="15.75" customHeight="1" x14ac:dyDescent="0.25">
      <c r="A245" s="169"/>
      <c r="B245" s="169"/>
      <c r="C245" s="169"/>
      <c r="D245" s="169"/>
      <c r="E245" s="169"/>
      <c r="F245" s="169"/>
      <c r="G245" s="169"/>
      <c r="H245" s="169"/>
      <c r="I245" s="169"/>
      <c r="J245" s="169"/>
      <c r="K245" s="169"/>
      <c r="L245" s="169"/>
      <c r="M245" s="169"/>
      <c r="N245" s="169"/>
      <c r="O245" s="169"/>
      <c r="P245" s="169"/>
      <c r="Q245" s="169"/>
      <c r="R245" s="169"/>
      <c r="S245" s="169"/>
      <c r="T245" s="169"/>
      <c r="U245" s="169"/>
      <c r="V245" s="169"/>
      <c r="W245" s="169"/>
      <c r="X245" s="169"/>
      <c r="Y245" s="169"/>
      <c r="Z245" s="169"/>
    </row>
    <row r="246" spans="1:26" ht="15.75" customHeight="1" x14ac:dyDescent="0.25">
      <c r="A246" s="169"/>
      <c r="B246" s="169"/>
      <c r="C246" s="169"/>
      <c r="D246" s="169"/>
      <c r="E246" s="169"/>
      <c r="F246" s="169"/>
      <c r="G246" s="169"/>
      <c r="H246" s="169"/>
      <c r="I246" s="169"/>
      <c r="J246" s="169"/>
      <c r="K246" s="169"/>
      <c r="L246" s="169"/>
      <c r="M246" s="169"/>
      <c r="N246" s="169"/>
      <c r="O246" s="169"/>
      <c r="P246" s="169"/>
      <c r="Q246" s="169"/>
      <c r="R246" s="169"/>
      <c r="S246" s="169"/>
      <c r="T246" s="169"/>
      <c r="U246" s="169"/>
      <c r="V246" s="169"/>
      <c r="W246" s="169"/>
      <c r="X246" s="169"/>
      <c r="Y246" s="169"/>
      <c r="Z246" s="169"/>
    </row>
    <row r="247" spans="1:26" ht="15.75" customHeight="1" x14ac:dyDescent="0.25">
      <c r="A247" s="169"/>
      <c r="B247" s="169"/>
      <c r="C247" s="169"/>
      <c r="D247" s="169"/>
      <c r="E247" s="169"/>
      <c r="F247" s="169"/>
      <c r="G247" s="169"/>
      <c r="H247" s="169"/>
      <c r="I247" s="169"/>
      <c r="J247" s="169"/>
      <c r="K247" s="169"/>
      <c r="L247" s="169"/>
      <c r="M247" s="169"/>
      <c r="N247" s="169"/>
      <c r="O247" s="169"/>
      <c r="P247" s="169"/>
      <c r="Q247" s="169"/>
      <c r="R247" s="169"/>
      <c r="S247" s="169"/>
      <c r="T247" s="169"/>
      <c r="U247" s="169"/>
      <c r="V247" s="169"/>
      <c r="W247" s="169"/>
      <c r="X247" s="169"/>
      <c r="Y247" s="169"/>
      <c r="Z247" s="169"/>
    </row>
    <row r="248" spans="1:26" ht="15.75" customHeight="1" x14ac:dyDescent="0.25">
      <c r="A248" s="169"/>
      <c r="B248" s="169"/>
      <c r="C248" s="169"/>
      <c r="D248" s="169"/>
      <c r="E248" s="169"/>
      <c r="F248" s="169"/>
      <c r="G248" s="169"/>
      <c r="H248" s="169"/>
      <c r="I248" s="169"/>
      <c r="J248" s="169"/>
      <c r="K248" s="169"/>
      <c r="L248" s="169"/>
      <c r="M248" s="169"/>
      <c r="N248" s="169"/>
      <c r="O248" s="169"/>
      <c r="P248" s="169"/>
      <c r="Q248" s="169"/>
      <c r="R248" s="169"/>
      <c r="S248" s="169"/>
      <c r="T248" s="169"/>
      <c r="U248" s="169"/>
      <c r="V248" s="169"/>
      <c r="W248" s="169"/>
      <c r="X248" s="169"/>
      <c r="Y248" s="169"/>
      <c r="Z248" s="169"/>
    </row>
    <row r="249" spans="1:26" ht="15.75" customHeight="1" x14ac:dyDescent="0.25">
      <c r="A249" s="169"/>
      <c r="B249" s="169"/>
      <c r="C249" s="169"/>
      <c r="D249" s="169"/>
      <c r="E249" s="169"/>
      <c r="F249" s="169"/>
      <c r="G249" s="169"/>
      <c r="H249" s="169"/>
      <c r="I249" s="169"/>
      <c r="J249" s="169"/>
      <c r="K249" s="169"/>
      <c r="L249" s="169"/>
      <c r="M249" s="169"/>
      <c r="N249" s="169"/>
      <c r="O249" s="169"/>
      <c r="P249" s="169"/>
      <c r="Q249" s="169"/>
      <c r="R249" s="169"/>
      <c r="S249" s="169"/>
      <c r="T249" s="169"/>
      <c r="U249" s="169"/>
      <c r="V249" s="169"/>
      <c r="W249" s="169"/>
      <c r="X249" s="169"/>
      <c r="Y249" s="169"/>
      <c r="Z249" s="169"/>
    </row>
    <row r="250" spans="1:26" ht="15.75" customHeight="1" x14ac:dyDescent="0.25">
      <c r="A250" s="169"/>
      <c r="B250" s="169"/>
      <c r="C250" s="169"/>
      <c r="D250" s="169"/>
      <c r="E250" s="169"/>
      <c r="F250" s="169"/>
      <c r="G250" s="169"/>
      <c r="H250" s="169"/>
      <c r="I250" s="169"/>
      <c r="J250" s="169"/>
      <c r="K250" s="169"/>
      <c r="L250" s="169"/>
      <c r="M250" s="169"/>
      <c r="N250" s="169"/>
      <c r="O250" s="169"/>
      <c r="P250" s="169"/>
      <c r="Q250" s="169"/>
      <c r="R250" s="169"/>
      <c r="S250" s="169"/>
      <c r="T250" s="169"/>
      <c r="U250" s="169"/>
      <c r="V250" s="169"/>
      <c r="W250" s="169"/>
      <c r="X250" s="169"/>
      <c r="Y250" s="169"/>
      <c r="Z250" s="169"/>
    </row>
    <row r="251" spans="1:26" ht="15.75" customHeight="1" x14ac:dyDescent="0.25">
      <c r="A251" s="169"/>
      <c r="B251" s="169"/>
      <c r="C251" s="169"/>
      <c r="D251" s="169"/>
      <c r="E251" s="169"/>
      <c r="F251" s="169"/>
      <c r="G251" s="169"/>
      <c r="H251" s="169"/>
      <c r="I251" s="169"/>
      <c r="J251" s="169"/>
      <c r="K251" s="169"/>
      <c r="L251" s="169"/>
      <c r="M251" s="169"/>
      <c r="N251" s="169"/>
      <c r="O251" s="169"/>
      <c r="P251" s="169"/>
      <c r="Q251" s="169"/>
      <c r="R251" s="169"/>
      <c r="S251" s="169"/>
      <c r="T251" s="169"/>
      <c r="U251" s="169"/>
      <c r="V251" s="169"/>
      <c r="W251" s="169"/>
      <c r="X251" s="169"/>
      <c r="Y251" s="169"/>
      <c r="Z251" s="169"/>
    </row>
    <row r="252" spans="1:26" ht="15.75" customHeight="1" x14ac:dyDescent="0.25">
      <c r="A252" s="169"/>
      <c r="B252" s="169"/>
      <c r="C252" s="169"/>
      <c r="D252" s="169"/>
      <c r="E252" s="169"/>
      <c r="F252" s="169"/>
      <c r="G252" s="169"/>
      <c r="H252" s="169"/>
      <c r="I252" s="169"/>
      <c r="J252" s="169"/>
      <c r="K252" s="169"/>
      <c r="L252" s="169"/>
      <c r="M252" s="169"/>
      <c r="N252" s="169"/>
      <c r="O252" s="169"/>
      <c r="P252" s="169"/>
      <c r="Q252" s="169"/>
      <c r="R252" s="169"/>
      <c r="S252" s="169"/>
      <c r="T252" s="169"/>
      <c r="U252" s="169"/>
      <c r="V252" s="169"/>
      <c r="W252" s="169"/>
      <c r="X252" s="169"/>
      <c r="Y252" s="169"/>
      <c r="Z252" s="169"/>
    </row>
    <row r="253" spans="1:26" ht="15.75" customHeight="1" x14ac:dyDescent="0.25">
      <c r="A253" s="169"/>
      <c r="B253" s="169"/>
      <c r="C253" s="169"/>
      <c r="D253" s="169"/>
      <c r="E253" s="169"/>
      <c r="F253" s="169"/>
      <c r="G253" s="169"/>
      <c r="H253" s="169"/>
      <c r="I253" s="169"/>
      <c r="J253" s="169"/>
      <c r="K253" s="169"/>
      <c r="L253" s="169"/>
      <c r="M253" s="169"/>
      <c r="N253" s="169"/>
      <c r="O253" s="169"/>
      <c r="P253" s="169"/>
      <c r="Q253" s="169"/>
      <c r="R253" s="169"/>
      <c r="S253" s="169"/>
      <c r="T253" s="169"/>
      <c r="U253" s="169"/>
      <c r="V253" s="169"/>
      <c r="W253" s="169"/>
      <c r="X253" s="169"/>
      <c r="Y253" s="169"/>
      <c r="Z253" s="169"/>
    </row>
    <row r="254" spans="1:26" ht="15.75" customHeight="1" x14ac:dyDescent="0.25">
      <c r="A254" s="169"/>
      <c r="B254" s="169"/>
      <c r="C254" s="169"/>
      <c r="D254" s="169"/>
      <c r="E254" s="169"/>
      <c r="F254" s="169"/>
      <c r="G254" s="169"/>
      <c r="H254" s="169"/>
      <c r="I254" s="169"/>
      <c r="J254" s="169"/>
      <c r="K254" s="169"/>
      <c r="L254" s="169"/>
      <c r="M254" s="169"/>
      <c r="N254" s="169"/>
      <c r="O254" s="169"/>
      <c r="P254" s="169"/>
      <c r="Q254" s="169"/>
      <c r="R254" s="169"/>
      <c r="S254" s="169"/>
      <c r="T254" s="169"/>
      <c r="U254" s="169"/>
      <c r="V254" s="169"/>
      <c r="W254" s="169"/>
      <c r="X254" s="169"/>
      <c r="Y254" s="169"/>
      <c r="Z254" s="169"/>
    </row>
    <row r="255" spans="1:26" ht="15.75" customHeight="1" x14ac:dyDescent="0.25">
      <c r="A255" s="169"/>
      <c r="B255" s="169"/>
      <c r="C255" s="169"/>
      <c r="D255" s="169"/>
      <c r="E255" s="169"/>
      <c r="F255" s="169"/>
      <c r="G255" s="169"/>
      <c r="H255" s="169"/>
      <c r="I255" s="169"/>
      <c r="J255" s="169"/>
      <c r="K255" s="169"/>
      <c r="L255" s="169"/>
      <c r="M255" s="169"/>
      <c r="N255" s="169"/>
      <c r="O255" s="169"/>
      <c r="P255" s="169"/>
      <c r="Q255" s="169"/>
      <c r="R255" s="169"/>
      <c r="S255" s="169"/>
      <c r="T255" s="169"/>
      <c r="U255" s="169"/>
      <c r="V255" s="169"/>
      <c r="W255" s="169"/>
      <c r="X255" s="169"/>
      <c r="Y255" s="169"/>
      <c r="Z255" s="169"/>
    </row>
    <row r="256" spans="1:26" ht="15.75" customHeight="1" x14ac:dyDescent="0.25">
      <c r="A256" s="169"/>
      <c r="B256" s="169"/>
      <c r="C256" s="169"/>
      <c r="D256" s="169"/>
      <c r="E256" s="169"/>
      <c r="F256" s="169"/>
      <c r="G256" s="169"/>
      <c r="H256" s="169"/>
      <c r="I256" s="169"/>
      <c r="J256" s="169"/>
      <c r="K256" s="169"/>
      <c r="L256" s="169"/>
      <c r="M256" s="169"/>
      <c r="N256" s="169"/>
      <c r="O256" s="169"/>
      <c r="P256" s="169"/>
      <c r="Q256" s="169"/>
      <c r="R256" s="169"/>
      <c r="S256" s="169"/>
      <c r="T256" s="169"/>
      <c r="U256" s="169"/>
      <c r="V256" s="169"/>
      <c r="W256" s="169"/>
      <c r="X256" s="169"/>
      <c r="Y256" s="169"/>
      <c r="Z256" s="169"/>
    </row>
    <row r="257" spans="1:26" ht="15.75" customHeight="1" x14ac:dyDescent="0.25">
      <c r="A257" s="169"/>
      <c r="B257" s="169"/>
      <c r="C257" s="169"/>
      <c r="D257" s="169"/>
      <c r="E257" s="169"/>
      <c r="F257" s="169"/>
      <c r="G257" s="169"/>
      <c r="H257" s="169"/>
      <c r="I257" s="169"/>
      <c r="J257" s="169"/>
      <c r="K257" s="169"/>
      <c r="L257" s="169"/>
      <c r="M257" s="169"/>
      <c r="N257" s="169"/>
      <c r="O257" s="169"/>
      <c r="P257" s="169"/>
      <c r="Q257" s="169"/>
      <c r="R257" s="169"/>
      <c r="S257" s="169"/>
      <c r="T257" s="169"/>
      <c r="U257" s="169"/>
      <c r="V257" s="169"/>
      <c r="W257" s="169"/>
      <c r="X257" s="169"/>
      <c r="Y257" s="169"/>
      <c r="Z257" s="169"/>
    </row>
    <row r="258" spans="1:26" ht="15.75" customHeight="1" x14ac:dyDescent="0.25">
      <c r="A258" s="169"/>
      <c r="B258" s="169"/>
      <c r="C258" s="169"/>
      <c r="D258" s="169"/>
      <c r="E258" s="169"/>
      <c r="F258" s="169"/>
      <c r="G258" s="169"/>
      <c r="H258" s="169"/>
      <c r="I258" s="169"/>
      <c r="J258" s="169"/>
      <c r="K258" s="169"/>
      <c r="L258" s="169"/>
      <c r="M258" s="169"/>
      <c r="N258" s="169"/>
      <c r="O258" s="169"/>
      <c r="P258" s="169"/>
      <c r="Q258" s="169"/>
      <c r="R258" s="169"/>
      <c r="S258" s="169"/>
      <c r="T258" s="169"/>
      <c r="U258" s="169"/>
      <c r="V258" s="169"/>
      <c r="W258" s="169"/>
      <c r="X258" s="169"/>
      <c r="Y258" s="169"/>
      <c r="Z258" s="169"/>
    </row>
    <row r="259" spans="1:26" ht="15.75" customHeight="1" x14ac:dyDescent="0.25">
      <c r="A259" s="169"/>
      <c r="B259" s="169"/>
      <c r="C259" s="169"/>
      <c r="D259" s="169"/>
      <c r="E259" s="169"/>
      <c r="F259" s="169"/>
      <c r="G259" s="169"/>
      <c r="H259" s="169"/>
      <c r="I259" s="169"/>
      <c r="J259" s="169"/>
      <c r="K259" s="169"/>
      <c r="L259" s="169"/>
      <c r="M259" s="169"/>
      <c r="N259" s="169"/>
      <c r="O259" s="169"/>
      <c r="P259" s="169"/>
      <c r="Q259" s="169"/>
      <c r="R259" s="169"/>
      <c r="S259" s="169"/>
      <c r="T259" s="169"/>
      <c r="U259" s="169"/>
      <c r="V259" s="169"/>
      <c r="W259" s="169"/>
      <c r="X259" s="169"/>
      <c r="Y259" s="169"/>
      <c r="Z259" s="169"/>
    </row>
    <row r="260" spans="1:26" ht="15.75" customHeight="1" x14ac:dyDescent="0.25">
      <c r="A260" s="169"/>
      <c r="B260" s="169"/>
      <c r="C260" s="169"/>
      <c r="D260" s="169"/>
      <c r="E260" s="169"/>
      <c r="F260" s="169"/>
      <c r="G260" s="169"/>
      <c r="H260" s="169"/>
      <c r="I260" s="169"/>
      <c r="J260" s="169"/>
      <c r="K260" s="169"/>
      <c r="L260" s="169"/>
      <c r="M260" s="169"/>
      <c r="N260" s="169"/>
      <c r="O260" s="169"/>
      <c r="P260" s="169"/>
      <c r="Q260" s="169"/>
      <c r="R260" s="169"/>
      <c r="S260" s="169"/>
      <c r="T260" s="169"/>
      <c r="U260" s="169"/>
      <c r="V260" s="169"/>
      <c r="W260" s="169"/>
      <c r="X260" s="169"/>
      <c r="Y260" s="169"/>
      <c r="Z260" s="169"/>
    </row>
    <row r="261" spans="1:26" ht="15.75" customHeight="1" x14ac:dyDescent="0.25">
      <c r="A261" s="169"/>
      <c r="B261" s="169"/>
      <c r="C261" s="169"/>
      <c r="D261" s="169"/>
      <c r="E261" s="169"/>
      <c r="F261" s="169"/>
      <c r="G261" s="169"/>
      <c r="H261" s="169"/>
      <c r="I261" s="169"/>
      <c r="J261" s="169"/>
      <c r="K261" s="169"/>
      <c r="L261" s="169"/>
      <c r="M261" s="169"/>
      <c r="N261" s="169"/>
      <c r="O261" s="169"/>
      <c r="P261" s="169"/>
      <c r="Q261" s="169"/>
      <c r="R261" s="169"/>
      <c r="S261" s="169"/>
      <c r="T261" s="169"/>
      <c r="U261" s="169"/>
      <c r="V261" s="169"/>
      <c r="W261" s="169"/>
      <c r="X261" s="169"/>
      <c r="Y261" s="169"/>
      <c r="Z261" s="169"/>
    </row>
    <row r="262" spans="1:26" ht="15.75" customHeight="1" x14ac:dyDescent="0.25">
      <c r="A262" s="169"/>
      <c r="B262" s="169"/>
      <c r="C262" s="169"/>
      <c r="D262" s="169"/>
      <c r="E262" s="169"/>
      <c r="F262" s="169"/>
      <c r="G262" s="169"/>
      <c r="H262" s="169"/>
      <c r="I262" s="169"/>
      <c r="J262" s="169"/>
      <c r="K262" s="169"/>
      <c r="L262" s="169"/>
      <c r="M262" s="169"/>
      <c r="N262" s="169"/>
      <c r="O262" s="169"/>
      <c r="P262" s="169"/>
      <c r="Q262" s="169"/>
      <c r="R262" s="169"/>
      <c r="S262" s="169"/>
      <c r="T262" s="169"/>
      <c r="U262" s="169"/>
      <c r="V262" s="169"/>
      <c r="W262" s="169"/>
      <c r="X262" s="169"/>
      <c r="Y262" s="169"/>
      <c r="Z262" s="169"/>
    </row>
    <row r="263" spans="1:26" ht="15.75" customHeight="1" x14ac:dyDescent="0.25">
      <c r="A263" s="169"/>
      <c r="B263" s="169"/>
      <c r="C263" s="169"/>
      <c r="D263" s="169"/>
      <c r="E263" s="169"/>
      <c r="F263" s="169"/>
      <c r="G263" s="169"/>
      <c r="H263" s="169"/>
      <c r="I263" s="169"/>
      <c r="J263" s="169"/>
      <c r="K263" s="169"/>
      <c r="L263" s="169"/>
      <c r="M263" s="169"/>
      <c r="N263" s="169"/>
      <c r="O263" s="169"/>
      <c r="P263" s="169"/>
      <c r="Q263" s="169"/>
      <c r="R263" s="169"/>
      <c r="S263" s="169"/>
      <c r="T263" s="169"/>
      <c r="U263" s="169"/>
      <c r="V263" s="169"/>
      <c r="W263" s="169"/>
      <c r="X263" s="169"/>
      <c r="Y263" s="169"/>
      <c r="Z263" s="169"/>
    </row>
    <row r="264" spans="1:26" ht="15.75" customHeight="1" x14ac:dyDescent="0.25">
      <c r="A264" s="169"/>
      <c r="B264" s="169"/>
      <c r="C264" s="169"/>
      <c r="D264" s="169"/>
      <c r="E264" s="169"/>
      <c r="F264" s="169"/>
      <c r="G264" s="169"/>
      <c r="H264" s="169"/>
      <c r="I264" s="169"/>
      <c r="J264" s="169"/>
      <c r="K264" s="169"/>
      <c r="L264" s="169"/>
      <c r="M264" s="169"/>
      <c r="N264" s="169"/>
      <c r="O264" s="169"/>
      <c r="P264" s="169"/>
      <c r="Q264" s="169"/>
      <c r="R264" s="169"/>
      <c r="S264" s="169"/>
      <c r="T264" s="169"/>
      <c r="U264" s="169"/>
      <c r="V264" s="169"/>
      <c r="W264" s="169"/>
      <c r="X264" s="169"/>
      <c r="Y264" s="169"/>
      <c r="Z264" s="169"/>
    </row>
    <row r="265" spans="1:26" ht="15.75" customHeight="1" x14ac:dyDescent="0.25">
      <c r="A265" s="169"/>
      <c r="B265" s="169"/>
      <c r="C265" s="169"/>
      <c r="D265" s="169"/>
      <c r="E265" s="169"/>
      <c r="F265" s="169"/>
      <c r="G265" s="169"/>
      <c r="H265" s="169"/>
      <c r="I265" s="169"/>
      <c r="J265" s="169"/>
      <c r="K265" s="169"/>
      <c r="L265" s="169"/>
      <c r="M265" s="169"/>
      <c r="N265" s="169"/>
      <c r="O265" s="169"/>
      <c r="P265" s="169"/>
      <c r="Q265" s="169"/>
      <c r="R265" s="169"/>
      <c r="S265" s="169"/>
      <c r="T265" s="169"/>
      <c r="U265" s="169"/>
      <c r="V265" s="169"/>
      <c r="W265" s="169"/>
      <c r="X265" s="169"/>
      <c r="Y265" s="169"/>
      <c r="Z265" s="169"/>
    </row>
    <row r="266" spans="1:26" ht="15.75" customHeight="1" x14ac:dyDescent="0.25">
      <c r="A266" s="169"/>
      <c r="B266" s="169"/>
      <c r="C266" s="169"/>
      <c r="D266" s="169"/>
      <c r="E266" s="169"/>
      <c r="F266" s="169"/>
      <c r="G266" s="169"/>
      <c r="H266" s="169"/>
      <c r="I266" s="169"/>
      <c r="J266" s="169"/>
      <c r="K266" s="169"/>
      <c r="L266" s="169"/>
      <c r="M266" s="169"/>
      <c r="N266" s="169"/>
      <c r="O266" s="169"/>
      <c r="P266" s="169"/>
      <c r="Q266" s="169"/>
      <c r="R266" s="169"/>
      <c r="S266" s="169"/>
      <c r="T266" s="169"/>
      <c r="U266" s="169"/>
      <c r="V266" s="169"/>
      <c r="W266" s="169"/>
      <c r="X266" s="169"/>
      <c r="Y266" s="169"/>
      <c r="Z266" s="169"/>
    </row>
    <row r="267" spans="1:26" ht="15.75" customHeight="1" x14ac:dyDescent="0.25">
      <c r="A267" s="169"/>
      <c r="B267" s="169"/>
      <c r="C267" s="169"/>
      <c r="D267" s="169"/>
      <c r="E267" s="169"/>
      <c r="F267" s="169"/>
      <c r="G267" s="169"/>
      <c r="H267" s="169"/>
      <c r="I267" s="169"/>
      <c r="J267" s="169"/>
      <c r="K267" s="169"/>
      <c r="L267" s="169"/>
      <c r="M267" s="169"/>
      <c r="N267" s="169"/>
      <c r="O267" s="169"/>
      <c r="P267" s="169"/>
      <c r="Q267" s="169"/>
      <c r="R267" s="169"/>
      <c r="S267" s="169"/>
      <c r="T267" s="169"/>
      <c r="U267" s="169"/>
      <c r="V267" s="169"/>
      <c r="W267" s="169"/>
      <c r="X267" s="169"/>
      <c r="Y267" s="169"/>
      <c r="Z267" s="169"/>
    </row>
    <row r="268" spans="1:26" ht="15.75" customHeight="1" x14ac:dyDescent="0.25">
      <c r="A268" s="169"/>
      <c r="B268" s="169"/>
      <c r="C268" s="169"/>
      <c r="D268" s="169"/>
      <c r="E268" s="169"/>
      <c r="F268" s="169"/>
      <c r="G268" s="169"/>
      <c r="H268" s="169"/>
      <c r="I268" s="169"/>
      <c r="J268" s="169"/>
      <c r="K268" s="169"/>
      <c r="L268" s="169"/>
      <c r="M268" s="169"/>
      <c r="N268" s="169"/>
      <c r="O268" s="169"/>
      <c r="P268" s="169"/>
      <c r="Q268" s="169"/>
      <c r="R268" s="169"/>
      <c r="S268" s="169"/>
      <c r="T268" s="169"/>
      <c r="U268" s="169"/>
      <c r="V268" s="169"/>
      <c r="W268" s="169"/>
      <c r="X268" s="169"/>
      <c r="Y268" s="169"/>
      <c r="Z268" s="169"/>
    </row>
    <row r="269" spans="1:26" ht="15.75" customHeight="1" x14ac:dyDescent="0.25">
      <c r="A269" s="169"/>
      <c r="B269" s="169"/>
      <c r="C269" s="169"/>
      <c r="D269" s="169"/>
      <c r="E269" s="169"/>
      <c r="F269" s="169"/>
      <c r="G269" s="169"/>
      <c r="H269" s="169"/>
      <c r="I269" s="169"/>
      <c r="J269" s="169"/>
      <c r="K269" s="169"/>
      <c r="L269" s="169"/>
      <c r="M269" s="169"/>
      <c r="N269" s="169"/>
      <c r="O269" s="169"/>
      <c r="P269" s="169"/>
      <c r="Q269" s="169"/>
      <c r="R269" s="169"/>
      <c r="S269" s="169"/>
      <c r="T269" s="169"/>
      <c r="U269" s="169"/>
      <c r="V269" s="169"/>
      <c r="W269" s="169"/>
      <c r="X269" s="169"/>
      <c r="Y269" s="169"/>
      <c r="Z269" s="169"/>
    </row>
    <row r="270" spans="1:26" ht="15.75" customHeight="1" x14ac:dyDescent="0.25">
      <c r="A270" s="169"/>
      <c r="B270" s="169"/>
      <c r="C270" s="169"/>
      <c r="D270" s="169"/>
      <c r="E270" s="169"/>
      <c r="F270" s="169"/>
      <c r="G270" s="169"/>
      <c r="H270" s="169"/>
      <c r="I270" s="169"/>
      <c r="J270" s="169"/>
      <c r="K270" s="169"/>
      <c r="L270" s="169"/>
      <c r="M270" s="169"/>
      <c r="N270" s="169"/>
      <c r="O270" s="169"/>
      <c r="P270" s="169"/>
      <c r="Q270" s="169"/>
      <c r="R270" s="169"/>
      <c r="S270" s="169"/>
      <c r="T270" s="169"/>
      <c r="U270" s="169"/>
      <c r="V270" s="169"/>
      <c r="W270" s="169"/>
      <c r="X270" s="169"/>
      <c r="Y270" s="169"/>
      <c r="Z270" s="169"/>
    </row>
    <row r="271" spans="1:26" ht="15.75" customHeight="1" x14ac:dyDescent="0.25">
      <c r="A271" s="169"/>
      <c r="B271" s="169"/>
      <c r="C271" s="169"/>
      <c r="D271" s="169"/>
      <c r="E271" s="169"/>
      <c r="F271" s="169"/>
      <c r="G271" s="169"/>
      <c r="H271" s="169"/>
      <c r="I271" s="169"/>
      <c r="J271" s="169"/>
      <c r="K271" s="169"/>
      <c r="L271" s="169"/>
      <c r="M271" s="169"/>
      <c r="N271" s="169"/>
      <c r="O271" s="169"/>
      <c r="P271" s="169"/>
      <c r="Q271" s="169"/>
      <c r="R271" s="169"/>
      <c r="S271" s="169"/>
      <c r="T271" s="169"/>
      <c r="U271" s="169"/>
      <c r="V271" s="169"/>
      <c r="W271" s="169"/>
      <c r="X271" s="169"/>
      <c r="Y271" s="169"/>
      <c r="Z271" s="169"/>
    </row>
    <row r="272" spans="1:26" ht="15.75" customHeight="1" x14ac:dyDescent="0.25">
      <c r="A272" s="169"/>
      <c r="B272" s="169"/>
      <c r="C272" s="169"/>
      <c r="D272" s="169"/>
      <c r="E272" s="169"/>
      <c r="F272" s="169"/>
      <c r="G272" s="169"/>
      <c r="H272" s="169"/>
      <c r="I272" s="169"/>
      <c r="J272" s="169"/>
      <c r="K272" s="169"/>
      <c r="L272" s="169"/>
      <c r="M272" s="169"/>
      <c r="N272" s="169"/>
      <c r="O272" s="169"/>
      <c r="P272" s="169"/>
      <c r="Q272" s="169"/>
      <c r="R272" s="169"/>
      <c r="S272" s="169"/>
      <c r="T272" s="169"/>
      <c r="U272" s="169"/>
      <c r="V272" s="169"/>
      <c r="W272" s="169"/>
      <c r="X272" s="169"/>
      <c r="Y272" s="169"/>
      <c r="Z272" s="169"/>
    </row>
    <row r="273" spans="1:26" ht="15.75" customHeight="1" x14ac:dyDescent="0.25">
      <c r="A273" s="169"/>
      <c r="B273" s="169"/>
      <c r="C273" s="169"/>
      <c r="D273" s="169"/>
      <c r="E273" s="169"/>
      <c r="F273" s="169"/>
      <c r="G273" s="169"/>
      <c r="H273" s="169"/>
      <c r="I273" s="169"/>
      <c r="J273" s="169"/>
      <c r="K273" s="169"/>
      <c r="L273" s="169"/>
      <c r="M273" s="169"/>
      <c r="N273" s="169"/>
      <c r="O273" s="169"/>
      <c r="P273" s="169"/>
      <c r="Q273" s="169"/>
      <c r="R273" s="169"/>
      <c r="S273" s="169"/>
      <c r="T273" s="169"/>
      <c r="U273" s="169"/>
      <c r="V273" s="169"/>
      <c r="W273" s="169"/>
      <c r="X273" s="169"/>
      <c r="Y273" s="169"/>
      <c r="Z273" s="169"/>
    </row>
    <row r="274" spans="1:26" ht="15.75" customHeight="1" x14ac:dyDescent="0.25">
      <c r="A274" s="169"/>
      <c r="B274" s="169"/>
      <c r="C274" s="169"/>
      <c r="D274" s="169"/>
      <c r="E274" s="169"/>
      <c r="F274" s="169"/>
      <c r="G274" s="169"/>
      <c r="H274" s="169"/>
      <c r="I274" s="169"/>
      <c r="J274" s="169"/>
      <c r="K274" s="169"/>
      <c r="L274" s="169"/>
      <c r="M274" s="169"/>
      <c r="N274" s="169"/>
      <c r="O274" s="169"/>
      <c r="P274" s="169"/>
      <c r="Q274" s="169"/>
      <c r="R274" s="169"/>
      <c r="S274" s="169"/>
      <c r="T274" s="169"/>
      <c r="U274" s="169"/>
      <c r="V274" s="169"/>
      <c r="W274" s="169"/>
      <c r="X274" s="169"/>
      <c r="Y274" s="169"/>
      <c r="Z274" s="169"/>
    </row>
    <row r="275" spans="1:26" ht="15.75" customHeight="1" x14ac:dyDescent="0.25">
      <c r="A275" s="169"/>
      <c r="B275" s="169"/>
      <c r="C275" s="169"/>
      <c r="D275" s="169"/>
      <c r="E275" s="169"/>
      <c r="F275" s="169"/>
      <c r="G275" s="169"/>
      <c r="H275" s="169"/>
      <c r="I275" s="169"/>
      <c r="J275" s="169"/>
      <c r="K275" s="169"/>
      <c r="L275" s="169"/>
      <c r="M275" s="169"/>
      <c r="N275" s="169"/>
      <c r="O275" s="169"/>
      <c r="P275" s="169"/>
      <c r="Q275" s="169"/>
      <c r="R275" s="169"/>
      <c r="S275" s="169"/>
      <c r="T275" s="169"/>
      <c r="U275" s="169"/>
      <c r="V275" s="169"/>
      <c r="W275" s="169"/>
      <c r="X275" s="169"/>
      <c r="Y275" s="169"/>
      <c r="Z275" s="169"/>
    </row>
    <row r="276" spans="1:26" ht="15.75" customHeight="1" x14ac:dyDescent="0.25">
      <c r="A276" s="169"/>
      <c r="B276" s="169"/>
      <c r="C276" s="169"/>
      <c r="D276" s="169"/>
      <c r="E276" s="169"/>
      <c r="F276" s="169"/>
      <c r="G276" s="169"/>
      <c r="H276" s="169"/>
      <c r="I276" s="169"/>
      <c r="J276" s="169"/>
      <c r="K276" s="169"/>
      <c r="L276" s="169"/>
      <c r="M276" s="169"/>
      <c r="N276" s="169"/>
      <c r="O276" s="169"/>
      <c r="P276" s="169"/>
      <c r="Q276" s="169"/>
      <c r="R276" s="169"/>
      <c r="S276" s="169"/>
      <c r="T276" s="169"/>
      <c r="U276" s="169"/>
      <c r="V276" s="169"/>
      <c r="W276" s="169"/>
      <c r="X276" s="169"/>
      <c r="Y276" s="169"/>
      <c r="Z276" s="169"/>
    </row>
    <row r="277" spans="1:26" ht="15.75" customHeight="1" x14ac:dyDescent="0.25">
      <c r="A277" s="169"/>
      <c r="B277" s="169"/>
      <c r="C277" s="169"/>
      <c r="D277" s="169"/>
      <c r="E277" s="169"/>
      <c r="F277" s="169"/>
      <c r="G277" s="169"/>
      <c r="H277" s="169"/>
      <c r="I277" s="169"/>
      <c r="J277" s="169"/>
      <c r="K277" s="169"/>
      <c r="L277" s="169"/>
      <c r="M277" s="169"/>
      <c r="N277" s="169"/>
      <c r="O277" s="169"/>
      <c r="P277" s="169"/>
      <c r="Q277" s="169"/>
      <c r="R277" s="169"/>
      <c r="S277" s="169"/>
      <c r="T277" s="169"/>
      <c r="U277" s="169"/>
      <c r="V277" s="169"/>
      <c r="W277" s="169"/>
      <c r="X277" s="169"/>
      <c r="Y277" s="169"/>
      <c r="Z277" s="169"/>
    </row>
    <row r="278" spans="1:26" ht="15.75" customHeight="1" x14ac:dyDescent="0.25">
      <c r="A278" s="169"/>
      <c r="B278" s="169"/>
      <c r="C278" s="169"/>
      <c r="D278" s="169"/>
      <c r="E278" s="169"/>
      <c r="F278" s="169"/>
      <c r="G278" s="169"/>
      <c r="H278" s="169"/>
      <c r="I278" s="169"/>
      <c r="J278" s="169"/>
      <c r="K278" s="169"/>
      <c r="L278" s="169"/>
      <c r="M278" s="169"/>
      <c r="N278" s="169"/>
      <c r="O278" s="169"/>
      <c r="P278" s="169"/>
      <c r="Q278" s="169"/>
      <c r="R278" s="169"/>
      <c r="S278" s="169"/>
      <c r="T278" s="169"/>
      <c r="U278" s="169"/>
      <c r="V278" s="169"/>
      <c r="W278" s="169"/>
      <c r="X278" s="169"/>
      <c r="Y278" s="169"/>
      <c r="Z278" s="169"/>
    </row>
    <row r="279" spans="1:26" ht="15.75" customHeight="1" x14ac:dyDescent="0.25">
      <c r="A279" s="169"/>
      <c r="B279" s="169"/>
      <c r="C279" s="169"/>
      <c r="D279" s="169"/>
      <c r="E279" s="169"/>
      <c r="F279" s="169"/>
      <c r="G279" s="169"/>
      <c r="H279" s="169"/>
      <c r="I279" s="169"/>
      <c r="J279" s="169"/>
      <c r="K279" s="169"/>
      <c r="L279" s="169"/>
      <c r="M279" s="169"/>
      <c r="N279" s="169"/>
      <c r="O279" s="169"/>
      <c r="P279" s="169"/>
      <c r="Q279" s="169"/>
      <c r="R279" s="169"/>
      <c r="S279" s="169"/>
      <c r="T279" s="169"/>
      <c r="U279" s="169"/>
      <c r="V279" s="169"/>
      <c r="W279" s="169"/>
      <c r="X279" s="169"/>
      <c r="Y279" s="169"/>
      <c r="Z279" s="169"/>
    </row>
    <row r="280" spans="1:26" ht="15.75" customHeight="1" x14ac:dyDescent="0.25">
      <c r="A280" s="169"/>
      <c r="B280" s="169"/>
      <c r="C280" s="169"/>
      <c r="D280" s="169"/>
      <c r="E280" s="169"/>
      <c r="F280" s="169"/>
      <c r="G280" s="169"/>
      <c r="H280" s="169"/>
      <c r="I280" s="169"/>
      <c r="J280" s="169"/>
      <c r="K280" s="169"/>
      <c r="L280" s="169"/>
      <c r="M280" s="169"/>
      <c r="N280" s="169"/>
      <c r="O280" s="169"/>
      <c r="P280" s="169"/>
      <c r="Q280" s="169"/>
      <c r="R280" s="169"/>
      <c r="S280" s="169"/>
      <c r="T280" s="169"/>
      <c r="U280" s="169"/>
      <c r="V280" s="169"/>
      <c r="W280" s="169"/>
      <c r="X280" s="169"/>
      <c r="Y280" s="169"/>
      <c r="Z280" s="169"/>
    </row>
    <row r="281" spans="1:26" ht="15.75" customHeight="1" x14ac:dyDescent="0.25">
      <c r="A281" s="169"/>
      <c r="B281" s="169"/>
      <c r="C281" s="169"/>
      <c r="D281" s="169"/>
      <c r="E281" s="169"/>
      <c r="F281" s="169"/>
      <c r="G281" s="169"/>
      <c r="H281" s="169"/>
      <c r="I281" s="169"/>
      <c r="J281" s="169"/>
      <c r="K281" s="169"/>
      <c r="L281" s="169"/>
      <c r="M281" s="169"/>
      <c r="N281" s="169"/>
      <c r="O281" s="169"/>
      <c r="P281" s="169"/>
      <c r="Q281" s="169"/>
      <c r="R281" s="169"/>
      <c r="S281" s="169"/>
      <c r="T281" s="169"/>
      <c r="U281" s="169"/>
      <c r="V281" s="169"/>
      <c r="W281" s="169"/>
      <c r="X281" s="169"/>
      <c r="Y281" s="169"/>
      <c r="Z281" s="169"/>
    </row>
    <row r="282" spans="1:26" ht="15.75" customHeight="1" x14ac:dyDescent="0.25">
      <c r="A282" s="169"/>
      <c r="B282" s="169"/>
      <c r="C282" s="169"/>
      <c r="D282" s="169"/>
      <c r="E282" s="169"/>
      <c r="F282" s="169"/>
      <c r="G282" s="169"/>
      <c r="H282" s="169"/>
      <c r="I282" s="169"/>
      <c r="J282" s="169"/>
      <c r="K282" s="169"/>
      <c r="L282" s="169"/>
      <c r="M282" s="169"/>
      <c r="N282" s="169"/>
      <c r="O282" s="169"/>
      <c r="P282" s="169"/>
      <c r="Q282" s="169"/>
      <c r="R282" s="169"/>
      <c r="S282" s="169"/>
      <c r="T282" s="169"/>
      <c r="U282" s="169"/>
      <c r="V282" s="169"/>
      <c r="W282" s="169"/>
      <c r="X282" s="169"/>
      <c r="Y282" s="169"/>
      <c r="Z282" s="169"/>
    </row>
    <row r="283" spans="1:26" ht="15.75" customHeight="1" x14ac:dyDescent="0.25">
      <c r="A283" s="169"/>
      <c r="B283" s="169"/>
      <c r="C283" s="169"/>
      <c r="D283" s="169"/>
      <c r="E283" s="169"/>
      <c r="F283" s="169"/>
      <c r="G283" s="169"/>
      <c r="H283" s="169"/>
      <c r="I283" s="169"/>
      <c r="J283" s="169"/>
      <c r="K283" s="169"/>
      <c r="L283" s="169"/>
      <c r="M283" s="169"/>
      <c r="N283" s="169"/>
      <c r="O283" s="169"/>
      <c r="P283" s="169"/>
      <c r="Q283" s="169"/>
      <c r="R283" s="169"/>
      <c r="S283" s="169"/>
      <c r="T283" s="169"/>
      <c r="U283" s="169"/>
      <c r="V283" s="169"/>
      <c r="W283" s="169"/>
      <c r="X283" s="169"/>
      <c r="Y283" s="169"/>
      <c r="Z283" s="169"/>
    </row>
    <row r="284" spans="1:26" ht="15.75" customHeight="1" x14ac:dyDescent="0.25">
      <c r="A284" s="169"/>
      <c r="B284" s="169"/>
      <c r="C284" s="169"/>
      <c r="D284" s="169"/>
      <c r="E284" s="169"/>
      <c r="F284" s="169"/>
      <c r="G284" s="169"/>
      <c r="H284" s="169"/>
      <c r="I284" s="169"/>
      <c r="J284" s="169"/>
      <c r="K284" s="169"/>
      <c r="L284" s="169"/>
      <c r="M284" s="169"/>
      <c r="N284" s="169"/>
      <c r="O284" s="169"/>
      <c r="P284" s="169"/>
      <c r="Q284" s="169"/>
      <c r="R284" s="169"/>
      <c r="S284" s="169"/>
      <c r="T284" s="169"/>
      <c r="U284" s="169"/>
      <c r="V284" s="169"/>
      <c r="W284" s="169"/>
      <c r="X284" s="169"/>
      <c r="Y284" s="169"/>
      <c r="Z284" s="169"/>
    </row>
    <row r="285" spans="1:26" ht="15.75" customHeight="1" x14ac:dyDescent="0.25">
      <c r="A285" s="169"/>
      <c r="B285" s="169"/>
      <c r="C285" s="169"/>
      <c r="D285" s="169"/>
      <c r="E285" s="169"/>
      <c r="F285" s="169"/>
      <c r="G285" s="169"/>
      <c r="H285" s="169"/>
      <c r="I285" s="169"/>
      <c r="J285" s="169"/>
      <c r="K285" s="169"/>
      <c r="L285" s="169"/>
      <c r="M285" s="169"/>
      <c r="N285" s="169"/>
      <c r="O285" s="169"/>
      <c r="P285" s="169"/>
      <c r="Q285" s="169"/>
      <c r="R285" s="169"/>
      <c r="S285" s="169"/>
      <c r="T285" s="169"/>
      <c r="U285" s="169"/>
      <c r="V285" s="169"/>
      <c r="W285" s="169"/>
      <c r="X285" s="169"/>
      <c r="Y285" s="169"/>
      <c r="Z285" s="169"/>
    </row>
    <row r="286" spans="1:26" ht="15.75" customHeight="1" x14ac:dyDescent="0.25">
      <c r="A286" s="169"/>
      <c r="B286" s="169"/>
      <c r="C286" s="169"/>
      <c r="D286" s="169"/>
      <c r="E286" s="169"/>
      <c r="F286" s="169"/>
      <c r="G286" s="169"/>
      <c r="H286" s="169"/>
      <c r="I286" s="169"/>
      <c r="J286" s="169"/>
      <c r="K286" s="169"/>
      <c r="L286" s="169"/>
      <c r="M286" s="169"/>
      <c r="N286" s="169"/>
      <c r="O286" s="169"/>
      <c r="P286" s="169"/>
      <c r="Q286" s="169"/>
      <c r="R286" s="169"/>
      <c r="S286" s="169"/>
      <c r="T286" s="169"/>
      <c r="U286" s="169"/>
      <c r="V286" s="169"/>
      <c r="W286" s="169"/>
      <c r="X286" s="169"/>
      <c r="Y286" s="169"/>
      <c r="Z286" s="169"/>
    </row>
    <row r="287" spans="1:26" ht="15.75" customHeight="1" x14ac:dyDescent="0.25">
      <c r="A287" s="169"/>
      <c r="B287" s="169"/>
      <c r="C287" s="169"/>
      <c r="D287" s="169"/>
      <c r="E287" s="169"/>
      <c r="F287" s="169"/>
      <c r="G287" s="169"/>
      <c r="H287" s="169"/>
      <c r="I287" s="169"/>
      <c r="J287" s="169"/>
      <c r="K287" s="169"/>
      <c r="L287" s="169"/>
      <c r="M287" s="169"/>
      <c r="N287" s="169"/>
      <c r="O287" s="169"/>
      <c r="P287" s="169"/>
      <c r="Q287" s="169"/>
      <c r="R287" s="169"/>
      <c r="S287" s="169"/>
      <c r="T287" s="169"/>
      <c r="U287" s="169"/>
      <c r="V287" s="169"/>
      <c r="W287" s="169"/>
      <c r="X287" s="169"/>
      <c r="Y287" s="169"/>
      <c r="Z287" s="169"/>
    </row>
    <row r="288" spans="1:26" ht="15.75" customHeight="1" x14ac:dyDescent="0.25">
      <c r="A288" s="169"/>
      <c r="B288" s="169"/>
      <c r="C288" s="169"/>
      <c r="D288" s="169"/>
      <c r="E288" s="169"/>
      <c r="F288" s="169"/>
      <c r="G288" s="169"/>
      <c r="H288" s="169"/>
      <c r="I288" s="169"/>
      <c r="J288" s="169"/>
      <c r="K288" s="169"/>
      <c r="L288" s="169"/>
      <c r="M288" s="169"/>
      <c r="N288" s="169"/>
      <c r="O288" s="169"/>
      <c r="P288" s="169"/>
      <c r="Q288" s="169"/>
      <c r="R288" s="169"/>
      <c r="S288" s="169"/>
      <c r="T288" s="169"/>
      <c r="U288" s="169"/>
      <c r="V288" s="169"/>
      <c r="W288" s="169"/>
      <c r="X288" s="169"/>
      <c r="Y288" s="169"/>
      <c r="Z288" s="169"/>
    </row>
    <row r="289" spans="1:26" ht="15.75" customHeight="1" x14ac:dyDescent="0.25">
      <c r="A289" s="169"/>
      <c r="B289" s="169"/>
      <c r="C289" s="169"/>
      <c r="D289" s="169"/>
      <c r="E289" s="169"/>
      <c r="F289" s="169"/>
      <c r="G289" s="169"/>
      <c r="H289" s="169"/>
      <c r="I289" s="169"/>
      <c r="J289" s="169"/>
      <c r="K289" s="169"/>
      <c r="L289" s="169"/>
      <c r="M289" s="169"/>
      <c r="N289" s="169"/>
      <c r="O289" s="169"/>
      <c r="P289" s="169"/>
      <c r="Q289" s="169"/>
      <c r="R289" s="169"/>
      <c r="S289" s="169"/>
      <c r="T289" s="169"/>
      <c r="U289" s="169"/>
      <c r="V289" s="169"/>
      <c r="W289" s="169"/>
      <c r="X289" s="169"/>
      <c r="Y289" s="169"/>
      <c r="Z289" s="169"/>
    </row>
    <row r="290" spans="1:26" ht="15.75" customHeight="1" x14ac:dyDescent="0.25">
      <c r="A290" s="169"/>
      <c r="B290" s="169"/>
      <c r="C290" s="169"/>
      <c r="D290" s="169"/>
      <c r="E290" s="169"/>
      <c r="F290" s="169"/>
      <c r="G290" s="169"/>
      <c r="H290" s="169"/>
      <c r="I290" s="169"/>
      <c r="J290" s="169"/>
      <c r="K290" s="169"/>
      <c r="L290" s="169"/>
      <c r="M290" s="169"/>
      <c r="N290" s="169"/>
      <c r="O290" s="169"/>
      <c r="P290" s="169"/>
      <c r="Q290" s="169"/>
      <c r="R290" s="169"/>
      <c r="S290" s="169"/>
      <c r="T290" s="169"/>
      <c r="U290" s="169"/>
      <c r="V290" s="169"/>
      <c r="W290" s="169"/>
      <c r="X290" s="169"/>
      <c r="Y290" s="169"/>
      <c r="Z290" s="169"/>
    </row>
    <row r="291" spans="1:26" ht="15.75" customHeight="1" x14ac:dyDescent="0.25">
      <c r="A291" s="169"/>
      <c r="B291" s="169"/>
      <c r="C291" s="169"/>
      <c r="D291" s="169"/>
      <c r="E291" s="169"/>
      <c r="F291" s="169"/>
      <c r="G291" s="169"/>
      <c r="H291" s="169"/>
      <c r="I291" s="169"/>
      <c r="J291" s="169"/>
      <c r="K291" s="169"/>
      <c r="L291" s="169"/>
      <c r="M291" s="169"/>
      <c r="N291" s="169"/>
      <c r="O291" s="169"/>
      <c r="P291" s="169"/>
      <c r="Q291" s="169"/>
      <c r="R291" s="169"/>
      <c r="S291" s="169"/>
      <c r="T291" s="169"/>
      <c r="U291" s="169"/>
      <c r="V291" s="169"/>
      <c r="W291" s="169"/>
      <c r="X291" s="169"/>
      <c r="Y291" s="169"/>
      <c r="Z291" s="169"/>
    </row>
    <row r="292" spans="1:26" ht="15.75" customHeight="1" x14ac:dyDescent="0.25">
      <c r="A292" s="169"/>
      <c r="B292" s="169"/>
      <c r="C292" s="169"/>
      <c r="D292" s="169"/>
      <c r="E292" s="169"/>
      <c r="F292" s="169"/>
      <c r="G292" s="169"/>
      <c r="H292" s="169"/>
      <c r="I292" s="169"/>
      <c r="J292" s="169"/>
      <c r="K292" s="169"/>
      <c r="L292" s="169"/>
      <c r="M292" s="169"/>
      <c r="N292" s="169"/>
      <c r="O292" s="169"/>
      <c r="P292" s="169"/>
      <c r="Q292" s="169"/>
      <c r="R292" s="169"/>
      <c r="S292" s="169"/>
      <c r="T292" s="169"/>
      <c r="U292" s="169"/>
      <c r="V292" s="169"/>
      <c r="W292" s="169"/>
      <c r="X292" s="169"/>
      <c r="Y292" s="169"/>
      <c r="Z292" s="169"/>
    </row>
    <row r="293" spans="1:26" ht="15.75" customHeight="1" x14ac:dyDescent="0.25">
      <c r="A293" s="169"/>
      <c r="B293" s="169"/>
      <c r="C293" s="169"/>
      <c r="D293" s="169"/>
      <c r="E293" s="169"/>
      <c r="F293" s="169"/>
      <c r="G293" s="169"/>
      <c r="H293" s="169"/>
      <c r="I293" s="169"/>
      <c r="J293" s="169"/>
      <c r="K293" s="169"/>
      <c r="L293" s="169"/>
      <c r="M293" s="169"/>
      <c r="N293" s="169"/>
      <c r="O293" s="169"/>
      <c r="P293" s="169"/>
      <c r="Q293" s="169"/>
      <c r="R293" s="169"/>
      <c r="S293" s="169"/>
      <c r="T293" s="169"/>
      <c r="U293" s="169"/>
      <c r="V293" s="169"/>
      <c r="W293" s="169"/>
      <c r="X293" s="169"/>
      <c r="Y293" s="169"/>
      <c r="Z293" s="169"/>
    </row>
    <row r="294" spans="1:26" ht="15.75" customHeight="1" x14ac:dyDescent="0.25">
      <c r="A294" s="169"/>
      <c r="B294" s="169"/>
      <c r="C294" s="169"/>
      <c r="D294" s="169"/>
      <c r="E294" s="169"/>
      <c r="F294" s="169"/>
      <c r="G294" s="169"/>
      <c r="H294" s="169"/>
      <c r="I294" s="169"/>
      <c r="J294" s="169"/>
      <c r="K294" s="169"/>
      <c r="L294" s="169"/>
      <c r="M294" s="169"/>
      <c r="N294" s="169"/>
      <c r="O294" s="169"/>
      <c r="P294" s="169"/>
      <c r="Q294" s="169"/>
      <c r="R294" s="169"/>
      <c r="S294" s="169"/>
      <c r="T294" s="169"/>
      <c r="U294" s="169"/>
      <c r="V294" s="169"/>
      <c r="W294" s="169"/>
      <c r="X294" s="169"/>
      <c r="Y294" s="169"/>
      <c r="Z294" s="169"/>
    </row>
    <row r="295" spans="1:26" ht="15.75" customHeight="1" x14ac:dyDescent="0.25">
      <c r="A295" s="169"/>
      <c r="B295" s="169"/>
      <c r="C295" s="169"/>
      <c r="D295" s="169"/>
      <c r="E295" s="169"/>
      <c r="F295" s="169"/>
      <c r="G295" s="169"/>
      <c r="H295" s="169"/>
      <c r="I295" s="169"/>
      <c r="J295" s="169"/>
      <c r="K295" s="169"/>
      <c r="L295" s="169"/>
      <c r="M295" s="169"/>
      <c r="N295" s="169"/>
      <c r="O295" s="169"/>
      <c r="P295" s="169"/>
      <c r="Q295" s="169"/>
      <c r="R295" s="169"/>
      <c r="S295" s="169"/>
      <c r="T295" s="169"/>
      <c r="U295" s="169"/>
      <c r="V295" s="169"/>
      <c r="W295" s="169"/>
      <c r="X295" s="169"/>
      <c r="Y295" s="169"/>
      <c r="Z295" s="169"/>
    </row>
    <row r="296" spans="1:26" ht="15.75" customHeight="1" x14ac:dyDescent="0.25">
      <c r="A296" s="169"/>
      <c r="B296" s="169"/>
      <c r="C296" s="169"/>
      <c r="D296" s="169"/>
      <c r="E296" s="169"/>
      <c r="F296" s="169"/>
      <c r="G296" s="169"/>
      <c r="H296" s="169"/>
      <c r="I296" s="169"/>
      <c r="J296" s="169"/>
      <c r="K296" s="169"/>
      <c r="L296" s="169"/>
      <c r="M296" s="169"/>
      <c r="N296" s="169"/>
      <c r="O296" s="169"/>
      <c r="P296" s="169"/>
      <c r="Q296" s="169"/>
      <c r="R296" s="169"/>
      <c r="S296" s="169"/>
      <c r="T296" s="169"/>
      <c r="U296" s="169"/>
      <c r="V296" s="169"/>
      <c r="W296" s="169"/>
      <c r="X296" s="169"/>
      <c r="Y296" s="169"/>
      <c r="Z296" s="169"/>
    </row>
    <row r="297" spans="1:26" ht="15.75" customHeight="1" x14ac:dyDescent="0.25">
      <c r="A297" s="169"/>
      <c r="B297" s="169"/>
      <c r="C297" s="169"/>
      <c r="D297" s="169"/>
      <c r="E297" s="169"/>
      <c r="F297" s="169"/>
      <c r="G297" s="169"/>
      <c r="H297" s="169"/>
      <c r="I297" s="169"/>
      <c r="J297" s="169"/>
      <c r="K297" s="169"/>
      <c r="L297" s="169"/>
      <c r="M297" s="169"/>
      <c r="N297" s="169"/>
      <c r="O297" s="169"/>
      <c r="P297" s="169"/>
      <c r="Q297" s="169"/>
      <c r="R297" s="169"/>
      <c r="S297" s="169"/>
      <c r="T297" s="169"/>
      <c r="U297" s="169"/>
      <c r="V297" s="169"/>
      <c r="W297" s="169"/>
      <c r="X297" s="169"/>
      <c r="Y297" s="169"/>
      <c r="Z297" s="169"/>
    </row>
    <row r="298" spans="1:26" ht="15.75" customHeight="1" x14ac:dyDescent="0.25">
      <c r="A298" s="169"/>
      <c r="B298" s="169"/>
      <c r="C298" s="169"/>
      <c r="D298" s="169"/>
      <c r="E298" s="169"/>
      <c r="F298" s="169"/>
      <c r="G298" s="169"/>
      <c r="H298" s="169"/>
      <c r="I298" s="169"/>
      <c r="J298" s="169"/>
      <c r="K298" s="169"/>
      <c r="L298" s="169"/>
      <c r="M298" s="169"/>
      <c r="N298" s="169"/>
      <c r="O298" s="169"/>
      <c r="P298" s="169"/>
      <c r="Q298" s="169"/>
      <c r="R298" s="169"/>
      <c r="S298" s="169"/>
      <c r="T298" s="169"/>
      <c r="U298" s="169"/>
      <c r="V298" s="169"/>
      <c r="W298" s="169"/>
      <c r="X298" s="169"/>
      <c r="Y298" s="169"/>
      <c r="Z298" s="169"/>
    </row>
    <row r="299" spans="1:26" ht="15.75" customHeight="1" x14ac:dyDescent="0.25">
      <c r="A299" s="169"/>
      <c r="B299" s="169"/>
      <c r="C299" s="169"/>
      <c r="D299" s="169"/>
      <c r="E299" s="169"/>
      <c r="F299" s="169"/>
      <c r="G299" s="169"/>
      <c r="H299" s="169"/>
      <c r="I299" s="169"/>
      <c r="J299" s="169"/>
      <c r="K299" s="169"/>
      <c r="L299" s="169"/>
      <c r="M299" s="169"/>
      <c r="N299" s="169"/>
      <c r="O299" s="169"/>
      <c r="P299" s="169"/>
      <c r="Q299" s="169"/>
      <c r="R299" s="169"/>
      <c r="S299" s="169"/>
      <c r="T299" s="169"/>
      <c r="U299" s="169"/>
      <c r="V299" s="169"/>
      <c r="W299" s="169"/>
      <c r="X299" s="169"/>
      <c r="Y299" s="169"/>
      <c r="Z299" s="169"/>
    </row>
    <row r="300" spans="1:26" ht="15.75" customHeight="1" x14ac:dyDescent="0.25">
      <c r="A300" s="169"/>
      <c r="B300" s="169"/>
      <c r="C300" s="169"/>
      <c r="D300" s="169"/>
      <c r="E300" s="169"/>
      <c r="F300" s="169"/>
      <c r="G300" s="169"/>
      <c r="H300" s="169"/>
      <c r="I300" s="169"/>
      <c r="J300" s="169"/>
      <c r="K300" s="169"/>
      <c r="L300" s="169"/>
      <c r="M300" s="169"/>
      <c r="N300" s="169"/>
      <c r="O300" s="169"/>
      <c r="P300" s="169"/>
      <c r="Q300" s="169"/>
      <c r="R300" s="169"/>
      <c r="S300" s="169"/>
      <c r="T300" s="169"/>
      <c r="U300" s="169"/>
      <c r="V300" s="169"/>
      <c r="W300" s="169"/>
      <c r="X300" s="169"/>
      <c r="Y300" s="169"/>
      <c r="Z300" s="169"/>
    </row>
    <row r="301" spans="1:26" ht="15.75" customHeight="1" x14ac:dyDescent="0.25">
      <c r="A301" s="169"/>
      <c r="B301" s="169"/>
      <c r="C301" s="169"/>
      <c r="D301" s="169"/>
      <c r="E301" s="169"/>
      <c r="F301" s="169"/>
      <c r="G301" s="169"/>
      <c r="H301" s="169"/>
      <c r="I301" s="169"/>
      <c r="J301" s="169"/>
      <c r="K301" s="169"/>
      <c r="L301" s="169"/>
      <c r="M301" s="169"/>
      <c r="N301" s="169"/>
      <c r="O301" s="169"/>
      <c r="P301" s="169"/>
      <c r="Q301" s="169"/>
      <c r="R301" s="169"/>
      <c r="S301" s="169"/>
      <c r="T301" s="169"/>
      <c r="U301" s="169"/>
      <c r="V301" s="169"/>
      <c r="W301" s="169"/>
      <c r="X301" s="169"/>
      <c r="Y301" s="169"/>
      <c r="Z301" s="169"/>
    </row>
    <row r="302" spans="1:26" ht="15.75" customHeight="1" x14ac:dyDescent="0.25">
      <c r="A302" s="169"/>
      <c r="B302" s="169"/>
      <c r="C302" s="169"/>
      <c r="D302" s="169"/>
      <c r="E302" s="169"/>
      <c r="F302" s="169"/>
      <c r="G302" s="169"/>
      <c r="H302" s="169"/>
      <c r="I302" s="169"/>
      <c r="J302" s="169"/>
      <c r="K302" s="169"/>
      <c r="L302" s="169"/>
      <c r="M302" s="169"/>
      <c r="N302" s="169"/>
      <c r="O302" s="169"/>
      <c r="P302" s="169"/>
      <c r="Q302" s="169"/>
      <c r="R302" s="169"/>
      <c r="S302" s="169"/>
      <c r="T302" s="169"/>
      <c r="U302" s="169"/>
      <c r="V302" s="169"/>
      <c r="W302" s="169"/>
      <c r="X302" s="169"/>
      <c r="Y302" s="169"/>
      <c r="Z302" s="169"/>
    </row>
    <row r="303" spans="1:26" ht="15.75" customHeight="1" x14ac:dyDescent="0.25">
      <c r="A303" s="169"/>
      <c r="B303" s="169"/>
      <c r="C303" s="169"/>
      <c r="D303" s="169"/>
      <c r="E303" s="169"/>
      <c r="F303" s="169"/>
      <c r="G303" s="169"/>
      <c r="H303" s="169"/>
      <c r="I303" s="169"/>
      <c r="J303" s="169"/>
      <c r="K303" s="169"/>
      <c r="L303" s="169"/>
      <c r="M303" s="169"/>
      <c r="N303" s="169"/>
      <c r="O303" s="169"/>
      <c r="P303" s="169"/>
      <c r="Q303" s="169"/>
      <c r="R303" s="169"/>
      <c r="S303" s="169"/>
      <c r="T303" s="169"/>
      <c r="U303" s="169"/>
      <c r="V303" s="169"/>
      <c r="W303" s="169"/>
      <c r="X303" s="169"/>
      <c r="Y303" s="169"/>
      <c r="Z303" s="169"/>
    </row>
    <row r="304" spans="1:26" ht="15.75" customHeight="1" x14ac:dyDescent="0.25">
      <c r="A304" s="169"/>
      <c r="B304" s="169"/>
      <c r="C304" s="169"/>
      <c r="D304" s="169"/>
      <c r="E304" s="169"/>
      <c r="F304" s="169"/>
      <c r="G304" s="169"/>
      <c r="H304" s="169"/>
      <c r="I304" s="169"/>
      <c r="J304" s="169"/>
      <c r="K304" s="169"/>
      <c r="L304" s="169"/>
      <c r="M304" s="169"/>
      <c r="N304" s="169"/>
      <c r="O304" s="169"/>
      <c r="P304" s="169"/>
      <c r="Q304" s="169"/>
      <c r="R304" s="169"/>
      <c r="S304" s="169"/>
      <c r="T304" s="169"/>
      <c r="U304" s="169"/>
      <c r="V304" s="169"/>
      <c r="W304" s="169"/>
      <c r="X304" s="169"/>
      <c r="Y304" s="169"/>
      <c r="Z304" s="169"/>
    </row>
    <row r="305" spans="1:26" ht="15.75" customHeight="1" x14ac:dyDescent="0.25">
      <c r="A305" s="169"/>
      <c r="B305" s="169"/>
      <c r="C305" s="169"/>
      <c r="D305" s="169"/>
      <c r="E305" s="169"/>
      <c r="F305" s="169"/>
      <c r="G305" s="169"/>
      <c r="H305" s="169"/>
      <c r="I305" s="169"/>
      <c r="J305" s="169"/>
      <c r="K305" s="169"/>
      <c r="L305" s="169"/>
      <c r="M305" s="169"/>
      <c r="N305" s="169"/>
      <c r="O305" s="169"/>
      <c r="P305" s="169"/>
      <c r="Q305" s="169"/>
      <c r="R305" s="169"/>
      <c r="S305" s="169"/>
      <c r="T305" s="169"/>
      <c r="U305" s="169"/>
      <c r="V305" s="169"/>
      <c r="W305" s="169"/>
      <c r="X305" s="169"/>
      <c r="Y305" s="169"/>
      <c r="Z305" s="169"/>
    </row>
    <row r="306" spans="1:26" ht="15.75" customHeight="1" x14ac:dyDescent="0.25">
      <c r="A306" s="169"/>
      <c r="B306" s="169"/>
      <c r="C306" s="169"/>
      <c r="D306" s="169"/>
      <c r="E306" s="169"/>
      <c r="F306" s="169"/>
      <c r="G306" s="169"/>
      <c r="H306" s="169"/>
      <c r="I306" s="169"/>
      <c r="J306" s="169"/>
      <c r="K306" s="169"/>
      <c r="L306" s="169"/>
      <c r="M306" s="169"/>
      <c r="N306" s="169"/>
      <c r="O306" s="169"/>
      <c r="P306" s="169"/>
      <c r="Q306" s="169"/>
      <c r="R306" s="169"/>
      <c r="S306" s="169"/>
      <c r="T306" s="169"/>
      <c r="U306" s="169"/>
      <c r="V306" s="169"/>
      <c r="W306" s="169"/>
      <c r="X306" s="169"/>
      <c r="Y306" s="169"/>
      <c r="Z306" s="169"/>
    </row>
    <row r="307" spans="1:26" ht="15.75" customHeight="1" x14ac:dyDescent="0.25">
      <c r="A307" s="169"/>
      <c r="B307" s="169"/>
      <c r="C307" s="169"/>
      <c r="D307" s="169"/>
      <c r="E307" s="169"/>
      <c r="F307" s="169"/>
      <c r="G307" s="169"/>
      <c r="H307" s="169"/>
      <c r="I307" s="169"/>
      <c r="J307" s="169"/>
      <c r="K307" s="169"/>
      <c r="L307" s="169"/>
      <c r="M307" s="169"/>
      <c r="N307" s="169"/>
      <c r="O307" s="169"/>
      <c r="P307" s="169"/>
      <c r="Q307" s="169"/>
      <c r="R307" s="169"/>
      <c r="S307" s="169"/>
      <c r="T307" s="169"/>
      <c r="U307" s="169"/>
      <c r="V307" s="169"/>
      <c r="W307" s="169"/>
      <c r="X307" s="169"/>
      <c r="Y307" s="169"/>
      <c r="Z307" s="169"/>
    </row>
    <row r="308" spans="1:26" ht="15.75" customHeight="1" x14ac:dyDescent="0.25">
      <c r="A308" s="169"/>
      <c r="B308" s="169"/>
      <c r="C308" s="169"/>
      <c r="D308" s="169"/>
      <c r="E308" s="169"/>
      <c r="F308" s="169"/>
      <c r="G308" s="169"/>
      <c r="H308" s="169"/>
      <c r="I308" s="169"/>
      <c r="J308" s="169"/>
      <c r="K308" s="169"/>
      <c r="L308" s="169"/>
      <c r="M308" s="169"/>
      <c r="N308" s="169"/>
      <c r="O308" s="169"/>
      <c r="P308" s="169"/>
      <c r="Q308" s="169"/>
      <c r="R308" s="169"/>
      <c r="S308" s="169"/>
      <c r="T308" s="169"/>
      <c r="U308" s="169"/>
      <c r="V308" s="169"/>
      <c r="W308" s="169"/>
      <c r="X308" s="169"/>
      <c r="Y308" s="169"/>
      <c r="Z308" s="169"/>
    </row>
    <row r="309" spans="1:26" ht="15.75" customHeight="1" x14ac:dyDescent="0.25">
      <c r="A309" s="169"/>
      <c r="B309" s="169"/>
      <c r="C309" s="169"/>
      <c r="D309" s="169"/>
      <c r="E309" s="169"/>
      <c r="F309" s="169"/>
      <c r="G309" s="169"/>
      <c r="H309" s="169"/>
      <c r="I309" s="169"/>
      <c r="J309" s="169"/>
      <c r="K309" s="169"/>
      <c r="L309" s="169"/>
      <c r="M309" s="169"/>
      <c r="N309" s="169"/>
      <c r="O309" s="169"/>
      <c r="P309" s="169"/>
      <c r="Q309" s="169"/>
      <c r="R309" s="169"/>
      <c r="S309" s="169"/>
      <c r="T309" s="169"/>
      <c r="U309" s="169"/>
      <c r="V309" s="169"/>
      <c r="W309" s="169"/>
      <c r="X309" s="169"/>
      <c r="Y309" s="169"/>
      <c r="Z309" s="169"/>
    </row>
    <row r="310" spans="1:26" ht="15.75" customHeight="1" x14ac:dyDescent="0.25">
      <c r="A310" s="169"/>
      <c r="B310" s="169"/>
      <c r="C310" s="169"/>
      <c r="D310" s="169"/>
      <c r="E310" s="169"/>
      <c r="F310" s="169"/>
      <c r="G310" s="169"/>
      <c r="H310" s="169"/>
      <c r="I310" s="169"/>
      <c r="J310" s="169"/>
      <c r="K310" s="169"/>
      <c r="L310" s="169"/>
      <c r="M310" s="169"/>
      <c r="N310" s="169"/>
      <c r="O310" s="169"/>
      <c r="P310" s="169"/>
      <c r="Q310" s="169"/>
      <c r="R310" s="169"/>
      <c r="S310" s="169"/>
      <c r="T310" s="169"/>
      <c r="U310" s="169"/>
      <c r="V310" s="169"/>
      <c r="W310" s="169"/>
      <c r="X310" s="169"/>
      <c r="Y310" s="169"/>
      <c r="Z310" s="169"/>
    </row>
    <row r="311" spans="1:26" ht="15.75" customHeight="1" x14ac:dyDescent="0.25">
      <c r="A311" s="169"/>
      <c r="B311" s="169"/>
      <c r="C311" s="169"/>
      <c r="D311" s="169"/>
      <c r="E311" s="169"/>
      <c r="F311" s="169"/>
      <c r="G311" s="169"/>
      <c r="H311" s="169"/>
      <c r="I311" s="169"/>
      <c r="J311" s="169"/>
      <c r="K311" s="169"/>
      <c r="L311" s="169"/>
      <c r="M311" s="169"/>
      <c r="N311" s="169"/>
      <c r="O311" s="169"/>
      <c r="P311" s="169"/>
      <c r="Q311" s="169"/>
      <c r="R311" s="169"/>
      <c r="S311" s="169"/>
      <c r="T311" s="169"/>
      <c r="U311" s="169"/>
      <c r="V311" s="169"/>
      <c r="W311" s="169"/>
      <c r="X311" s="169"/>
      <c r="Y311" s="169"/>
      <c r="Z311" s="169"/>
    </row>
    <row r="312" spans="1:26" ht="15.75" customHeight="1" x14ac:dyDescent="0.25">
      <c r="A312" s="169"/>
      <c r="B312" s="169"/>
      <c r="C312" s="169"/>
      <c r="D312" s="169"/>
      <c r="E312" s="169"/>
      <c r="F312" s="169"/>
      <c r="G312" s="169"/>
      <c r="H312" s="169"/>
      <c r="I312" s="169"/>
      <c r="J312" s="169"/>
      <c r="K312" s="169"/>
      <c r="L312" s="169"/>
      <c r="M312" s="169"/>
      <c r="N312" s="169"/>
      <c r="O312" s="169"/>
      <c r="P312" s="169"/>
      <c r="Q312" s="169"/>
      <c r="R312" s="169"/>
      <c r="S312" s="169"/>
      <c r="T312" s="169"/>
      <c r="U312" s="169"/>
      <c r="V312" s="169"/>
      <c r="W312" s="169"/>
      <c r="X312" s="169"/>
      <c r="Y312" s="169"/>
      <c r="Z312" s="169"/>
    </row>
    <row r="313" spans="1:26" ht="15.75" customHeight="1" x14ac:dyDescent="0.25">
      <c r="A313" s="169"/>
      <c r="B313" s="169"/>
      <c r="C313" s="169"/>
      <c r="D313" s="169"/>
      <c r="E313" s="169"/>
      <c r="F313" s="169"/>
      <c r="G313" s="169"/>
      <c r="H313" s="169"/>
      <c r="I313" s="169"/>
      <c r="J313" s="169"/>
      <c r="K313" s="169"/>
      <c r="L313" s="169"/>
      <c r="M313" s="169"/>
      <c r="N313" s="169"/>
      <c r="O313" s="169"/>
      <c r="P313" s="169"/>
      <c r="Q313" s="169"/>
      <c r="R313" s="169"/>
      <c r="S313" s="169"/>
      <c r="T313" s="169"/>
      <c r="U313" s="169"/>
      <c r="V313" s="169"/>
      <c r="W313" s="169"/>
      <c r="X313" s="169"/>
      <c r="Y313" s="169"/>
      <c r="Z313" s="169"/>
    </row>
    <row r="314" spans="1:26" ht="15.75" customHeight="1" x14ac:dyDescent="0.25">
      <c r="A314" s="169"/>
      <c r="B314" s="169"/>
      <c r="C314" s="169"/>
      <c r="D314" s="169"/>
      <c r="E314" s="169"/>
      <c r="F314" s="169"/>
      <c r="G314" s="169"/>
      <c r="H314" s="169"/>
      <c r="I314" s="169"/>
      <c r="J314" s="169"/>
      <c r="K314" s="169"/>
      <c r="L314" s="169"/>
      <c r="M314" s="169"/>
      <c r="N314" s="169"/>
      <c r="O314" s="169"/>
      <c r="P314" s="169"/>
      <c r="Q314" s="169"/>
      <c r="R314" s="169"/>
      <c r="S314" s="169"/>
      <c r="T314" s="169"/>
      <c r="U314" s="169"/>
      <c r="V314" s="169"/>
      <c r="W314" s="169"/>
      <c r="X314" s="169"/>
      <c r="Y314" s="169"/>
      <c r="Z314" s="169"/>
    </row>
    <row r="315" spans="1:26" ht="15.75" customHeight="1" x14ac:dyDescent="0.25">
      <c r="A315" s="169"/>
      <c r="B315" s="169"/>
      <c r="C315" s="169"/>
      <c r="D315" s="169"/>
      <c r="E315" s="169"/>
      <c r="F315" s="169"/>
      <c r="G315" s="169"/>
      <c r="H315" s="169"/>
      <c r="I315" s="169"/>
      <c r="J315" s="169"/>
      <c r="K315" s="169"/>
      <c r="L315" s="169"/>
      <c r="M315" s="169"/>
      <c r="N315" s="169"/>
      <c r="O315" s="169"/>
      <c r="P315" s="169"/>
      <c r="Q315" s="169"/>
      <c r="R315" s="169"/>
      <c r="S315" s="169"/>
      <c r="T315" s="169"/>
      <c r="U315" s="169"/>
      <c r="V315" s="169"/>
      <c r="W315" s="169"/>
      <c r="X315" s="169"/>
      <c r="Y315" s="169"/>
      <c r="Z315" s="169"/>
    </row>
    <row r="316" spans="1:26" ht="15.75" customHeight="1" x14ac:dyDescent="0.25">
      <c r="A316" s="169"/>
      <c r="B316" s="169"/>
      <c r="C316" s="169"/>
      <c r="D316" s="169"/>
      <c r="E316" s="169"/>
      <c r="F316" s="169"/>
      <c r="G316" s="169"/>
      <c r="H316" s="169"/>
      <c r="I316" s="169"/>
      <c r="J316" s="169"/>
      <c r="K316" s="169"/>
      <c r="L316" s="169"/>
      <c r="M316" s="169"/>
      <c r="N316" s="169"/>
      <c r="O316" s="169"/>
      <c r="P316" s="169"/>
      <c r="Q316" s="169"/>
      <c r="R316" s="169"/>
      <c r="S316" s="169"/>
      <c r="T316" s="169"/>
      <c r="U316" s="169"/>
      <c r="V316" s="169"/>
      <c r="W316" s="169"/>
      <c r="X316" s="169"/>
      <c r="Y316" s="169"/>
      <c r="Z316" s="169"/>
    </row>
    <row r="317" spans="1:26" ht="15.75" customHeight="1" x14ac:dyDescent="0.25">
      <c r="A317" s="169"/>
      <c r="B317" s="169"/>
      <c r="C317" s="169"/>
      <c r="D317" s="169"/>
      <c r="E317" s="169"/>
      <c r="F317" s="169"/>
      <c r="G317" s="169"/>
      <c r="H317" s="169"/>
      <c r="I317" s="169"/>
      <c r="J317" s="169"/>
      <c r="K317" s="169"/>
      <c r="L317" s="169"/>
      <c r="M317" s="169"/>
      <c r="N317" s="169"/>
      <c r="O317" s="169"/>
      <c r="P317" s="169"/>
      <c r="Q317" s="169"/>
      <c r="R317" s="169"/>
      <c r="S317" s="169"/>
      <c r="T317" s="169"/>
      <c r="U317" s="169"/>
      <c r="V317" s="169"/>
      <c r="W317" s="169"/>
      <c r="X317" s="169"/>
      <c r="Y317" s="169"/>
      <c r="Z317" s="169"/>
    </row>
    <row r="318" spans="1:26" ht="15.75" customHeight="1" x14ac:dyDescent="0.25">
      <c r="A318" s="169"/>
      <c r="B318" s="169"/>
      <c r="C318" s="169"/>
      <c r="D318" s="169"/>
      <c r="E318" s="169"/>
      <c r="F318" s="169"/>
      <c r="G318" s="169"/>
      <c r="H318" s="169"/>
      <c r="I318" s="169"/>
      <c r="J318" s="169"/>
      <c r="K318" s="169"/>
      <c r="L318" s="169"/>
      <c r="M318" s="169"/>
      <c r="N318" s="169"/>
      <c r="O318" s="169"/>
      <c r="P318" s="169"/>
      <c r="Q318" s="169"/>
      <c r="R318" s="169"/>
      <c r="S318" s="169"/>
      <c r="T318" s="169"/>
      <c r="U318" s="169"/>
      <c r="V318" s="169"/>
      <c r="W318" s="169"/>
      <c r="X318" s="169"/>
      <c r="Y318" s="169"/>
      <c r="Z318" s="169"/>
    </row>
    <row r="319" spans="1:26" ht="15.75" customHeight="1" x14ac:dyDescent="0.25">
      <c r="A319" s="169"/>
      <c r="B319" s="169"/>
      <c r="C319" s="169"/>
      <c r="D319" s="169"/>
      <c r="E319" s="169"/>
      <c r="F319" s="169"/>
      <c r="G319" s="169"/>
      <c r="H319" s="169"/>
      <c r="I319" s="169"/>
      <c r="J319" s="169"/>
      <c r="K319" s="169"/>
      <c r="L319" s="169"/>
      <c r="M319" s="169"/>
      <c r="N319" s="169"/>
      <c r="O319" s="169"/>
      <c r="P319" s="169"/>
      <c r="Q319" s="169"/>
      <c r="R319" s="169"/>
      <c r="S319" s="169"/>
      <c r="T319" s="169"/>
      <c r="U319" s="169"/>
      <c r="V319" s="169"/>
      <c r="W319" s="169"/>
      <c r="X319" s="169"/>
      <c r="Y319" s="169"/>
      <c r="Z319" s="169"/>
    </row>
    <row r="320" spans="1:26" ht="15.75" customHeight="1" x14ac:dyDescent="0.25">
      <c r="A320" s="169"/>
      <c r="B320" s="169"/>
      <c r="C320" s="169"/>
      <c r="D320" s="169"/>
      <c r="E320" s="169"/>
      <c r="F320" s="169"/>
      <c r="G320" s="169"/>
      <c r="H320" s="169"/>
      <c r="I320" s="169"/>
      <c r="J320" s="169"/>
      <c r="K320" s="169"/>
      <c r="L320" s="169"/>
      <c r="M320" s="169"/>
      <c r="N320" s="169"/>
      <c r="O320" s="169"/>
      <c r="P320" s="169"/>
      <c r="Q320" s="169"/>
      <c r="R320" s="169"/>
      <c r="S320" s="169"/>
      <c r="T320" s="169"/>
      <c r="U320" s="169"/>
      <c r="V320" s="169"/>
      <c r="W320" s="169"/>
      <c r="X320" s="169"/>
      <c r="Y320" s="169"/>
      <c r="Z320" s="169"/>
    </row>
    <row r="321" spans="1:26" ht="15.75" customHeight="1" x14ac:dyDescent="0.25">
      <c r="A321" s="169"/>
      <c r="B321" s="169"/>
      <c r="C321" s="169"/>
      <c r="D321" s="169"/>
      <c r="E321" s="169"/>
      <c r="F321" s="169"/>
      <c r="G321" s="169"/>
      <c r="H321" s="169"/>
      <c r="I321" s="169"/>
      <c r="J321" s="169"/>
      <c r="K321" s="169"/>
      <c r="L321" s="169"/>
      <c r="M321" s="169"/>
      <c r="N321" s="169"/>
      <c r="O321" s="169"/>
      <c r="P321" s="169"/>
      <c r="Q321" s="169"/>
      <c r="R321" s="169"/>
      <c r="S321" s="169"/>
      <c r="T321" s="169"/>
      <c r="U321" s="169"/>
      <c r="V321" s="169"/>
      <c r="W321" s="169"/>
      <c r="X321" s="169"/>
      <c r="Y321" s="169"/>
      <c r="Z321" s="169"/>
    </row>
    <row r="322" spans="1:26" ht="15.75" customHeight="1" x14ac:dyDescent="0.25">
      <c r="A322" s="169"/>
      <c r="B322" s="169"/>
      <c r="C322" s="169"/>
      <c r="D322" s="169"/>
      <c r="E322" s="169"/>
      <c r="F322" s="169"/>
      <c r="G322" s="169"/>
      <c r="H322" s="169"/>
      <c r="I322" s="169"/>
      <c r="J322" s="169"/>
      <c r="K322" s="169"/>
      <c r="L322" s="169"/>
      <c r="M322" s="169"/>
      <c r="N322" s="169"/>
      <c r="O322" s="169"/>
      <c r="P322" s="169"/>
      <c r="Q322" s="169"/>
      <c r="R322" s="169"/>
      <c r="S322" s="169"/>
      <c r="T322" s="169"/>
      <c r="U322" s="169"/>
      <c r="V322" s="169"/>
      <c r="W322" s="169"/>
      <c r="X322" s="169"/>
      <c r="Y322" s="169"/>
      <c r="Z322" s="169"/>
    </row>
    <row r="323" spans="1:26" ht="15.75" customHeight="1" x14ac:dyDescent="0.25">
      <c r="A323" s="169"/>
      <c r="B323" s="169"/>
      <c r="C323" s="169"/>
      <c r="D323" s="169"/>
      <c r="E323" s="169"/>
      <c r="F323" s="169"/>
      <c r="G323" s="169"/>
      <c r="H323" s="169"/>
      <c r="I323" s="169"/>
      <c r="J323" s="169"/>
      <c r="K323" s="169"/>
      <c r="L323" s="169"/>
      <c r="M323" s="169"/>
      <c r="N323" s="169"/>
      <c r="O323" s="169"/>
      <c r="P323" s="169"/>
      <c r="Q323" s="169"/>
      <c r="R323" s="169"/>
      <c r="S323" s="169"/>
      <c r="T323" s="169"/>
      <c r="U323" s="169"/>
      <c r="V323" s="169"/>
      <c r="W323" s="169"/>
      <c r="X323" s="169"/>
      <c r="Y323" s="169"/>
      <c r="Z323" s="169"/>
    </row>
    <row r="324" spans="1:26" ht="15.75" customHeight="1" x14ac:dyDescent="0.25">
      <c r="A324" s="169"/>
      <c r="B324" s="169"/>
      <c r="C324" s="169"/>
      <c r="D324" s="169"/>
      <c r="E324" s="169"/>
      <c r="F324" s="169"/>
      <c r="G324" s="169"/>
      <c r="H324" s="169"/>
      <c r="I324" s="169"/>
      <c r="J324" s="169"/>
      <c r="K324" s="169"/>
      <c r="L324" s="169"/>
      <c r="M324" s="169"/>
      <c r="N324" s="169"/>
      <c r="O324" s="169"/>
      <c r="P324" s="169"/>
      <c r="Q324" s="169"/>
      <c r="R324" s="169"/>
      <c r="S324" s="169"/>
      <c r="T324" s="169"/>
      <c r="U324" s="169"/>
      <c r="V324" s="169"/>
      <c r="W324" s="169"/>
      <c r="X324" s="169"/>
      <c r="Y324" s="169"/>
      <c r="Z324" s="169"/>
    </row>
    <row r="325" spans="1:26" ht="15.75" customHeight="1" x14ac:dyDescent="0.25">
      <c r="A325" s="169"/>
      <c r="B325" s="169"/>
      <c r="C325" s="169"/>
      <c r="D325" s="169"/>
      <c r="E325" s="169"/>
      <c r="F325" s="169"/>
      <c r="G325" s="169"/>
      <c r="H325" s="169"/>
      <c r="I325" s="169"/>
      <c r="J325" s="169"/>
      <c r="K325" s="169"/>
      <c r="L325" s="169"/>
      <c r="M325" s="169"/>
      <c r="N325" s="169"/>
      <c r="O325" s="169"/>
      <c r="P325" s="169"/>
      <c r="Q325" s="169"/>
      <c r="R325" s="169"/>
      <c r="S325" s="169"/>
      <c r="T325" s="169"/>
      <c r="U325" s="169"/>
      <c r="V325" s="169"/>
      <c r="W325" s="169"/>
      <c r="X325" s="169"/>
      <c r="Y325" s="169"/>
      <c r="Z325" s="169"/>
    </row>
    <row r="326" spans="1:26" ht="15.75" customHeight="1" x14ac:dyDescent="0.25">
      <c r="A326" s="169"/>
      <c r="B326" s="169"/>
      <c r="C326" s="169"/>
      <c r="D326" s="169"/>
      <c r="E326" s="169"/>
      <c r="F326" s="169"/>
      <c r="G326" s="169"/>
      <c r="H326" s="169"/>
      <c r="I326" s="169"/>
      <c r="J326" s="169"/>
      <c r="K326" s="169"/>
      <c r="L326" s="169"/>
      <c r="M326" s="169"/>
      <c r="N326" s="169"/>
      <c r="O326" s="169"/>
      <c r="P326" s="169"/>
      <c r="Q326" s="169"/>
      <c r="R326" s="169"/>
      <c r="S326" s="169"/>
      <c r="T326" s="169"/>
      <c r="U326" s="169"/>
      <c r="V326" s="169"/>
      <c r="W326" s="169"/>
      <c r="X326" s="169"/>
      <c r="Y326" s="169"/>
      <c r="Z326" s="169"/>
    </row>
    <row r="327" spans="1:26" ht="15.75" customHeight="1" x14ac:dyDescent="0.25">
      <c r="A327" s="169"/>
      <c r="B327" s="169"/>
      <c r="C327" s="169"/>
      <c r="D327" s="169"/>
      <c r="E327" s="169"/>
      <c r="F327" s="169"/>
      <c r="G327" s="169"/>
      <c r="H327" s="169"/>
      <c r="I327" s="169"/>
      <c r="J327" s="169"/>
      <c r="K327" s="169"/>
      <c r="L327" s="169"/>
      <c r="M327" s="169"/>
      <c r="N327" s="169"/>
      <c r="O327" s="169"/>
      <c r="P327" s="169"/>
      <c r="Q327" s="169"/>
      <c r="R327" s="169"/>
      <c r="S327" s="169"/>
      <c r="T327" s="169"/>
      <c r="U327" s="169"/>
      <c r="V327" s="169"/>
      <c r="W327" s="169"/>
      <c r="X327" s="169"/>
      <c r="Y327" s="169"/>
      <c r="Z327" s="169"/>
    </row>
    <row r="328" spans="1:26" ht="15.75" customHeight="1" x14ac:dyDescent="0.25">
      <c r="A328" s="169"/>
      <c r="B328" s="169"/>
      <c r="C328" s="169"/>
      <c r="D328" s="169"/>
      <c r="E328" s="169"/>
      <c r="F328" s="169"/>
      <c r="G328" s="169"/>
      <c r="H328" s="169"/>
      <c r="I328" s="169"/>
      <c r="J328" s="169"/>
      <c r="K328" s="169"/>
      <c r="L328" s="169"/>
      <c r="M328" s="169"/>
      <c r="N328" s="169"/>
      <c r="O328" s="169"/>
      <c r="P328" s="169"/>
      <c r="Q328" s="169"/>
      <c r="R328" s="169"/>
      <c r="S328" s="169"/>
      <c r="T328" s="169"/>
      <c r="U328" s="169"/>
      <c r="V328" s="169"/>
      <c r="W328" s="169"/>
      <c r="X328" s="169"/>
      <c r="Y328" s="169"/>
      <c r="Z328" s="169"/>
    </row>
    <row r="329" spans="1:26" ht="15.75" customHeight="1" x14ac:dyDescent="0.25">
      <c r="A329" s="169"/>
      <c r="B329" s="169"/>
      <c r="C329" s="169"/>
      <c r="D329" s="169"/>
      <c r="E329" s="169"/>
      <c r="F329" s="169"/>
      <c r="G329" s="169"/>
      <c r="H329" s="169"/>
      <c r="I329" s="169"/>
      <c r="J329" s="169"/>
      <c r="K329" s="169"/>
      <c r="L329" s="169"/>
      <c r="M329" s="169"/>
      <c r="N329" s="169"/>
      <c r="O329" s="169"/>
      <c r="P329" s="169"/>
      <c r="Q329" s="169"/>
      <c r="R329" s="169"/>
      <c r="S329" s="169"/>
      <c r="T329" s="169"/>
      <c r="U329" s="169"/>
      <c r="V329" s="169"/>
      <c r="W329" s="169"/>
      <c r="X329" s="169"/>
      <c r="Y329" s="169"/>
      <c r="Z329" s="169"/>
    </row>
    <row r="330" spans="1:26" ht="15.75" customHeight="1" x14ac:dyDescent="0.25">
      <c r="A330" s="169"/>
      <c r="B330" s="169"/>
      <c r="C330" s="169"/>
      <c r="D330" s="169"/>
      <c r="E330" s="169"/>
      <c r="F330" s="169"/>
      <c r="G330" s="169"/>
      <c r="H330" s="169"/>
      <c r="I330" s="169"/>
      <c r="J330" s="169"/>
      <c r="K330" s="169"/>
      <c r="L330" s="169"/>
      <c r="M330" s="169"/>
      <c r="N330" s="169"/>
      <c r="O330" s="169"/>
      <c r="P330" s="169"/>
      <c r="Q330" s="169"/>
      <c r="R330" s="169"/>
      <c r="S330" s="169"/>
      <c r="T330" s="169"/>
      <c r="U330" s="169"/>
      <c r="V330" s="169"/>
      <c r="W330" s="169"/>
      <c r="X330" s="169"/>
      <c r="Y330" s="169"/>
      <c r="Z330" s="169"/>
    </row>
    <row r="331" spans="1:26" ht="15.75" customHeight="1" x14ac:dyDescent="0.25">
      <c r="A331" s="169"/>
      <c r="B331" s="169"/>
      <c r="C331" s="169"/>
      <c r="D331" s="169"/>
      <c r="E331" s="169"/>
      <c r="F331" s="169"/>
      <c r="G331" s="169"/>
      <c r="H331" s="169"/>
      <c r="I331" s="169"/>
      <c r="J331" s="169"/>
      <c r="K331" s="169"/>
      <c r="L331" s="169"/>
      <c r="M331" s="169"/>
      <c r="N331" s="169"/>
      <c r="O331" s="169"/>
      <c r="P331" s="169"/>
      <c r="Q331" s="169"/>
      <c r="R331" s="169"/>
      <c r="S331" s="169"/>
      <c r="T331" s="169"/>
      <c r="U331" s="169"/>
      <c r="V331" s="169"/>
      <c r="W331" s="169"/>
      <c r="X331" s="169"/>
      <c r="Y331" s="169"/>
      <c r="Z331" s="169"/>
    </row>
    <row r="332" spans="1:26" ht="15.75" customHeight="1" x14ac:dyDescent="0.25">
      <c r="A332" s="169"/>
      <c r="B332" s="169"/>
      <c r="C332" s="169"/>
      <c r="D332" s="169"/>
      <c r="E332" s="169"/>
      <c r="F332" s="169"/>
      <c r="G332" s="169"/>
      <c r="H332" s="169"/>
      <c r="I332" s="169"/>
      <c r="J332" s="169"/>
      <c r="K332" s="169"/>
      <c r="L332" s="169"/>
      <c r="M332" s="169"/>
      <c r="N332" s="169"/>
      <c r="O332" s="169"/>
      <c r="P332" s="169"/>
      <c r="Q332" s="169"/>
      <c r="R332" s="169"/>
      <c r="S332" s="169"/>
      <c r="T332" s="169"/>
      <c r="U332" s="169"/>
      <c r="V332" s="169"/>
      <c r="W332" s="169"/>
      <c r="X332" s="169"/>
      <c r="Y332" s="169"/>
      <c r="Z332" s="169"/>
    </row>
    <row r="333" spans="1:26" ht="15.75" customHeight="1" x14ac:dyDescent="0.25">
      <c r="A333" s="169"/>
      <c r="B333" s="169"/>
      <c r="C333" s="169"/>
      <c r="D333" s="169"/>
      <c r="E333" s="169"/>
      <c r="F333" s="169"/>
      <c r="G333" s="169"/>
      <c r="H333" s="169"/>
      <c r="I333" s="169"/>
      <c r="J333" s="169"/>
      <c r="K333" s="169"/>
      <c r="L333" s="169"/>
      <c r="M333" s="169"/>
      <c r="N333" s="169"/>
      <c r="O333" s="169"/>
      <c r="P333" s="169"/>
      <c r="Q333" s="169"/>
      <c r="R333" s="169"/>
      <c r="S333" s="169"/>
      <c r="T333" s="169"/>
      <c r="U333" s="169"/>
      <c r="V333" s="169"/>
      <c r="W333" s="169"/>
      <c r="X333" s="169"/>
      <c r="Y333" s="169"/>
      <c r="Z333" s="169"/>
    </row>
    <row r="334" spans="1:26" ht="15.75" customHeight="1" x14ac:dyDescent="0.25">
      <c r="A334" s="169"/>
      <c r="B334" s="169"/>
      <c r="C334" s="169"/>
      <c r="D334" s="169"/>
      <c r="E334" s="169"/>
      <c r="F334" s="169"/>
      <c r="G334" s="169"/>
      <c r="H334" s="169"/>
      <c r="I334" s="169"/>
      <c r="J334" s="169"/>
      <c r="K334" s="169"/>
      <c r="L334" s="169"/>
      <c r="M334" s="169"/>
      <c r="N334" s="169"/>
      <c r="O334" s="169"/>
      <c r="P334" s="169"/>
      <c r="Q334" s="169"/>
      <c r="R334" s="169"/>
      <c r="S334" s="169"/>
      <c r="T334" s="169"/>
      <c r="U334" s="169"/>
      <c r="V334" s="169"/>
      <c r="W334" s="169"/>
      <c r="X334" s="169"/>
      <c r="Y334" s="169"/>
      <c r="Z334" s="169"/>
    </row>
    <row r="335" spans="1:26" ht="15.75" customHeight="1" x14ac:dyDescent="0.25">
      <c r="A335" s="169"/>
      <c r="B335" s="169"/>
      <c r="C335" s="169"/>
      <c r="D335" s="169"/>
      <c r="E335" s="169"/>
      <c r="F335" s="169"/>
      <c r="G335" s="169"/>
      <c r="H335" s="169"/>
      <c r="I335" s="169"/>
      <c r="J335" s="169"/>
      <c r="K335" s="169"/>
      <c r="L335" s="169"/>
      <c r="M335" s="169"/>
      <c r="N335" s="169"/>
      <c r="O335" s="169"/>
      <c r="P335" s="169"/>
      <c r="Q335" s="169"/>
      <c r="R335" s="169"/>
      <c r="S335" s="169"/>
      <c r="T335" s="169"/>
      <c r="U335" s="169"/>
      <c r="V335" s="169"/>
      <c r="W335" s="169"/>
      <c r="X335" s="169"/>
      <c r="Y335" s="169"/>
      <c r="Z335" s="169"/>
    </row>
    <row r="336" spans="1:26" ht="15.75" customHeight="1" x14ac:dyDescent="0.25">
      <c r="A336" s="169"/>
      <c r="B336" s="169"/>
      <c r="C336" s="169"/>
      <c r="D336" s="169"/>
      <c r="E336" s="169"/>
      <c r="F336" s="169"/>
      <c r="G336" s="169"/>
      <c r="H336" s="169"/>
      <c r="I336" s="169"/>
      <c r="J336" s="169"/>
      <c r="K336" s="169"/>
      <c r="L336" s="169"/>
      <c r="M336" s="169"/>
      <c r="N336" s="169"/>
      <c r="O336" s="169"/>
      <c r="P336" s="169"/>
      <c r="Q336" s="169"/>
      <c r="R336" s="169"/>
      <c r="S336" s="169"/>
      <c r="T336" s="169"/>
      <c r="U336" s="169"/>
      <c r="V336" s="169"/>
      <c r="W336" s="169"/>
      <c r="X336" s="169"/>
      <c r="Y336" s="169"/>
      <c r="Z336" s="169"/>
    </row>
    <row r="337" spans="1:26" ht="15.75" customHeight="1" x14ac:dyDescent="0.25">
      <c r="A337" s="169"/>
      <c r="B337" s="169"/>
      <c r="C337" s="169"/>
      <c r="D337" s="169"/>
      <c r="E337" s="169"/>
      <c r="F337" s="169"/>
      <c r="G337" s="169"/>
      <c r="H337" s="169"/>
      <c r="I337" s="169"/>
      <c r="J337" s="169"/>
      <c r="K337" s="169"/>
      <c r="L337" s="169"/>
      <c r="M337" s="169"/>
      <c r="N337" s="169"/>
      <c r="O337" s="169"/>
      <c r="P337" s="169"/>
      <c r="Q337" s="169"/>
      <c r="R337" s="169"/>
      <c r="S337" s="169"/>
      <c r="T337" s="169"/>
      <c r="U337" s="169"/>
      <c r="V337" s="169"/>
      <c r="W337" s="169"/>
      <c r="X337" s="169"/>
      <c r="Y337" s="169"/>
      <c r="Z337" s="169"/>
    </row>
    <row r="338" spans="1:26" ht="15.75" customHeight="1" x14ac:dyDescent="0.25">
      <c r="A338" s="169"/>
      <c r="B338" s="169"/>
      <c r="C338" s="169"/>
      <c r="D338" s="169"/>
      <c r="E338" s="169"/>
      <c r="F338" s="169"/>
      <c r="G338" s="169"/>
      <c r="H338" s="169"/>
      <c r="I338" s="169"/>
      <c r="J338" s="169"/>
      <c r="K338" s="169"/>
      <c r="L338" s="169"/>
      <c r="M338" s="169"/>
      <c r="N338" s="169"/>
      <c r="O338" s="169"/>
      <c r="P338" s="169"/>
      <c r="Q338" s="169"/>
      <c r="R338" s="169"/>
      <c r="S338" s="169"/>
      <c r="T338" s="169"/>
      <c r="U338" s="169"/>
      <c r="V338" s="169"/>
      <c r="W338" s="169"/>
      <c r="X338" s="169"/>
      <c r="Y338" s="169"/>
      <c r="Z338" s="169"/>
    </row>
    <row r="339" spans="1:26" ht="15.75" customHeight="1" x14ac:dyDescent="0.25">
      <c r="A339" s="169"/>
      <c r="B339" s="169"/>
      <c r="C339" s="169"/>
      <c r="D339" s="169"/>
      <c r="E339" s="169"/>
      <c r="F339" s="169"/>
      <c r="G339" s="169"/>
      <c r="H339" s="169"/>
      <c r="I339" s="169"/>
      <c r="J339" s="169"/>
      <c r="K339" s="169"/>
      <c r="L339" s="169"/>
      <c r="M339" s="169"/>
      <c r="N339" s="169"/>
      <c r="O339" s="169"/>
      <c r="P339" s="169"/>
      <c r="Q339" s="169"/>
      <c r="R339" s="169"/>
      <c r="S339" s="169"/>
      <c r="T339" s="169"/>
      <c r="U339" s="169"/>
      <c r="V339" s="169"/>
      <c r="W339" s="169"/>
      <c r="X339" s="169"/>
      <c r="Y339" s="169"/>
      <c r="Z339" s="169"/>
    </row>
    <row r="340" spans="1:26" ht="15.75" customHeight="1" x14ac:dyDescent="0.25">
      <c r="A340" s="169"/>
      <c r="B340" s="169"/>
      <c r="C340" s="169"/>
      <c r="D340" s="169"/>
      <c r="E340" s="169"/>
      <c r="F340" s="169"/>
      <c r="G340" s="169"/>
      <c r="H340" s="169"/>
      <c r="I340" s="169"/>
      <c r="J340" s="169"/>
      <c r="K340" s="169"/>
      <c r="L340" s="169"/>
      <c r="M340" s="169"/>
      <c r="N340" s="169"/>
      <c r="O340" s="169"/>
      <c r="P340" s="169"/>
      <c r="Q340" s="169"/>
      <c r="R340" s="169"/>
      <c r="S340" s="169"/>
      <c r="T340" s="169"/>
      <c r="U340" s="169"/>
      <c r="V340" s="169"/>
      <c r="W340" s="169"/>
      <c r="X340" s="169"/>
      <c r="Y340" s="169"/>
      <c r="Z340" s="169"/>
    </row>
    <row r="341" spans="1:26" ht="15.75" customHeight="1" x14ac:dyDescent="0.25">
      <c r="A341" s="169"/>
      <c r="B341" s="169"/>
      <c r="C341" s="169"/>
      <c r="D341" s="169"/>
      <c r="E341" s="169"/>
      <c r="F341" s="169"/>
      <c r="G341" s="169"/>
      <c r="H341" s="169"/>
      <c r="I341" s="169"/>
      <c r="J341" s="169"/>
      <c r="K341" s="169"/>
      <c r="L341" s="169"/>
      <c r="M341" s="169"/>
      <c r="N341" s="169"/>
      <c r="O341" s="169"/>
      <c r="P341" s="169"/>
      <c r="Q341" s="169"/>
      <c r="R341" s="169"/>
      <c r="S341" s="169"/>
      <c r="T341" s="169"/>
      <c r="U341" s="169"/>
      <c r="V341" s="169"/>
      <c r="W341" s="169"/>
      <c r="X341" s="169"/>
      <c r="Y341" s="169"/>
      <c r="Z341" s="169"/>
    </row>
    <row r="342" spans="1:26" ht="15.75" customHeight="1" x14ac:dyDescent="0.25">
      <c r="A342" s="169"/>
      <c r="B342" s="169"/>
      <c r="C342" s="169"/>
      <c r="D342" s="169"/>
      <c r="E342" s="169"/>
      <c r="F342" s="169"/>
      <c r="G342" s="169"/>
      <c r="H342" s="169"/>
      <c r="I342" s="169"/>
      <c r="J342" s="169"/>
      <c r="K342" s="169"/>
      <c r="L342" s="169"/>
      <c r="M342" s="169"/>
      <c r="N342" s="169"/>
      <c r="O342" s="169"/>
      <c r="P342" s="169"/>
      <c r="Q342" s="169"/>
      <c r="R342" s="169"/>
      <c r="S342" s="169"/>
      <c r="T342" s="169"/>
      <c r="U342" s="169"/>
      <c r="V342" s="169"/>
      <c r="W342" s="169"/>
      <c r="X342" s="169"/>
      <c r="Y342" s="169"/>
      <c r="Z342" s="169"/>
    </row>
    <row r="343" spans="1:26" ht="15.75" customHeight="1" x14ac:dyDescent="0.25">
      <c r="A343" s="169"/>
      <c r="B343" s="169"/>
      <c r="C343" s="169"/>
      <c r="D343" s="169"/>
      <c r="E343" s="169"/>
      <c r="F343" s="169"/>
      <c r="G343" s="169"/>
      <c r="H343" s="169"/>
      <c r="I343" s="169"/>
      <c r="J343" s="169"/>
      <c r="K343" s="169"/>
      <c r="L343" s="169"/>
      <c r="M343" s="169"/>
      <c r="N343" s="169"/>
      <c r="O343" s="169"/>
      <c r="P343" s="169"/>
      <c r="Q343" s="169"/>
      <c r="R343" s="169"/>
      <c r="S343" s="169"/>
      <c r="T343" s="169"/>
      <c r="U343" s="169"/>
      <c r="V343" s="169"/>
      <c r="W343" s="169"/>
      <c r="X343" s="169"/>
      <c r="Y343" s="169"/>
      <c r="Z343" s="169"/>
    </row>
    <row r="344" spans="1:26" ht="15.75" customHeight="1" x14ac:dyDescent="0.25">
      <c r="A344" s="169"/>
      <c r="B344" s="169"/>
      <c r="C344" s="169"/>
      <c r="D344" s="169"/>
      <c r="E344" s="169"/>
      <c r="F344" s="169"/>
      <c r="G344" s="169"/>
      <c r="H344" s="169"/>
      <c r="I344" s="169"/>
      <c r="J344" s="169"/>
      <c r="K344" s="169"/>
      <c r="L344" s="169"/>
      <c r="M344" s="169"/>
      <c r="N344" s="169"/>
      <c r="O344" s="169"/>
      <c r="P344" s="169"/>
      <c r="Q344" s="169"/>
      <c r="R344" s="169"/>
      <c r="S344" s="169"/>
      <c r="T344" s="169"/>
      <c r="U344" s="169"/>
      <c r="V344" s="169"/>
      <c r="W344" s="169"/>
      <c r="X344" s="169"/>
      <c r="Y344" s="169"/>
      <c r="Z344" s="169"/>
    </row>
    <row r="345" spans="1:26" ht="15.75" customHeight="1" x14ac:dyDescent="0.25">
      <c r="A345" s="169"/>
      <c r="B345" s="169"/>
      <c r="C345" s="169"/>
      <c r="D345" s="169"/>
      <c r="E345" s="169"/>
      <c r="F345" s="169"/>
      <c r="G345" s="169"/>
      <c r="H345" s="169"/>
      <c r="I345" s="169"/>
      <c r="J345" s="169"/>
      <c r="K345" s="169"/>
      <c r="L345" s="169"/>
      <c r="M345" s="169"/>
      <c r="N345" s="169"/>
      <c r="O345" s="169"/>
      <c r="P345" s="169"/>
      <c r="Q345" s="169"/>
      <c r="R345" s="169"/>
      <c r="S345" s="169"/>
      <c r="T345" s="169"/>
      <c r="U345" s="169"/>
      <c r="V345" s="169"/>
      <c r="W345" s="169"/>
      <c r="X345" s="169"/>
      <c r="Y345" s="169"/>
      <c r="Z345" s="169"/>
    </row>
    <row r="346" spans="1:26" ht="15.75" customHeight="1" x14ac:dyDescent="0.25">
      <c r="A346" s="169"/>
      <c r="B346" s="169"/>
      <c r="C346" s="169"/>
      <c r="D346" s="169"/>
      <c r="E346" s="169"/>
      <c r="F346" s="169"/>
      <c r="G346" s="169"/>
      <c r="H346" s="169"/>
      <c r="I346" s="169"/>
      <c r="J346" s="169"/>
      <c r="K346" s="169"/>
      <c r="L346" s="169"/>
      <c r="M346" s="169"/>
      <c r="N346" s="169"/>
      <c r="O346" s="169"/>
      <c r="P346" s="169"/>
      <c r="Q346" s="169"/>
      <c r="R346" s="169"/>
      <c r="S346" s="169"/>
      <c r="T346" s="169"/>
      <c r="U346" s="169"/>
      <c r="V346" s="169"/>
      <c r="W346" s="169"/>
      <c r="X346" s="169"/>
      <c r="Y346" s="169"/>
      <c r="Z346" s="169"/>
    </row>
    <row r="347" spans="1:26" ht="15.75" customHeight="1" x14ac:dyDescent="0.25">
      <c r="A347" s="169"/>
      <c r="B347" s="169"/>
      <c r="C347" s="169"/>
      <c r="D347" s="169"/>
      <c r="E347" s="169"/>
      <c r="F347" s="169"/>
      <c r="G347" s="169"/>
      <c r="H347" s="169"/>
      <c r="I347" s="169"/>
      <c r="J347" s="169"/>
      <c r="K347" s="169"/>
      <c r="L347" s="169"/>
      <c r="M347" s="169"/>
      <c r="N347" s="169"/>
      <c r="O347" s="169"/>
      <c r="P347" s="169"/>
      <c r="Q347" s="169"/>
      <c r="R347" s="169"/>
      <c r="S347" s="169"/>
      <c r="T347" s="169"/>
      <c r="U347" s="169"/>
      <c r="V347" s="169"/>
      <c r="W347" s="169"/>
      <c r="X347" s="169"/>
      <c r="Y347" s="169"/>
      <c r="Z347" s="169"/>
    </row>
    <row r="348" spans="1:26" ht="15.75" customHeight="1" x14ac:dyDescent="0.25">
      <c r="A348" s="169"/>
      <c r="B348" s="169"/>
      <c r="C348" s="169"/>
      <c r="D348" s="169"/>
      <c r="E348" s="169"/>
      <c r="F348" s="169"/>
      <c r="G348" s="169"/>
      <c r="H348" s="169"/>
      <c r="I348" s="169"/>
      <c r="J348" s="169"/>
      <c r="K348" s="169"/>
      <c r="L348" s="169"/>
      <c r="M348" s="169"/>
      <c r="N348" s="169"/>
      <c r="O348" s="169"/>
      <c r="P348" s="169"/>
      <c r="Q348" s="169"/>
      <c r="R348" s="169"/>
      <c r="S348" s="169"/>
      <c r="T348" s="169"/>
      <c r="U348" s="169"/>
      <c r="V348" s="169"/>
      <c r="W348" s="169"/>
      <c r="X348" s="169"/>
      <c r="Y348" s="169"/>
      <c r="Z348" s="169"/>
    </row>
    <row r="349" spans="1:26" ht="15.75" customHeight="1" x14ac:dyDescent="0.25">
      <c r="A349" s="169"/>
      <c r="B349" s="169"/>
      <c r="C349" s="169"/>
      <c r="D349" s="169"/>
      <c r="E349" s="169"/>
      <c r="F349" s="169"/>
      <c r="G349" s="169"/>
      <c r="H349" s="169"/>
      <c r="I349" s="169"/>
      <c r="J349" s="169"/>
      <c r="K349" s="169"/>
      <c r="L349" s="169"/>
      <c r="M349" s="169"/>
      <c r="N349" s="169"/>
      <c r="O349" s="169"/>
      <c r="P349" s="169"/>
      <c r="Q349" s="169"/>
      <c r="R349" s="169"/>
      <c r="S349" s="169"/>
      <c r="T349" s="169"/>
      <c r="U349" s="169"/>
      <c r="V349" s="169"/>
      <c r="W349" s="169"/>
      <c r="X349" s="169"/>
      <c r="Y349" s="169"/>
      <c r="Z349" s="169"/>
    </row>
    <row r="350" spans="1:26" ht="15.75" customHeight="1" x14ac:dyDescent="0.25">
      <c r="A350" s="169"/>
      <c r="B350" s="169"/>
      <c r="C350" s="169"/>
      <c r="D350" s="169"/>
      <c r="E350" s="169"/>
      <c r="F350" s="169"/>
      <c r="G350" s="169"/>
      <c r="H350" s="169"/>
      <c r="I350" s="169"/>
      <c r="J350" s="169"/>
      <c r="K350" s="169"/>
      <c r="L350" s="169"/>
      <c r="M350" s="169"/>
      <c r="N350" s="169"/>
      <c r="O350" s="169"/>
      <c r="P350" s="169"/>
      <c r="Q350" s="169"/>
      <c r="R350" s="169"/>
      <c r="S350" s="169"/>
      <c r="T350" s="169"/>
      <c r="U350" s="169"/>
      <c r="V350" s="169"/>
      <c r="W350" s="169"/>
      <c r="X350" s="169"/>
      <c r="Y350" s="169"/>
      <c r="Z350" s="169"/>
    </row>
    <row r="351" spans="1:26" ht="15.75" customHeight="1" x14ac:dyDescent="0.25">
      <c r="A351" s="169"/>
      <c r="B351" s="169"/>
      <c r="C351" s="169"/>
      <c r="D351" s="169"/>
      <c r="E351" s="169"/>
      <c r="F351" s="169"/>
      <c r="G351" s="169"/>
      <c r="H351" s="169"/>
      <c r="I351" s="169"/>
      <c r="J351" s="169"/>
      <c r="K351" s="169"/>
      <c r="L351" s="169"/>
      <c r="M351" s="169"/>
      <c r="N351" s="169"/>
      <c r="O351" s="169"/>
      <c r="P351" s="169"/>
      <c r="Q351" s="169"/>
      <c r="R351" s="169"/>
      <c r="S351" s="169"/>
      <c r="T351" s="169"/>
      <c r="U351" s="169"/>
      <c r="V351" s="169"/>
      <c r="W351" s="169"/>
      <c r="X351" s="169"/>
      <c r="Y351" s="169"/>
      <c r="Z351" s="169"/>
    </row>
    <row r="352" spans="1:26" ht="15.75" customHeight="1" x14ac:dyDescent="0.25">
      <c r="A352" s="169"/>
      <c r="B352" s="169"/>
      <c r="C352" s="169"/>
      <c r="D352" s="169"/>
      <c r="E352" s="169"/>
      <c r="F352" s="169"/>
      <c r="G352" s="169"/>
      <c r="H352" s="169"/>
      <c r="I352" s="169"/>
      <c r="J352" s="169"/>
      <c r="K352" s="169"/>
      <c r="L352" s="169"/>
      <c r="M352" s="169"/>
      <c r="N352" s="169"/>
      <c r="O352" s="169"/>
      <c r="P352" s="169"/>
      <c r="Q352" s="169"/>
      <c r="R352" s="169"/>
      <c r="S352" s="169"/>
      <c r="T352" s="169"/>
      <c r="U352" s="169"/>
      <c r="V352" s="169"/>
      <c r="W352" s="169"/>
      <c r="X352" s="169"/>
      <c r="Y352" s="169"/>
      <c r="Z352" s="169"/>
    </row>
    <row r="353" spans="1:26" ht="15.75" customHeight="1" x14ac:dyDescent="0.25">
      <c r="A353" s="169"/>
      <c r="B353" s="169"/>
      <c r="C353" s="169"/>
      <c r="D353" s="169"/>
      <c r="E353" s="169"/>
      <c r="F353" s="169"/>
      <c r="G353" s="169"/>
      <c r="H353" s="169"/>
      <c r="I353" s="169"/>
      <c r="J353" s="169"/>
      <c r="K353" s="169"/>
      <c r="L353" s="169"/>
      <c r="M353" s="169"/>
      <c r="N353" s="169"/>
      <c r="O353" s="169"/>
      <c r="P353" s="169"/>
      <c r="Q353" s="169"/>
      <c r="R353" s="169"/>
      <c r="S353" s="169"/>
      <c r="T353" s="169"/>
      <c r="U353" s="169"/>
      <c r="V353" s="169"/>
      <c r="W353" s="169"/>
      <c r="X353" s="169"/>
      <c r="Y353" s="169"/>
      <c r="Z353" s="169"/>
    </row>
    <row r="354" spans="1:26" ht="15.75" customHeight="1" x14ac:dyDescent="0.25">
      <c r="A354" s="169"/>
      <c r="B354" s="169"/>
      <c r="C354" s="169"/>
      <c r="D354" s="169"/>
      <c r="E354" s="169"/>
      <c r="F354" s="169"/>
      <c r="G354" s="169"/>
      <c r="H354" s="169"/>
      <c r="I354" s="169"/>
      <c r="J354" s="169"/>
      <c r="K354" s="169"/>
      <c r="L354" s="169"/>
      <c r="M354" s="169"/>
      <c r="N354" s="169"/>
      <c r="O354" s="169"/>
      <c r="P354" s="169"/>
      <c r="Q354" s="169"/>
      <c r="R354" s="169"/>
      <c r="S354" s="169"/>
      <c r="T354" s="169"/>
      <c r="U354" s="169"/>
      <c r="V354" s="169"/>
      <c r="W354" s="169"/>
      <c r="X354" s="169"/>
      <c r="Y354" s="169"/>
      <c r="Z354" s="169"/>
    </row>
    <row r="355" spans="1:26" ht="15.75" customHeight="1" x14ac:dyDescent="0.25">
      <c r="A355" s="169"/>
      <c r="B355" s="169"/>
      <c r="C355" s="169"/>
      <c r="D355" s="169"/>
      <c r="E355" s="169"/>
      <c r="F355" s="169"/>
      <c r="G355" s="169"/>
      <c r="H355" s="169"/>
      <c r="I355" s="169"/>
      <c r="J355" s="169"/>
      <c r="K355" s="169"/>
      <c r="L355" s="169"/>
      <c r="M355" s="169"/>
      <c r="N355" s="169"/>
      <c r="O355" s="169"/>
      <c r="P355" s="169"/>
      <c r="Q355" s="169"/>
      <c r="R355" s="169"/>
      <c r="S355" s="169"/>
      <c r="T355" s="169"/>
      <c r="U355" s="169"/>
      <c r="V355" s="169"/>
      <c r="W355" s="169"/>
      <c r="X355" s="169"/>
      <c r="Y355" s="169"/>
      <c r="Z355" s="169"/>
    </row>
    <row r="356" spans="1:26" ht="15.75" customHeight="1" x14ac:dyDescent="0.25">
      <c r="A356" s="169"/>
      <c r="B356" s="169"/>
      <c r="C356" s="169"/>
      <c r="D356" s="169"/>
      <c r="E356" s="169"/>
      <c r="F356" s="169"/>
      <c r="G356" s="169"/>
      <c r="H356" s="169"/>
      <c r="I356" s="169"/>
      <c r="J356" s="169"/>
      <c r="K356" s="169"/>
      <c r="L356" s="169"/>
      <c r="M356" s="169"/>
      <c r="N356" s="169"/>
      <c r="O356" s="169"/>
      <c r="P356" s="169"/>
      <c r="Q356" s="169"/>
      <c r="R356" s="169"/>
      <c r="S356" s="169"/>
      <c r="T356" s="169"/>
      <c r="U356" s="169"/>
      <c r="V356" s="169"/>
      <c r="W356" s="169"/>
      <c r="X356" s="169"/>
      <c r="Y356" s="169"/>
      <c r="Z356" s="169"/>
    </row>
    <row r="357" spans="1:26" ht="15.75" customHeight="1" x14ac:dyDescent="0.25">
      <c r="A357" s="169"/>
      <c r="B357" s="169"/>
      <c r="C357" s="169"/>
      <c r="D357" s="169"/>
      <c r="E357" s="169"/>
      <c r="F357" s="169"/>
      <c r="G357" s="169"/>
      <c r="H357" s="169"/>
      <c r="I357" s="169"/>
      <c r="J357" s="169"/>
      <c r="K357" s="169"/>
      <c r="L357" s="169"/>
      <c r="M357" s="169"/>
      <c r="N357" s="169"/>
      <c r="O357" s="169"/>
      <c r="P357" s="169"/>
      <c r="Q357" s="169"/>
      <c r="R357" s="169"/>
      <c r="S357" s="169"/>
      <c r="T357" s="169"/>
      <c r="U357" s="169"/>
      <c r="V357" s="169"/>
      <c r="W357" s="169"/>
      <c r="X357" s="169"/>
      <c r="Y357" s="169"/>
      <c r="Z357" s="169"/>
    </row>
    <row r="358" spans="1:26" ht="15.75" customHeight="1" x14ac:dyDescent="0.25">
      <c r="A358" s="169"/>
      <c r="B358" s="169"/>
      <c r="C358" s="169"/>
      <c r="D358" s="169"/>
      <c r="E358" s="169"/>
      <c r="F358" s="169"/>
      <c r="G358" s="169"/>
      <c r="H358" s="169"/>
      <c r="I358" s="169"/>
      <c r="J358" s="169"/>
      <c r="K358" s="169"/>
      <c r="L358" s="169"/>
      <c r="M358" s="169"/>
      <c r="N358" s="169"/>
      <c r="O358" s="169"/>
      <c r="P358" s="169"/>
      <c r="Q358" s="169"/>
      <c r="R358" s="169"/>
      <c r="S358" s="169"/>
      <c r="T358" s="169"/>
      <c r="U358" s="169"/>
      <c r="V358" s="169"/>
      <c r="W358" s="169"/>
      <c r="X358" s="169"/>
      <c r="Y358" s="169"/>
      <c r="Z358" s="169"/>
    </row>
    <row r="359" spans="1:26" ht="15.75" customHeight="1" x14ac:dyDescent="0.25">
      <c r="A359" s="169"/>
      <c r="B359" s="169"/>
      <c r="C359" s="169"/>
      <c r="D359" s="169"/>
      <c r="E359" s="169"/>
      <c r="F359" s="169"/>
      <c r="G359" s="169"/>
      <c r="H359" s="169"/>
      <c r="I359" s="169"/>
      <c r="J359" s="169"/>
      <c r="K359" s="169"/>
      <c r="L359" s="169"/>
      <c r="M359" s="169"/>
      <c r="N359" s="169"/>
      <c r="O359" s="169"/>
      <c r="P359" s="169"/>
      <c r="Q359" s="169"/>
      <c r="R359" s="169"/>
      <c r="S359" s="169"/>
      <c r="T359" s="169"/>
      <c r="U359" s="169"/>
      <c r="V359" s="169"/>
      <c r="W359" s="169"/>
      <c r="X359" s="169"/>
      <c r="Y359" s="169"/>
      <c r="Z359" s="169"/>
    </row>
    <row r="360" spans="1:26" ht="15.75" customHeight="1" x14ac:dyDescent="0.25">
      <c r="A360" s="169"/>
      <c r="B360" s="169"/>
      <c r="C360" s="169"/>
      <c r="D360" s="169"/>
      <c r="E360" s="169"/>
      <c r="F360" s="169"/>
      <c r="G360" s="169"/>
      <c r="H360" s="169"/>
      <c r="I360" s="169"/>
      <c r="J360" s="169"/>
      <c r="K360" s="169"/>
      <c r="L360" s="169"/>
      <c r="M360" s="169"/>
      <c r="N360" s="169"/>
      <c r="O360" s="169"/>
      <c r="P360" s="169"/>
      <c r="Q360" s="169"/>
      <c r="R360" s="169"/>
      <c r="S360" s="169"/>
      <c r="T360" s="169"/>
      <c r="U360" s="169"/>
      <c r="V360" s="169"/>
      <c r="W360" s="169"/>
      <c r="X360" s="169"/>
      <c r="Y360" s="169"/>
      <c r="Z360" s="169"/>
    </row>
    <row r="361" spans="1:26" ht="15.75" customHeight="1" x14ac:dyDescent="0.25">
      <c r="A361" s="169"/>
      <c r="B361" s="169"/>
      <c r="C361" s="169"/>
      <c r="D361" s="169"/>
      <c r="E361" s="169"/>
      <c r="F361" s="169"/>
      <c r="G361" s="169"/>
      <c r="H361" s="169"/>
      <c r="I361" s="169"/>
      <c r="J361" s="169"/>
      <c r="K361" s="169"/>
      <c r="L361" s="169"/>
      <c r="M361" s="169"/>
      <c r="N361" s="169"/>
      <c r="O361" s="169"/>
      <c r="P361" s="169"/>
      <c r="Q361" s="169"/>
      <c r="R361" s="169"/>
      <c r="S361" s="169"/>
      <c r="T361" s="169"/>
      <c r="U361" s="169"/>
      <c r="V361" s="169"/>
      <c r="W361" s="169"/>
      <c r="X361" s="169"/>
      <c r="Y361" s="169"/>
      <c r="Z361" s="169"/>
    </row>
    <row r="362" spans="1:26" ht="15.75" customHeight="1" x14ac:dyDescent="0.25">
      <c r="A362" s="169"/>
      <c r="B362" s="169"/>
      <c r="C362" s="169"/>
      <c r="D362" s="169"/>
      <c r="E362" s="169"/>
      <c r="F362" s="169"/>
      <c r="G362" s="169"/>
      <c r="H362" s="169"/>
      <c r="I362" s="169"/>
      <c r="J362" s="169"/>
      <c r="K362" s="169"/>
      <c r="L362" s="169"/>
      <c r="M362" s="169"/>
      <c r="N362" s="169"/>
      <c r="O362" s="169"/>
      <c r="P362" s="169"/>
      <c r="Q362" s="169"/>
      <c r="R362" s="169"/>
      <c r="S362" s="169"/>
      <c r="T362" s="169"/>
      <c r="U362" s="169"/>
      <c r="V362" s="169"/>
      <c r="W362" s="169"/>
      <c r="X362" s="169"/>
      <c r="Y362" s="169"/>
      <c r="Z362" s="169"/>
    </row>
    <row r="363" spans="1:26" ht="15.75" customHeight="1" x14ac:dyDescent="0.25">
      <c r="A363" s="169"/>
      <c r="B363" s="169"/>
      <c r="C363" s="169"/>
      <c r="D363" s="169"/>
      <c r="E363" s="169"/>
      <c r="F363" s="169"/>
      <c r="G363" s="169"/>
      <c r="H363" s="169"/>
      <c r="I363" s="169"/>
      <c r="J363" s="169"/>
      <c r="K363" s="169"/>
      <c r="L363" s="169"/>
      <c r="M363" s="169"/>
      <c r="N363" s="169"/>
      <c r="O363" s="169"/>
      <c r="P363" s="169"/>
      <c r="Q363" s="169"/>
      <c r="R363" s="169"/>
      <c r="S363" s="169"/>
      <c r="T363" s="169"/>
      <c r="U363" s="169"/>
      <c r="V363" s="169"/>
      <c r="W363" s="169"/>
      <c r="X363" s="169"/>
      <c r="Y363" s="169"/>
      <c r="Z363" s="169"/>
    </row>
    <row r="364" spans="1:26" ht="15.75" customHeight="1" x14ac:dyDescent="0.25">
      <c r="A364" s="169"/>
      <c r="B364" s="169"/>
      <c r="C364" s="169"/>
      <c r="D364" s="169"/>
      <c r="E364" s="169"/>
      <c r="F364" s="169"/>
      <c r="G364" s="169"/>
      <c r="H364" s="169"/>
      <c r="I364" s="169"/>
      <c r="J364" s="169"/>
      <c r="K364" s="169"/>
      <c r="L364" s="169"/>
      <c r="M364" s="169"/>
      <c r="N364" s="169"/>
      <c r="O364" s="169"/>
      <c r="P364" s="169"/>
      <c r="Q364" s="169"/>
      <c r="R364" s="169"/>
      <c r="S364" s="169"/>
      <c r="T364" s="169"/>
      <c r="U364" s="169"/>
      <c r="V364" s="169"/>
      <c r="W364" s="169"/>
      <c r="X364" s="169"/>
      <c r="Y364" s="169"/>
      <c r="Z364" s="169"/>
    </row>
    <row r="365" spans="1:26" ht="15.75" customHeight="1" x14ac:dyDescent="0.25">
      <c r="A365" s="169"/>
      <c r="B365" s="169"/>
      <c r="C365" s="169"/>
      <c r="D365" s="169"/>
      <c r="E365" s="169"/>
      <c r="F365" s="169"/>
      <c r="G365" s="169"/>
      <c r="H365" s="169"/>
      <c r="I365" s="169"/>
      <c r="J365" s="169"/>
      <c r="K365" s="169"/>
      <c r="L365" s="169"/>
      <c r="M365" s="169"/>
      <c r="N365" s="169"/>
      <c r="O365" s="169"/>
      <c r="P365" s="169"/>
      <c r="Q365" s="169"/>
      <c r="R365" s="169"/>
      <c r="S365" s="169"/>
      <c r="T365" s="169"/>
      <c r="U365" s="169"/>
      <c r="V365" s="169"/>
      <c r="W365" s="169"/>
      <c r="X365" s="169"/>
      <c r="Y365" s="169"/>
      <c r="Z365" s="169"/>
    </row>
    <row r="366" spans="1:26" ht="15.75" customHeight="1" x14ac:dyDescent="0.25">
      <c r="A366" s="169"/>
      <c r="B366" s="169"/>
      <c r="C366" s="169"/>
      <c r="D366" s="169"/>
      <c r="E366" s="169"/>
      <c r="F366" s="169"/>
      <c r="G366" s="169"/>
      <c r="H366" s="169"/>
      <c r="I366" s="169"/>
      <c r="J366" s="169"/>
      <c r="K366" s="169"/>
      <c r="L366" s="169"/>
      <c r="M366" s="169"/>
      <c r="N366" s="169"/>
      <c r="O366" s="169"/>
      <c r="P366" s="169"/>
      <c r="Q366" s="169"/>
      <c r="R366" s="169"/>
      <c r="S366" s="169"/>
      <c r="T366" s="169"/>
      <c r="U366" s="169"/>
      <c r="V366" s="169"/>
      <c r="W366" s="169"/>
      <c r="X366" s="169"/>
      <c r="Y366" s="169"/>
      <c r="Z366" s="169"/>
    </row>
    <row r="367" spans="1:26" ht="15.75" customHeight="1" x14ac:dyDescent="0.25">
      <c r="A367" s="169"/>
      <c r="B367" s="169"/>
      <c r="C367" s="169"/>
      <c r="D367" s="169"/>
      <c r="E367" s="169"/>
      <c r="F367" s="169"/>
      <c r="G367" s="169"/>
      <c r="H367" s="169"/>
      <c r="I367" s="169"/>
      <c r="J367" s="169"/>
      <c r="K367" s="169"/>
      <c r="L367" s="169"/>
      <c r="M367" s="169"/>
      <c r="N367" s="169"/>
      <c r="O367" s="169"/>
      <c r="P367" s="169"/>
      <c r="Q367" s="169"/>
      <c r="R367" s="169"/>
      <c r="S367" s="169"/>
      <c r="T367" s="169"/>
      <c r="U367" s="169"/>
      <c r="V367" s="169"/>
      <c r="W367" s="169"/>
      <c r="X367" s="169"/>
      <c r="Y367" s="169"/>
      <c r="Z367" s="169"/>
    </row>
    <row r="368" spans="1:26" ht="15.75" customHeight="1" x14ac:dyDescent="0.25">
      <c r="A368" s="169"/>
      <c r="B368" s="169"/>
      <c r="C368" s="169"/>
      <c r="D368" s="169"/>
      <c r="E368" s="169"/>
      <c r="F368" s="169"/>
      <c r="G368" s="169"/>
      <c r="H368" s="169"/>
      <c r="I368" s="169"/>
      <c r="J368" s="169"/>
      <c r="K368" s="169"/>
      <c r="L368" s="169"/>
      <c r="M368" s="169"/>
      <c r="N368" s="169"/>
      <c r="O368" s="169"/>
      <c r="P368" s="169"/>
      <c r="Q368" s="169"/>
      <c r="R368" s="169"/>
      <c r="S368" s="169"/>
      <c r="T368" s="169"/>
      <c r="U368" s="169"/>
      <c r="V368" s="169"/>
      <c r="W368" s="169"/>
      <c r="X368" s="169"/>
      <c r="Y368" s="169"/>
      <c r="Z368" s="169"/>
    </row>
    <row r="369" spans="1:26" ht="15.75" customHeight="1" x14ac:dyDescent="0.25">
      <c r="A369" s="169"/>
      <c r="B369" s="169"/>
      <c r="C369" s="169"/>
      <c r="D369" s="169"/>
      <c r="E369" s="169"/>
      <c r="F369" s="169"/>
      <c r="G369" s="169"/>
      <c r="H369" s="169"/>
      <c r="I369" s="169"/>
      <c r="J369" s="169"/>
      <c r="K369" s="169"/>
      <c r="L369" s="169"/>
      <c r="M369" s="169"/>
      <c r="N369" s="169"/>
      <c r="O369" s="169"/>
      <c r="P369" s="169"/>
      <c r="Q369" s="169"/>
      <c r="R369" s="169"/>
      <c r="S369" s="169"/>
      <c r="T369" s="169"/>
      <c r="U369" s="169"/>
      <c r="V369" s="169"/>
      <c r="W369" s="169"/>
      <c r="X369" s="169"/>
      <c r="Y369" s="169"/>
      <c r="Z369" s="169"/>
    </row>
    <row r="370" spans="1:26" ht="15.75" customHeight="1" x14ac:dyDescent="0.25">
      <c r="A370" s="169"/>
      <c r="B370" s="169"/>
      <c r="C370" s="169"/>
      <c r="D370" s="169"/>
      <c r="E370" s="169"/>
      <c r="F370" s="169"/>
      <c r="G370" s="169"/>
      <c r="H370" s="169"/>
      <c r="I370" s="169"/>
      <c r="J370" s="169"/>
      <c r="K370" s="169"/>
      <c r="L370" s="169"/>
      <c r="M370" s="169"/>
      <c r="N370" s="169"/>
      <c r="O370" s="169"/>
      <c r="P370" s="169"/>
      <c r="Q370" s="169"/>
      <c r="R370" s="169"/>
      <c r="S370" s="169"/>
      <c r="T370" s="169"/>
      <c r="U370" s="169"/>
      <c r="V370" s="169"/>
      <c r="W370" s="169"/>
      <c r="X370" s="169"/>
      <c r="Y370" s="169"/>
      <c r="Z370" s="169"/>
    </row>
    <row r="371" spans="1:26" ht="15.75" customHeight="1" x14ac:dyDescent="0.25">
      <c r="A371" s="169"/>
      <c r="B371" s="169"/>
      <c r="C371" s="169"/>
      <c r="D371" s="169"/>
      <c r="E371" s="169"/>
      <c r="F371" s="169"/>
      <c r="G371" s="169"/>
      <c r="H371" s="169"/>
      <c r="I371" s="169"/>
      <c r="J371" s="169"/>
      <c r="K371" s="169"/>
      <c r="L371" s="169"/>
      <c r="M371" s="169"/>
      <c r="N371" s="169"/>
      <c r="O371" s="169"/>
      <c r="P371" s="169"/>
      <c r="Q371" s="169"/>
      <c r="R371" s="169"/>
      <c r="S371" s="169"/>
      <c r="T371" s="169"/>
      <c r="U371" s="169"/>
      <c r="V371" s="169"/>
      <c r="W371" s="169"/>
      <c r="X371" s="169"/>
      <c r="Y371" s="169"/>
      <c r="Z371" s="169"/>
    </row>
    <row r="372" spans="1:26" ht="15.75" customHeight="1" x14ac:dyDescent="0.25">
      <c r="A372" s="169"/>
      <c r="B372" s="169"/>
      <c r="C372" s="169"/>
      <c r="D372" s="169"/>
      <c r="E372" s="169"/>
      <c r="F372" s="169"/>
      <c r="G372" s="169"/>
      <c r="H372" s="169"/>
      <c r="I372" s="169"/>
      <c r="J372" s="169"/>
      <c r="K372" s="169"/>
      <c r="L372" s="169"/>
      <c r="M372" s="169"/>
      <c r="N372" s="169"/>
      <c r="O372" s="169"/>
      <c r="P372" s="169"/>
      <c r="Q372" s="169"/>
      <c r="R372" s="169"/>
      <c r="S372" s="169"/>
      <c r="T372" s="169"/>
      <c r="U372" s="169"/>
      <c r="V372" s="169"/>
      <c r="W372" s="169"/>
      <c r="X372" s="169"/>
      <c r="Y372" s="169"/>
      <c r="Z372" s="169"/>
    </row>
    <row r="373" spans="1:26" ht="15.75" customHeight="1" x14ac:dyDescent="0.25">
      <c r="A373" s="169"/>
      <c r="B373" s="169"/>
      <c r="C373" s="169"/>
      <c r="D373" s="169"/>
      <c r="E373" s="169"/>
      <c r="F373" s="169"/>
      <c r="G373" s="169"/>
      <c r="H373" s="169"/>
      <c r="I373" s="169"/>
      <c r="J373" s="169"/>
      <c r="K373" s="169"/>
      <c r="L373" s="169"/>
      <c r="M373" s="169"/>
      <c r="N373" s="169"/>
      <c r="O373" s="169"/>
      <c r="P373" s="169"/>
      <c r="Q373" s="169"/>
      <c r="R373" s="169"/>
      <c r="S373" s="169"/>
      <c r="T373" s="169"/>
      <c r="U373" s="169"/>
      <c r="V373" s="169"/>
      <c r="W373" s="169"/>
      <c r="X373" s="169"/>
      <c r="Y373" s="169"/>
      <c r="Z373" s="169"/>
    </row>
    <row r="374" spans="1:26" ht="15.75" customHeight="1" x14ac:dyDescent="0.25">
      <c r="A374" s="169"/>
      <c r="B374" s="169"/>
      <c r="C374" s="169"/>
      <c r="D374" s="169"/>
      <c r="E374" s="169"/>
      <c r="F374" s="169"/>
      <c r="G374" s="169"/>
      <c r="H374" s="169"/>
      <c r="I374" s="169"/>
      <c r="J374" s="169"/>
      <c r="K374" s="169"/>
      <c r="L374" s="169"/>
      <c r="M374" s="169"/>
      <c r="N374" s="169"/>
      <c r="O374" s="169"/>
      <c r="P374" s="169"/>
      <c r="Q374" s="169"/>
      <c r="R374" s="169"/>
      <c r="S374" s="169"/>
      <c r="T374" s="169"/>
      <c r="U374" s="169"/>
      <c r="V374" s="169"/>
      <c r="W374" s="169"/>
      <c r="X374" s="169"/>
      <c r="Y374" s="169"/>
      <c r="Z374" s="169"/>
    </row>
    <row r="375" spans="1:26" ht="15.75" customHeight="1" x14ac:dyDescent="0.25">
      <c r="A375" s="169"/>
      <c r="B375" s="169"/>
      <c r="C375" s="169"/>
      <c r="D375" s="169"/>
      <c r="E375" s="169"/>
      <c r="F375" s="169"/>
      <c r="G375" s="169"/>
      <c r="H375" s="169"/>
      <c r="I375" s="169"/>
      <c r="J375" s="169"/>
      <c r="K375" s="169"/>
      <c r="L375" s="169"/>
      <c r="M375" s="169"/>
      <c r="N375" s="169"/>
      <c r="O375" s="169"/>
      <c r="P375" s="169"/>
      <c r="Q375" s="169"/>
      <c r="R375" s="169"/>
      <c r="S375" s="169"/>
      <c r="T375" s="169"/>
      <c r="U375" s="169"/>
      <c r="V375" s="169"/>
      <c r="W375" s="169"/>
      <c r="X375" s="169"/>
      <c r="Y375" s="169"/>
      <c r="Z375" s="169"/>
    </row>
    <row r="376" spans="1:26" ht="15.75" customHeight="1" x14ac:dyDescent="0.25">
      <c r="A376" s="169"/>
      <c r="B376" s="169"/>
      <c r="C376" s="169"/>
      <c r="D376" s="169"/>
      <c r="E376" s="169"/>
      <c r="F376" s="169"/>
      <c r="G376" s="169"/>
      <c r="H376" s="169"/>
      <c r="I376" s="169"/>
      <c r="J376" s="169"/>
      <c r="K376" s="169"/>
      <c r="L376" s="169"/>
      <c r="M376" s="169"/>
      <c r="N376" s="169"/>
      <c r="O376" s="169"/>
      <c r="P376" s="169"/>
      <c r="Q376" s="169"/>
      <c r="R376" s="169"/>
      <c r="S376" s="169"/>
      <c r="T376" s="169"/>
      <c r="U376" s="169"/>
      <c r="V376" s="169"/>
      <c r="W376" s="169"/>
      <c r="X376" s="169"/>
      <c r="Y376" s="169"/>
      <c r="Z376" s="169"/>
    </row>
    <row r="377" spans="1:26" ht="15.75" customHeight="1" x14ac:dyDescent="0.25">
      <c r="A377" s="169"/>
      <c r="B377" s="169"/>
      <c r="C377" s="169"/>
      <c r="D377" s="169"/>
      <c r="E377" s="169"/>
      <c r="F377" s="169"/>
      <c r="G377" s="169"/>
      <c r="H377" s="169"/>
      <c r="I377" s="169"/>
      <c r="J377" s="169"/>
      <c r="K377" s="169"/>
      <c r="L377" s="169"/>
      <c r="M377" s="169"/>
      <c r="N377" s="169"/>
      <c r="O377" s="169"/>
      <c r="P377" s="169"/>
      <c r="Q377" s="169"/>
      <c r="R377" s="169"/>
      <c r="S377" s="169"/>
      <c r="T377" s="169"/>
      <c r="U377" s="169"/>
      <c r="V377" s="169"/>
      <c r="W377" s="169"/>
      <c r="X377" s="169"/>
      <c r="Y377" s="169"/>
      <c r="Z377" s="169"/>
    </row>
    <row r="378" spans="1:26" ht="15.75" customHeight="1" x14ac:dyDescent="0.25">
      <c r="A378" s="169"/>
      <c r="B378" s="169"/>
      <c r="C378" s="169"/>
      <c r="D378" s="169"/>
      <c r="E378" s="169"/>
      <c r="F378" s="169"/>
      <c r="G378" s="169"/>
      <c r="H378" s="169"/>
      <c r="I378" s="169"/>
      <c r="J378" s="169"/>
      <c r="K378" s="169"/>
      <c r="L378" s="169"/>
      <c r="M378" s="169"/>
      <c r="N378" s="169"/>
      <c r="O378" s="169"/>
      <c r="P378" s="169"/>
      <c r="Q378" s="169"/>
      <c r="R378" s="169"/>
      <c r="S378" s="169"/>
      <c r="T378" s="169"/>
      <c r="U378" s="169"/>
      <c r="V378" s="169"/>
      <c r="W378" s="169"/>
      <c r="X378" s="169"/>
      <c r="Y378" s="169"/>
      <c r="Z378" s="169"/>
    </row>
    <row r="379" spans="1:26" ht="15.75" customHeight="1" x14ac:dyDescent="0.25">
      <c r="A379" s="169"/>
      <c r="B379" s="169"/>
      <c r="C379" s="169"/>
      <c r="D379" s="169"/>
      <c r="E379" s="169"/>
      <c r="F379" s="169"/>
      <c r="G379" s="169"/>
      <c r="H379" s="169"/>
      <c r="I379" s="169"/>
      <c r="J379" s="169"/>
      <c r="K379" s="169"/>
      <c r="L379" s="169"/>
      <c r="M379" s="169"/>
      <c r="N379" s="169"/>
      <c r="O379" s="169"/>
      <c r="P379" s="169"/>
      <c r="Q379" s="169"/>
      <c r="R379" s="169"/>
      <c r="S379" s="169"/>
      <c r="T379" s="169"/>
      <c r="U379" s="169"/>
      <c r="V379" s="169"/>
      <c r="W379" s="169"/>
      <c r="X379" s="169"/>
      <c r="Y379" s="169"/>
      <c r="Z379" s="169"/>
    </row>
    <row r="380" spans="1:26" ht="15.75" customHeight="1" x14ac:dyDescent="0.25">
      <c r="A380" s="169"/>
      <c r="B380" s="169"/>
      <c r="C380" s="169"/>
      <c r="D380" s="169"/>
      <c r="E380" s="169"/>
      <c r="F380" s="169"/>
      <c r="G380" s="169"/>
      <c r="H380" s="169"/>
      <c r="I380" s="169"/>
      <c r="J380" s="169"/>
      <c r="K380" s="169"/>
      <c r="L380" s="169"/>
      <c r="M380" s="169"/>
      <c r="N380" s="169"/>
      <c r="O380" s="169"/>
      <c r="P380" s="169"/>
      <c r="Q380" s="169"/>
      <c r="R380" s="169"/>
      <c r="S380" s="169"/>
      <c r="T380" s="169"/>
      <c r="U380" s="169"/>
      <c r="V380" s="169"/>
      <c r="W380" s="169"/>
      <c r="X380" s="169"/>
      <c r="Y380" s="169"/>
      <c r="Z380" s="169"/>
    </row>
    <row r="381" spans="1:26" ht="15.75" customHeight="1" x14ac:dyDescent="0.25">
      <c r="A381" s="169"/>
      <c r="B381" s="169"/>
      <c r="C381" s="169"/>
      <c r="D381" s="169"/>
      <c r="E381" s="169"/>
      <c r="F381" s="169"/>
      <c r="G381" s="169"/>
      <c r="H381" s="169"/>
      <c r="I381" s="169"/>
      <c r="J381" s="169"/>
      <c r="K381" s="169"/>
      <c r="L381" s="169"/>
      <c r="M381" s="169"/>
      <c r="N381" s="169"/>
      <c r="O381" s="169"/>
      <c r="P381" s="169"/>
      <c r="Q381" s="169"/>
      <c r="R381" s="169"/>
      <c r="S381" s="169"/>
      <c r="T381" s="169"/>
      <c r="U381" s="169"/>
      <c r="V381" s="169"/>
      <c r="W381" s="169"/>
      <c r="X381" s="169"/>
      <c r="Y381" s="169"/>
      <c r="Z381" s="169"/>
    </row>
    <row r="382" spans="1:26" ht="15.75" customHeight="1" x14ac:dyDescent="0.25">
      <c r="A382" s="169"/>
      <c r="B382" s="169"/>
      <c r="C382" s="169"/>
      <c r="D382" s="169"/>
      <c r="E382" s="169"/>
      <c r="F382" s="169"/>
      <c r="G382" s="169"/>
      <c r="H382" s="169"/>
      <c r="I382" s="169"/>
      <c r="J382" s="169"/>
      <c r="K382" s="169"/>
      <c r="L382" s="169"/>
      <c r="M382" s="169"/>
      <c r="N382" s="169"/>
      <c r="O382" s="169"/>
      <c r="P382" s="169"/>
      <c r="Q382" s="169"/>
      <c r="R382" s="169"/>
      <c r="S382" s="169"/>
      <c r="T382" s="169"/>
      <c r="U382" s="169"/>
      <c r="V382" s="169"/>
      <c r="W382" s="169"/>
      <c r="X382" s="169"/>
      <c r="Y382" s="169"/>
      <c r="Z382" s="169"/>
    </row>
    <row r="383" spans="1:26" ht="15.75" customHeight="1" x14ac:dyDescent="0.25">
      <c r="A383" s="169"/>
      <c r="B383" s="169"/>
      <c r="C383" s="169"/>
      <c r="D383" s="169"/>
      <c r="E383" s="169"/>
      <c r="F383" s="169"/>
      <c r="G383" s="169"/>
      <c r="H383" s="169"/>
      <c r="I383" s="169"/>
      <c r="J383" s="169"/>
      <c r="K383" s="169"/>
      <c r="L383" s="169"/>
      <c r="M383" s="169"/>
      <c r="N383" s="169"/>
      <c r="O383" s="169"/>
      <c r="P383" s="169"/>
      <c r="Q383" s="169"/>
      <c r="R383" s="169"/>
      <c r="S383" s="169"/>
      <c r="T383" s="169"/>
      <c r="U383" s="169"/>
      <c r="V383" s="169"/>
      <c r="W383" s="169"/>
      <c r="X383" s="169"/>
      <c r="Y383" s="169"/>
      <c r="Z383" s="169"/>
    </row>
    <row r="384" spans="1:26" ht="15.75" customHeight="1" x14ac:dyDescent="0.25">
      <c r="A384" s="169"/>
      <c r="B384" s="169"/>
      <c r="C384" s="169"/>
      <c r="D384" s="169"/>
      <c r="E384" s="169"/>
      <c r="F384" s="169"/>
      <c r="G384" s="169"/>
      <c r="H384" s="169"/>
      <c r="I384" s="169"/>
      <c r="J384" s="169"/>
      <c r="K384" s="169"/>
      <c r="L384" s="169"/>
      <c r="M384" s="169"/>
      <c r="N384" s="169"/>
      <c r="O384" s="169"/>
      <c r="P384" s="169"/>
      <c r="Q384" s="169"/>
      <c r="R384" s="169"/>
      <c r="S384" s="169"/>
      <c r="T384" s="169"/>
      <c r="U384" s="169"/>
      <c r="V384" s="169"/>
      <c r="W384" s="169"/>
      <c r="X384" s="169"/>
      <c r="Y384" s="169"/>
      <c r="Z384" s="169"/>
    </row>
    <row r="385" spans="1:26" ht="15.75" customHeight="1" x14ac:dyDescent="0.25">
      <c r="A385" s="169"/>
      <c r="B385" s="169"/>
      <c r="C385" s="169"/>
      <c r="D385" s="169"/>
      <c r="E385" s="169"/>
      <c r="F385" s="169"/>
      <c r="G385" s="169"/>
      <c r="H385" s="169"/>
      <c r="I385" s="169"/>
      <c r="J385" s="169"/>
      <c r="K385" s="169"/>
      <c r="L385" s="169"/>
      <c r="M385" s="169"/>
      <c r="N385" s="169"/>
      <c r="O385" s="169"/>
      <c r="P385" s="169"/>
      <c r="Q385" s="169"/>
      <c r="R385" s="169"/>
      <c r="S385" s="169"/>
      <c r="T385" s="169"/>
      <c r="U385" s="169"/>
      <c r="V385" s="169"/>
      <c r="W385" s="169"/>
      <c r="X385" s="169"/>
      <c r="Y385" s="169"/>
      <c r="Z385" s="169"/>
    </row>
    <row r="386" spans="1:26" ht="15.75" customHeight="1" x14ac:dyDescent="0.25">
      <c r="A386" s="169"/>
      <c r="B386" s="169"/>
      <c r="C386" s="169"/>
      <c r="D386" s="169"/>
      <c r="E386" s="169"/>
      <c r="F386" s="169"/>
      <c r="G386" s="169"/>
      <c r="H386" s="169"/>
      <c r="I386" s="169"/>
      <c r="J386" s="169"/>
      <c r="K386" s="169"/>
      <c r="L386" s="169"/>
      <c r="M386" s="169"/>
      <c r="N386" s="169"/>
      <c r="O386" s="169"/>
      <c r="P386" s="169"/>
      <c r="Q386" s="169"/>
      <c r="R386" s="169"/>
      <c r="S386" s="169"/>
      <c r="T386" s="169"/>
      <c r="U386" s="169"/>
      <c r="V386" s="169"/>
      <c r="W386" s="169"/>
      <c r="X386" s="169"/>
      <c r="Y386" s="169"/>
      <c r="Z386" s="169"/>
    </row>
    <row r="387" spans="1:26" ht="15.75" customHeight="1" x14ac:dyDescent="0.25">
      <c r="A387" s="169"/>
      <c r="B387" s="169"/>
      <c r="C387" s="169"/>
      <c r="D387" s="169"/>
      <c r="E387" s="169"/>
      <c r="F387" s="169"/>
      <c r="G387" s="169"/>
      <c r="H387" s="169"/>
      <c r="I387" s="169"/>
      <c r="J387" s="169"/>
      <c r="K387" s="169"/>
      <c r="L387" s="169"/>
      <c r="M387" s="169"/>
      <c r="N387" s="169"/>
      <c r="O387" s="169"/>
      <c r="P387" s="169"/>
      <c r="Q387" s="169"/>
      <c r="R387" s="169"/>
      <c r="S387" s="169"/>
      <c r="T387" s="169"/>
      <c r="U387" s="169"/>
      <c r="V387" s="169"/>
      <c r="W387" s="169"/>
      <c r="X387" s="169"/>
      <c r="Y387" s="169"/>
      <c r="Z387" s="169"/>
    </row>
    <row r="388" spans="1:26" ht="15.75" customHeight="1" x14ac:dyDescent="0.25">
      <c r="A388" s="169"/>
      <c r="B388" s="169"/>
      <c r="C388" s="169"/>
      <c r="D388" s="169"/>
      <c r="E388" s="169"/>
      <c r="F388" s="169"/>
      <c r="G388" s="169"/>
      <c r="H388" s="169"/>
      <c r="I388" s="169"/>
      <c r="J388" s="169"/>
      <c r="K388" s="169"/>
      <c r="L388" s="169"/>
      <c r="M388" s="169"/>
      <c r="N388" s="169"/>
      <c r="O388" s="169"/>
      <c r="P388" s="169"/>
      <c r="Q388" s="169"/>
      <c r="R388" s="169"/>
      <c r="S388" s="169"/>
      <c r="T388" s="169"/>
      <c r="U388" s="169"/>
      <c r="V388" s="169"/>
      <c r="W388" s="169"/>
      <c r="X388" s="169"/>
      <c r="Y388" s="169"/>
      <c r="Z388" s="169"/>
    </row>
    <row r="389" spans="1:26" ht="15.75" customHeight="1" x14ac:dyDescent="0.25">
      <c r="A389" s="169"/>
      <c r="B389" s="169"/>
      <c r="C389" s="169"/>
      <c r="D389" s="169"/>
      <c r="E389" s="169"/>
      <c r="F389" s="169"/>
      <c r="G389" s="169"/>
      <c r="H389" s="169"/>
      <c r="I389" s="169"/>
      <c r="J389" s="169"/>
      <c r="K389" s="169"/>
      <c r="L389" s="169"/>
      <c r="M389" s="169"/>
      <c r="N389" s="169"/>
      <c r="O389" s="169"/>
      <c r="P389" s="169"/>
      <c r="Q389" s="169"/>
      <c r="R389" s="169"/>
      <c r="S389" s="169"/>
      <c r="T389" s="169"/>
      <c r="U389" s="169"/>
      <c r="V389" s="169"/>
      <c r="W389" s="169"/>
      <c r="X389" s="169"/>
      <c r="Y389" s="169"/>
      <c r="Z389" s="169"/>
    </row>
    <row r="390" spans="1:26" ht="15.75" customHeight="1" x14ac:dyDescent="0.25">
      <c r="A390" s="169"/>
      <c r="B390" s="169"/>
      <c r="C390" s="169"/>
      <c r="D390" s="169"/>
      <c r="E390" s="169"/>
      <c r="F390" s="169"/>
      <c r="G390" s="169"/>
      <c r="H390" s="169"/>
      <c r="I390" s="169"/>
      <c r="J390" s="169"/>
      <c r="K390" s="169"/>
      <c r="L390" s="169"/>
      <c r="M390" s="169"/>
      <c r="N390" s="169"/>
      <c r="O390" s="169"/>
      <c r="P390" s="169"/>
      <c r="Q390" s="169"/>
      <c r="R390" s="169"/>
      <c r="S390" s="169"/>
      <c r="T390" s="169"/>
      <c r="U390" s="169"/>
      <c r="V390" s="169"/>
      <c r="W390" s="169"/>
      <c r="X390" s="169"/>
      <c r="Y390" s="169"/>
      <c r="Z390" s="169"/>
    </row>
    <row r="391" spans="1:26" ht="15.75" customHeight="1" x14ac:dyDescent="0.25">
      <c r="A391" s="169"/>
      <c r="B391" s="169"/>
      <c r="C391" s="169"/>
      <c r="D391" s="169"/>
      <c r="E391" s="169"/>
      <c r="F391" s="169"/>
      <c r="G391" s="169"/>
      <c r="H391" s="169"/>
      <c r="I391" s="169"/>
      <c r="J391" s="169"/>
      <c r="K391" s="169"/>
      <c r="L391" s="169"/>
      <c r="M391" s="169"/>
      <c r="N391" s="169"/>
      <c r="O391" s="169"/>
      <c r="P391" s="169"/>
      <c r="Q391" s="169"/>
      <c r="R391" s="169"/>
      <c r="S391" s="169"/>
      <c r="T391" s="169"/>
      <c r="U391" s="169"/>
      <c r="V391" s="169"/>
      <c r="W391" s="169"/>
      <c r="X391" s="169"/>
      <c r="Y391" s="169"/>
      <c r="Z391" s="169"/>
    </row>
    <row r="392" spans="1:26" ht="15.75" customHeight="1" x14ac:dyDescent="0.25">
      <c r="A392" s="169"/>
      <c r="B392" s="169"/>
      <c r="C392" s="169"/>
      <c r="D392" s="169"/>
      <c r="E392" s="169"/>
      <c r="F392" s="169"/>
      <c r="G392" s="169"/>
      <c r="H392" s="169"/>
      <c r="I392" s="169"/>
      <c r="J392" s="169"/>
      <c r="K392" s="169"/>
      <c r="L392" s="169"/>
      <c r="M392" s="169"/>
      <c r="N392" s="169"/>
      <c r="O392" s="169"/>
      <c r="P392" s="169"/>
      <c r="Q392" s="169"/>
      <c r="R392" s="169"/>
      <c r="S392" s="169"/>
      <c r="T392" s="169"/>
      <c r="U392" s="169"/>
      <c r="V392" s="169"/>
      <c r="W392" s="169"/>
      <c r="X392" s="169"/>
      <c r="Y392" s="169"/>
      <c r="Z392" s="169"/>
    </row>
    <row r="393" spans="1:26" ht="15.75" customHeight="1" x14ac:dyDescent="0.25">
      <c r="A393" s="169"/>
      <c r="B393" s="169"/>
      <c r="C393" s="169"/>
      <c r="D393" s="169"/>
      <c r="E393" s="169"/>
      <c r="F393" s="169"/>
      <c r="G393" s="169"/>
      <c r="H393" s="169"/>
      <c r="I393" s="169"/>
      <c r="J393" s="169"/>
      <c r="K393" s="169"/>
      <c r="L393" s="169"/>
      <c r="M393" s="169"/>
      <c r="N393" s="169"/>
      <c r="O393" s="169"/>
      <c r="P393" s="169"/>
      <c r="Q393" s="169"/>
      <c r="R393" s="169"/>
      <c r="S393" s="169"/>
      <c r="T393" s="169"/>
      <c r="U393" s="169"/>
      <c r="V393" s="169"/>
      <c r="W393" s="169"/>
      <c r="X393" s="169"/>
      <c r="Y393" s="169"/>
      <c r="Z393" s="169"/>
    </row>
    <row r="394" spans="1:26" ht="15.75" customHeight="1" x14ac:dyDescent="0.25">
      <c r="A394" s="169"/>
      <c r="B394" s="169"/>
      <c r="C394" s="169"/>
      <c r="D394" s="169"/>
      <c r="E394" s="169"/>
      <c r="F394" s="169"/>
      <c r="G394" s="169"/>
      <c r="H394" s="169"/>
      <c r="I394" s="169"/>
      <c r="J394" s="169"/>
      <c r="K394" s="169"/>
      <c r="L394" s="169"/>
      <c r="M394" s="169"/>
      <c r="N394" s="169"/>
      <c r="O394" s="169"/>
      <c r="P394" s="169"/>
      <c r="Q394" s="169"/>
      <c r="R394" s="169"/>
      <c r="S394" s="169"/>
      <c r="T394" s="169"/>
      <c r="U394" s="169"/>
      <c r="V394" s="169"/>
      <c r="W394" s="169"/>
      <c r="X394" s="169"/>
      <c r="Y394" s="169"/>
      <c r="Z394" s="169"/>
    </row>
    <row r="395" spans="1:26" ht="15.75" customHeight="1" x14ac:dyDescent="0.25">
      <c r="A395" s="169"/>
      <c r="B395" s="169"/>
      <c r="C395" s="169"/>
      <c r="D395" s="169"/>
      <c r="E395" s="169"/>
      <c r="F395" s="169"/>
      <c r="G395" s="169"/>
      <c r="H395" s="169"/>
      <c r="I395" s="169"/>
      <c r="J395" s="169"/>
      <c r="K395" s="169"/>
      <c r="L395" s="169"/>
      <c r="M395" s="169"/>
      <c r="N395" s="169"/>
      <c r="O395" s="169"/>
      <c r="P395" s="169"/>
      <c r="Q395" s="169"/>
      <c r="R395" s="169"/>
      <c r="S395" s="169"/>
      <c r="T395" s="169"/>
      <c r="U395" s="169"/>
      <c r="V395" s="169"/>
      <c r="W395" s="169"/>
      <c r="X395" s="169"/>
      <c r="Y395" s="169"/>
      <c r="Z395" s="169"/>
    </row>
    <row r="396" spans="1:26" ht="15.75" customHeight="1" x14ac:dyDescent="0.25">
      <c r="A396" s="169"/>
      <c r="B396" s="169"/>
      <c r="C396" s="169"/>
      <c r="D396" s="169"/>
      <c r="E396" s="169"/>
      <c r="F396" s="169"/>
      <c r="G396" s="169"/>
      <c r="H396" s="169"/>
      <c r="I396" s="169"/>
      <c r="J396" s="169"/>
      <c r="K396" s="169"/>
      <c r="L396" s="169"/>
      <c r="M396" s="169"/>
      <c r="N396" s="169"/>
      <c r="O396" s="169"/>
      <c r="P396" s="169"/>
      <c r="Q396" s="169"/>
      <c r="R396" s="169"/>
      <c r="S396" s="169"/>
      <c r="T396" s="169"/>
      <c r="U396" s="169"/>
      <c r="V396" s="169"/>
      <c r="W396" s="169"/>
      <c r="X396" s="169"/>
      <c r="Y396" s="169"/>
      <c r="Z396" s="169"/>
    </row>
    <row r="397" spans="1:26" ht="15.75" customHeight="1" x14ac:dyDescent="0.25">
      <c r="A397" s="169"/>
      <c r="B397" s="169"/>
      <c r="C397" s="169"/>
      <c r="D397" s="169"/>
      <c r="E397" s="169"/>
      <c r="F397" s="169"/>
      <c r="G397" s="169"/>
      <c r="H397" s="169"/>
      <c r="I397" s="169"/>
      <c r="J397" s="169"/>
      <c r="K397" s="169"/>
      <c r="L397" s="169"/>
      <c r="M397" s="169"/>
      <c r="N397" s="169"/>
      <c r="O397" s="169"/>
      <c r="P397" s="169"/>
      <c r="Q397" s="169"/>
      <c r="R397" s="169"/>
      <c r="S397" s="169"/>
      <c r="T397" s="169"/>
      <c r="U397" s="169"/>
      <c r="V397" s="169"/>
      <c r="W397" s="169"/>
      <c r="X397" s="169"/>
      <c r="Y397" s="169"/>
      <c r="Z397" s="169"/>
    </row>
    <row r="398" spans="1:26" ht="15.75" customHeight="1" x14ac:dyDescent="0.25">
      <c r="A398" s="169"/>
      <c r="B398" s="169"/>
      <c r="C398" s="169"/>
      <c r="D398" s="169"/>
      <c r="E398" s="169"/>
      <c r="F398" s="169"/>
      <c r="G398" s="169"/>
      <c r="H398" s="169"/>
      <c r="I398" s="169"/>
      <c r="J398" s="169"/>
      <c r="K398" s="169"/>
      <c r="L398" s="169"/>
      <c r="M398" s="169"/>
      <c r="N398" s="169"/>
      <c r="O398" s="169"/>
      <c r="P398" s="169"/>
      <c r="Q398" s="169"/>
      <c r="R398" s="169"/>
      <c r="S398" s="169"/>
      <c r="T398" s="169"/>
      <c r="U398" s="169"/>
      <c r="V398" s="169"/>
      <c r="W398" s="169"/>
      <c r="X398" s="169"/>
      <c r="Y398" s="169"/>
      <c r="Z398" s="169"/>
    </row>
    <row r="399" spans="1:26" ht="15.75" customHeight="1" x14ac:dyDescent="0.25">
      <c r="A399" s="169"/>
      <c r="B399" s="169"/>
      <c r="C399" s="169"/>
      <c r="D399" s="169"/>
      <c r="E399" s="169"/>
      <c r="F399" s="169"/>
      <c r="G399" s="169"/>
      <c r="H399" s="169"/>
      <c r="I399" s="169"/>
      <c r="J399" s="169"/>
      <c r="K399" s="169"/>
      <c r="L399" s="169"/>
      <c r="M399" s="169"/>
      <c r="N399" s="169"/>
      <c r="O399" s="169"/>
      <c r="P399" s="169"/>
      <c r="Q399" s="169"/>
      <c r="R399" s="169"/>
      <c r="S399" s="169"/>
      <c r="T399" s="169"/>
      <c r="U399" s="169"/>
      <c r="V399" s="169"/>
      <c r="W399" s="169"/>
      <c r="X399" s="169"/>
      <c r="Y399" s="169"/>
      <c r="Z399" s="169"/>
    </row>
    <row r="400" spans="1:26" ht="15.75" customHeight="1" x14ac:dyDescent="0.25">
      <c r="A400" s="169"/>
      <c r="B400" s="169"/>
      <c r="C400" s="169"/>
      <c r="D400" s="169"/>
      <c r="E400" s="169"/>
      <c r="F400" s="169"/>
      <c r="G400" s="169"/>
      <c r="H400" s="169"/>
      <c r="I400" s="169"/>
      <c r="J400" s="169"/>
      <c r="K400" s="169"/>
      <c r="L400" s="169"/>
      <c r="M400" s="169"/>
      <c r="N400" s="169"/>
      <c r="O400" s="169"/>
      <c r="P400" s="169"/>
      <c r="Q400" s="169"/>
      <c r="R400" s="169"/>
      <c r="S400" s="169"/>
      <c r="T400" s="169"/>
      <c r="U400" s="169"/>
      <c r="V400" s="169"/>
      <c r="W400" s="169"/>
      <c r="X400" s="169"/>
      <c r="Y400" s="169"/>
      <c r="Z400" s="169"/>
    </row>
    <row r="401" spans="1:26" ht="15.75" customHeight="1" x14ac:dyDescent="0.25">
      <c r="A401" s="169"/>
      <c r="B401" s="169"/>
      <c r="C401" s="169"/>
      <c r="D401" s="169"/>
      <c r="E401" s="169"/>
      <c r="F401" s="169"/>
      <c r="G401" s="169"/>
      <c r="H401" s="169"/>
      <c r="I401" s="169"/>
      <c r="J401" s="169"/>
      <c r="K401" s="169"/>
      <c r="L401" s="169"/>
      <c r="M401" s="169"/>
      <c r="N401" s="169"/>
      <c r="O401" s="169"/>
      <c r="P401" s="169"/>
      <c r="Q401" s="169"/>
      <c r="R401" s="169"/>
      <c r="S401" s="169"/>
      <c r="T401" s="169"/>
      <c r="U401" s="169"/>
      <c r="V401" s="169"/>
      <c r="W401" s="169"/>
      <c r="X401" s="169"/>
      <c r="Y401" s="169"/>
      <c r="Z401" s="169"/>
    </row>
    <row r="402" spans="1:26" ht="15.75" customHeight="1" x14ac:dyDescent="0.25">
      <c r="A402" s="169"/>
      <c r="B402" s="169"/>
      <c r="C402" s="169"/>
      <c r="D402" s="169"/>
      <c r="E402" s="169"/>
      <c r="F402" s="169"/>
      <c r="G402" s="169"/>
      <c r="H402" s="169"/>
      <c r="I402" s="169"/>
      <c r="J402" s="169"/>
      <c r="K402" s="169"/>
      <c r="L402" s="169"/>
      <c r="M402" s="169"/>
      <c r="N402" s="169"/>
      <c r="O402" s="169"/>
      <c r="P402" s="169"/>
      <c r="Q402" s="169"/>
      <c r="R402" s="169"/>
      <c r="S402" s="169"/>
      <c r="T402" s="169"/>
      <c r="U402" s="169"/>
      <c r="V402" s="169"/>
      <c r="W402" s="169"/>
      <c r="X402" s="169"/>
      <c r="Y402" s="169"/>
      <c r="Z402" s="169"/>
    </row>
    <row r="403" spans="1:26" ht="15.75" customHeight="1" x14ac:dyDescent="0.25">
      <c r="A403" s="169"/>
      <c r="B403" s="169"/>
      <c r="C403" s="169"/>
      <c r="D403" s="169"/>
      <c r="E403" s="169"/>
      <c r="F403" s="169"/>
      <c r="G403" s="169"/>
      <c r="H403" s="169"/>
      <c r="I403" s="169"/>
      <c r="J403" s="169"/>
      <c r="K403" s="169"/>
      <c r="L403" s="169"/>
      <c r="M403" s="169"/>
      <c r="N403" s="169"/>
      <c r="O403" s="169"/>
      <c r="P403" s="169"/>
      <c r="Q403" s="169"/>
      <c r="R403" s="169"/>
      <c r="S403" s="169"/>
      <c r="T403" s="169"/>
      <c r="U403" s="169"/>
      <c r="V403" s="169"/>
      <c r="W403" s="169"/>
      <c r="X403" s="169"/>
      <c r="Y403" s="169"/>
      <c r="Z403" s="169"/>
    </row>
    <row r="404" spans="1:26" ht="15.75" customHeight="1" x14ac:dyDescent="0.25">
      <c r="A404" s="169"/>
      <c r="B404" s="169"/>
      <c r="C404" s="169"/>
      <c r="D404" s="169"/>
      <c r="E404" s="169"/>
      <c r="F404" s="169"/>
      <c r="G404" s="169"/>
      <c r="H404" s="169"/>
      <c r="I404" s="169"/>
      <c r="J404" s="169"/>
      <c r="K404" s="169"/>
      <c r="L404" s="169"/>
      <c r="M404" s="169"/>
      <c r="N404" s="169"/>
      <c r="O404" s="169"/>
      <c r="P404" s="169"/>
      <c r="Q404" s="169"/>
      <c r="R404" s="169"/>
      <c r="S404" s="169"/>
      <c r="T404" s="169"/>
      <c r="U404" s="169"/>
      <c r="V404" s="169"/>
      <c r="W404" s="169"/>
      <c r="X404" s="169"/>
      <c r="Y404" s="169"/>
      <c r="Z404" s="169"/>
    </row>
    <row r="405" spans="1:26" ht="15.75" customHeight="1" x14ac:dyDescent="0.25">
      <c r="A405" s="169"/>
      <c r="B405" s="169"/>
      <c r="C405" s="169"/>
      <c r="D405" s="169"/>
      <c r="E405" s="169"/>
      <c r="F405" s="169"/>
      <c r="G405" s="169"/>
      <c r="H405" s="169"/>
      <c r="I405" s="169"/>
      <c r="J405" s="169"/>
      <c r="K405" s="169"/>
      <c r="L405" s="169"/>
      <c r="M405" s="169"/>
      <c r="N405" s="169"/>
      <c r="O405" s="169"/>
      <c r="P405" s="169"/>
      <c r="Q405" s="169"/>
      <c r="R405" s="169"/>
      <c r="S405" s="169"/>
      <c r="T405" s="169"/>
      <c r="U405" s="169"/>
      <c r="V405" s="169"/>
      <c r="W405" s="169"/>
      <c r="X405" s="169"/>
      <c r="Y405" s="169"/>
      <c r="Z405" s="169"/>
    </row>
    <row r="406" spans="1:26" ht="15.75" customHeight="1" x14ac:dyDescent="0.25">
      <c r="A406" s="169"/>
      <c r="B406" s="169"/>
      <c r="C406" s="169"/>
      <c r="D406" s="169"/>
      <c r="E406" s="169"/>
      <c r="F406" s="169"/>
      <c r="G406" s="169"/>
      <c r="H406" s="169"/>
      <c r="I406" s="169"/>
      <c r="J406" s="169"/>
      <c r="K406" s="169"/>
      <c r="L406" s="169"/>
      <c r="M406" s="169"/>
      <c r="N406" s="169"/>
      <c r="O406" s="169"/>
      <c r="P406" s="169"/>
      <c r="Q406" s="169"/>
      <c r="R406" s="169"/>
      <c r="S406" s="169"/>
      <c r="T406" s="169"/>
      <c r="U406" s="169"/>
      <c r="V406" s="169"/>
      <c r="W406" s="169"/>
      <c r="X406" s="169"/>
      <c r="Y406" s="169"/>
      <c r="Z406" s="169"/>
    </row>
    <row r="407" spans="1:26" ht="15.75" customHeight="1" x14ac:dyDescent="0.25">
      <c r="A407" s="169"/>
      <c r="B407" s="169"/>
      <c r="C407" s="169"/>
      <c r="D407" s="169"/>
      <c r="E407" s="169"/>
      <c r="F407" s="169"/>
      <c r="G407" s="169"/>
      <c r="H407" s="169"/>
      <c r="I407" s="169"/>
      <c r="J407" s="169"/>
      <c r="K407" s="169"/>
      <c r="L407" s="169"/>
      <c r="M407" s="169"/>
      <c r="N407" s="169"/>
      <c r="O407" s="169"/>
      <c r="P407" s="169"/>
      <c r="Q407" s="169"/>
      <c r="R407" s="169"/>
      <c r="S407" s="169"/>
      <c r="T407" s="169"/>
      <c r="U407" s="169"/>
      <c r="V407" s="169"/>
      <c r="W407" s="169"/>
      <c r="X407" s="169"/>
      <c r="Y407" s="169"/>
      <c r="Z407" s="169"/>
    </row>
    <row r="408" spans="1:26" ht="15.75" customHeight="1" x14ac:dyDescent="0.25">
      <c r="A408" s="169"/>
      <c r="B408" s="169"/>
      <c r="C408" s="169"/>
      <c r="D408" s="169"/>
      <c r="E408" s="169"/>
      <c r="F408" s="169"/>
      <c r="G408" s="169"/>
      <c r="H408" s="169"/>
      <c r="I408" s="169"/>
      <c r="J408" s="169"/>
      <c r="K408" s="169"/>
      <c r="L408" s="169"/>
      <c r="M408" s="169"/>
      <c r="N408" s="169"/>
      <c r="O408" s="169"/>
      <c r="P408" s="169"/>
      <c r="Q408" s="169"/>
      <c r="R408" s="169"/>
      <c r="S408" s="169"/>
      <c r="T408" s="169"/>
      <c r="U408" s="169"/>
      <c r="V408" s="169"/>
      <c r="W408" s="169"/>
      <c r="X408" s="169"/>
      <c r="Y408" s="169"/>
      <c r="Z408" s="169"/>
    </row>
    <row r="409" spans="1:26" ht="15.75" customHeight="1" x14ac:dyDescent="0.25">
      <c r="A409" s="169"/>
      <c r="B409" s="169"/>
      <c r="C409" s="169"/>
      <c r="D409" s="169"/>
      <c r="E409" s="169"/>
      <c r="F409" s="169"/>
      <c r="G409" s="169"/>
      <c r="H409" s="169"/>
      <c r="I409" s="169"/>
      <c r="J409" s="169"/>
      <c r="K409" s="169"/>
      <c r="L409" s="169"/>
      <c r="M409" s="169"/>
      <c r="N409" s="169"/>
      <c r="O409" s="169"/>
      <c r="P409" s="169"/>
      <c r="Q409" s="169"/>
      <c r="R409" s="169"/>
      <c r="S409" s="169"/>
      <c r="T409" s="169"/>
      <c r="U409" s="169"/>
      <c r="V409" s="169"/>
      <c r="W409" s="169"/>
      <c r="X409" s="169"/>
      <c r="Y409" s="169"/>
      <c r="Z409" s="169"/>
    </row>
    <row r="410" spans="1:26" ht="15.75" customHeight="1" x14ac:dyDescent="0.25">
      <c r="A410" s="169"/>
      <c r="B410" s="169"/>
      <c r="C410" s="169"/>
      <c r="D410" s="169"/>
      <c r="E410" s="169"/>
      <c r="F410" s="169"/>
      <c r="G410" s="169"/>
      <c r="H410" s="169"/>
      <c r="I410" s="169"/>
      <c r="J410" s="169"/>
      <c r="K410" s="169"/>
      <c r="L410" s="169"/>
      <c r="M410" s="169"/>
      <c r="N410" s="169"/>
      <c r="O410" s="169"/>
      <c r="P410" s="169"/>
      <c r="Q410" s="169"/>
      <c r="R410" s="169"/>
      <c r="S410" s="169"/>
      <c r="T410" s="169"/>
      <c r="U410" s="169"/>
      <c r="V410" s="169"/>
      <c r="W410" s="169"/>
      <c r="X410" s="169"/>
      <c r="Y410" s="169"/>
      <c r="Z410" s="169"/>
    </row>
    <row r="411" spans="1:26" ht="15.75" customHeight="1" x14ac:dyDescent="0.25">
      <c r="A411" s="169"/>
      <c r="B411" s="169"/>
      <c r="C411" s="169"/>
      <c r="D411" s="169"/>
      <c r="E411" s="169"/>
      <c r="F411" s="169"/>
      <c r="G411" s="169"/>
      <c r="H411" s="169"/>
      <c r="I411" s="169"/>
      <c r="J411" s="169"/>
      <c r="K411" s="169"/>
      <c r="L411" s="169"/>
      <c r="M411" s="169"/>
      <c r="N411" s="169"/>
      <c r="O411" s="169"/>
      <c r="P411" s="169"/>
      <c r="Q411" s="169"/>
      <c r="R411" s="169"/>
      <c r="S411" s="169"/>
      <c r="T411" s="169"/>
      <c r="U411" s="169"/>
      <c r="V411" s="169"/>
      <c r="W411" s="169"/>
      <c r="X411" s="169"/>
      <c r="Y411" s="169"/>
      <c r="Z411" s="169"/>
    </row>
    <row r="412" spans="1:26" ht="15.75" customHeight="1" x14ac:dyDescent="0.25">
      <c r="A412" s="169"/>
      <c r="B412" s="169"/>
      <c r="C412" s="169"/>
      <c r="D412" s="169"/>
      <c r="E412" s="169"/>
      <c r="F412" s="169"/>
      <c r="G412" s="169"/>
      <c r="H412" s="169"/>
      <c r="I412" s="169"/>
      <c r="J412" s="169"/>
      <c r="K412" s="169"/>
      <c r="L412" s="169"/>
      <c r="M412" s="169"/>
      <c r="N412" s="169"/>
      <c r="O412" s="169"/>
      <c r="P412" s="169"/>
      <c r="Q412" s="169"/>
      <c r="R412" s="169"/>
      <c r="S412" s="169"/>
      <c r="T412" s="169"/>
      <c r="U412" s="169"/>
      <c r="V412" s="169"/>
      <c r="W412" s="169"/>
      <c r="X412" s="169"/>
      <c r="Y412" s="169"/>
      <c r="Z412" s="169"/>
    </row>
    <row r="413" spans="1:26" ht="15.75" customHeight="1" x14ac:dyDescent="0.25">
      <c r="A413" s="169"/>
      <c r="B413" s="169"/>
      <c r="C413" s="169"/>
      <c r="D413" s="169"/>
      <c r="E413" s="169"/>
      <c r="F413" s="169"/>
      <c r="G413" s="169"/>
      <c r="H413" s="169"/>
      <c r="I413" s="169"/>
      <c r="J413" s="169"/>
      <c r="K413" s="169"/>
      <c r="L413" s="169"/>
      <c r="M413" s="169"/>
      <c r="N413" s="169"/>
      <c r="O413" s="169"/>
      <c r="P413" s="169"/>
      <c r="Q413" s="169"/>
      <c r="R413" s="169"/>
      <c r="S413" s="169"/>
      <c r="T413" s="169"/>
      <c r="U413" s="169"/>
      <c r="V413" s="169"/>
      <c r="W413" s="169"/>
      <c r="X413" s="169"/>
      <c r="Y413" s="169"/>
      <c r="Z413" s="169"/>
    </row>
    <row r="414" spans="1:26" ht="15.75" customHeight="1" x14ac:dyDescent="0.25">
      <c r="A414" s="169"/>
      <c r="B414" s="169"/>
      <c r="C414" s="169"/>
      <c r="D414" s="169"/>
      <c r="E414" s="169"/>
      <c r="F414" s="169"/>
      <c r="G414" s="169"/>
      <c r="H414" s="169"/>
      <c r="I414" s="169"/>
      <c r="J414" s="169"/>
      <c r="K414" s="169"/>
      <c r="L414" s="169"/>
      <c r="M414" s="169"/>
      <c r="N414" s="169"/>
      <c r="O414" s="169"/>
      <c r="P414" s="169"/>
      <c r="Q414" s="169"/>
      <c r="R414" s="169"/>
      <c r="S414" s="169"/>
      <c r="T414" s="169"/>
      <c r="U414" s="169"/>
      <c r="V414" s="169"/>
      <c r="W414" s="169"/>
      <c r="X414" s="169"/>
      <c r="Y414" s="169"/>
      <c r="Z414" s="169"/>
    </row>
    <row r="415" spans="1:26" ht="15.75" customHeight="1" x14ac:dyDescent="0.25">
      <c r="A415" s="169"/>
      <c r="B415" s="169"/>
      <c r="C415" s="169"/>
      <c r="D415" s="169"/>
      <c r="E415" s="169"/>
      <c r="F415" s="169"/>
      <c r="G415" s="169"/>
      <c r="H415" s="169"/>
      <c r="I415" s="169"/>
      <c r="J415" s="169"/>
      <c r="K415" s="169"/>
      <c r="L415" s="169"/>
      <c r="M415" s="169"/>
      <c r="N415" s="169"/>
      <c r="O415" s="169"/>
      <c r="P415" s="169"/>
      <c r="Q415" s="169"/>
      <c r="R415" s="169"/>
      <c r="S415" s="169"/>
      <c r="T415" s="169"/>
      <c r="U415" s="169"/>
      <c r="V415" s="169"/>
      <c r="W415" s="169"/>
      <c r="X415" s="169"/>
      <c r="Y415" s="169"/>
      <c r="Z415" s="169"/>
    </row>
    <row r="416" spans="1:26" ht="15.75" customHeight="1" x14ac:dyDescent="0.25">
      <c r="A416" s="169"/>
      <c r="B416" s="169"/>
      <c r="C416" s="169"/>
      <c r="D416" s="169"/>
      <c r="E416" s="169"/>
      <c r="F416" s="169"/>
      <c r="G416" s="169"/>
      <c r="H416" s="169"/>
      <c r="I416" s="169"/>
      <c r="J416" s="169"/>
      <c r="K416" s="169"/>
      <c r="L416" s="169"/>
      <c r="M416" s="169"/>
      <c r="N416" s="169"/>
      <c r="O416" s="169"/>
      <c r="P416" s="169"/>
      <c r="Q416" s="169"/>
      <c r="R416" s="169"/>
      <c r="S416" s="169"/>
      <c r="T416" s="169"/>
      <c r="U416" s="169"/>
      <c r="V416" s="169"/>
      <c r="W416" s="169"/>
      <c r="X416" s="169"/>
      <c r="Y416" s="169"/>
      <c r="Z416" s="169"/>
    </row>
    <row r="417" spans="1:26" ht="15.75" customHeight="1" x14ac:dyDescent="0.25">
      <c r="A417" s="169"/>
      <c r="B417" s="169"/>
      <c r="C417" s="169"/>
      <c r="D417" s="169"/>
      <c r="E417" s="169"/>
      <c r="F417" s="169"/>
      <c r="G417" s="169"/>
      <c r="H417" s="169"/>
      <c r="I417" s="169"/>
      <c r="J417" s="169"/>
      <c r="K417" s="169"/>
      <c r="L417" s="169"/>
      <c r="M417" s="169"/>
      <c r="N417" s="169"/>
      <c r="O417" s="169"/>
      <c r="P417" s="169"/>
      <c r="Q417" s="169"/>
      <c r="R417" s="169"/>
      <c r="S417" s="169"/>
      <c r="T417" s="169"/>
      <c r="U417" s="169"/>
      <c r="V417" s="169"/>
      <c r="W417" s="169"/>
      <c r="X417" s="169"/>
      <c r="Y417" s="169"/>
      <c r="Z417" s="169"/>
    </row>
    <row r="418" spans="1:26" ht="15.75" customHeight="1" x14ac:dyDescent="0.25">
      <c r="A418" s="169"/>
      <c r="B418" s="169"/>
      <c r="C418" s="169"/>
      <c r="D418" s="169"/>
      <c r="E418" s="169"/>
      <c r="F418" s="169"/>
      <c r="G418" s="169"/>
      <c r="H418" s="169"/>
      <c r="I418" s="169"/>
      <c r="J418" s="169"/>
      <c r="K418" s="169"/>
      <c r="L418" s="169"/>
      <c r="M418" s="169"/>
      <c r="N418" s="169"/>
      <c r="O418" s="169"/>
      <c r="P418" s="169"/>
      <c r="Q418" s="169"/>
      <c r="R418" s="169"/>
      <c r="S418" s="169"/>
      <c r="T418" s="169"/>
      <c r="U418" s="169"/>
      <c r="V418" s="169"/>
      <c r="W418" s="169"/>
      <c r="X418" s="169"/>
      <c r="Y418" s="169"/>
      <c r="Z418" s="169"/>
    </row>
    <row r="419" spans="1:26" ht="15.75" customHeight="1" x14ac:dyDescent="0.25">
      <c r="A419" s="169"/>
      <c r="B419" s="169"/>
      <c r="C419" s="169"/>
      <c r="D419" s="169"/>
      <c r="E419" s="169"/>
      <c r="F419" s="169"/>
      <c r="G419" s="169"/>
      <c r="H419" s="169"/>
      <c r="I419" s="169"/>
      <c r="J419" s="169"/>
      <c r="K419" s="169"/>
      <c r="L419" s="169"/>
      <c r="M419" s="169"/>
      <c r="N419" s="169"/>
      <c r="O419" s="169"/>
      <c r="P419" s="169"/>
      <c r="Q419" s="169"/>
      <c r="R419" s="169"/>
      <c r="S419" s="169"/>
      <c r="T419" s="169"/>
      <c r="U419" s="169"/>
      <c r="V419" s="169"/>
      <c r="W419" s="169"/>
      <c r="X419" s="169"/>
      <c r="Y419" s="169"/>
      <c r="Z419" s="169"/>
    </row>
    <row r="420" spans="1:26" ht="15.75" customHeight="1" x14ac:dyDescent="0.25">
      <c r="A420" s="169"/>
      <c r="B420" s="169"/>
      <c r="C420" s="169"/>
      <c r="D420" s="169"/>
      <c r="E420" s="169"/>
      <c r="F420" s="169"/>
      <c r="G420" s="169"/>
      <c r="H420" s="169"/>
      <c r="I420" s="169"/>
      <c r="J420" s="169"/>
      <c r="K420" s="169"/>
      <c r="L420" s="169"/>
      <c r="M420" s="169"/>
      <c r="N420" s="169"/>
      <c r="O420" s="169"/>
      <c r="P420" s="169"/>
      <c r="Q420" s="169"/>
      <c r="R420" s="169"/>
      <c r="S420" s="169"/>
      <c r="T420" s="169"/>
      <c r="U420" s="169"/>
      <c r="V420" s="169"/>
      <c r="W420" s="169"/>
      <c r="X420" s="169"/>
      <c r="Y420" s="169"/>
      <c r="Z420" s="169"/>
    </row>
    <row r="421" spans="1:26" ht="15.75" customHeight="1" x14ac:dyDescent="0.25">
      <c r="A421" s="169"/>
      <c r="B421" s="169"/>
      <c r="C421" s="169"/>
      <c r="D421" s="169"/>
      <c r="E421" s="169"/>
      <c r="F421" s="169"/>
      <c r="G421" s="169"/>
      <c r="H421" s="169"/>
      <c r="I421" s="169"/>
      <c r="J421" s="169"/>
      <c r="K421" s="169"/>
      <c r="L421" s="169"/>
      <c r="M421" s="169"/>
      <c r="N421" s="169"/>
      <c r="O421" s="169"/>
      <c r="P421" s="169"/>
      <c r="Q421" s="169"/>
      <c r="R421" s="169"/>
      <c r="S421" s="169"/>
      <c r="T421" s="169"/>
      <c r="U421" s="169"/>
      <c r="V421" s="169"/>
      <c r="W421" s="169"/>
      <c r="X421" s="169"/>
      <c r="Y421" s="169"/>
      <c r="Z421" s="169"/>
    </row>
    <row r="422" spans="1:26" ht="15.75" customHeight="1" x14ac:dyDescent="0.25">
      <c r="A422" s="169"/>
      <c r="B422" s="169"/>
      <c r="C422" s="169"/>
      <c r="D422" s="169"/>
      <c r="E422" s="169"/>
      <c r="F422" s="169"/>
      <c r="G422" s="169"/>
      <c r="H422" s="169"/>
      <c r="I422" s="169"/>
      <c r="J422" s="169"/>
      <c r="K422" s="169"/>
      <c r="L422" s="169"/>
      <c r="M422" s="169"/>
      <c r="N422" s="169"/>
      <c r="O422" s="169"/>
      <c r="P422" s="169"/>
      <c r="Q422" s="169"/>
      <c r="R422" s="169"/>
      <c r="S422" s="169"/>
      <c r="T422" s="169"/>
      <c r="U422" s="169"/>
      <c r="V422" s="169"/>
      <c r="W422" s="169"/>
      <c r="X422" s="169"/>
      <c r="Y422" s="169"/>
      <c r="Z422" s="169"/>
    </row>
    <row r="423" spans="1:26" ht="15.75" customHeight="1" x14ac:dyDescent="0.25">
      <c r="A423" s="169"/>
      <c r="B423" s="169"/>
      <c r="C423" s="169"/>
      <c r="D423" s="169"/>
      <c r="E423" s="169"/>
      <c r="F423" s="169"/>
      <c r="G423" s="169"/>
      <c r="H423" s="169"/>
      <c r="I423" s="169"/>
      <c r="J423" s="169"/>
      <c r="K423" s="169"/>
      <c r="L423" s="169"/>
      <c r="M423" s="169"/>
      <c r="N423" s="169"/>
      <c r="O423" s="169"/>
      <c r="P423" s="169"/>
      <c r="Q423" s="169"/>
      <c r="R423" s="169"/>
      <c r="S423" s="169"/>
      <c r="T423" s="169"/>
      <c r="U423" s="169"/>
      <c r="V423" s="169"/>
      <c r="W423" s="169"/>
      <c r="X423" s="169"/>
      <c r="Y423" s="169"/>
      <c r="Z423" s="169"/>
    </row>
    <row r="424" spans="1:26" ht="15.75" customHeight="1" x14ac:dyDescent="0.25">
      <c r="A424" s="169"/>
      <c r="B424" s="169"/>
      <c r="C424" s="169"/>
      <c r="D424" s="169"/>
      <c r="E424" s="169"/>
      <c r="F424" s="169"/>
      <c r="G424" s="169"/>
      <c r="H424" s="169"/>
      <c r="I424" s="169"/>
      <c r="J424" s="169"/>
      <c r="K424" s="169"/>
      <c r="L424" s="169"/>
      <c r="M424" s="169"/>
      <c r="N424" s="169"/>
      <c r="O424" s="169"/>
      <c r="P424" s="169"/>
      <c r="Q424" s="169"/>
      <c r="R424" s="169"/>
      <c r="S424" s="169"/>
      <c r="T424" s="169"/>
      <c r="U424" s="169"/>
      <c r="V424" s="169"/>
      <c r="W424" s="169"/>
      <c r="X424" s="169"/>
      <c r="Y424" s="169"/>
      <c r="Z424" s="169"/>
    </row>
    <row r="425" spans="1:26" ht="15.75" customHeight="1" x14ac:dyDescent="0.25">
      <c r="A425" s="169"/>
      <c r="B425" s="169"/>
      <c r="C425" s="169"/>
      <c r="D425" s="169"/>
      <c r="E425" s="169"/>
      <c r="F425" s="169"/>
      <c r="G425" s="169"/>
      <c r="H425" s="169"/>
      <c r="I425" s="169"/>
      <c r="J425" s="169"/>
      <c r="K425" s="169"/>
      <c r="L425" s="169"/>
      <c r="M425" s="169"/>
      <c r="N425" s="169"/>
      <c r="O425" s="169"/>
      <c r="P425" s="169"/>
      <c r="Q425" s="169"/>
      <c r="R425" s="169"/>
      <c r="S425" s="169"/>
      <c r="T425" s="169"/>
      <c r="U425" s="169"/>
      <c r="V425" s="169"/>
      <c r="W425" s="169"/>
      <c r="X425" s="169"/>
      <c r="Y425" s="169"/>
      <c r="Z425" s="169"/>
    </row>
    <row r="426" spans="1:26" ht="15.75" customHeight="1" x14ac:dyDescent="0.25">
      <c r="A426" s="169"/>
      <c r="B426" s="169"/>
      <c r="C426" s="169"/>
      <c r="D426" s="169"/>
      <c r="E426" s="169"/>
      <c r="F426" s="169"/>
      <c r="G426" s="169"/>
      <c r="H426" s="169"/>
      <c r="I426" s="169"/>
      <c r="J426" s="169"/>
      <c r="K426" s="169"/>
      <c r="L426" s="169"/>
      <c r="M426" s="169"/>
      <c r="N426" s="169"/>
      <c r="O426" s="169"/>
      <c r="P426" s="169"/>
      <c r="Q426" s="169"/>
      <c r="R426" s="169"/>
      <c r="S426" s="169"/>
      <c r="T426" s="169"/>
      <c r="U426" s="169"/>
      <c r="V426" s="169"/>
      <c r="W426" s="169"/>
      <c r="X426" s="169"/>
      <c r="Y426" s="169"/>
      <c r="Z426" s="169"/>
    </row>
    <row r="427" spans="1:26" ht="15.75" customHeight="1" x14ac:dyDescent="0.25">
      <c r="A427" s="169"/>
      <c r="B427" s="169"/>
      <c r="C427" s="169"/>
      <c r="D427" s="169"/>
      <c r="E427" s="169"/>
      <c r="F427" s="169"/>
      <c r="G427" s="169"/>
      <c r="H427" s="169"/>
      <c r="I427" s="169"/>
      <c r="J427" s="169"/>
      <c r="K427" s="169"/>
      <c r="L427" s="169"/>
      <c r="M427" s="169"/>
      <c r="N427" s="169"/>
      <c r="O427" s="169"/>
      <c r="P427" s="169"/>
      <c r="Q427" s="169"/>
      <c r="R427" s="169"/>
      <c r="S427" s="169"/>
      <c r="T427" s="169"/>
      <c r="U427" s="169"/>
      <c r="V427" s="169"/>
      <c r="W427" s="169"/>
      <c r="X427" s="169"/>
      <c r="Y427" s="169"/>
      <c r="Z427" s="169"/>
    </row>
    <row r="428" spans="1:26" ht="15.75" customHeight="1" x14ac:dyDescent="0.25">
      <c r="A428" s="169"/>
      <c r="B428" s="169"/>
      <c r="C428" s="169"/>
      <c r="D428" s="169"/>
      <c r="E428" s="169"/>
      <c r="F428" s="169"/>
      <c r="G428" s="169"/>
      <c r="H428" s="169"/>
      <c r="I428" s="169"/>
      <c r="J428" s="169"/>
      <c r="K428" s="169"/>
      <c r="L428" s="169"/>
      <c r="M428" s="169"/>
      <c r="N428" s="169"/>
      <c r="O428" s="169"/>
      <c r="P428" s="169"/>
      <c r="Q428" s="169"/>
      <c r="R428" s="169"/>
      <c r="S428" s="169"/>
      <c r="T428" s="169"/>
      <c r="U428" s="169"/>
      <c r="V428" s="169"/>
      <c r="W428" s="169"/>
      <c r="X428" s="169"/>
      <c r="Y428" s="169"/>
      <c r="Z428" s="169"/>
    </row>
    <row r="429" spans="1:26" ht="15.75" customHeight="1" x14ac:dyDescent="0.25">
      <c r="A429" s="169"/>
      <c r="B429" s="169"/>
      <c r="C429" s="169"/>
      <c r="D429" s="169"/>
      <c r="E429" s="169"/>
      <c r="F429" s="169"/>
      <c r="G429" s="169"/>
      <c r="H429" s="169"/>
      <c r="I429" s="169"/>
      <c r="J429" s="169"/>
      <c r="K429" s="169"/>
      <c r="L429" s="169"/>
      <c r="M429" s="169"/>
      <c r="N429" s="169"/>
      <c r="O429" s="169"/>
      <c r="P429" s="169"/>
      <c r="Q429" s="169"/>
      <c r="R429" s="169"/>
      <c r="S429" s="169"/>
      <c r="T429" s="169"/>
      <c r="U429" s="169"/>
      <c r="V429" s="169"/>
      <c r="W429" s="169"/>
      <c r="X429" s="169"/>
      <c r="Y429" s="169"/>
      <c r="Z429" s="169"/>
    </row>
    <row r="430" spans="1:26" ht="15.75" customHeight="1" x14ac:dyDescent="0.25">
      <c r="A430" s="169"/>
      <c r="B430" s="169"/>
      <c r="C430" s="169"/>
      <c r="D430" s="169"/>
      <c r="E430" s="169"/>
      <c r="F430" s="169"/>
      <c r="G430" s="169"/>
      <c r="H430" s="169"/>
      <c r="I430" s="169"/>
      <c r="J430" s="169"/>
      <c r="K430" s="169"/>
      <c r="L430" s="169"/>
      <c r="M430" s="169"/>
      <c r="N430" s="169"/>
      <c r="O430" s="169"/>
      <c r="P430" s="169"/>
      <c r="Q430" s="169"/>
      <c r="R430" s="169"/>
      <c r="S430" s="169"/>
      <c r="T430" s="169"/>
      <c r="U430" s="169"/>
      <c r="V430" s="169"/>
      <c r="W430" s="169"/>
      <c r="X430" s="169"/>
      <c r="Y430" s="169"/>
      <c r="Z430" s="169"/>
    </row>
    <row r="431" spans="1:26" ht="15.75" customHeight="1" x14ac:dyDescent="0.25">
      <c r="A431" s="169"/>
      <c r="B431" s="169"/>
      <c r="C431" s="169"/>
      <c r="D431" s="169"/>
      <c r="E431" s="169"/>
      <c r="F431" s="169"/>
      <c r="G431" s="169"/>
      <c r="H431" s="169"/>
      <c r="I431" s="169"/>
      <c r="J431" s="169"/>
      <c r="K431" s="169"/>
      <c r="L431" s="169"/>
      <c r="M431" s="169"/>
      <c r="N431" s="169"/>
      <c r="O431" s="169"/>
      <c r="P431" s="169"/>
      <c r="Q431" s="169"/>
      <c r="R431" s="169"/>
      <c r="S431" s="169"/>
      <c r="T431" s="169"/>
      <c r="U431" s="169"/>
      <c r="V431" s="169"/>
      <c r="W431" s="169"/>
      <c r="X431" s="169"/>
      <c r="Y431" s="169"/>
      <c r="Z431" s="169"/>
    </row>
    <row r="432" spans="1:26" ht="15.75" customHeight="1" x14ac:dyDescent="0.25">
      <c r="A432" s="169"/>
      <c r="B432" s="169"/>
      <c r="C432" s="169"/>
      <c r="D432" s="169"/>
      <c r="E432" s="169"/>
      <c r="F432" s="169"/>
      <c r="G432" s="169"/>
      <c r="H432" s="169"/>
      <c r="I432" s="169"/>
      <c r="J432" s="169"/>
      <c r="K432" s="169"/>
      <c r="L432" s="169"/>
      <c r="M432" s="169"/>
      <c r="N432" s="169"/>
      <c r="O432" s="169"/>
      <c r="P432" s="169"/>
      <c r="Q432" s="169"/>
      <c r="R432" s="169"/>
      <c r="S432" s="169"/>
      <c r="T432" s="169"/>
      <c r="U432" s="169"/>
      <c r="V432" s="169"/>
      <c r="W432" s="169"/>
      <c r="X432" s="169"/>
      <c r="Y432" s="169"/>
      <c r="Z432" s="169"/>
    </row>
    <row r="433" spans="1:26" ht="15.75" customHeight="1" x14ac:dyDescent="0.25">
      <c r="A433" s="169"/>
      <c r="B433" s="169"/>
      <c r="C433" s="169"/>
      <c r="D433" s="169"/>
      <c r="E433" s="169"/>
      <c r="F433" s="169"/>
      <c r="G433" s="169"/>
      <c r="H433" s="169"/>
      <c r="I433" s="169"/>
      <c r="J433" s="169"/>
      <c r="K433" s="169"/>
      <c r="L433" s="169"/>
      <c r="M433" s="169"/>
      <c r="N433" s="169"/>
      <c r="O433" s="169"/>
      <c r="P433" s="169"/>
      <c r="Q433" s="169"/>
      <c r="R433" s="169"/>
      <c r="S433" s="169"/>
      <c r="T433" s="169"/>
      <c r="U433" s="169"/>
      <c r="V433" s="169"/>
      <c r="W433" s="169"/>
      <c r="X433" s="169"/>
      <c r="Y433" s="169"/>
      <c r="Z433" s="169"/>
    </row>
    <row r="434" spans="1:26" ht="15.75" customHeight="1" x14ac:dyDescent="0.25">
      <c r="A434" s="169"/>
      <c r="B434" s="169"/>
      <c r="C434" s="169"/>
      <c r="D434" s="169"/>
      <c r="E434" s="169"/>
      <c r="F434" s="169"/>
      <c r="G434" s="169"/>
      <c r="H434" s="169"/>
      <c r="I434" s="169"/>
      <c r="J434" s="169"/>
      <c r="K434" s="169"/>
      <c r="L434" s="169"/>
      <c r="M434" s="169"/>
      <c r="N434" s="169"/>
      <c r="O434" s="169"/>
      <c r="P434" s="169"/>
      <c r="Q434" s="169"/>
      <c r="R434" s="169"/>
      <c r="S434" s="169"/>
      <c r="T434" s="169"/>
      <c r="U434" s="169"/>
      <c r="V434" s="169"/>
      <c r="W434" s="169"/>
      <c r="X434" s="169"/>
      <c r="Y434" s="169"/>
      <c r="Z434" s="169"/>
    </row>
    <row r="435" spans="1:26" ht="15.75" customHeight="1" x14ac:dyDescent="0.25">
      <c r="A435" s="169"/>
      <c r="B435" s="169"/>
      <c r="C435" s="169"/>
      <c r="D435" s="169"/>
      <c r="E435" s="169"/>
      <c r="F435" s="169"/>
      <c r="G435" s="169"/>
      <c r="H435" s="169"/>
      <c r="I435" s="169"/>
      <c r="J435" s="169"/>
      <c r="K435" s="169"/>
      <c r="L435" s="169"/>
      <c r="M435" s="169"/>
      <c r="N435" s="169"/>
      <c r="O435" s="169"/>
      <c r="P435" s="169"/>
      <c r="Q435" s="169"/>
      <c r="R435" s="169"/>
      <c r="S435" s="169"/>
      <c r="T435" s="169"/>
      <c r="U435" s="169"/>
      <c r="V435" s="169"/>
      <c r="W435" s="169"/>
      <c r="X435" s="169"/>
      <c r="Y435" s="169"/>
      <c r="Z435" s="169"/>
    </row>
    <row r="436" spans="1:26" ht="15.75" customHeight="1" x14ac:dyDescent="0.25">
      <c r="A436" s="169"/>
      <c r="B436" s="169"/>
      <c r="C436" s="169"/>
      <c r="D436" s="169"/>
      <c r="E436" s="169"/>
      <c r="F436" s="169"/>
      <c r="G436" s="169"/>
      <c r="H436" s="169"/>
      <c r="I436" s="169"/>
      <c r="J436" s="169"/>
      <c r="K436" s="169"/>
      <c r="L436" s="169"/>
      <c r="M436" s="169"/>
      <c r="N436" s="169"/>
      <c r="O436" s="169"/>
      <c r="P436" s="169"/>
      <c r="Q436" s="169"/>
      <c r="R436" s="169"/>
      <c r="S436" s="169"/>
      <c r="T436" s="169"/>
      <c r="U436" s="169"/>
      <c r="V436" s="169"/>
      <c r="W436" s="169"/>
      <c r="X436" s="169"/>
      <c r="Y436" s="169"/>
      <c r="Z436" s="169"/>
    </row>
    <row r="437" spans="1:26" ht="15.75" customHeight="1" x14ac:dyDescent="0.25">
      <c r="A437" s="169"/>
      <c r="B437" s="169"/>
      <c r="C437" s="169"/>
      <c r="D437" s="169"/>
      <c r="E437" s="169"/>
      <c r="F437" s="169"/>
      <c r="G437" s="169"/>
      <c r="H437" s="169"/>
      <c r="I437" s="169"/>
      <c r="J437" s="169"/>
      <c r="K437" s="169"/>
      <c r="L437" s="169"/>
      <c r="M437" s="169"/>
      <c r="N437" s="169"/>
      <c r="O437" s="169"/>
      <c r="P437" s="169"/>
      <c r="Q437" s="169"/>
      <c r="R437" s="169"/>
      <c r="S437" s="169"/>
      <c r="T437" s="169"/>
      <c r="U437" s="169"/>
      <c r="V437" s="169"/>
      <c r="W437" s="169"/>
      <c r="X437" s="169"/>
      <c r="Y437" s="169"/>
      <c r="Z437" s="169"/>
    </row>
    <row r="438" spans="1:26" ht="15.75" customHeight="1" x14ac:dyDescent="0.25">
      <c r="A438" s="169"/>
      <c r="B438" s="169"/>
      <c r="C438" s="169"/>
      <c r="D438" s="169"/>
      <c r="E438" s="169"/>
      <c r="F438" s="169"/>
      <c r="G438" s="169"/>
      <c r="H438" s="169"/>
      <c r="I438" s="169"/>
      <c r="J438" s="169"/>
      <c r="K438" s="169"/>
      <c r="L438" s="169"/>
      <c r="M438" s="169"/>
      <c r="N438" s="169"/>
      <c r="O438" s="169"/>
      <c r="P438" s="169"/>
      <c r="Q438" s="169"/>
      <c r="R438" s="169"/>
      <c r="S438" s="169"/>
      <c r="T438" s="169"/>
      <c r="U438" s="169"/>
      <c r="V438" s="169"/>
      <c r="W438" s="169"/>
      <c r="X438" s="169"/>
      <c r="Y438" s="169"/>
      <c r="Z438" s="169"/>
    </row>
    <row r="439" spans="1:26" ht="15.75" customHeight="1" x14ac:dyDescent="0.25">
      <c r="A439" s="169"/>
      <c r="B439" s="169"/>
      <c r="C439" s="169"/>
      <c r="D439" s="169"/>
      <c r="E439" s="169"/>
      <c r="F439" s="169"/>
      <c r="G439" s="169"/>
      <c r="H439" s="169"/>
      <c r="I439" s="169"/>
      <c r="J439" s="169"/>
      <c r="K439" s="169"/>
      <c r="L439" s="169"/>
      <c r="M439" s="169"/>
      <c r="N439" s="169"/>
      <c r="O439" s="169"/>
      <c r="P439" s="169"/>
      <c r="Q439" s="169"/>
      <c r="R439" s="169"/>
      <c r="S439" s="169"/>
      <c r="T439" s="169"/>
      <c r="U439" s="169"/>
      <c r="V439" s="169"/>
      <c r="W439" s="169"/>
      <c r="X439" s="169"/>
      <c r="Y439" s="169"/>
      <c r="Z439" s="169"/>
    </row>
    <row r="440" spans="1:26" ht="15.75" customHeight="1" x14ac:dyDescent="0.25">
      <c r="A440" s="169"/>
      <c r="B440" s="169"/>
      <c r="C440" s="169"/>
      <c r="D440" s="169"/>
      <c r="E440" s="169"/>
      <c r="F440" s="169"/>
      <c r="G440" s="169"/>
      <c r="H440" s="169"/>
      <c r="I440" s="169"/>
      <c r="J440" s="169"/>
      <c r="K440" s="169"/>
      <c r="L440" s="169"/>
      <c r="M440" s="169"/>
      <c r="N440" s="169"/>
      <c r="O440" s="169"/>
      <c r="P440" s="169"/>
      <c r="Q440" s="169"/>
      <c r="R440" s="169"/>
      <c r="S440" s="169"/>
      <c r="T440" s="169"/>
      <c r="U440" s="169"/>
      <c r="V440" s="169"/>
      <c r="W440" s="169"/>
      <c r="X440" s="169"/>
      <c r="Y440" s="169"/>
      <c r="Z440" s="169"/>
    </row>
    <row r="441" spans="1:26" ht="15.75" customHeight="1" x14ac:dyDescent="0.25">
      <c r="A441" s="169"/>
      <c r="B441" s="169"/>
      <c r="C441" s="169"/>
      <c r="D441" s="169"/>
      <c r="E441" s="169"/>
      <c r="F441" s="169"/>
      <c r="G441" s="169"/>
      <c r="H441" s="169"/>
      <c r="I441" s="169"/>
      <c r="J441" s="169"/>
      <c r="K441" s="169"/>
      <c r="L441" s="169"/>
      <c r="M441" s="169"/>
      <c r="N441" s="169"/>
      <c r="O441" s="169"/>
      <c r="P441" s="169"/>
      <c r="Q441" s="169"/>
      <c r="R441" s="169"/>
      <c r="S441" s="169"/>
      <c r="T441" s="169"/>
      <c r="U441" s="169"/>
      <c r="V441" s="169"/>
      <c r="W441" s="169"/>
      <c r="X441" s="169"/>
      <c r="Y441" s="169"/>
      <c r="Z441" s="169"/>
    </row>
    <row r="442" spans="1:26" ht="15.75" customHeight="1" x14ac:dyDescent="0.25">
      <c r="A442" s="169"/>
      <c r="B442" s="169"/>
      <c r="C442" s="169"/>
      <c r="D442" s="169"/>
      <c r="E442" s="169"/>
      <c r="F442" s="169"/>
      <c r="G442" s="169"/>
      <c r="H442" s="169"/>
      <c r="I442" s="169"/>
      <c r="J442" s="169"/>
      <c r="K442" s="169"/>
      <c r="L442" s="169"/>
      <c r="M442" s="169"/>
      <c r="N442" s="169"/>
      <c r="O442" s="169"/>
      <c r="P442" s="169"/>
      <c r="Q442" s="169"/>
      <c r="R442" s="169"/>
      <c r="S442" s="169"/>
      <c r="T442" s="169"/>
      <c r="U442" s="169"/>
      <c r="V442" s="169"/>
      <c r="W442" s="169"/>
      <c r="X442" s="169"/>
      <c r="Y442" s="169"/>
      <c r="Z442" s="169"/>
    </row>
    <row r="443" spans="1:26" ht="15.75" customHeight="1" x14ac:dyDescent="0.25">
      <c r="A443" s="169"/>
      <c r="B443" s="169"/>
      <c r="C443" s="169"/>
      <c r="D443" s="169"/>
      <c r="E443" s="169"/>
      <c r="F443" s="169"/>
      <c r="G443" s="169"/>
      <c r="H443" s="169"/>
      <c r="I443" s="169"/>
      <c r="J443" s="169"/>
      <c r="K443" s="169"/>
      <c r="L443" s="169"/>
      <c r="M443" s="169"/>
      <c r="N443" s="169"/>
      <c r="O443" s="169"/>
      <c r="P443" s="169"/>
      <c r="Q443" s="169"/>
      <c r="R443" s="169"/>
      <c r="S443" s="169"/>
      <c r="T443" s="169"/>
      <c r="U443" s="169"/>
      <c r="V443" s="169"/>
      <c r="W443" s="169"/>
      <c r="X443" s="169"/>
      <c r="Y443" s="169"/>
      <c r="Z443" s="169"/>
    </row>
    <row r="444" spans="1:26" ht="15.75" customHeight="1" x14ac:dyDescent="0.25">
      <c r="A444" s="169"/>
      <c r="B444" s="169"/>
      <c r="C444" s="169"/>
      <c r="D444" s="169"/>
      <c r="E444" s="169"/>
      <c r="F444" s="169"/>
      <c r="G444" s="169"/>
      <c r="H444" s="169"/>
      <c r="I444" s="169"/>
      <c r="J444" s="169"/>
      <c r="K444" s="169"/>
      <c r="L444" s="169"/>
      <c r="M444" s="169"/>
      <c r="N444" s="169"/>
      <c r="O444" s="169"/>
      <c r="P444" s="169"/>
      <c r="Q444" s="169"/>
      <c r="R444" s="169"/>
      <c r="S444" s="169"/>
      <c r="T444" s="169"/>
      <c r="U444" s="169"/>
      <c r="V444" s="169"/>
      <c r="W444" s="169"/>
      <c r="X444" s="169"/>
      <c r="Y444" s="169"/>
      <c r="Z444" s="169"/>
    </row>
    <row r="445" spans="1:26" ht="15.75" customHeight="1" x14ac:dyDescent="0.25">
      <c r="A445" s="169"/>
      <c r="B445" s="169"/>
      <c r="C445" s="169"/>
      <c r="D445" s="169"/>
      <c r="E445" s="169"/>
      <c r="F445" s="169"/>
      <c r="G445" s="169"/>
      <c r="H445" s="169"/>
      <c r="I445" s="169"/>
      <c r="J445" s="169"/>
      <c r="K445" s="169"/>
      <c r="L445" s="169"/>
      <c r="M445" s="169"/>
      <c r="N445" s="169"/>
      <c r="O445" s="169"/>
      <c r="P445" s="169"/>
      <c r="Q445" s="169"/>
      <c r="R445" s="169"/>
      <c r="S445" s="169"/>
      <c r="T445" s="169"/>
      <c r="U445" s="169"/>
      <c r="V445" s="169"/>
      <c r="W445" s="169"/>
      <c r="X445" s="169"/>
      <c r="Y445" s="169"/>
      <c r="Z445" s="169"/>
    </row>
    <row r="446" spans="1:26" ht="15.75" customHeight="1" x14ac:dyDescent="0.25">
      <c r="A446" s="169"/>
      <c r="B446" s="169"/>
      <c r="C446" s="169"/>
      <c r="D446" s="169"/>
      <c r="E446" s="169"/>
      <c r="F446" s="169"/>
      <c r="G446" s="169"/>
      <c r="H446" s="169"/>
      <c r="I446" s="169"/>
      <c r="J446" s="169"/>
      <c r="K446" s="169"/>
      <c r="L446" s="169"/>
      <c r="M446" s="169"/>
      <c r="N446" s="169"/>
      <c r="O446" s="169"/>
      <c r="P446" s="169"/>
      <c r="Q446" s="169"/>
      <c r="R446" s="169"/>
      <c r="S446" s="169"/>
      <c r="T446" s="169"/>
      <c r="U446" s="169"/>
      <c r="V446" s="169"/>
      <c r="W446" s="169"/>
      <c r="X446" s="169"/>
      <c r="Y446" s="169"/>
      <c r="Z446" s="169"/>
    </row>
    <row r="447" spans="1:26" ht="15.75" customHeight="1" x14ac:dyDescent="0.25">
      <c r="A447" s="169"/>
      <c r="B447" s="169"/>
      <c r="C447" s="169"/>
      <c r="D447" s="169"/>
      <c r="E447" s="169"/>
      <c r="F447" s="169"/>
      <c r="G447" s="169"/>
      <c r="H447" s="169"/>
      <c r="I447" s="169"/>
      <c r="J447" s="169"/>
      <c r="K447" s="169"/>
      <c r="L447" s="169"/>
      <c r="M447" s="169"/>
      <c r="N447" s="169"/>
      <c r="O447" s="169"/>
      <c r="P447" s="169"/>
      <c r="Q447" s="169"/>
      <c r="R447" s="169"/>
      <c r="S447" s="169"/>
      <c r="T447" s="169"/>
      <c r="U447" s="169"/>
      <c r="V447" s="169"/>
      <c r="W447" s="169"/>
      <c r="X447" s="169"/>
      <c r="Y447" s="169"/>
      <c r="Z447" s="169"/>
    </row>
    <row r="448" spans="1:26" ht="15.75" customHeight="1" x14ac:dyDescent="0.25">
      <c r="A448" s="169"/>
      <c r="B448" s="169"/>
      <c r="C448" s="169"/>
      <c r="D448" s="169"/>
      <c r="E448" s="169"/>
      <c r="F448" s="169"/>
      <c r="G448" s="169"/>
      <c r="H448" s="169"/>
      <c r="I448" s="169"/>
      <c r="J448" s="169"/>
      <c r="K448" s="169"/>
      <c r="L448" s="169"/>
      <c r="M448" s="169"/>
      <c r="N448" s="169"/>
      <c r="O448" s="169"/>
      <c r="P448" s="169"/>
      <c r="Q448" s="169"/>
      <c r="R448" s="169"/>
      <c r="S448" s="169"/>
      <c r="T448" s="169"/>
      <c r="U448" s="169"/>
      <c r="V448" s="169"/>
      <c r="W448" s="169"/>
      <c r="X448" s="169"/>
      <c r="Y448" s="169"/>
      <c r="Z448" s="169"/>
    </row>
    <row r="449" spans="1:26" ht="15.75" customHeight="1" x14ac:dyDescent="0.25">
      <c r="A449" s="169"/>
      <c r="B449" s="169"/>
      <c r="C449" s="169"/>
      <c r="D449" s="169"/>
      <c r="E449" s="169"/>
      <c r="F449" s="169"/>
      <c r="G449" s="169"/>
      <c r="H449" s="169"/>
      <c r="I449" s="169"/>
      <c r="J449" s="169"/>
      <c r="K449" s="169"/>
      <c r="L449" s="169"/>
      <c r="M449" s="169"/>
      <c r="N449" s="169"/>
      <c r="O449" s="169"/>
      <c r="P449" s="169"/>
      <c r="Q449" s="169"/>
      <c r="R449" s="169"/>
      <c r="S449" s="169"/>
      <c r="T449" s="169"/>
      <c r="U449" s="169"/>
      <c r="V449" s="169"/>
      <c r="W449" s="169"/>
      <c r="X449" s="169"/>
      <c r="Y449" s="169"/>
      <c r="Z449" s="169"/>
    </row>
    <row r="450" spans="1:26" ht="15.75" customHeight="1" x14ac:dyDescent="0.25">
      <c r="A450" s="169"/>
      <c r="B450" s="169"/>
      <c r="C450" s="169"/>
      <c r="D450" s="169"/>
      <c r="E450" s="169"/>
      <c r="F450" s="169"/>
      <c r="G450" s="169"/>
      <c r="H450" s="169"/>
      <c r="I450" s="169"/>
      <c r="J450" s="169"/>
      <c r="K450" s="169"/>
      <c r="L450" s="169"/>
      <c r="M450" s="169"/>
      <c r="N450" s="169"/>
      <c r="O450" s="169"/>
      <c r="P450" s="169"/>
      <c r="Q450" s="169"/>
      <c r="R450" s="169"/>
      <c r="S450" s="169"/>
      <c r="T450" s="169"/>
      <c r="U450" s="169"/>
      <c r="V450" s="169"/>
      <c r="W450" s="169"/>
      <c r="X450" s="169"/>
      <c r="Y450" s="169"/>
      <c r="Z450" s="169"/>
    </row>
    <row r="451" spans="1:26" ht="15.75" customHeight="1" x14ac:dyDescent="0.25">
      <c r="A451" s="169"/>
      <c r="B451" s="169"/>
      <c r="C451" s="169"/>
      <c r="D451" s="169"/>
      <c r="E451" s="169"/>
      <c r="F451" s="169"/>
      <c r="G451" s="169"/>
      <c r="H451" s="169"/>
      <c r="I451" s="169"/>
      <c r="J451" s="169"/>
      <c r="K451" s="169"/>
      <c r="L451" s="169"/>
      <c r="M451" s="169"/>
      <c r="N451" s="169"/>
      <c r="O451" s="169"/>
      <c r="P451" s="169"/>
      <c r="Q451" s="169"/>
      <c r="R451" s="169"/>
      <c r="S451" s="169"/>
      <c r="T451" s="169"/>
      <c r="U451" s="169"/>
      <c r="V451" s="169"/>
      <c r="W451" s="169"/>
      <c r="X451" s="169"/>
      <c r="Y451" s="169"/>
      <c r="Z451" s="169"/>
    </row>
    <row r="452" spans="1:26" ht="15.75" customHeight="1" x14ac:dyDescent="0.25">
      <c r="A452" s="169"/>
      <c r="B452" s="169"/>
      <c r="C452" s="169"/>
      <c r="D452" s="169"/>
      <c r="E452" s="169"/>
      <c r="F452" s="169"/>
      <c r="G452" s="169"/>
      <c r="H452" s="169"/>
      <c r="I452" s="169"/>
      <c r="J452" s="169"/>
      <c r="K452" s="169"/>
      <c r="L452" s="169"/>
      <c r="M452" s="169"/>
      <c r="N452" s="169"/>
      <c r="O452" s="169"/>
      <c r="P452" s="169"/>
      <c r="Q452" s="169"/>
      <c r="R452" s="169"/>
      <c r="S452" s="169"/>
      <c r="T452" s="169"/>
      <c r="U452" s="169"/>
      <c r="V452" s="169"/>
      <c r="W452" s="169"/>
      <c r="X452" s="169"/>
      <c r="Y452" s="169"/>
      <c r="Z452" s="169"/>
    </row>
    <row r="453" spans="1:26" ht="15.75" customHeight="1" x14ac:dyDescent="0.25">
      <c r="A453" s="169"/>
      <c r="B453" s="169"/>
      <c r="C453" s="169"/>
      <c r="D453" s="169"/>
      <c r="E453" s="169"/>
      <c r="F453" s="169"/>
      <c r="G453" s="169"/>
      <c r="H453" s="169"/>
      <c r="I453" s="169"/>
      <c r="J453" s="169"/>
      <c r="K453" s="169"/>
      <c r="L453" s="169"/>
      <c r="M453" s="169"/>
      <c r="N453" s="169"/>
      <c r="O453" s="169"/>
      <c r="P453" s="169"/>
      <c r="Q453" s="169"/>
      <c r="R453" s="169"/>
      <c r="S453" s="169"/>
      <c r="T453" s="169"/>
      <c r="U453" s="169"/>
      <c r="V453" s="169"/>
      <c r="W453" s="169"/>
      <c r="X453" s="169"/>
      <c r="Y453" s="169"/>
      <c r="Z453" s="169"/>
    </row>
    <row r="454" spans="1:26" ht="15.75" customHeight="1" x14ac:dyDescent="0.25">
      <c r="A454" s="169"/>
      <c r="B454" s="169"/>
      <c r="C454" s="169"/>
      <c r="D454" s="169"/>
      <c r="E454" s="169"/>
      <c r="F454" s="169"/>
      <c r="G454" s="169"/>
      <c r="H454" s="169"/>
      <c r="I454" s="169"/>
      <c r="J454" s="169"/>
      <c r="K454" s="169"/>
      <c r="L454" s="169"/>
      <c r="M454" s="169"/>
      <c r="N454" s="169"/>
      <c r="O454" s="169"/>
      <c r="P454" s="169"/>
      <c r="Q454" s="169"/>
      <c r="R454" s="169"/>
      <c r="S454" s="169"/>
      <c r="T454" s="169"/>
      <c r="U454" s="169"/>
      <c r="V454" s="169"/>
      <c r="W454" s="169"/>
      <c r="X454" s="169"/>
      <c r="Y454" s="169"/>
      <c r="Z454" s="169"/>
    </row>
    <row r="455" spans="1:26" ht="15.75" customHeight="1" x14ac:dyDescent="0.25">
      <c r="A455" s="169"/>
      <c r="B455" s="169"/>
      <c r="C455" s="169"/>
      <c r="D455" s="169"/>
      <c r="E455" s="169"/>
      <c r="F455" s="169"/>
      <c r="G455" s="169"/>
      <c r="H455" s="169"/>
      <c r="I455" s="169"/>
      <c r="J455" s="169"/>
      <c r="K455" s="169"/>
      <c r="L455" s="169"/>
      <c r="M455" s="169"/>
      <c r="N455" s="169"/>
      <c r="O455" s="169"/>
      <c r="P455" s="169"/>
      <c r="Q455" s="169"/>
      <c r="R455" s="169"/>
      <c r="S455" s="169"/>
      <c r="T455" s="169"/>
      <c r="U455" s="169"/>
      <c r="V455" s="169"/>
      <c r="W455" s="169"/>
      <c r="X455" s="169"/>
      <c r="Y455" s="169"/>
      <c r="Z455" s="169"/>
    </row>
    <row r="456" spans="1:26" ht="15.75" customHeight="1" x14ac:dyDescent="0.25">
      <c r="A456" s="169"/>
      <c r="B456" s="169"/>
      <c r="C456" s="169"/>
      <c r="D456" s="169"/>
      <c r="E456" s="169"/>
      <c r="F456" s="169"/>
      <c r="G456" s="169"/>
      <c r="H456" s="169"/>
      <c r="I456" s="169"/>
      <c r="J456" s="169"/>
      <c r="K456" s="169"/>
      <c r="L456" s="169"/>
      <c r="M456" s="169"/>
      <c r="N456" s="169"/>
      <c r="O456" s="169"/>
      <c r="P456" s="169"/>
      <c r="Q456" s="169"/>
      <c r="R456" s="169"/>
      <c r="S456" s="169"/>
      <c r="T456" s="169"/>
      <c r="U456" s="169"/>
      <c r="V456" s="169"/>
      <c r="W456" s="169"/>
      <c r="X456" s="169"/>
      <c r="Y456" s="169"/>
      <c r="Z456" s="169"/>
    </row>
    <row r="457" spans="1:26" ht="15.75" customHeight="1" x14ac:dyDescent="0.25">
      <c r="A457" s="169"/>
      <c r="B457" s="169"/>
      <c r="C457" s="169"/>
      <c r="D457" s="169"/>
      <c r="E457" s="169"/>
      <c r="F457" s="169"/>
      <c r="G457" s="169"/>
      <c r="H457" s="169"/>
      <c r="I457" s="169"/>
      <c r="J457" s="169"/>
      <c r="K457" s="169"/>
      <c r="L457" s="169"/>
      <c r="M457" s="169"/>
      <c r="N457" s="169"/>
      <c r="O457" s="169"/>
      <c r="P457" s="169"/>
      <c r="Q457" s="169"/>
      <c r="R457" s="169"/>
      <c r="S457" s="169"/>
      <c r="T457" s="169"/>
      <c r="U457" s="169"/>
      <c r="V457" s="169"/>
      <c r="W457" s="169"/>
      <c r="X457" s="169"/>
      <c r="Y457" s="169"/>
      <c r="Z457" s="169"/>
    </row>
    <row r="458" spans="1:26" ht="15.75" customHeight="1" x14ac:dyDescent="0.25">
      <c r="A458" s="169"/>
      <c r="B458" s="169"/>
      <c r="C458" s="169"/>
      <c r="D458" s="169"/>
      <c r="E458" s="169"/>
      <c r="F458" s="169"/>
      <c r="G458" s="169"/>
      <c r="H458" s="169"/>
      <c r="I458" s="169"/>
      <c r="J458" s="169"/>
      <c r="K458" s="169"/>
      <c r="L458" s="169"/>
      <c r="M458" s="169"/>
      <c r="N458" s="169"/>
      <c r="O458" s="169"/>
      <c r="P458" s="169"/>
      <c r="Q458" s="169"/>
      <c r="R458" s="169"/>
      <c r="S458" s="169"/>
      <c r="T458" s="169"/>
      <c r="U458" s="169"/>
      <c r="V458" s="169"/>
      <c r="W458" s="169"/>
      <c r="X458" s="169"/>
      <c r="Y458" s="169"/>
      <c r="Z458" s="169"/>
    </row>
    <row r="459" spans="1:26" ht="15.75" customHeight="1" x14ac:dyDescent="0.25">
      <c r="A459" s="169"/>
      <c r="B459" s="169"/>
      <c r="C459" s="169"/>
      <c r="D459" s="169"/>
      <c r="E459" s="169"/>
      <c r="F459" s="169"/>
      <c r="G459" s="169"/>
      <c r="H459" s="169"/>
      <c r="I459" s="169"/>
      <c r="J459" s="169"/>
      <c r="K459" s="169"/>
      <c r="L459" s="169"/>
      <c r="M459" s="169"/>
      <c r="N459" s="169"/>
      <c r="O459" s="169"/>
      <c r="P459" s="169"/>
      <c r="Q459" s="169"/>
      <c r="R459" s="169"/>
      <c r="S459" s="169"/>
      <c r="T459" s="169"/>
      <c r="U459" s="169"/>
      <c r="V459" s="169"/>
      <c r="W459" s="169"/>
      <c r="X459" s="169"/>
      <c r="Y459" s="169"/>
      <c r="Z459" s="169"/>
    </row>
    <row r="460" spans="1:26" ht="15.75" customHeight="1" x14ac:dyDescent="0.25">
      <c r="A460" s="169"/>
      <c r="B460" s="169"/>
      <c r="C460" s="169"/>
      <c r="D460" s="169"/>
      <c r="E460" s="169"/>
      <c r="F460" s="169"/>
      <c r="G460" s="169"/>
      <c r="H460" s="169"/>
      <c r="I460" s="169"/>
      <c r="J460" s="169"/>
      <c r="K460" s="169"/>
      <c r="L460" s="169"/>
      <c r="M460" s="169"/>
      <c r="N460" s="169"/>
      <c r="O460" s="169"/>
      <c r="P460" s="169"/>
      <c r="Q460" s="169"/>
      <c r="R460" s="169"/>
      <c r="S460" s="169"/>
      <c r="T460" s="169"/>
      <c r="U460" s="169"/>
      <c r="V460" s="169"/>
      <c r="W460" s="169"/>
      <c r="X460" s="169"/>
      <c r="Y460" s="169"/>
      <c r="Z460" s="169"/>
    </row>
    <row r="461" spans="1:26" ht="15.75" customHeight="1" x14ac:dyDescent="0.25">
      <c r="A461" s="169"/>
      <c r="B461" s="169"/>
      <c r="C461" s="169"/>
      <c r="D461" s="169"/>
      <c r="E461" s="169"/>
      <c r="F461" s="169"/>
      <c r="G461" s="169"/>
      <c r="H461" s="169"/>
      <c r="I461" s="169"/>
      <c r="J461" s="169"/>
      <c r="K461" s="169"/>
      <c r="L461" s="169"/>
      <c r="M461" s="169"/>
      <c r="N461" s="169"/>
      <c r="O461" s="169"/>
      <c r="P461" s="169"/>
      <c r="Q461" s="169"/>
      <c r="R461" s="169"/>
      <c r="S461" s="169"/>
      <c r="T461" s="169"/>
      <c r="U461" s="169"/>
      <c r="V461" s="169"/>
      <c r="W461" s="169"/>
      <c r="X461" s="169"/>
      <c r="Y461" s="169"/>
      <c r="Z461" s="169"/>
    </row>
    <row r="462" spans="1:26" ht="15.75" customHeight="1" x14ac:dyDescent="0.25">
      <c r="A462" s="169"/>
      <c r="B462" s="169"/>
      <c r="C462" s="169"/>
      <c r="D462" s="169"/>
      <c r="E462" s="169"/>
      <c r="F462" s="169"/>
      <c r="G462" s="169"/>
      <c r="H462" s="169"/>
      <c r="I462" s="169"/>
      <c r="J462" s="169"/>
      <c r="K462" s="169"/>
      <c r="L462" s="169"/>
      <c r="M462" s="169"/>
      <c r="N462" s="169"/>
      <c r="O462" s="169"/>
      <c r="P462" s="169"/>
      <c r="Q462" s="169"/>
      <c r="R462" s="169"/>
      <c r="S462" s="169"/>
      <c r="T462" s="169"/>
      <c r="U462" s="169"/>
      <c r="V462" s="169"/>
      <c r="W462" s="169"/>
      <c r="X462" s="169"/>
      <c r="Y462" s="169"/>
      <c r="Z462" s="169"/>
    </row>
    <row r="463" spans="1:26" ht="15.75" customHeight="1" x14ac:dyDescent="0.25">
      <c r="A463" s="169"/>
      <c r="B463" s="169"/>
      <c r="C463" s="169"/>
      <c r="D463" s="169"/>
      <c r="E463" s="169"/>
      <c r="F463" s="169"/>
      <c r="G463" s="169"/>
      <c r="H463" s="169"/>
      <c r="I463" s="169"/>
      <c r="J463" s="169"/>
      <c r="K463" s="169"/>
      <c r="L463" s="169"/>
      <c r="M463" s="169"/>
      <c r="N463" s="169"/>
      <c r="O463" s="169"/>
      <c r="P463" s="169"/>
      <c r="Q463" s="169"/>
      <c r="R463" s="169"/>
      <c r="S463" s="169"/>
      <c r="T463" s="169"/>
      <c r="U463" s="169"/>
      <c r="V463" s="169"/>
      <c r="W463" s="169"/>
      <c r="X463" s="169"/>
      <c r="Y463" s="169"/>
      <c r="Z463" s="169"/>
    </row>
    <row r="464" spans="1:26" ht="15.75" customHeight="1" x14ac:dyDescent="0.25">
      <c r="A464" s="169"/>
      <c r="B464" s="169"/>
      <c r="C464" s="169"/>
      <c r="D464" s="169"/>
      <c r="E464" s="169"/>
      <c r="F464" s="169"/>
      <c r="G464" s="169"/>
      <c r="H464" s="169"/>
      <c r="I464" s="169"/>
      <c r="J464" s="169"/>
      <c r="K464" s="169"/>
      <c r="L464" s="169"/>
      <c r="M464" s="169"/>
      <c r="N464" s="169"/>
      <c r="O464" s="169"/>
      <c r="P464" s="169"/>
      <c r="Q464" s="169"/>
      <c r="R464" s="169"/>
      <c r="S464" s="169"/>
      <c r="T464" s="169"/>
      <c r="U464" s="169"/>
      <c r="V464" s="169"/>
      <c r="W464" s="169"/>
      <c r="X464" s="169"/>
      <c r="Y464" s="169"/>
      <c r="Z464" s="169"/>
    </row>
    <row r="465" spans="1:26" ht="15.75" customHeight="1" x14ac:dyDescent="0.25">
      <c r="A465" s="169"/>
      <c r="B465" s="169"/>
      <c r="C465" s="169"/>
      <c r="D465" s="169"/>
      <c r="E465" s="169"/>
      <c r="F465" s="169"/>
      <c r="G465" s="169"/>
      <c r="H465" s="169"/>
      <c r="I465" s="169"/>
      <c r="J465" s="169"/>
      <c r="K465" s="169"/>
      <c r="L465" s="169"/>
      <c r="M465" s="169"/>
      <c r="N465" s="169"/>
      <c r="O465" s="169"/>
      <c r="P465" s="169"/>
      <c r="Q465" s="169"/>
      <c r="R465" s="169"/>
      <c r="S465" s="169"/>
      <c r="T465" s="169"/>
      <c r="U465" s="169"/>
      <c r="V465" s="169"/>
      <c r="W465" s="169"/>
      <c r="X465" s="169"/>
      <c r="Y465" s="169"/>
      <c r="Z465" s="169"/>
    </row>
    <row r="466" spans="1:26" ht="15.75" customHeight="1" x14ac:dyDescent="0.25">
      <c r="A466" s="169"/>
      <c r="B466" s="169"/>
      <c r="C466" s="169"/>
      <c r="D466" s="169"/>
      <c r="E466" s="169"/>
      <c r="F466" s="169"/>
      <c r="G466" s="169"/>
      <c r="H466" s="169"/>
      <c r="I466" s="169"/>
      <c r="J466" s="169"/>
      <c r="K466" s="169"/>
      <c r="L466" s="169"/>
      <c r="M466" s="169"/>
      <c r="N466" s="169"/>
      <c r="O466" s="169"/>
      <c r="P466" s="169"/>
      <c r="Q466" s="169"/>
      <c r="R466" s="169"/>
      <c r="S466" s="169"/>
      <c r="T466" s="169"/>
      <c r="U466" s="169"/>
      <c r="V466" s="169"/>
      <c r="W466" s="169"/>
      <c r="X466" s="169"/>
      <c r="Y466" s="169"/>
      <c r="Z466" s="169"/>
    </row>
    <row r="467" spans="1:26" ht="15.75" customHeight="1" x14ac:dyDescent="0.25">
      <c r="A467" s="169"/>
      <c r="B467" s="169"/>
      <c r="C467" s="169"/>
      <c r="D467" s="169"/>
      <c r="E467" s="169"/>
      <c r="F467" s="169"/>
      <c r="G467" s="169"/>
      <c r="H467" s="169"/>
      <c r="I467" s="169"/>
      <c r="J467" s="169"/>
      <c r="K467" s="169"/>
      <c r="L467" s="169"/>
      <c r="M467" s="169"/>
      <c r="N467" s="169"/>
      <c r="O467" s="169"/>
      <c r="P467" s="169"/>
      <c r="Q467" s="169"/>
      <c r="R467" s="169"/>
      <c r="S467" s="169"/>
      <c r="T467" s="169"/>
      <c r="U467" s="169"/>
      <c r="V467" s="169"/>
      <c r="W467" s="169"/>
      <c r="X467" s="169"/>
      <c r="Y467" s="169"/>
      <c r="Z467" s="169"/>
    </row>
    <row r="468" spans="1:26" ht="15.75" customHeight="1" x14ac:dyDescent="0.25">
      <c r="A468" s="169"/>
      <c r="B468" s="169"/>
      <c r="C468" s="169"/>
      <c r="D468" s="169"/>
      <c r="E468" s="169"/>
      <c r="F468" s="169"/>
      <c r="G468" s="169"/>
      <c r="H468" s="169"/>
      <c r="I468" s="169"/>
      <c r="J468" s="169"/>
      <c r="K468" s="169"/>
      <c r="L468" s="169"/>
      <c r="M468" s="169"/>
      <c r="N468" s="169"/>
      <c r="O468" s="169"/>
      <c r="P468" s="169"/>
      <c r="Q468" s="169"/>
      <c r="R468" s="169"/>
      <c r="S468" s="169"/>
      <c r="T468" s="169"/>
      <c r="U468" s="169"/>
      <c r="V468" s="169"/>
      <c r="W468" s="169"/>
      <c r="X468" s="169"/>
      <c r="Y468" s="169"/>
      <c r="Z468" s="169"/>
    </row>
    <row r="469" spans="1:26" ht="15.75" customHeight="1" x14ac:dyDescent="0.25">
      <c r="A469" s="169"/>
      <c r="B469" s="169"/>
      <c r="C469" s="169"/>
      <c r="D469" s="169"/>
      <c r="E469" s="169"/>
      <c r="F469" s="169"/>
      <c r="G469" s="169"/>
      <c r="H469" s="169"/>
      <c r="I469" s="169"/>
      <c r="J469" s="169"/>
      <c r="K469" s="169"/>
      <c r="L469" s="169"/>
      <c r="M469" s="169"/>
      <c r="N469" s="169"/>
      <c r="O469" s="169"/>
      <c r="P469" s="169"/>
      <c r="Q469" s="169"/>
      <c r="R469" s="169"/>
      <c r="S469" s="169"/>
      <c r="T469" s="169"/>
      <c r="U469" s="169"/>
      <c r="V469" s="169"/>
      <c r="W469" s="169"/>
      <c r="X469" s="169"/>
      <c r="Y469" s="169"/>
      <c r="Z469" s="169"/>
    </row>
    <row r="470" spans="1:26" ht="15.75" customHeight="1" x14ac:dyDescent="0.25">
      <c r="A470" s="169"/>
      <c r="B470" s="169"/>
      <c r="C470" s="169"/>
      <c r="D470" s="169"/>
      <c r="E470" s="169"/>
      <c r="F470" s="169"/>
      <c r="G470" s="169"/>
      <c r="H470" s="169"/>
      <c r="I470" s="169"/>
      <c r="J470" s="169"/>
      <c r="K470" s="169"/>
      <c r="L470" s="169"/>
      <c r="M470" s="169"/>
      <c r="N470" s="169"/>
      <c r="O470" s="169"/>
      <c r="P470" s="169"/>
      <c r="Q470" s="169"/>
      <c r="R470" s="169"/>
      <c r="S470" s="169"/>
      <c r="T470" s="169"/>
      <c r="U470" s="169"/>
      <c r="V470" s="169"/>
      <c r="W470" s="169"/>
      <c r="X470" s="169"/>
      <c r="Y470" s="169"/>
      <c r="Z470" s="169"/>
    </row>
    <row r="471" spans="1:26" ht="15.75" customHeight="1" x14ac:dyDescent="0.25">
      <c r="A471" s="169"/>
      <c r="B471" s="169"/>
      <c r="C471" s="169"/>
      <c r="D471" s="169"/>
      <c r="E471" s="169"/>
      <c r="F471" s="169"/>
      <c r="G471" s="169"/>
      <c r="H471" s="169"/>
      <c r="I471" s="169"/>
      <c r="J471" s="169"/>
      <c r="K471" s="169"/>
      <c r="L471" s="169"/>
      <c r="M471" s="169"/>
      <c r="N471" s="169"/>
      <c r="O471" s="169"/>
      <c r="P471" s="169"/>
      <c r="Q471" s="169"/>
      <c r="R471" s="169"/>
      <c r="S471" s="169"/>
      <c r="T471" s="169"/>
      <c r="U471" s="169"/>
      <c r="V471" s="169"/>
      <c r="W471" s="169"/>
      <c r="X471" s="169"/>
      <c r="Y471" s="169"/>
      <c r="Z471" s="169"/>
    </row>
    <row r="472" spans="1:26" ht="15.75" customHeight="1" x14ac:dyDescent="0.25">
      <c r="A472" s="169"/>
      <c r="B472" s="169"/>
      <c r="C472" s="169"/>
      <c r="D472" s="169"/>
      <c r="E472" s="169"/>
      <c r="F472" s="169"/>
      <c r="G472" s="169"/>
      <c r="H472" s="169"/>
      <c r="I472" s="169"/>
      <c r="J472" s="169"/>
      <c r="K472" s="169"/>
      <c r="L472" s="169"/>
      <c r="M472" s="169"/>
      <c r="N472" s="169"/>
      <c r="O472" s="169"/>
      <c r="P472" s="169"/>
      <c r="Q472" s="169"/>
      <c r="R472" s="169"/>
      <c r="S472" s="169"/>
      <c r="T472" s="169"/>
      <c r="U472" s="169"/>
      <c r="V472" s="169"/>
      <c r="W472" s="169"/>
      <c r="X472" s="169"/>
      <c r="Y472" s="169"/>
      <c r="Z472" s="169"/>
    </row>
    <row r="473" spans="1:26" ht="15.75" customHeight="1" x14ac:dyDescent="0.25">
      <c r="A473" s="169"/>
      <c r="B473" s="169"/>
      <c r="C473" s="169"/>
      <c r="D473" s="169"/>
      <c r="E473" s="169"/>
      <c r="F473" s="169"/>
      <c r="G473" s="169"/>
      <c r="H473" s="169"/>
      <c r="I473" s="169"/>
      <c r="J473" s="169"/>
      <c r="K473" s="169"/>
      <c r="L473" s="169"/>
      <c r="M473" s="169"/>
      <c r="N473" s="169"/>
      <c r="O473" s="169"/>
      <c r="P473" s="169"/>
      <c r="Q473" s="169"/>
      <c r="R473" s="169"/>
      <c r="S473" s="169"/>
      <c r="T473" s="169"/>
      <c r="U473" s="169"/>
      <c r="V473" s="169"/>
      <c r="W473" s="169"/>
      <c r="X473" s="169"/>
      <c r="Y473" s="169"/>
      <c r="Z473" s="169"/>
    </row>
    <row r="474" spans="1:26" ht="15.75" customHeight="1" x14ac:dyDescent="0.25">
      <c r="A474" s="169"/>
      <c r="B474" s="169"/>
      <c r="C474" s="169"/>
      <c r="D474" s="169"/>
      <c r="E474" s="169"/>
      <c r="F474" s="169"/>
      <c r="G474" s="169"/>
      <c r="H474" s="169"/>
      <c r="I474" s="169"/>
      <c r="J474" s="169"/>
      <c r="K474" s="169"/>
      <c r="L474" s="169"/>
      <c r="M474" s="169"/>
      <c r="N474" s="169"/>
      <c r="O474" s="169"/>
      <c r="P474" s="169"/>
      <c r="Q474" s="169"/>
      <c r="R474" s="169"/>
      <c r="S474" s="169"/>
      <c r="T474" s="169"/>
      <c r="U474" s="169"/>
      <c r="V474" s="169"/>
      <c r="W474" s="169"/>
      <c r="X474" s="169"/>
      <c r="Y474" s="169"/>
      <c r="Z474" s="169"/>
    </row>
    <row r="475" spans="1:26" ht="15.75" customHeight="1" x14ac:dyDescent="0.25">
      <c r="A475" s="169"/>
      <c r="B475" s="169"/>
      <c r="C475" s="169"/>
      <c r="D475" s="169"/>
      <c r="E475" s="169"/>
      <c r="F475" s="169"/>
      <c r="G475" s="169"/>
      <c r="H475" s="169"/>
      <c r="I475" s="169"/>
      <c r="J475" s="169"/>
      <c r="K475" s="169"/>
      <c r="L475" s="169"/>
      <c r="M475" s="169"/>
      <c r="N475" s="169"/>
      <c r="O475" s="169"/>
      <c r="P475" s="169"/>
      <c r="Q475" s="169"/>
      <c r="R475" s="169"/>
      <c r="S475" s="169"/>
      <c r="T475" s="169"/>
      <c r="U475" s="169"/>
      <c r="V475" s="169"/>
      <c r="W475" s="169"/>
      <c r="X475" s="169"/>
      <c r="Y475" s="169"/>
      <c r="Z475" s="169"/>
    </row>
    <row r="476" spans="1:26" ht="15.75" customHeight="1" x14ac:dyDescent="0.25">
      <c r="A476" s="169"/>
      <c r="B476" s="169"/>
      <c r="C476" s="169"/>
      <c r="D476" s="169"/>
      <c r="E476" s="169"/>
      <c r="F476" s="169"/>
      <c r="G476" s="169"/>
      <c r="H476" s="169"/>
      <c r="I476" s="169"/>
      <c r="J476" s="169"/>
      <c r="K476" s="169"/>
      <c r="L476" s="169"/>
      <c r="M476" s="169"/>
      <c r="N476" s="169"/>
      <c r="O476" s="169"/>
      <c r="P476" s="169"/>
      <c r="Q476" s="169"/>
      <c r="R476" s="169"/>
      <c r="S476" s="169"/>
      <c r="T476" s="169"/>
      <c r="U476" s="169"/>
      <c r="V476" s="169"/>
      <c r="W476" s="169"/>
      <c r="X476" s="169"/>
      <c r="Y476" s="169"/>
      <c r="Z476" s="169"/>
    </row>
    <row r="477" spans="1:26" ht="15.75" customHeight="1" x14ac:dyDescent="0.25">
      <c r="A477" s="169"/>
      <c r="B477" s="169"/>
      <c r="C477" s="169"/>
      <c r="D477" s="169"/>
      <c r="E477" s="169"/>
      <c r="F477" s="169"/>
      <c r="G477" s="169"/>
      <c r="H477" s="169"/>
      <c r="I477" s="169"/>
      <c r="J477" s="169"/>
      <c r="K477" s="169"/>
      <c r="L477" s="169"/>
      <c r="M477" s="169"/>
      <c r="N477" s="169"/>
      <c r="O477" s="169"/>
      <c r="P477" s="169"/>
      <c r="Q477" s="169"/>
      <c r="R477" s="169"/>
      <c r="S477" s="169"/>
      <c r="T477" s="169"/>
      <c r="U477" s="169"/>
      <c r="V477" s="169"/>
      <c r="W477" s="169"/>
      <c r="X477" s="169"/>
      <c r="Y477" s="169"/>
      <c r="Z477" s="169"/>
    </row>
    <row r="478" spans="1:26" ht="15.75" customHeight="1" x14ac:dyDescent="0.25">
      <c r="A478" s="169"/>
      <c r="B478" s="169"/>
      <c r="C478" s="169"/>
      <c r="D478" s="169"/>
      <c r="E478" s="169"/>
      <c r="F478" s="169"/>
      <c r="G478" s="169"/>
      <c r="H478" s="169"/>
      <c r="I478" s="169"/>
      <c r="J478" s="169"/>
      <c r="K478" s="169"/>
      <c r="L478" s="169"/>
      <c r="M478" s="169"/>
      <c r="N478" s="169"/>
      <c r="O478" s="169"/>
      <c r="P478" s="169"/>
      <c r="Q478" s="169"/>
      <c r="R478" s="169"/>
      <c r="S478" s="169"/>
      <c r="T478" s="169"/>
      <c r="U478" s="169"/>
      <c r="V478" s="169"/>
      <c r="W478" s="169"/>
      <c r="X478" s="169"/>
      <c r="Y478" s="169"/>
      <c r="Z478" s="169"/>
    </row>
    <row r="479" spans="1:26" ht="15.75" customHeight="1" x14ac:dyDescent="0.25">
      <c r="A479" s="169"/>
      <c r="B479" s="169"/>
      <c r="C479" s="169"/>
      <c r="D479" s="169"/>
      <c r="E479" s="169"/>
      <c r="F479" s="169"/>
      <c r="G479" s="169"/>
      <c r="H479" s="169"/>
      <c r="I479" s="169"/>
      <c r="J479" s="169"/>
      <c r="K479" s="169"/>
      <c r="L479" s="169"/>
      <c r="M479" s="169"/>
      <c r="N479" s="169"/>
      <c r="O479" s="169"/>
      <c r="P479" s="169"/>
      <c r="Q479" s="169"/>
      <c r="R479" s="169"/>
      <c r="S479" s="169"/>
      <c r="T479" s="169"/>
      <c r="U479" s="169"/>
      <c r="V479" s="169"/>
      <c r="W479" s="169"/>
      <c r="X479" s="169"/>
      <c r="Y479" s="169"/>
      <c r="Z479" s="169"/>
    </row>
    <row r="480" spans="1:26" ht="15.75" customHeight="1" x14ac:dyDescent="0.25">
      <c r="A480" s="169"/>
      <c r="B480" s="169"/>
      <c r="C480" s="169"/>
      <c r="D480" s="169"/>
      <c r="E480" s="169"/>
      <c r="F480" s="169"/>
      <c r="G480" s="169"/>
      <c r="H480" s="169"/>
      <c r="I480" s="169"/>
      <c r="J480" s="169"/>
      <c r="K480" s="169"/>
      <c r="L480" s="169"/>
      <c r="M480" s="169"/>
      <c r="N480" s="169"/>
      <c r="O480" s="169"/>
      <c r="P480" s="169"/>
      <c r="Q480" s="169"/>
      <c r="R480" s="169"/>
      <c r="S480" s="169"/>
      <c r="T480" s="169"/>
      <c r="U480" s="169"/>
      <c r="V480" s="169"/>
      <c r="W480" s="169"/>
      <c r="X480" s="169"/>
      <c r="Y480" s="169"/>
      <c r="Z480" s="169"/>
    </row>
    <row r="481" spans="1:26" ht="15.75" customHeight="1" x14ac:dyDescent="0.25">
      <c r="A481" s="169"/>
      <c r="B481" s="169"/>
      <c r="C481" s="169"/>
      <c r="D481" s="169"/>
      <c r="E481" s="169"/>
      <c r="F481" s="169"/>
      <c r="G481" s="169"/>
      <c r="H481" s="169"/>
      <c r="I481" s="169"/>
      <c r="J481" s="169"/>
      <c r="K481" s="169"/>
      <c r="L481" s="169"/>
      <c r="M481" s="169"/>
      <c r="N481" s="169"/>
      <c r="O481" s="169"/>
      <c r="P481" s="169"/>
      <c r="Q481" s="169"/>
      <c r="R481" s="169"/>
      <c r="S481" s="169"/>
      <c r="T481" s="169"/>
      <c r="U481" s="169"/>
      <c r="V481" s="169"/>
      <c r="W481" s="169"/>
      <c r="X481" s="169"/>
      <c r="Y481" s="169"/>
      <c r="Z481" s="169"/>
    </row>
    <row r="482" spans="1:26" ht="15.75" customHeight="1" x14ac:dyDescent="0.25">
      <c r="A482" s="169"/>
      <c r="B482" s="169"/>
      <c r="C482" s="169"/>
      <c r="D482" s="169"/>
      <c r="E482" s="169"/>
      <c r="F482" s="169"/>
      <c r="G482" s="169"/>
      <c r="H482" s="169"/>
      <c r="I482" s="169"/>
      <c r="J482" s="169"/>
      <c r="K482" s="169"/>
      <c r="L482" s="169"/>
      <c r="M482" s="169"/>
      <c r="N482" s="169"/>
      <c r="O482" s="169"/>
      <c r="P482" s="169"/>
      <c r="Q482" s="169"/>
      <c r="R482" s="169"/>
      <c r="S482" s="169"/>
      <c r="T482" s="169"/>
      <c r="U482" s="169"/>
      <c r="V482" s="169"/>
      <c r="W482" s="169"/>
      <c r="X482" s="169"/>
      <c r="Y482" s="169"/>
      <c r="Z482" s="169"/>
    </row>
    <row r="483" spans="1:26" ht="15.75" customHeight="1" x14ac:dyDescent="0.25">
      <c r="A483" s="169"/>
      <c r="B483" s="169"/>
      <c r="C483" s="169"/>
      <c r="D483" s="169"/>
      <c r="E483" s="169"/>
      <c r="F483" s="169"/>
      <c r="G483" s="169"/>
      <c r="H483" s="169"/>
      <c r="I483" s="169"/>
      <c r="J483" s="169"/>
      <c r="K483" s="169"/>
      <c r="L483" s="169"/>
      <c r="M483" s="169"/>
      <c r="N483" s="169"/>
      <c r="O483" s="169"/>
      <c r="P483" s="169"/>
      <c r="Q483" s="169"/>
      <c r="R483" s="169"/>
      <c r="S483" s="169"/>
      <c r="T483" s="169"/>
      <c r="U483" s="169"/>
      <c r="V483" s="169"/>
      <c r="W483" s="169"/>
      <c r="X483" s="169"/>
      <c r="Y483" s="169"/>
      <c r="Z483" s="169"/>
    </row>
    <row r="484" spans="1:26" ht="15.75" customHeight="1" x14ac:dyDescent="0.25">
      <c r="A484" s="169"/>
      <c r="B484" s="169"/>
      <c r="C484" s="169"/>
      <c r="D484" s="169"/>
      <c r="E484" s="169"/>
      <c r="F484" s="169"/>
      <c r="G484" s="169"/>
      <c r="H484" s="169"/>
      <c r="I484" s="169"/>
      <c r="J484" s="169"/>
      <c r="K484" s="169"/>
      <c r="L484" s="169"/>
      <c r="M484" s="169"/>
      <c r="N484" s="169"/>
      <c r="O484" s="169"/>
      <c r="P484" s="169"/>
      <c r="Q484" s="169"/>
      <c r="R484" s="169"/>
      <c r="S484" s="169"/>
      <c r="T484" s="169"/>
      <c r="U484" s="169"/>
      <c r="V484" s="169"/>
      <c r="W484" s="169"/>
      <c r="X484" s="169"/>
      <c r="Y484" s="169"/>
      <c r="Z484" s="169"/>
    </row>
    <row r="485" spans="1:26" ht="15.75" customHeight="1" x14ac:dyDescent="0.25">
      <c r="A485" s="169"/>
      <c r="B485" s="169"/>
      <c r="C485" s="169"/>
      <c r="D485" s="169"/>
      <c r="E485" s="169"/>
      <c r="F485" s="169"/>
      <c r="G485" s="169"/>
      <c r="H485" s="169"/>
      <c r="I485" s="169"/>
      <c r="J485" s="169"/>
      <c r="K485" s="169"/>
      <c r="L485" s="169"/>
      <c r="M485" s="169"/>
      <c r="N485" s="169"/>
      <c r="O485" s="169"/>
      <c r="P485" s="169"/>
      <c r="Q485" s="169"/>
      <c r="R485" s="169"/>
      <c r="S485" s="169"/>
      <c r="T485" s="169"/>
      <c r="U485" s="169"/>
      <c r="V485" s="169"/>
      <c r="W485" s="169"/>
      <c r="X485" s="169"/>
      <c r="Y485" s="169"/>
      <c r="Z485" s="169"/>
    </row>
    <row r="486" spans="1:26" ht="15.75" customHeight="1" x14ac:dyDescent="0.25">
      <c r="A486" s="169"/>
      <c r="B486" s="169"/>
      <c r="C486" s="169"/>
      <c r="D486" s="169"/>
      <c r="E486" s="169"/>
      <c r="F486" s="169"/>
      <c r="G486" s="169"/>
      <c r="H486" s="169"/>
      <c r="I486" s="169"/>
      <c r="J486" s="169"/>
      <c r="K486" s="169"/>
      <c r="L486" s="169"/>
      <c r="M486" s="169"/>
      <c r="N486" s="169"/>
      <c r="O486" s="169"/>
      <c r="P486" s="169"/>
      <c r="Q486" s="169"/>
      <c r="R486" s="169"/>
      <c r="S486" s="169"/>
      <c r="T486" s="169"/>
      <c r="U486" s="169"/>
      <c r="V486" s="169"/>
      <c r="W486" s="169"/>
      <c r="X486" s="169"/>
      <c r="Y486" s="169"/>
      <c r="Z486" s="169"/>
    </row>
    <row r="487" spans="1:26" ht="15.75" customHeight="1" x14ac:dyDescent="0.25">
      <c r="A487" s="169"/>
      <c r="B487" s="169"/>
      <c r="C487" s="169"/>
      <c r="D487" s="169"/>
      <c r="E487" s="169"/>
      <c r="F487" s="169"/>
      <c r="G487" s="169"/>
      <c r="H487" s="169"/>
      <c r="I487" s="169"/>
      <c r="J487" s="169"/>
      <c r="K487" s="169"/>
      <c r="L487" s="169"/>
      <c r="M487" s="169"/>
      <c r="N487" s="169"/>
      <c r="O487" s="169"/>
      <c r="P487" s="169"/>
      <c r="Q487" s="169"/>
      <c r="R487" s="169"/>
      <c r="S487" s="169"/>
      <c r="T487" s="169"/>
      <c r="U487" s="169"/>
      <c r="V487" s="169"/>
      <c r="W487" s="169"/>
      <c r="X487" s="169"/>
      <c r="Y487" s="169"/>
      <c r="Z487" s="169"/>
    </row>
    <row r="488" spans="1:26" ht="15.75" customHeight="1" x14ac:dyDescent="0.25">
      <c r="A488" s="169"/>
      <c r="B488" s="169"/>
      <c r="C488" s="169"/>
      <c r="D488" s="169"/>
      <c r="E488" s="169"/>
      <c r="F488" s="169"/>
      <c r="G488" s="169"/>
      <c r="H488" s="169"/>
      <c r="I488" s="169"/>
      <c r="J488" s="169"/>
      <c r="K488" s="169"/>
      <c r="L488" s="169"/>
      <c r="M488" s="169"/>
      <c r="N488" s="169"/>
      <c r="O488" s="169"/>
      <c r="P488" s="169"/>
      <c r="Q488" s="169"/>
      <c r="R488" s="169"/>
      <c r="S488" s="169"/>
      <c r="T488" s="169"/>
      <c r="U488" s="169"/>
      <c r="V488" s="169"/>
      <c r="W488" s="169"/>
      <c r="X488" s="169"/>
      <c r="Y488" s="169"/>
      <c r="Z488" s="169"/>
    </row>
    <row r="489" spans="1:26" ht="15.75" customHeight="1" x14ac:dyDescent="0.25">
      <c r="A489" s="169"/>
      <c r="B489" s="169"/>
      <c r="C489" s="169"/>
      <c r="D489" s="169"/>
      <c r="E489" s="169"/>
      <c r="F489" s="169"/>
      <c r="G489" s="169"/>
      <c r="H489" s="169"/>
      <c r="I489" s="169"/>
      <c r="J489" s="169"/>
      <c r="K489" s="169"/>
      <c r="L489" s="169"/>
      <c r="M489" s="169"/>
      <c r="N489" s="169"/>
      <c r="O489" s="169"/>
      <c r="P489" s="169"/>
      <c r="Q489" s="169"/>
      <c r="R489" s="169"/>
      <c r="S489" s="169"/>
      <c r="T489" s="169"/>
      <c r="U489" s="169"/>
      <c r="V489" s="169"/>
      <c r="W489" s="169"/>
      <c r="X489" s="169"/>
      <c r="Y489" s="169"/>
      <c r="Z489" s="169"/>
    </row>
    <row r="490" spans="1:26" ht="15.75" customHeight="1" x14ac:dyDescent="0.25">
      <c r="A490" s="169"/>
      <c r="B490" s="169"/>
      <c r="C490" s="169"/>
      <c r="D490" s="169"/>
      <c r="E490" s="169"/>
      <c r="F490" s="169"/>
      <c r="G490" s="169"/>
      <c r="H490" s="169"/>
      <c r="I490" s="169"/>
      <c r="J490" s="169"/>
      <c r="K490" s="169"/>
      <c r="L490" s="169"/>
      <c r="M490" s="169"/>
      <c r="N490" s="169"/>
      <c r="O490" s="169"/>
      <c r="P490" s="169"/>
      <c r="Q490" s="169"/>
      <c r="R490" s="169"/>
      <c r="S490" s="169"/>
      <c r="T490" s="169"/>
      <c r="U490" s="169"/>
      <c r="V490" s="169"/>
      <c r="W490" s="169"/>
      <c r="X490" s="169"/>
      <c r="Y490" s="169"/>
      <c r="Z490" s="169"/>
    </row>
    <row r="491" spans="1:26" ht="15.75" customHeight="1" x14ac:dyDescent="0.25">
      <c r="A491" s="169"/>
      <c r="B491" s="169"/>
      <c r="C491" s="169"/>
      <c r="D491" s="169"/>
      <c r="E491" s="169"/>
      <c r="F491" s="169"/>
      <c r="G491" s="169"/>
      <c r="H491" s="169"/>
      <c r="I491" s="169"/>
      <c r="J491" s="169"/>
      <c r="K491" s="169"/>
      <c r="L491" s="169"/>
      <c r="M491" s="169"/>
      <c r="N491" s="169"/>
      <c r="O491" s="169"/>
      <c r="P491" s="169"/>
      <c r="Q491" s="169"/>
      <c r="R491" s="169"/>
      <c r="S491" s="169"/>
      <c r="T491" s="169"/>
      <c r="U491" s="169"/>
      <c r="V491" s="169"/>
      <c r="W491" s="169"/>
      <c r="X491" s="169"/>
      <c r="Y491" s="169"/>
      <c r="Z491" s="169"/>
    </row>
    <row r="492" spans="1:26" ht="15.75" customHeight="1" x14ac:dyDescent="0.25">
      <c r="A492" s="169"/>
      <c r="B492" s="169"/>
      <c r="C492" s="169"/>
      <c r="D492" s="169"/>
      <c r="E492" s="169"/>
      <c r="F492" s="169"/>
      <c r="G492" s="169"/>
      <c r="H492" s="169"/>
      <c r="I492" s="169"/>
      <c r="J492" s="169"/>
      <c r="K492" s="169"/>
      <c r="L492" s="169"/>
      <c r="M492" s="169"/>
      <c r="N492" s="169"/>
      <c r="O492" s="169"/>
      <c r="P492" s="169"/>
      <c r="Q492" s="169"/>
      <c r="R492" s="169"/>
      <c r="S492" s="169"/>
      <c r="T492" s="169"/>
      <c r="U492" s="169"/>
      <c r="V492" s="169"/>
      <c r="W492" s="169"/>
      <c r="X492" s="169"/>
      <c r="Y492" s="169"/>
      <c r="Z492" s="169"/>
    </row>
    <row r="493" spans="1:26" ht="15.75" customHeight="1" x14ac:dyDescent="0.25">
      <c r="A493" s="169"/>
      <c r="B493" s="169"/>
      <c r="C493" s="169"/>
      <c r="D493" s="169"/>
      <c r="E493" s="169"/>
      <c r="F493" s="169"/>
      <c r="G493" s="169"/>
      <c r="H493" s="169"/>
      <c r="I493" s="169"/>
      <c r="J493" s="169"/>
      <c r="K493" s="169"/>
      <c r="L493" s="169"/>
      <c r="M493" s="169"/>
      <c r="N493" s="169"/>
      <c r="O493" s="169"/>
      <c r="P493" s="169"/>
      <c r="Q493" s="169"/>
      <c r="R493" s="169"/>
      <c r="S493" s="169"/>
      <c r="T493" s="169"/>
      <c r="U493" s="169"/>
      <c r="V493" s="169"/>
      <c r="W493" s="169"/>
      <c r="X493" s="169"/>
      <c r="Y493" s="169"/>
      <c r="Z493" s="169"/>
    </row>
    <row r="494" spans="1:26" ht="15.75" customHeight="1" x14ac:dyDescent="0.25">
      <c r="A494" s="169"/>
      <c r="B494" s="169"/>
      <c r="C494" s="169"/>
      <c r="D494" s="169"/>
      <c r="E494" s="169"/>
      <c r="F494" s="169"/>
      <c r="G494" s="169"/>
      <c r="H494" s="169"/>
      <c r="I494" s="169"/>
      <c r="J494" s="169"/>
      <c r="K494" s="169"/>
      <c r="L494" s="169"/>
      <c r="M494" s="169"/>
      <c r="N494" s="169"/>
      <c r="O494" s="169"/>
      <c r="P494" s="169"/>
      <c r="Q494" s="169"/>
      <c r="R494" s="169"/>
      <c r="S494" s="169"/>
      <c r="T494" s="169"/>
      <c r="U494" s="169"/>
      <c r="V494" s="169"/>
      <c r="W494" s="169"/>
      <c r="X494" s="169"/>
      <c r="Y494" s="169"/>
      <c r="Z494" s="169"/>
    </row>
    <row r="495" spans="1:26" ht="15.75" customHeight="1" x14ac:dyDescent="0.25">
      <c r="A495" s="169"/>
      <c r="B495" s="169"/>
      <c r="C495" s="169"/>
      <c r="D495" s="169"/>
      <c r="E495" s="169"/>
      <c r="F495" s="169"/>
      <c r="G495" s="169"/>
      <c r="H495" s="169"/>
      <c r="I495" s="169"/>
      <c r="J495" s="169"/>
      <c r="K495" s="169"/>
      <c r="L495" s="169"/>
      <c r="M495" s="169"/>
      <c r="N495" s="169"/>
      <c r="O495" s="169"/>
      <c r="P495" s="169"/>
      <c r="Q495" s="169"/>
      <c r="R495" s="169"/>
      <c r="S495" s="169"/>
      <c r="T495" s="169"/>
      <c r="U495" s="169"/>
      <c r="V495" s="169"/>
      <c r="W495" s="169"/>
      <c r="X495" s="169"/>
      <c r="Y495" s="169"/>
      <c r="Z495" s="169"/>
    </row>
    <row r="496" spans="1:26" ht="15.75" customHeight="1" x14ac:dyDescent="0.25">
      <c r="A496" s="169"/>
      <c r="B496" s="169"/>
      <c r="C496" s="169"/>
      <c r="D496" s="169"/>
      <c r="E496" s="169"/>
      <c r="F496" s="169"/>
      <c r="G496" s="169"/>
      <c r="H496" s="169"/>
      <c r="I496" s="169"/>
      <c r="J496" s="169"/>
      <c r="K496" s="169"/>
      <c r="L496" s="169"/>
      <c r="M496" s="169"/>
      <c r="N496" s="169"/>
      <c r="O496" s="169"/>
      <c r="P496" s="169"/>
      <c r="Q496" s="169"/>
      <c r="R496" s="169"/>
      <c r="S496" s="169"/>
      <c r="T496" s="169"/>
      <c r="U496" s="169"/>
      <c r="V496" s="169"/>
      <c r="W496" s="169"/>
      <c r="X496" s="169"/>
      <c r="Y496" s="169"/>
      <c r="Z496" s="169"/>
    </row>
    <row r="497" spans="1:26" ht="15.75" customHeight="1" x14ac:dyDescent="0.25">
      <c r="A497" s="169"/>
      <c r="B497" s="169"/>
      <c r="C497" s="169"/>
      <c r="D497" s="169"/>
      <c r="E497" s="169"/>
      <c r="F497" s="169"/>
      <c r="G497" s="169"/>
      <c r="H497" s="169"/>
      <c r="I497" s="169"/>
      <c r="J497" s="169"/>
      <c r="K497" s="169"/>
      <c r="L497" s="169"/>
      <c r="M497" s="169"/>
      <c r="N497" s="169"/>
      <c r="O497" s="169"/>
      <c r="P497" s="169"/>
      <c r="Q497" s="169"/>
      <c r="R497" s="169"/>
      <c r="S497" s="169"/>
      <c r="T497" s="169"/>
      <c r="U497" s="169"/>
      <c r="V497" s="169"/>
      <c r="W497" s="169"/>
      <c r="X497" s="169"/>
      <c r="Y497" s="169"/>
      <c r="Z497" s="169"/>
    </row>
    <row r="498" spans="1:26" ht="15.75" customHeight="1" x14ac:dyDescent="0.25">
      <c r="A498" s="169"/>
      <c r="B498" s="169"/>
      <c r="C498" s="169"/>
      <c r="D498" s="169"/>
      <c r="E498" s="169"/>
      <c r="F498" s="169"/>
      <c r="G498" s="169"/>
      <c r="H498" s="169"/>
      <c r="I498" s="169"/>
      <c r="J498" s="169"/>
      <c r="K498" s="169"/>
      <c r="L498" s="169"/>
      <c r="M498" s="169"/>
      <c r="N498" s="169"/>
      <c r="O498" s="169"/>
      <c r="P498" s="169"/>
      <c r="Q498" s="169"/>
      <c r="R498" s="169"/>
      <c r="S498" s="169"/>
      <c r="T498" s="169"/>
      <c r="U498" s="169"/>
      <c r="V498" s="169"/>
      <c r="W498" s="169"/>
      <c r="X498" s="169"/>
      <c r="Y498" s="169"/>
      <c r="Z498" s="169"/>
    </row>
    <row r="499" spans="1:26" ht="15.75" customHeight="1" x14ac:dyDescent="0.25">
      <c r="A499" s="169"/>
      <c r="B499" s="169"/>
      <c r="C499" s="169"/>
      <c r="D499" s="169"/>
      <c r="E499" s="169"/>
      <c r="F499" s="169"/>
      <c r="G499" s="169"/>
      <c r="H499" s="169"/>
      <c r="I499" s="169"/>
      <c r="J499" s="169"/>
      <c r="K499" s="169"/>
      <c r="L499" s="169"/>
      <c r="M499" s="169"/>
      <c r="N499" s="169"/>
      <c r="O499" s="169"/>
      <c r="P499" s="169"/>
      <c r="Q499" s="169"/>
      <c r="R499" s="169"/>
      <c r="S499" s="169"/>
      <c r="T499" s="169"/>
      <c r="U499" s="169"/>
      <c r="V499" s="169"/>
      <c r="W499" s="169"/>
      <c r="X499" s="169"/>
      <c r="Y499" s="169"/>
      <c r="Z499" s="169"/>
    </row>
    <row r="500" spans="1:26" ht="15.75" customHeight="1" x14ac:dyDescent="0.25">
      <c r="A500" s="169"/>
      <c r="B500" s="169"/>
      <c r="C500" s="169"/>
      <c r="D500" s="169"/>
      <c r="E500" s="169"/>
      <c r="F500" s="169"/>
      <c r="G500" s="169"/>
      <c r="H500" s="169"/>
      <c r="I500" s="169"/>
      <c r="J500" s="169"/>
      <c r="K500" s="169"/>
      <c r="L500" s="169"/>
      <c r="M500" s="169"/>
      <c r="N500" s="169"/>
      <c r="O500" s="169"/>
      <c r="P500" s="169"/>
      <c r="Q500" s="169"/>
      <c r="R500" s="169"/>
      <c r="S500" s="169"/>
      <c r="T500" s="169"/>
      <c r="U500" s="169"/>
      <c r="V500" s="169"/>
      <c r="W500" s="169"/>
      <c r="X500" s="169"/>
      <c r="Y500" s="169"/>
      <c r="Z500" s="169"/>
    </row>
    <row r="501" spans="1:26" ht="15.75" customHeight="1" x14ac:dyDescent="0.25">
      <c r="A501" s="169"/>
      <c r="B501" s="169"/>
      <c r="C501" s="169"/>
      <c r="D501" s="169"/>
      <c r="E501" s="169"/>
      <c r="F501" s="169"/>
      <c r="G501" s="169"/>
      <c r="H501" s="169"/>
      <c r="I501" s="169"/>
      <c r="J501" s="169"/>
      <c r="K501" s="169"/>
      <c r="L501" s="169"/>
      <c r="M501" s="169"/>
      <c r="N501" s="169"/>
      <c r="O501" s="169"/>
      <c r="P501" s="169"/>
      <c r="Q501" s="169"/>
      <c r="R501" s="169"/>
      <c r="S501" s="169"/>
      <c r="T501" s="169"/>
      <c r="U501" s="169"/>
      <c r="V501" s="169"/>
      <c r="W501" s="169"/>
      <c r="X501" s="169"/>
      <c r="Y501" s="169"/>
      <c r="Z501" s="169"/>
    </row>
    <row r="502" spans="1:26" ht="15.75" customHeight="1" x14ac:dyDescent="0.25">
      <c r="A502" s="169"/>
      <c r="B502" s="169"/>
      <c r="C502" s="169"/>
      <c r="D502" s="169"/>
      <c r="E502" s="169"/>
      <c r="F502" s="169"/>
      <c r="G502" s="169"/>
      <c r="H502" s="169"/>
      <c r="I502" s="169"/>
      <c r="J502" s="169"/>
      <c r="K502" s="169"/>
      <c r="L502" s="169"/>
      <c r="M502" s="169"/>
      <c r="N502" s="169"/>
      <c r="O502" s="169"/>
      <c r="P502" s="169"/>
      <c r="Q502" s="169"/>
      <c r="R502" s="169"/>
      <c r="S502" s="169"/>
      <c r="T502" s="169"/>
      <c r="U502" s="169"/>
      <c r="V502" s="169"/>
      <c r="W502" s="169"/>
      <c r="X502" s="169"/>
      <c r="Y502" s="169"/>
      <c r="Z502" s="169"/>
    </row>
    <row r="503" spans="1:26" ht="15.75" customHeight="1" x14ac:dyDescent="0.25">
      <c r="A503" s="169"/>
      <c r="B503" s="169"/>
      <c r="C503" s="169"/>
      <c r="D503" s="169"/>
      <c r="E503" s="169"/>
      <c r="F503" s="169"/>
      <c r="G503" s="169"/>
      <c r="H503" s="169"/>
      <c r="I503" s="169"/>
      <c r="J503" s="169"/>
      <c r="K503" s="169"/>
      <c r="L503" s="169"/>
      <c r="M503" s="169"/>
      <c r="N503" s="169"/>
      <c r="O503" s="169"/>
      <c r="P503" s="169"/>
      <c r="Q503" s="169"/>
      <c r="R503" s="169"/>
      <c r="S503" s="169"/>
      <c r="T503" s="169"/>
      <c r="U503" s="169"/>
      <c r="V503" s="169"/>
      <c r="W503" s="169"/>
      <c r="X503" s="169"/>
      <c r="Y503" s="169"/>
      <c r="Z503" s="169"/>
    </row>
    <row r="504" spans="1:26" ht="15.75" customHeight="1" x14ac:dyDescent="0.25">
      <c r="A504" s="169"/>
      <c r="B504" s="169"/>
      <c r="C504" s="169"/>
      <c r="D504" s="169"/>
      <c r="E504" s="169"/>
      <c r="F504" s="169"/>
      <c r="G504" s="169"/>
      <c r="H504" s="169"/>
      <c r="I504" s="169"/>
      <c r="J504" s="169"/>
      <c r="K504" s="169"/>
      <c r="L504" s="169"/>
      <c r="M504" s="169"/>
      <c r="N504" s="169"/>
      <c r="O504" s="169"/>
      <c r="P504" s="169"/>
      <c r="Q504" s="169"/>
      <c r="R504" s="169"/>
      <c r="S504" s="169"/>
      <c r="T504" s="169"/>
      <c r="U504" s="169"/>
      <c r="V504" s="169"/>
      <c r="W504" s="169"/>
      <c r="X504" s="169"/>
      <c r="Y504" s="169"/>
      <c r="Z504" s="169"/>
    </row>
    <row r="505" spans="1:26" ht="15.75" customHeight="1" x14ac:dyDescent="0.25">
      <c r="A505" s="169"/>
      <c r="B505" s="169"/>
      <c r="C505" s="169"/>
      <c r="D505" s="169"/>
      <c r="E505" s="169"/>
      <c r="F505" s="169"/>
      <c r="G505" s="169"/>
      <c r="H505" s="169"/>
      <c r="I505" s="169"/>
      <c r="J505" s="169"/>
      <c r="K505" s="169"/>
      <c r="L505" s="169"/>
      <c r="M505" s="169"/>
      <c r="N505" s="169"/>
      <c r="O505" s="169"/>
      <c r="P505" s="169"/>
      <c r="Q505" s="169"/>
      <c r="R505" s="169"/>
      <c r="S505" s="169"/>
      <c r="T505" s="169"/>
      <c r="U505" s="169"/>
      <c r="V505" s="169"/>
      <c r="W505" s="169"/>
      <c r="X505" s="169"/>
      <c r="Y505" s="169"/>
      <c r="Z505" s="169"/>
    </row>
    <row r="506" spans="1:26" ht="15.75" customHeight="1" x14ac:dyDescent="0.25">
      <c r="A506" s="169"/>
      <c r="B506" s="169"/>
      <c r="C506" s="169"/>
      <c r="D506" s="169"/>
      <c r="E506" s="169"/>
      <c r="F506" s="169"/>
      <c r="G506" s="169"/>
      <c r="H506" s="169"/>
      <c r="I506" s="169"/>
      <c r="J506" s="169"/>
      <c r="K506" s="169"/>
      <c r="L506" s="169"/>
      <c r="M506" s="169"/>
      <c r="N506" s="169"/>
      <c r="O506" s="169"/>
      <c r="P506" s="169"/>
      <c r="Q506" s="169"/>
      <c r="R506" s="169"/>
      <c r="S506" s="169"/>
      <c r="T506" s="169"/>
      <c r="U506" s="169"/>
      <c r="V506" s="169"/>
      <c r="W506" s="169"/>
      <c r="X506" s="169"/>
      <c r="Y506" s="169"/>
      <c r="Z506" s="169"/>
    </row>
    <row r="507" spans="1:26" ht="15.75" customHeight="1" x14ac:dyDescent="0.25">
      <c r="A507" s="169"/>
      <c r="B507" s="169"/>
      <c r="C507" s="169"/>
      <c r="D507" s="169"/>
      <c r="E507" s="169"/>
      <c r="F507" s="169"/>
      <c r="G507" s="169"/>
      <c r="H507" s="169"/>
      <c r="I507" s="169"/>
      <c r="J507" s="169"/>
      <c r="K507" s="169"/>
      <c r="L507" s="169"/>
      <c r="M507" s="169"/>
      <c r="N507" s="169"/>
      <c r="O507" s="169"/>
      <c r="P507" s="169"/>
      <c r="Q507" s="169"/>
      <c r="R507" s="169"/>
      <c r="S507" s="169"/>
      <c r="T507" s="169"/>
      <c r="U507" s="169"/>
      <c r="V507" s="169"/>
      <c r="W507" s="169"/>
      <c r="X507" s="169"/>
      <c r="Y507" s="169"/>
      <c r="Z507" s="169"/>
    </row>
    <row r="508" spans="1:26" ht="15.75" customHeight="1" x14ac:dyDescent="0.25">
      <c r="A508" s="169"/>
      <c r="B508" s="169"/>
      <c r="C508" s="169"/>
      <c r="D508" s="169"/>
      <c r="E508" s="169"/>
      <c r="F508" s="169"/>
      <c r="G508" s="169"/>
      <c r="H508" s="169"/>
      <c r="I508" s="169"/>
      <c r="J508" s="169"/>
      <c r="K508" s="169"/>
      <c r="L508" s="169"/>
      <c r="M508" s="169"/>
      <c r="N508" s="169"/>
      <c r="O508" s="169"/>
      <c r="P508" s="169"/>
      <c r="Q508" s="169"/>
      <c r="R508" s="169"/>
      <c r="S508" s="169"/>
      <c r="T508" s="169"/>
      <c r="U508" s="169"/>
      <c r="V508" s="169"/>
      <c r="W508" s="169"/>
      <c r="X508" s="169"/>
      <c r="Y508" s="169"/>
      <c r="Z508" s="169"/>
    </row>
    <row r="509" spans="1:26" ht="15.75" customHeight="1" x14ac:dyDescent="0.25">
      <c r="A509" s="169"/>
      <c r="B509" s="169"/>
      <c r="C509" s="169"/>
      <c r="D509" s="169"/>
      <c r="E509" s="169"/>
      <c r="F509" s="169"/>
      <c r="G509" s="169"/>
      <c r="H509" s="169"/>
      <c r="I509" s="169"/>
      <c r="J509" s="169"/>
      <c r="K509" s="169"/>
      <c r="L509" s="169"/>
      <c r="M509" s="169"/>
      <c r="N509" s="169"/>
      <c r="O509" s="169"/>
      <c r="P509" s="169"/>
      <c r="Q509" s="169"/>
      <c r="R509" s="169"/>
      <c r="S509" s="169"/>
      <c r="T509" s="169"/>
      <c r="U509" s="169"/>
      <c r="V509" s="169"/>
      <c r="W509" s="169"/>
      <c r="X509" s="169"/>
      <c r="Y509" s="169"/>
      <c r="Z509" s="169"/>
    </row>
    <row r="510" spans="1:26" ht="15.75" customHeight="1" x14ac:dyDescent="0.25">
      <c r="A510" s="169"/>
      <c r="B510" s="169"/>
      <c r="C510" s="169"/>
      <c r="D510" s="169"/>
      <c r="E510" s="169"/>
      <c r="F510" s="169"/>
      <c r="G510" s="169"/>
      <c r="H510" s="169"/>
      <c r="I510" s="169"/>
      <c r="J510" s="169"/>
      <c r="K510" s="169"/>
      <c r="L510" s="169"/>
      <c r="M510" s="169"/>
      <c r="N510" s="169"/>
      <c r="O510" s="169"/>
      <c r="P510" s="169"/>
      <c r="Q510" s="169"/>
      <c r="R510" s="169"/>
      <c r="S510" s="169"/>
      <c r="T510" s="169"/>
      <c r="U510" s="169"/>
      <c r="V510" s="169"/>
      <c r="W510" s="169"/>
      <c r="X510" s="169"/>
      <c r="Y510" s="169"/>
      <c r="Z510" s="169"/>
    </row>
    <row r="511" spans="1:26" ht="15.75" customHeight="1" x14ac:dyDescent="0.25">
      <c r="A511" s="169"/>
      <c r="B511" s="169"/>
      <c r="C511" s="169"/>
      <c r="D511" s="169"/>
      <c r="E511" s="169"/>
      <c r="F511" s="169"/>
      <c r="G511" s="169"/>
      <c r="H511" s="169"/>
      <c r="I511" s="169"/>
      <c r="J511" s="169"/>
      <c r="K511" s="169"/>
      <c r="L511" s="169"/>
      <c r="M511" s="169"/>
      <c r="N511" s="169"/>
      <c r="O511" s="169"/>
      <c r="P511" s="169"/>
      <c r="Q511" s="169"/>
      <c r="R511" s="169"/>
      <c r="S511" s="169"/>
      <c r="T511" s="169"/>
      <c r="U511" s="169"/>
      <c r="V511" s="169"/>
      <c r="W511" s="169"/>
      <c r="X511" s="169"/>
      <c r="Y511" s="169"/>
      <c r="Z511" s="169"/>
    </row>
    <row r="512" spans="1:26" ht="15.75" customHeight="1" x14ac:dyDescent="0.25">
      <c r="A512" s="169"/>
      <c r="B512" s="169"/>
      <c r="C512" s="169"/>
      <c r="D512" s="169"/>
      <c r="E512" s="169"/>
      <c r="F512" s="169"/>
      <c r="G512" s="169"/>
      <c r="H512" s="169"/>
      <c r="I512" s="169"/>
      <c r="J512" s="169"/>
      <c r="K512" s="169"/>
      <c r="L512" s="169"/>
      <c r="M512" s="169"/>
      <c r="N512" s="169"/>
      <c r="O512" s="169"/>
      <c r="P512" s="169"/>
      <c r="Q512" s="169"/>
      <c r="R512" s="169"/>
      <c r="S512" s="169"/>
      <c r="T512" s="169"/>
      <c r="U512" s="169"/>
      <c r="V512" s="169"/>
      <c r="W512" s="169"/>
      <c r="X512" s="169"/>
      <c r="Y512" s="169"/>
      <c r="Z512" s="169"/>
    </row>
    <row r="513" spans="1:26" ht="15.75" customHeight="1" x14ac:dyDescent="0.25">
      <c r="A513" s="169"/>
      <c r="B513" s="169"/>
      <c r="C513" s="169"/>
      <c r="D513" s="169"/>
      <c r="E513" s="169"/>
      <c r="F513" s="169"/>
      <c r="G513" s="169"/>
      <c r="H513" s="169"/>
      <c r="I513" s="169"/>
      <c r="J513" s="169"/>
      <c r="K513" s="169"/>
      <c r="L513" s="169"/>
      <c r="M513" s="169"/>
      <c r="N513" s="169"/>
      <c r="O513" s="169"/>
      <c r="P513" s="169"/>
      <c r="Q513" s="169"/>
      <c r="R513" s="169"/>
      <c r="S513" s="169"/>
      <c r="T513" s="169"/>
      <c r="U513" s="169"/>
      <c r="V513" s="169"/>
      <c r="W513" s="169"/>
      <c r="X513" s="169"/>
      <c r="Y513" s="169"/>
      <c r="Z513" s="169"/>
    </row>
    <row r="514" spans="1:26" ht="15.75" customHeight="1" x14ac:dyDescent="0.25">
      <c r="A514" s="169"/>
      <c r="B514" s="169"/>
      <c r="C514" s="169"/>
      <c r="D514" s="169"/>
      <c r="E514" s="169"/>
      <c r="F514" s="169"/>
      <c r="G514" s="169"/>
      <c r="H514" s="169"/>
      <c r="I514" s="169"/>
      <c r="J514" s="169"/>
      <c r="K514" s="169"/>
      <c r="L514" s="169"/>
      <c r="M514" s="169"/>
      <c r="N514" s="169"/>
      <c r="O514" s="169"/>
      <c r="P514" s="169"/>
      <c r="Q514" s="169"/>
      <c r="R514" s="169"/>
      <c r="S514" s="169"/>
      <c r="T514" s="169"/>
      <c r="U514" s="169"/>
      <c r="V514" s="169"/>
      <c r="W514" s="169"/>
      <c r="X514" s="169"/>
      <c r="Y514" s="169"/>
      <c r="Z514" s="169"/>
    </row>
    <row r="515" spans="1:26" ht="15.75" customHeight="1" x14ac:dyDescent="0.25">
      <c r="A515" s="169"/>
      <c r="B515" s="169"/>
      <c r="C515" s="169"/>
      <c r="D515" s="169"/>
      <c r="E515" s="169"/>
      <c r="F515" s="169"/>
      <c r="G515" s="169"/>
      <c r="H515" s="169"/>
      <c r="I515" s="169"/>
      <c r="J515" s="169"/>
      <c r="K515" s="169"/>
      <c r="L515" s="169"/>
      <c r="M515" s="169"/>
      <c r="N515" s="169"/>
      <c r="O515" s="169"/>
      <c r="P515" s="169"/>
      <c r="Q515" s="169"/>
      <c r="R515" s="169"/>
      <c r="S515" s="169"/>
      <c r="T515" s="169"/>
      <c r="U515" s="169"/>
      <c r="V515" s="169"/>
      <c r="W515" s="169"/>
      <c r="X515" s="169"/>
      <c r="Y515" s="169"/>
      <c r="Z515" s="169"/>
    </row>
    <row r="516" spans="1:26" ht="15.75" customHeight="1" x14ac:dyDescent="0.25">
      <c r="A516" s="169"/>
      <c r="B516" s="169"/>
      <c r="C516" s="169"/>
      <c r="D516" s="169"/>
      <c r="E516" s="169"/>
      <c r="F516" s="169"/>
      <c r="G516" s="169"/>
      <c r="H516" s="169"/>
      <c r="I516" s="169"/>
      <c r="J516" s="169"/>
      <c r="K516" s="169"/>
      <c r="L516" s="169"/>
      <c r="M516" s="169"/>
      <c r="N516" s="169"/>
      <c r="O516" s="169"/>
      <c r="P516" s="169"/>
      <c r="Q516" s="169"/>
      <c r="R516" s="169"/>
      <c r="S516" s="169"/>
      <c r="T516" s="169"/>
      <c r="U516" s="169"/>
      <c r="V516" s="169"/>
      <c r="W516" s="169"/>
      <c r="X516" s="169"/>
      <c r="Y516" s="169"/>
      <c r="Z516" s="169"/>
    </row>
    <row r="517" spans="1:26" ht="15.75" customHeight="1" x14ac:dyDescent="0.25">
      <c r="A517" s="169"/>
      <c r="B517" s="169"/>
      <c r="C517" s="169"/>
      <c r="D517" s="169"/>
      <c r="E517" s="169"/>
      <c r="F517" s="169"/>
      <c r="G517" s="169"/>
      <c r="H517" s="169"/>
      <c r="I517" s="169"/>
      <c r="J517" s="169"/>
      <c r="K517" s="169"/>
      <c r="L517" s="169"/>
      <c r="M517" s="169"/>
      <c r="N517" s="169"/>
      <c r="O517" s="169"/>
      <c r="P517" s="169"/>
      <c r="Q517" s="169"/>
      <c r="R517" s="169"/>
      <c r="S517" s="169"/>
      <c r="T517" s="169"/>
      <c r="U517" s="169"/>
      <c r="V517" s="169"/>
      <c r="W517" s="169"/>
      <c r="X517" s="169"/>
      <c r="Y517" s="169"/>
      <c r="Z517" s="169"/>
    </row>
    <row r="518" spans="1:26" ht="15.75" customHeight="1" x14ac:dyDescent="0.25">
      <c r="A518" s="169"/>
      <c r="B518" s="169"/>
      <c r="C518" s="169"/>
      <c r="D518" s="169"/>
      <c r="E518" s="169"/>
      <c r="F518" s="169"/>
      <c r="G518" s="169"/>
      <c r="H518" s="169"/>
      <c r="I518" s="169"/>
      <c r="J518" s="169"/>
      <c r="K518" s="169"/>
      <c r="L518" s="169"/>
      <c r="M518" s="169"/>
      <c r="N518" s="169"/>
      <c r="O518" s="169"/>
      <c r="P518" s="169"/>
      <c r="Q518" s="169"/>
      <c r="R518" s="169"/>
      <c r="S518" s="169"/>
      <c r="T518" s="169"/>
      <c r="U518" s="169"/>
      <c r="V518" s="169"/>
      <c r="W518" s="169"/>
      <c r="X518" s="169"/>
      <c r="Y518" s="169"/>
      <c r="Z518" s="169"/>
    </row>
    <row r="519" spans="1:26" ht="15.75" customHeight="1" x14ac:dyDescent="0.25">
      <c r="A519" s="169"/>
      <c r="B519" s="169"/>
      <c r="C519" s="169"/>
      <c r="D519" s="169"/>
      <c r="E519" s="169"/>
      <c r="F519" s="169"/>
      <c r="G519" s="169"/>
      <c r="H519" s="169"/>
      <c r="I519" s="169"/>
      <c r="J519" s="169"/>
      <c r="K519" s="169"/>
      <c r="L519" s="169"/>
      <c r="M519" s="169"/>
      <c r="N519" s="169"/>
      <c r="O519" s="169"/>
      <c r="P519" s="169"/>
      <c r="Q519" s="169"/>
      <c r="R519" s="169"/>
      <c r="S519" s="169"/>
      <c r="T519" s="169"/>
      <c r="U519" s="169"/>
      <c r="V519" s="169"/>
      <c r="W519" s="169"/>
      <c r="X519" s="169"/>
      <c r="Y519" s="169"/>
      <c r="Z519" s="169"/>
    </row>
    <row r="520" spans="1:26" ht="15.75" customHeight="1" x14ac:dyDescent="0.25">
      <c r="A520" s="169"/>
      <c r="B520" s="169"/>
      <c r="C520" s="169"/>
      <c r="D520" s="169"/>
      <c r="E520" s="169"/>
      <c r="F520" s="169"/>
      <c r="G520" s="169"/>
      <c r="H520" s="169"/>
      <c r="I520" s="169"/>
      <c r="J520" s="169"/>
      <c r="K520" s="169"/>
      <c r="L520" s="169"/>
      <c r="M520" s="169"/>
      <c r="N520" s="169"/>
      <c r="O520" s="169"/>
      <c r="P520" s="169"/>
      <c r="Q520" s="169"/>
      <c r="R520" s="169"/>
      <c r="S520" s="169"/>
      <c r="T520" s="169"/>
      <c r="U520" s="169"/>
      <c r="V520" s="169"/>
      <c r="W520" s="169"/>
      <c r="X520" s="169"/>
      <c r="Y520" s="169"/>
      <c r="Z520" s="169"/>
    </row>
    <row r="521" spans="1:26" ht="15.75" customHeight="1" x14ac:dyDescent="0.25">
      <c r="A521" s="169"/>
      <c r="B521" s="169"/>
      <c r="C521" s="169"/>
      <c r="D521" s="169"/>
      <c r="E521" s="169"/>
      <c r="F521" s="169"/>
      <c r="G521" s="169"/>
      <c r="H521" s="169"/>
      <c r="I521" s="169"/>
      <c r="J521" s="169"/>
      <c r="K521" s="169"/>
      <c r="L521" s="169"/>
      <c r="M521" s="169"/>
      <c r="N521" s="169"/>
      <c r="O521" s="169"/>
      <c r="P521" s="169"/>
      <c r="Q521" s="169"/>
      <c r="R521" s="169"/>
      <c r="S521" s="169"/>
      <c r="T521" s="169"/>
      <c r="U521" s="169"/>
      <c r="V521" s="169"/>
      <c r="W521" s="169"/>
      <c r="X521" s="169"/>
      <c r="Y521" s="169"/>
      <c r="Z521" s="169"/>
    </row>
    <row r="522" spans="1:26" ht="15.75" customHeight="1" x14ac:dyDescent="0.25">
      <c r="A522" s="169"/>
      <c r="B522" s="169"/>
      <c r="C522" s="169"/>
      <c r="D522" s="169"/>
      <c r="E522" s="169"/>
      <c r="F522" s="169"/>
      <c r="G522" s="169"/>
      <c r="H522" s="169"/>
      <c r="I522" s="169"/>
      <c r="J522" s="169"/>
      <c r="K522" s="169"/>
      <c r="L522" s="169"/>
      <c r="M522" s="169"/>
      <c r="N522" s="169"/>
      <c r="O522" s="169"/>
      <c r="P522" s="169"/>
      <c r="Q522" s="169"/>
      <c r="R522" s="169"/>
      <c r="S522" s="169"/>
      <c r="T522" s="169"/>
      <c r="U522" s="169"/>
      <c r="V522" s="169"/>
      <c r="W522" s="169"/>
      <c r="X522" s="169"/>
      <c r="Y522" s="169"/>
      <c r="Z522" s="169"/>
    </row>
    <row r="523" spans="1:26" ht="15.75" customHeight="1" x14ac:dyDescent="0.25">
      <c r="A523" s="169"/>
      <c r="B523" s="169"/>
      <c r="C523" s="169"/>
      <c r="D523" s="169"/>
      <c r="E523" s="169"/>
      <c r="F523" s="169"/>
      <c r="G523" s="169"/>
      <c r="H523" s="169"/>
      <c r="I523" s="169"/>
      <c r="J523" s="169"/>
      <c r="K523" s="169"/>
      <c r="L523" s="169"/>
      <c r="M523" s="169"/>
      <c r="N523" s="169"/>
      <c r="O523" s="169"/>
      <c r="P523" s="169"/>
      <c r="Q523" s="169"/>
      <c r="R523" s="169"/>
      <c r="S523" s="169"/>
      <c r="T523" s="169"/>
      <c r="U523" s="169"/>
      <c r="V523" s="169"/>
      <c r="W523" s="169"/>
      <c r="X523" s="169"/>
      <c r="Y523" s="169"/>
      <c r="Z523" s="169"/>
    </row>
    <row r="524" spans="1:26" ht="15.75" customHeight="1" x14ac:dyDescent="0.25">
      <c r="A524" s="169"/>
      <c r="B524" s="169"/>
      <c r="C524" s="169"/>
      <c r="D524" s="169"/>
      <c r="E524" s="169"/>
      <c r="F524" s="169"/>
      <c r="G524" s="169"/>
      <c r="H524" s="169"/>
      <c r="I524" s="169"/>
      <c r="J524" s="169"/>
      <c r="K524" s="169"/>
      <c r="L524" s="169"/>
      <c r="M524" s="169"/>
      <c r="N524" s="169"/>
      <c r="O524" s="169"/>
      <c r="P524" s="169"/>
      <c r="Q524" s="169"/>
      <c r="R524" s="169"/>
      <c r="S524" s="169"/>
      <c r="T524" s="169"/>
      <c r="U524" s="169"/>
      <c r="V524" s="169"/>
      <c r="W524" s="169"/>
      <c r="X524" s="169"/>
      <c r="Y524" s="169"/>
      <c r="Z524" s="169"/>
    </row>
    <row r="525" spans="1:26" ht="15.75" customHeight="1" x14ac:dyDescent="0.25">
      <c r="A525" s="169"/>
      <c r="B525" s="169"/>
      <c r="C525" s="169"/>
      <c r="D525" s="169"/>
      <c r="E525" s="169"/>
      <c r="F525" s="169"/>
      <c r="G525" s="169"/>
      <c r="H525" s="169"/>
      <c r="I525" s="169"/>
      <c r="J525" s="169"/>
      <c r="K525" s="169"/>
      <c r="L525" s="169"/>
      <c r="M525" s="169"/>
      <c r="N525" s="169"/>
      <c r="O525" s="169"/>
      <c r="P525" s="169"/>
      <c r="Q525" s="169"/>
      <c r="R525" s="169"/>
      <c r="S525" s="169"/>
      <c r="T525" s="169"/>
      <c r="U525" s="169"/>
      <c r="V525" s="169"/>
      <c r="W525" s="169"/>
      <c r="X525" s="169"/>
      <c r="Y525" s="169"/>
      <c r="Z525" s="169"/>
    </row>
    <row r="526" spans="1:26" ht="15.75" customHeight="1" x14ac:dyDescent="0.25">
      <c r="A526" s="169"/>
      <c r="B526" s="169"/>
      <c r="C526" s="169"/>
      <c r="D526" s="169"/>
      <c r="E526" s="169"/>
      <c r="F526" s="169"/>
      <c r="G526" s="169"/>
      <c r="H526" s="169"/>
      <c r="I526" s="169"/>
      <c r="J526" s="169"/>
      <c r="K526" s="169"/>
      <c r="L526" s="169"/>
      <c r="M526" s="169"/>
      <c r="N526" s="169"/>
      <c r="O526" s="169"/>
      <c r="P526" s="169"/>
      <c r="Q526" s="169"/>
      <c r="R526" s="169"/>
      <c r="S526" s="169"/>
      <c r="T526" s="169"/>
      <c r="U526" s="169"/>
      <c r="V526" s="169"/>
      <c r="W526" s="169"/>
      <c r="X526" s="169"/>
      <c r="Y526" s="169"/>
      <c r="Z526" s="169"/>
    </row>
    <row r="527" spans="1:26" ht="15.75" customHeight="1" x14ac:dyDescent="0.25">
      <c r="A527" s="169"/>
      <c r="B527" s="169"/>
      <c r="C527" s="169"/>
      <c r="D527" s="169"/>
      <c r="E527" s="169"/>
      <c r="F527" s="169"/>
      <c r="G527" s="169"/>
      <c r="H527" s="169"/>
      <c r="I527" s="169"/>
      <c r="J527" s="169"/>
      <c r="K527" s="169"/>
      <c r="L527" s="169"/>
      <c r="M527" s="169"/>
      <c r="N527" s="169"/>
      <c r="O527" s="169"/>
      <c r="P527" s="169"/>
      <c r="Q527" s="169"/>
      <c r="R527" s="169"/>
      <c r="S527" s="169"/>
      <c r="T527" s="169"/>
      <c r="U527" s="169"/>
      <c r="V527" s="169"/>
      <c r="W527" s="169"/>
      <c r="X527" s="169"/>
      <c r="Y527" s="169"/>
      <c r="Z527" s="169"/>
    </row>
    <row r="528" spans="1:26" ht="15.75" customHeight="1" x14ac:dyDescent="0.25">
      <c r="A528" s="169"/>
      <c r="B528" s="169"/>
      <c r="C528" s="169"/>
      <c r="D528" s="169"/>
      <c r="E528" s="169"/>
      <c r="F528" s="169"/>
      <c r="G528" s="169"/>
      <c r="H528" s="169"/>
      <c r="I528" s="169"/>
      <c r="J528" s="169"/>
      <c r="K528" s="169"/>
      <c r="L528" s="169"/>
      <c r="M528" s="169"/>
      <c r="N528" s="169"/>
      <c r="O528" s="169"/>
      <c r="P528" s="169"/>
      <c r="Q528" s="169"/>
      <c r="R528" s="169"/>
      <c r="S528" s="169"/>
      <c r="T528" s="169"/>
      <c r="U528" s="169"/>
      <c r="V528" s="169"/>
      <c r="W528" s="169"/>
      <c r="X528" s="169"/>
      <c r="Y528" s="169"/>
      <c r="Z528" s="169"/>
    </row>
    <row r="529" spans="1:26" ht="15.75" customHeight="1" x14ac:dyDescent="0.25">
      <c r="A529" s="169"/>
      <c r="B529" s="169"/>
      <c r="C529" s="169"/>
      <c r="D529" s="169"/>
      <c r="E529" s="169"/>
      <c r="F529" s="169"/>
      <c r="G529" s="169"/>
      <c r="H529" s="169"/>
      <c r="I529" s="169"/>
      <c r="J529" s="169"/>
      <c r="K529" s="169"/>
      <c r="L529" s="169"/>
      <c r="M529" s="169"/>
      <c r="N529" s="169"/>
      <c r="O529" s="169"/>
      <c r="P529" s="169"/>
      <c r="Q529" s="169"/>
      <c r="R529" s="169"/>
      <c r="S529" s="169"/>
      <c r="T529" s="169"/>
      <c r="U529" s="169"/>
      <c r="V529" s="169"/>
      <c r="W529" s="169"/>
      <c r="X529" s="169"/>
      <c r="Y529" s="169"/>
      <c r="Z529" s="169"/>
    </row>
    <row r="530" spans="1:26" ht="15.75" customHeight="1" x14ac:dyDescent="0.25">
      <c r="A530" s="169"/>
      <c r="B530" s="169"/>
      <c r="C530" s="169"/>
      <c r="D530" s="169"/>
      <c r="E530" s="169"/>
      <c r="F530" s="169"/>
      <c r="G530" s="169"/>
      <c r="H530" s="169"/>
      <c r="I530" s="169"/>
      <c r="J530" s="169"/>
      <c r="K530" s="169"/>
      <c r="L530" s="169"/>
      <c r="M530" s="169"/>
      <c r="N530" s="169"/>
      <c r="O530" s="169"/>
      <c r="P530" s="169"/>
      <c r="Q530" s="169"/>
      <c r="R530" s="169"/>
      <c r="S530" s="169"/>
      <c r="T530" s="169"/>
      <c r="U530" s="169"/>
      <c r="V530" s="169"/>
      <c r="W530" s="169"/>
      <c r="X530" s="169"/>
      <c r="Y530" s="169"/>
      <c r="Z530" s="169"/>
    </row>
    <row r="531" spans="1:26" ht="15.75" customHeight="1" x14ac:dyDescent="0.25">
      <c r="A531" s="169"/>
      <c r="B531" s="169"/>
      <c r="C531" s="169"/>
      <c r="D531" s="169"/>
      <c r="E531" s="169"/>
      <c r="F531" s="169"/>
      <c r="G531" s="169"/>
      <c r="H531" s="169"/>
      <c r="I531" s="169"/>
      <c r="J531" s="169"/>
      <c r="K531" s="169"/>
      <c r="L531" s="169"/>
      <c r="M531" s="169"/>
      <c r="N531" s="169"/>
      <c r="O531" s="169"/>
      <c r="P531" s="169"/>
      <c r="Q531" s="169"/>
      <c r="R531" s="169"/>
      <c r="S531" s="169"/>
      <c r="T531" s="169"/>
      <c r="U531" s="169"/>
      <c r="V531" s="169"/>
      <c r="W531" s="169"/>
      <c r="X531" s="169"/>
      <c r="Y531" s="169"/>
      <c r="Z531" s="169"/>
    </row>
    <row r="532" spans="1:26" ht="15.75" customHeight="1" x14ac:dyDescent="0.25">
      <c r="A532" s="169"/>
      <c r="B532" s="169"/>
      <c r="C532" s="169"/>
      <c r="D532" s="169"/>
      <c r="E532" s="169"/>
      <c r="F532" s="169"/>
      <c r="G532" s="169"/>
      <c r="H532" s="169"/>
      <c r="I532" s="169"/>
      <c r="J532" s="169"/>
      <c r="K532" s="169"/>
      <c r="L532" s="169"/>
      <c r="M532" s="169"/>
      <c r="N532" s="169"/>
      <c r="O532" s="169"/>
      <c r="P532" s="169"/>
      <c r="Q532" s="169"/>
      <c r="R532" s="169"/>
      <c r="S532" s="169"/>
      <c r="T532" s="169"/>
      <c r="U532" s="169"/>
      <c r="V532" s="169"/>
      <c r="W532" s="169"/>
      <c r="X532" s="169"/>
      <c r="Y532" s="169"/>
      <c r="Z532" s="169"/>
    </row>
    <row r="533" spans="1:26" ht="15.75" customHeight="1" x14ac:dyDescent="0.25">
      <c r="A533" s="169"/>
      <c r="B533" s="169"/>
      <c r="C533" s="169"/>
      <c r="D533" s="169"/>
      <c r="E533" s="169"/>
      <c r="F533" s="169"/>
      <c r="G533" s="169"/>
      <c r="H533" s="169"/>
      <c r="I533" s="169"/>
      <c r="J533" s="169"/>
      <c r="K533" s="169"/>
      <c r="L533" s="169"/>
      <c r="M533" s="169"/>
      <c r="N533" s="169"/>
      <c r="O533" s="169"/>
      <c r="P533" s="169"/>
      <c r="Q533" s="169"/>
      <c r="R533" s="169"/>
      <c r="S533" s="169"/>
      <c r="T533" s="169"/>
      <c r="U533" s="169"/>
      <c r="V533" s="169"/>
      <c r="W533" s="169"/>
      <c r="X533" s="169"/>
      <c r="Y533" s="169"/>
      <c r="Z533" s="169"/>
    </row>
    <row r="534" spans="1:26" ht="15.75" customHeight="1" x14ac:dyDescent="0.25">
      <c r="A534" s="169"/>
      <c r="B534" s="169"/>
      <c r="C534" s="169"/>
      <c r="D534" s="169"/>
      <c r="E534" s="169"/>
      <c r="F534" s="169"/>
      <c r="G534" s="169"/>
      <c r="H534" s="169"/>
      <c r="I534" s="169"/>
      <c r="J534" s="169"/>
      <c r="K534" s="169"/>
      <c r="L534" s="169"/>
      <c r="M534" s="169"/>
      <c r="N534" s="169"/>
      <c r="O534" s="169"/>
      <c r="P534" s="169"/>
      <c r="Q534" s="169"/>
      <c r="R534" s="169"/>
      <c r="S534" s="169"/>
      <c r="T534" s="169"/>
      <c r="U534" s="169"/>
      <c r="V534" s="169"/>
      <c r="W534" s="169"/>
      <c r="X534" s="169"/>
      <c r="Y534" s="169"/>
      <c r="Z534" s="169"/>
    </row>
    <row r="535" spans="1:26" ht="15.75" customHeight="1" x14ac:dyDescent="0.25">
      <c r="A535" s="169"/>
      <c r="B535" s="169"/>
      <c r="C535" s="169"/>
      <c r="D535" s="169"/>
      <c r="E535" s="169"/>
      <c r="F535" s="169"/>
      <c r="G535" s="169"/>
      <c r="H535" s="169"/>
      <c r="I535" s="169"/>
      <c r="J535" s="169"/>
      <c r="K535" s="169"/>
      <c r="L535" s="169"/>
      <c r="M535" s="169"/>
      <c r="N535" s="169"/>
      <c r="O535" s="169"/>
      <c r="P535" s="169"/>
      <c r="Q535" s="169"/>
      <c r="R535" s="169"/>
      <c r="S535" s="169"/>
      <c r="T535" s="169"/>
      <c r="U535" s="169"/>
      <c r="V535" s="169"/>
      <c r="W535" s="169"/>
      <c r="X535" s="169"/>
      <c r="Y535" s="169"/>
      <c r="Z535" s="169"/>
    </row>
    <row r="536" spans="1:26" ht="15.75" customHeight="1" x14ac:dyDescent="0.25">
      <c r="A536" s="169"/>
      <c r="B536" s="169"/>
      <c r="C536" s="169"/>
      <c r="D536" s="169"/>
      <c r="E536" s="169"/>
      <c r="F536" s="169"/>
      <c r="G536" s="169"/>
      <c r="H536" s="169"/>
      <c r="I536" s="169"/>
      <c r="J536" s="169"/>
      <c r="K536" s="169"/>
      <c r="L536" s="169"/>
      <c r="M536" s="169"/>
      <c r="N536" s="169"/>
      <c r="O536" s="169"/>
      <c r="P536" s="169"/>
      <c r="Q536" s="169"/>
      <c r="R536" s="169"/>
      <c r="S536" s="169"/>
      <c r="T536" s="169"/>
      <c r="U536" s="169"/>
      <c r="V536" s="169"/>
      <c r="W536" s="169"/>
      <c r="X536" s="169"/>
      <c r="Y536" s="169"/>
      <c r="Z536" s="169"/>
    </row>
    <row r="537" spans="1:26" ht="15.75" customHeight="1" x14ac:dyDescent="0.25">
      <c r="A537" s="169"/>
      <c r="B537" s="169"/>
      <c r="C537" s="169"/>
      <c r="D537" s="169"/>
      <c r="E537" s="169"/>
      <c r="F537" s="169"/>
      <c r="G537" s="169"/>
      <c r="H537" s="169"/>
      <c r="I537" s="169"/>
      <c r="J537" s="169"/>
      <c r="K537" s="169"/>
      <c r="L537" s="169"/>
      <c r="M537" s="169"/>
      <c r="N537" s="169"/>
      <c r="O537" s="169"/>
      <c r="P537" s="169"/>
      <c r="Q537" s="169"/>
      <c r="R537" s="169"/>
      <c r="S537" s="169"/>
      <c r="T537" s="169"/>
      <c r="U537" s="169"/>
      <c r="V537" s="169"/>
      <c r="W537" s="169"/>
      <c r="X537" s="169"/>
      <c r="Y537" s="169"/>
      <c r="Z537" s="169"/>
    </row>
    <row r="538" spans="1:26" ht="15.75" customHeight="1" x14ac:dyDescent="0.25">
      <c r="A538" s="169"/>
      <c r="B538" s="169"/>
      <c r="C538" s="169"/>
      <c r="D538" s="169"/>
      <c r="E538" s="169"/>
      <c r="F538" s="169"/>
      <c r="G538" s="169"/>
      <c r="H538" s="169"/>
      <c r="I538" s="169"/>
      <c r="J538" s="169"/>
      <c r="K538" s="169"/>
      <c r="L538" s="169"/>
      <c r="M538" s="169"/>
      <c r="N538" s="169"/>
      <c r="O538" s="169"/>
      <c r="P538" s="169"/>
      <c r="Q538" s="169"/>
      <c r="R538" s="169"/>
      <c r="S538" s="169"/>
      <c r="T538" s="169"/>
      <c r="U538" s="169"/>
      <c r="V538" s="169"/>
      <c r="W538" s="169"/>
      <c r="X538" s="169"/>
      <c r="Y538" s="169"/>
      <c r="Z538" s="169"/>
    </row>
    <row r="539" spans="1:26" ht="15.75" customHeight="1" x14ac:dyDescent="0.25">
      <c r="A539" s="169"/>
      <c r="B539" s="169"/>
      <c r="C539" s="169"/>
      <c r="D539" s="169"/>
      <c r="E539" s="169"/>
      <c r="F539" s="169"/>
      <c r="G539" s="169"/>
      <c r="H539" s="169"/>
      <c r="I539" s="169"/>
      <c r="J539" s="169"/>
      <c r="K539" s="169"/>
      <c r="L539" s="169"/>
      <c r="M539" s="169"/>
      <c r="N539" s="169"/>
      <c r="O539" s="169"/>
      <c r="P539" s="169"/>
      <c r="Q539" s="169"/>
      <c r="R539" s="169"/>
      <c r="S539" s="169"/>
      <c r="T539" s="169"/>
      <c r="U539" s="169"/>
      <c r="V539" s="169"/>
      <c r="W539" s="169"/>
      <c r="X539" s="169"/>
      <c r="Y539" s="169"/>
      <c r="Z539" s="169"/>
    </row>
    <row r="540" spans="1:26" ht="15.75" customHeight="1" x14ac:dyDescent="0.25">
      <c r="A540" s="169"/>
      <c r="B540" s="169"/>
      <c r="C540" s="169"/>
      <c r="D540" s="169"/>
      <c r="E540" s="169"/>
      <c r="F540" s="169"/>
      <c r="G540" s="169"/>
      <c r="H540" s="169"/>
      <c r="I540" s="169"/>
      <c r="J540" s="169"/>
      <c r="K540" s="169"/>
      <c r="L540" s="169"/>
      <c r="M540" s="169"/>
      <c r="N540" s="169"/>
      <c r="O540" s="169"/>
      <c r="P540" s="169"/>
      <c r="Q540" s="169"/>
      <c r="R540" s="169"/>
      <c r="S540" s="169"/>
      <c r="T540" s="169"/>
      <c r="U540" s="169"/>
      <c r="V540" s="169"/>
      <c r="W540" s="169"/>
      <c r="X540" s="169"/>
      <c r="Y540" s="169"/>
      <c r="Z540" s="169"/>
    </row>
    <row r="541" spans="1:26" ht="15.75" customHeight="1" x14ac:dyDescent="0.25">
      <c r="A541" s="169"/>
      <c r="B541" s="169"/>
      <c r="C541" s="169"/>
      <c r="D541" s="169"/>
      <c r="E541" s="169"/>
      <c r="F541" s="169"/>
      <c r="G541" s="169"/>
      <c r="H541" s="169"/>
      <c r="I541" s="169"/>
      <c r="J541" s="169"/>
      <c r="K541" s="169"/>
      <c r="L541" s="169"/>
      <c r="M541" s="169"/>
      <c r="N541" s="169"/>
      <c r="O541" s="169"/>
      <c r="P541" s="169"/>
      <c r="Q541" s="169"/>
      <c r="R541" s="169"/>
      <c r="S541" s="169"/>
      <c r="T541" s="169"/>
      <c r="U541" s="169"/>
      <c r="V541" s="169"/>
      <c r="W541" s="169"/>
      <c r="X541" s="169"/>
      <c r="Y541" s="169"/>
      <c r="Z541" s="169"/>
    </row>
    <row r="542" spans="1:26" ht="15.75" customHeight="1" x14ac:dyDescent="0.25">
      <c r="A542" s="169"/>
      <c r="B542" s="169"/>
      <c r="C542" s="169"/>
      <c r="D542" s="169"/>
      <c r="E542" s="169"/>
      <c r="F542" s="169"/>
      <c r="G542" s="169"/>
      <c r="H542" s="169"/>
      <c r="I542" s="169"/>
      <c r="J542" s="169"/>
      <c r="K542" s="169"/>
      <c r="L542" s="169"/>
      <c r="M542" s="169"/>
      <c r="N542" s="169"/>
      <c r="O542" s="169"/>
      <c r="P542" s="169"/>
      <c r="Q542" s="169"/>
      <c r="R542" s="169"/>
      <c r="S542" s="169"/>
      <c r="T542" s="169"/>
      <c r="U542" s="169"/>
      <c r="V542" s="169"/>
      <c r="W542" s="169"/>
      <c r="X542" s="169"/>
      <c r="Y542" s="169"/>
      <c r="Z542" s="169"/>
    </row>
    <row r="543" spans="1:26" ht="15.75" customHeight="1" x14ac:dyDescent="0.25">
      <c r="A543" s="169"/>
      <c r="B543" s="169"/>
      <c r="C543" s="169"/>
      <c r="D543" s="169"/>
      <c r="E543" s="169"/>
      <c r="F543" s="169"/>
      <c r="G543" s="169"/>
      <c r="H543" s="169"/>
      <c r="I543" s="169"/>
      <c r="J543" s="169"/>
      <c r="K543" s="169"/>
      <c r="L543" s="169"/>
      <c r="M543" s="169"/>
      <c r="N543" s="169"/>
      <c r="O543" s="169"/>
      <c r="P543" s="169"/>
      <c r="Q543" s="169"/>
      <c r="R543" s="169"/>
      <c r="S543" s="169"/>
      <c r="T543" s="169"/>
      <c r="U543" s="169"/>
      <c r="V543" s="169"/>
      <c r="W543" s="169"/>
      <c r="X543" s="169"/>
      <c r="Y543" s="169"/>
      <c r="Z543" s="169"/>
    </row>
    <row r="544" spans="1:26" ht="15.75" customHeight="1" x14ac:dyDescent="0.25">
      <c r="A544" s="169"/>
      <c r="B544" s="169"/>
      <c r="C544" s="169"/>
      <c r="D544" s="169"/>
      <c r="E544" s="169"/>
      <c r="F544" s="169"/>
      <c r="G544" s="169"/>
      <c r="H544" s="169"/>
      <c r="I544" s="169"/>
      <c r="J544" s="169"/>
      <c r="K544" s="169"/>
      <c r="L544" s="169"/>
      <c r="M544" s="169"/>
      <c r="N544" s="169"/>
      <c r="O544" s="169"/>
      <c r="P544" s="169"/>
      <c r="Q544" s="169"/>
      <c r="R544" s="169"/>
      <c r="S544" s="169"/>
      <c r="T544" s="169"/>
      <c r="U544" s="169"/>
      <c r="V544" s="169"/>
      <c r="W544" s="169"/>
      <c r="X544" s="169"/>
      <c r="Y544" s="169"/>
      <c r="Z544" s="169"/>
    </row>
    <row r="545" spans="1:26" ht="15.75" customHeight="1" x14ac:dyDescent="0.25">
      <c r="A545" s="169"/>
      <c r="B545" s="169"/>
      <c r="C545" s="169"/>
      <c r="D545" s="169"/>
      <c r="E545" s="169"/>
      <c r="F545" s="169"/>
      <c r="G545" s="169"/>
      <c r="H545" s="169"/>
      <c r="I545" s="169"/>
      <c r="J545" s="169"/>
      <c r="K545" s="169"/>
      <c r="L545" s="169"/>
      <c r="M545" s="169"/>
      <c r="N545" s="169"/>
      <c r="O545" s="169"/>
      <c r="P545" s="169"/>
      <c r="Q545" s="169"/>
      <c r="R545" s="169"/>
      <c r="S545" s="169"/>
      <c r="T545" s="169"/>
      <c r="U545" s="169"/>
      <c r="V545" s="169"/>
      <c r="W545" s="169"/>
      <c r="X545" s="169"/>
      <c r="Y545" s="169"/>
      <c r="Z545" s="169"/>
    </row>
    <row r="546" spans="1:26" ht="15.75" customHeight="1" x14ac:dyDescent="0.25">
      <c r="A546" s="169"/>
      <c r="B546" s="169"/>
      <c r="C546" s="169"/>
      <c r="D546" s="169"/>
      <c r="E546" s="169"/>
      <c r="F546" s="169"/>
      <c r="G546" s="169"/>
      <c r="H546" s="169"/>
      <c r="I546" s="169"/>
      <c r="J546" s="169"/>
      <c r="K546" s="169"/>
      <c r="L546" s="169"/>
      <c r="M546" s="169"/>
      <c r="N546" s="169"/>
      <c r="O546" s="169"/>
      <c r="P546" s="169"/>
      <c r="Q546" s="169"/>
      <c r="R546" s="169"/>
      <c r="S546" s="169"/>
      <c r="T546" s="169"/>
      <c r="U546" s="169"/>
      <c r="V546" s="169"/>
      <c r="W546" s="169"/>
      <c r="X546" s="169"/>
      <c r="Y546" s="169"/>
      <c r="Z546" s="169"/>
    </row>
    <row r="547" spans="1:26" ht="15.75" customHeight="1" x14ac:dyDescent="0.25">
      <c r="A547" s="169"/>
      <c r="B547" s="169"/>
      <c r="C547" s="169"/>
      <c r="D547" s="169"/>
      <c r="E547" s="169"/>
      <c r="F547" s="169"/>
      <c r="G547" s="169"/>
      <c r="H547" s="169"/>
      <c r="I547" s="169"/>
      <c r="J547" s="169"/>
      <c r="K547" s="169"/>
      <c r="L547" s="169"/>
      <c r="M547" s="169"/>
      <c r="N547" s="169"/>
      <c r="O547" s="169"/>
      <c r="P547" s="169"/>
      <c r="Q547" s="169"/>
      <c r="R547" s="169"/>
      <c r="S547" s="169"/>
      <c r="T547" s="169"/>
      <c r="U547" s="169"/>
      <c r="V547" s="169"/>
      <c r="W547" s="169"/>
      <c r="X547" s="169"/>
      <c r="Y547" s="169"/>
      <c r="Z547" s="169"/>
    </row>
    <row r="548" spans="1:26" ht="15.75" customHeight="1" x14ac:dyDescent="0.25">
      <c r="A548" s="169"/>
      <c r="B548" s="169"/>
      <c r="C548" s="169"/>
      <c r="D548" s="169"/>
      <c r="E548" s="169"/>
      <c r="F548" s="169"/>
      <c r="G548" s="169"/>
      <c r="H548" s="169"/>
      <c r="I548" s="169"/>
      <c r="J548" s="169"/>
      <c r="K548" s="169"/>
      <c r="L548" s="169"/>
      <c r="M548" s="169"/>
      <c r="N548" s="169"/>
      <c r="O548" s="169"/>
      <c r="P548" s="169"/>
      <c r="Q548" s="169"/>
      <c r="R548" s="169"/>
      <c r="S548" s="169"/>
      <c r="T548" s="169"/>
      <c r="U548" s="169"/>
      <c r="V548" s="169"/>
      <c r="W548" s="169"/>
      <c r="X548" s="169"/>
      <c r="Y548" s="169"/>
      <c r="Z548" s="169"/>
    </row>
    <row r="549" spans="1:26" ht="15.75" customHeight="1" x14ac:dyDescent="0.25">
      <c r="A549" s="169"/>
      <c r="B549" s="169"/>
      <c r="C549" s="169"/>
      <c r="D549" s="169"/>
      <c r="E549" s="169"/>
      <c r="F549" s="169"/>
      <c r="G549" s="169"/>
      <c r="H549" s="169"/>
      <c r="I549" s="169"/>
      <c r="J549" s="169"/>
      <c r="K549" s="169"/>
      <c r="L549" s="169"/>
      <c r="M549" s="169"/>
      <c r="N549" s="169"/>
      <c r="O549" s="169"/>
      <c r="P549" s="169"/>
      <c r="Q549" s="169"/>
      <c r="R549" s="169"/>
      <c r="S549" s="169"/>
      <c r="T549" s="169"/>
      <c r="U549" s="169"/>
      <c r="V549" s="169"/>
      <c r="W549" s="169"/>
      <c r="X549" s="169"/>
      <c r="Y549" s="169"/>
      <c r="Z549" s="169"/>
    </row>
    <row r="550" spans="1:26" ht="15.75" customHeight="1" x14ac:dyDescent="0.25">
      <c r="A550" s="169"/>
      <c r="B550" s="169"/>
      <c r="C550" s="169"/>
      <c r="D550" s="169"/>
      <c r="E550" s="169"/>
      <c r="F550" s="169"/>
      <c r="G550" s="169"/>
      <c r="H550" s="169"/>
      <c r="I550" s="169"/>
      <c r="J550" s="169"/>
      <c r="K550" s="169"/>
      <c r="L550" s="169"/>
      <c r="M550" s="169"/>
      <c r="N550" s="169"/>
      <c r="O550" s="169"/>
      <c r="P550" s="169"/>
      <c r="Q550" s="169"/>
      <c r="R550" s="169"/>
      <c r="S550" s="169"/>
      <c r="T550" s="169"/>
      <c r="U550" s="169"/>
      <c r="V550" s="169"/>
      <c r="W550" s="169"/>
      <c r="X550" s="169"/>
      <c r="Y550" s="169"/>
      <c r="Z550" s="169"/>
    </row>
    <row r="551" spans="1:26" ht="15.75" customHeight="1" x14ac:dyDescent="0.25">
      <c r="A551" s="169"/>
      <c r="B551" s="169"/>
      <c r="C551" s="169"/>
      <c r="D551" s="169"/>
      <c r="E551" s="169"/>
      <c r="F551" s="169"/>
      <c r="G551" s="169"/>
      <c r="H551" s="169"/>
      <c r="I551" s="169"/>
      <c r="J551" s="169"/>
      <c r="K551" s="169"/>
      <c r="L551" s="169"/>
      <c r="M551" s="169"/>
      <c r="N551" s="169"/>
      <c r="O551" s="169"/>
      <c r="P551" s="169"/>
      <c r="Q551" s="169"/>
      <c r="R551" s="169"/>
      <c r="S551" s="169"/>
      <c r="T551" s="169"/>
      <c r="U551" s="169"/>
      <c r="V551" s="169"/>
      <c r="W551" s="169"/>
      <c r="X551" s="169"/>
      <c r="Y551" s="169"/>
      <c r="Z551" s="169"/>
    </row>
    <row r="552" spans="1:26" ht="15.75" customHeight="1" x14ac:dyDescent="0.25">
      <c r="A552" s="169"/>
      <c r="B552" s="169"/>
      <c r="C552" s="169"/>
      <c r="D552" s="169"/>
      <c r="E552" s="169"/>
      <c r="F552" s="169"/>
      <c r="G552" s="169"/>
      <c r="H552" s="169"/>
      <c r="I552" s="169"/>
      <c r="J552" s="169"/>
      <c r="K552" s="169"/>
      <c r="L552" s="169"/>
      <c r="M552" s="169"/>
      <c r="N552" s="169"/>
      <c r="O552" s="169"/>
      <c r="P552" s="169"/>
      <c r="Q552" s="169"/>
      <c r="R552" s="169"/>
      <c r="S552" s="169"/>
      <c r="T552" s="169"/>
      <c r="U552" s="169"/>
      <c r="V552" s="169"/>
      <c r="W552" s="169"/>
      <c r="X552" s="169"/>
      <c r="Y552" s="169"/>
      <c r="Z552" s="169"/>
    </row>
    <row r="553" spans="1:26" ht="15.75" customHeight="1" x14ac:dyDescent="0.25">
      <c r="A553" s="169"/>
      <c r="B553" s="169"/>
      <c r="C553" s="169"/>
      <c r="D553" s="169"/>
      <c r="E553" s="169"/>
      <c r="F553" s="169"/>
      <c r="G553" s="169"/>
      <c r="H553" s="169"/>
      <c r="I553" s="169"/>
      <c r="J553" s="169"/>
      <c r="K553" s="169"/>
      <c r="L553" s="169"/>
      <c r="M553" s="169"/>
      <c r="N553" s="169"/>
      <c r="O553" s="169"/>
      <c r="P553" s="169"/>
      <c r="Q553" s="169"/>
      <c r="R553" s="169"/>
      <c r="S553" s="169"/>
      <c r="T553" s="169"/>
      <c r="U553" s="169"/>
      <c r="V553" s="169"/>
      <c r="W553" s="169"/>
      <c r="X553" s="169"/>
      <c r="Y553" s="169"/>
      <c r="Z553" s="169"/>
    </row>
    <row r="554" spans="1:26" ht="15.75" customHeight="1" x14ac:dyDescent="0.25">
      <c r="A554" s="169"/>
      <c r="B554" s="169"/>
      <c r="C554" s="169"/>
      <c r="D554" s="169"/>
      <c r="E554" s="169"/>
      <c r="F554" s="169"/>
      <c r="G554" s="169"/>
      <c r="H554" s="169"/>
      <c r="I554" s="169"/>
      <c r="J554" s="169"/>
      <c r="K554" s="169"/>
      <c r="L554" s="169"/>
      <c r="M554" s="169"/>
      <c r="N554" s="169"/>
      <c r="O554" s="169"/>
      <c r="P554" s="169"/>
      <c r="Q554" s="169"/>
      <c r="R554" s="169"/>
      <c r="S554" s="169"/>
      <c r="T554" s="169"/>
      <c r="U554" s="169"/>
      <c r="V554" s="169"/>
      <c r="W554" s="169"/>
      <c r="X554" s="169"/>
      <c r="Y554" s="169"/>
      <c r="Z554" s="169"/>
    </row>
    <row r="555" spans="1:26" ht="15.75" customHeight="1" x14ac:dyDescent="0.25">
      <c r="A555" s="169"/>
      <c r="B555" s="169"/>
      <c r="C555" s="169"/>
      <c r="D555" s="169"/>
      <c r="E555" s="169"/>
      <c r="F555" s="169"/>
      <c r="G555" s="169"/>
      <c r="H555" s="169"/>
      <c r="I555" s="169"/>
      <c r="J555" s="169"/>
      <c r="K555" s="169"/>
      <c r="L555" s="169"/>
      <c r="M555" s="169"/>
      <c r="N555" s="169"/>
      <c r="O555" s="169"/>
      <c r="P555" s="169"/>
      <c r="Q555" s="169"/>
      <c r="R555" s="169"/>
      <c r="S555" s="169"/>
      <c r="T555" s="169"/>
      <c r="U555" s="169"/>
      <c r="V555" s="169"/>
      <c r="W555" s="169"/>
      <c r="X555" s="169"/>
      <c r="Y555" s="169"/>
      <c r="Z555" s="169"/>
    </row>
    <row r="556" spans="1:26" ht="15.75" customHeight="1" x14ac:dyDescent="0.25">
      <c r="A556" s="169"/>
      <c r="B556" s="169"/>
      <c r="C556" s="169"/>
      <c r="D556" s="169"/>
      <c r="E556" s="169"/>
      <c r="F556" s="169"/>
      <c r="G556" s="169"/>
      <c r="H556" s="169"/>
      <c r="I556" s="169"/>
      <c r="J556" s="169"/>
      <c r="K556" s="169"/>
      <c r="L556" s="169"/>
      <c r="M556" s="169"/>
      <c r="N556" s="169"/>
      <c r="O556" s="169"/>
      <c r="P556" s="169"/>
      <c r="Q556" s="169"/>
      <c r="R556" s="169"/>
      <c r="S556" s="169"/>
      <c r="T556" s="169"/>
      <c r="U556" s="169"/>
      <c r="V556" s="169"/>
      <c r="W556" s="169"/>
      <c r="X556" s="169"/>
      <c r="Y556" s="169"/>
      <c r="Z556" s="169"/>
    </row>
    <row r="557" spans="1:26" ht="15.75" customHeight="1" x14ac:dyDescent="0.25">
      <c r="A557" s="169"/>
      <c r="B557" s="169"/>
      <c r="C557" s="169"/>
      <c r="D557" s="169"/>
      <c r="E557" s="169"/>
      <c r="F557" s="169"/>
      <c r="G557" s="169"/>
      <c r="H557" s="169"/>
      <c r="I557" s="169"/>
      <c r="J557" s="169"/>
      <c r="K557" s="169"/>
      <c r="L557" s="169"/>
      <c r="M557" s="169"/>
      <c r="N557" s="169"/>
      <c r="O557" s="169"/>
      <c r="P557" s="169"/>
      <c r="Q557" s="169"/>
      <c r="R557" s="169"/>
      <c r="S557" s="169"/>
      <c r="T557" s="169"/>
      <c r="U557" s="169"/>
      <c r="V557" s="169"/>
      <c r="W557" s="169"/>
      <c r="X557" s="169"/>
      <c r="Y557" s="169"/>
      <c r="Z557" s="169"/>
    </row>
    <row r="558" spans="1:26" ht="15.75" customHeight="1" x14ac:dyDescent="0.25">
      <c r="A558" s="169"/>
      <c r="B558" s="169"/>
      <c r="C558" s="169"/>
      <c r="D558" s="169"/>
      <c r="E558" s="169"/>
      <c r="F558" s="169"/>
      <c r="G558" s="169"/>
      <c r="H558" s="169"/>
      <c r="I558" s="169"/>
      <c r="J558" s="169"/>
      <c r="K558" s="169"/>
      <c r="L558" s="169"/>
      <c r="M558" s="169"/>
      <c r="N558" s="169"/>
      <c r="O558" s="169"/>
      <c r="P558" s="169"/>
      <c r="Q558" s="169"/>
      <c r="R558" s="169"/>
      <c r="S558" s="169"/>
      <c r="T558" s="169"/>
      <c r="U558" s="169"/>
      <c r="V558" s="169"/>
      <c r="W558" s="169"/>
      <c r="X558" s="169"/>
      <c r="Y558" s="169"/>
      <c r="Z558" s="169"/>
    </row>
    <row r="559" spans="1:26" ht="15.75" customHeight="1" x14ac:dyDescent="0.25">
      <c r="A559" s="169"/>
      <c r="B559" s="169"/>
      <c r="C559" s="169"/>
      <c r="D559" s="169"/>
      <c r="E559" s="169"/>
      <c r="F559" s="169"/>
      <c r="G559" s="169"/>
      <c r="H559" s="169"/>
      <c r="I559" s="169"/>
      <c r="J559" s="169"/>
      <c r="K559" s="169"/>
      <c r="L559" s="169"/>
      <c r="M559" s="169"/>
      <c r="N559" s="169"/>
      <c r="O559" s="169"/>
      <c r="P559" s="169"/>
      <c r="Q559" s="169"/>
      <c r="R559" s="169"/>
      <c r="S559" s="169"/>
      <c r="T559" s="169"/>
      <c r="U559" s="169"/>
      <c r="V559" s="169"/>
      <c r="W559" s="169"/>
      <c r="X559" s="169"/>
      <c r="Y559" s="169"/>
      <c r="Z559" s="169"/>
    </row>
    <row r="560" spans="1:26" ht="15.75" customHeight="1" x14ac:dyDescent="0.25">
      <c r="A560" s="169"/>
      <c r="B560" s="169"/>
      <c r="C560" s="169"/>
      <c r="D560" s="169"/>
      <c r="E560" s="169"/>
      <c r="F560" s="169"/>
      <c r="G560" s="169"/>
      <c r="H560" s="169"/>
      <c r="I560" s="169"/>
      <c r="J560" s="169"/>
      <c r="K560" s="169"/>
      <c r="L560" s="169"/>
      <c r="M560" s="169"/>
      <c r="N560" s="169"/>
      <c r="O560" s="169"/>
      <c r="P560" s="169"/>
      <c r="Q560" s="169"/>
      <c r="R560" s="169"/>
      <c r="S560" s="169"/>
      <c r="T560" s="169"/>
      <c r="U560" s="169"/>
      <c r="V560" s="169"/>
      <c r="W560" s="169"/>
      <c r="X560" s="169"/>
      <c r="Y560" s="169"/>
      <c r="Z560" s="169"/>
    </row>
    <row r="561" spans="1:26" ht="15.75" customHeight="1" x14ac:dyDescent="0.25">
      <c r="A561" s="169"/>
      <c r="B561" s="169"/>
      <c r="C561" s="169"/>
      <c r="D561" s="169"/>
      <c r="E561" s="169"/>
      <c r="F561" s="169"/>
      <c r="G561" s="169"/>
      <c r="H561" s="169"/>
      <c r="I561" s="169"/>
      <c r="J561" s="169"/>
      <c r="K561" s="169"/>
      <c r="L561" s="169"/>
      <c r="M561" s="169"/>
      <c r="N561" s="169"/>
      <c r="O561" s="169"/>
      <c r="P561" s="169"/>
      <c r="Q561" s="169"/>
      <c r="R561" s="169"/>
      <c r="S561" s="169"/>
      <c r="T561" s="169"/>
      <c r="U561" s="169"/>
      <c r="V561" s="169"/>
      <c r="W561" s="169"/>
      <c r="X561" s="169"/>
      <c r="Y561" s="169"/>
      <c r="Z561" s="169"/>
    </row>
    <row r="562" spans="1:26" ht="15.75" customHeight="1" x14ac:dyDescent="0.25">
      <c r="A562" s="169"/>
      <c r="B562" s="169"/>
      <c r="C562" s="169"/>
      <c r="D562" s="169"/>
      <c r="E562" s="169"/>
      <c r="F562" s="169"/>
      <c r="G562" s="169"/>
      <c r="H562" s="169"/>
      <c r="I562" s="169"/>
      <c r="J562" s="169"/>
      <c r="K562" s="169"/>
      <c r="L562" s="169"/>
      <c r="M562" s="169"/>
      <c r="N562" s="169"/>
      <c r="O562" s="169"/>
      <c r="P562" s="169"/>
      <c r="Q562" s="169"/>
      <c r="R562" s="169"/>
      <c r="S562" s="169"/>
      <c r="T562" s="169"/>
      <c r="U562" s="169"/>
      <c r="V562" s="169"/>
      <c r="W562" s="169"/>
      <c r="X562" s="169"/>
      <c r="Y562" s="169"/>
      <c r="Z562" s="169"/>
    </row>
    <row r="563" spans="1:26" ht="15.75" customHeight="1" x14ac:dyDescent="0.25">
      <c r="A563" s="169"/>
      <c r="B563" s="169"/>
      <c r="C563" s="169"/>
      <c r="D563" s="169"/>
      <c r="E563" s="169"/>
      <c r="F563" s="169"/>
      <c r="G563" s="169"/>
      <c r="H563" s="169"/>
      <c r="I563" s="169"/>
      <c r="J563" s="169"/>
      <c r="K563" s="169"/>
      <c r="L563" s="169"/>
      <c r="M563" s="169"/>
      <c r="N563" s="169"/>
      <c r="O563" s="169"/>
      <c r="P563" s="169"/>
      <c r="Q563" s="169"/>
      <c r="R563" s="169"/>
      <c r="S563" s="169"/>
      <c r="T563" s="169"/>
      <c r="U563" s="169"/>
      <c r="V563" s="169"/>
      <c r="W563" s="169"/>
      <c r="X563" s="169"/>
      <c r="Y563" s="169"/>
      <c r="Z563" s="169"/>
    </row>
    <row r="564" spans="1:26" ht="15.75" customHeight="1" x14ac:dyDescent="0.25">
      <c r="A564" s="169"/>
      <c r="B564" s="169"/>
      <c r="C564" s="169"/>
      <c r="D564" s="169"/>
      <c r="E564" s="169"/>
      <c r="F564" s="169"/>
      <c r="G564" s="169"/>
      <c r="H564" s="169"/>
      <c r="I564" s="169"/>
      <c r="J564" s="169"/>
      <c r="K564" s="169"/>
      <c r="L564" s="169"/>
      <c r="M564" s="169"/>
      <c r="N564" s="169"/>
      <c r="O564" s="169"/>
      <c r="P564" s="169"/>
      <c r="Q564" s="169"/>
      <c r="R564" s="169"/>
      <c r="S564" s="169"/>
      <c r="T564" s="169"/>
      <c r="U564" s="169"/>
      <c r="V564" s="169"/>
      <c r="W564" s="169"/>
      <c r="X564" s="169"/>
      <c r="Y564" s="169"/>
      <c r="Z564" s="169"/>
    </row>
    <row r="565" spans="1:26" ht="15.75" customHeight="1" x14ac:dyDescent="0.25">
      <c r="A565" s="169"/>
      <c r="B565" s="169"/>
      <c r="C565" s="169"/>
      <c r="D565" s="169"/>
      <c r="E565" s="169"/>
      <c r="F565" s="169"/>
      <c r="G565" s="169"/>
      <c r="H565" s="169"/>
      <c r="I565" s="169"/>
      <c r="J565" s="169"/>
      <c r="K565" s="169"/>
      <c r="L565" s="169"/>
      <c r="M565" s="169"/>
      <c r="N565" s="169"/>
      <c r="O565" s="169"/>
      <c r="P565" s="169"/>
      <c r="Q565" s="169"/>
      <c r="R565" s="169"/>
      <c r="S565" s="169"/>
      <c r="T565" s="169"/>
      <c r="U565" s="169"/>
      <c r="V565" s="169"/>
      <c r="W565" s="169"/>
      <c r="X565" s="169"/>
      <c r="Y565" s="169"/>
      <c r="Z565" s="169"/>
    </row>
    <row r="566" spans="1:26" ht="15.75" customHeight="1" x14ac:dyDescent="0.25">
      <c r="A566" s="169"/>
      <c r="B566" s="169"/>
      <c r="C566" s="169"/>
      <c r="D566" s="169"/>
      <c r="E566" s="169"/>
      <c r="F566" s="169"/>
      <c r="G566" s="169"/>
      <c r="H566" s="169"/>
      <c r="I566" s="169"/>
      <c r="J566" s="169"/>
      <c r="K566" s="169"/>
      <c r="L566" s="169"/>
      <c r="M566" s="169"/>
      <c r="N566" s="169"/>
      <c r="O566" s="169"/>
      <c r="P566" s="169"/>
      <c r="Q566" s="169"/>
      <c r="R566" s="169"/>
      <c r="S566" s="169"/>
      <c r="T566" s="169"/>
      <c r="U566" s="169"/>
      <c r="V566" s="169"/>
      <c r="W566" s="169"/>
      <c r="X566" s="169"/>
      <c r="Y566" s="169"/>
      <c r="Z566" s="169"/>
    </row>
    <row r="567" spans="1:26" ht="15.75" customHeight="1" x14ac:dyDescent="0.25">
      <c r="A567" s="169"/>
      <c r="B567" s="169"/>
      <c r="C567" s="169"/>
      <c r="D567" s="169"/>
      <c r="E567" s="169"/>
      <c r="F567" s="169"/>
      <c r="G567" s="169"/>
      <c r="H567" s="169"/>
      <c r="I567" s="169"/>
      <c r="J567" s="169"/>
      <c r="K567" s="169"/>
      <c r="L567" s="169"/>
      <c r="M567" s="169"/>
      <c r="N567" s="169"/>
      <c r="O567" s="169"/>
      <c r="P567" s="169"/>
      <c r="Q567" s="169"/>
      <c r="R567" s="169"/>
      <c r="S567" s="169"/>
      <c r="T567" s="169"/>
      <c r="U567" s="169"/>
      <c r="V567" s="169"/>
      <c r="W567" s="169"/>
      <c r="X567" s="169"/>
      <c r="Y567" s="169"/>
      <c r="Z567" s="169"/>
    </row>
    <row r="568" spans="1:26" ht="15.75" customHeight="1" x14ac:dyDescent="0.25">
      <c r="A568" s="169"/>
      <c r="B568" s="169"/>
      <c r="C568" s="169"/>
      <c r="D568" s="169"/>
      <c r="E568" s="169"/>
      <c r="F568" s="169"/>
      <c r="G568" s="169"/>
      <c r="H568" s="169"/>
      <c r="I568" s="169"/>
      <c r="J568" s="169"/>
      <c r="K568" s="169"/>
      <c r="L568" s="169"/>
      <c r="M568" s="169"/>
      <c r="N568" s="169"/>
      <c r="O568" s="169"/>
      <c r="P568" s="169"/>
      <c r="Q568" s="169"/>
      <c r="R568" s="169"/>
      <c r="S568" s="169"/>
      <c r="T568" s="169"/>
      <c r="U568" s="169"/>
      <c r="V568" s="169"/>
      <c r="W568" s="169"/>
      <c r="X568" s="169"/>
      <c r="Y568" s="169"/>
      <c r="Z568" s="169"/>
    </row>
    <row r="569" spans="1:26" ht="15.75" customHeight="1" x14ac:dyDescent="0.25">
      <c r="A569" s="169"/>
      <c r="B569" s="169"/>
      <c r="C569" s="169"/>
      <c r="D569" s="169"/>
      <c r="E569" s="169"/>
      <c r="F569" s="169"/>
      <c r="G569" s="169"/>
      <c r="H569" s="169"/>
      <c r="I569" s="169"/>
      <c r="J569" s="169"/>
      <c r="K569" s="169"/>
      <c r="L569" s="169"/>
      <c r="M569" s="169"/>
      <c r="N569" s="169"/>
      <c r="O569" s="169"/>
      <c r="P569" s="169"/>
      <c r="Q569" s="169"/>
      <c r="R569" s="169"/>
      <c r="S569" s="169"/>
      <c r="T569" s="169"/>
      <c r="U569" s="169"/>
      <c r="V569" s="169"/>
      <c r="W569" s="169"/>
      <c r="X569" s="169"/>
      <c r="Y569" s="169"/>
      <c r="Z569" s="169"/>
    </row>
    <row r="570" spans="1:26" ht="15.75" customHeight="1" x14ac:dyDescent="0.25">
      <c r="A570" s="169"/>
      <c r="B570" s="169"/>
      <c r="C570" s="169"/>
      <c r="D570" s="169"/>
      <c r="E570" s="169"/>
      <c r="F570" s="169"/>
      <c r="G570" s="169"/>
      <c r="H570" s="169"/>
      <c r="I570" s="169"/>
      <c r="J570" s="169"/>
      <c r="K570" s="169"/>
      <c r="L570" s="169"/>
      <c r="M570" s="169"/>
      <c r="N570" s="169"/>
      <c r="O570" s="169"/>
      <c r="P570" s="169"/>
      <c r="Q570" s="169"/>
      <c r="R570" s="169"/>
      <c r="S570" s="169"/>
      <c r="T570" s="169"/>
      <c r="U570" s="169"/>
      <c r="V570" s="169"/>
      <c r="W570" s="169"/>
      <c r="X570" s="169"/>
      <c r="Y570" s="169"/>
      <c r="Z570" s="169"/>
    </row>
    <row r="571" spans="1:26" ht="15.75" customHeight="1" x14ac:dyDescent="0.25">
      <c r="A571" s="169"/>
      <c r="B571" s="169"/>
      <c r="C571" s="169"/>
      <c r="D571" s="169"/>
      <c r="E571" s="169"/>
      <c r="F571" s="169"/>
      <c r="G571" s="169"/>
      <c r="H571" s="169"/>
      <c r="I571" s="169"/>
      <c r="J571" s="169"/>
      <c r="K571" s="169"/>
      <c r="L571" s="169"/>
      <c r="M571" s="169"/>
      <c r="N571" s="169"/>
      <c r="O571" s="169"/>
      <c r="P571" s="169"/>
      <c r="Q571" s="169"/>
      <c r="R571" s="169"/>
      <c r="S571" s="169"/>
      <c r="T571" s="169"/>
      <c r="U571" s="169"/>
      <c r="V571" s="169"/>
      <c r="W571" s="169"/>
      <c r="X571" s="169"/>
      <c r="Y571" s="169"/>
      <c r="Z571" s="169"/>
    </row>
    <row r="572" spans="1:26" ht="15.75" customHeight="1" x14ac:dyDescent="0.25">
      <c r="A572" s="169"/>
      <c r="B572" s="169"/>
      <c r="C572" s="169"/>
      <c r="D572" s="169"/>
      <c r="E572" s="169"/>
      <c r="F572" s="169"/>
      <c r="G572" s="169"/>
      <c r="H572" s="169"/>
      <c r="I572" s="169"/>
      <c r="J572" s="169"/>
      <c r="K572" s="169"/>
      <c r="L572" s="169"/>
      <c r="M572" s="169"/>
      <c r="N572" s="169"/>
      <c r="O572" s="169"/>
      <c r="P572" s="169"/>
      <c r="Q572" s="169"/>
      <c r="R572" s="169"/>
      <c r="S572" s="169"/>
      <c r="T572" s="169"/>
      <c r="U572" s="169"/>
      <c r="V572" s="169"/>
      <c r="W572" s="169"/>
      <c r="X572" s="169"/>
      <c r="Y572" s="169"/>
      <c r="Z572" s="169"/>
    </row>
    <row r="573" spans="1:26" ht="15.75" customHeight="1" x14ac:dyDescent="0.25">
      <c r="A573" s="169"/>
      <c r="B573" s="169"/>
      <c r="C573" s="169"/>
      <c r="D573" s="169"/>
      <c r="E573" s="169"/>
      <c r="F573" s="169"/>
      <c r="G573" s="169"/>
      <c r="H573" s="169"/>
      <c r="I573" s="169"/>
      <c r="J573" s="169"/>
      <c r="K573" s="169"/>
      <c r="L573" s="169"/>
      <c r="M573" s="169"/>
      <c r="N573" s="169"/>
      <c r="O573" s="169"/>
      <c r="P573" s="169"/>
      <c r="Q573" s="169"/>
      <c r="R573" s="169"/>
      <c r="S573" s="169"/>
      <c r="T573" s="169"/>
      <c r="U573" s="169"/>
      <c r="V573" s="169"/>
      <c r="W573" s="169"/>
      <c r="X573" s="169"/>
      <c r="Y573" s="169"/>
      <c r="Z573" s="169"/>
    </row>
    <row r="574" spans="1:26" ht="15.75" customHeight="1" x14ac:dyDescent="0.25">
      <c r="A574" s="169"/>
      <c r="B574" s="169"/>
      <c r="C574" s="169"/>
      <c r="D574" s="169"/>
      <c r="E574" s="169"/>
      <c r="F574" s="169"/>
      <c r="G574" s="169"/>
      <c r="H574" s="169"/>
      <c r="I574" s="169"/>
      <c r="J574" s="169"/>
      <c r="K574" s="169"/>
      <c r="L574" s="169"/>
      <c r="M574" s="169"/>
      <c r="N574" s="169"/>
      <c r="O574" s="169"/>
      <c r="P574" s="169"/>
      <c r="Q574" s="169"/>
      <c r="R574" s="169"/>
      <c r="S574" s="169"/>
      <c r="T574" s="169"/>
      <c r="U574" s="169"/>
      <c r="V574" s="169"/>
      <c r="W574" s="169"/>
      <c r="X574" s="169"/>
      <c r="Y574" s="169"/>
      <c r="Z574" s="169"/>
    </row>
    <row r="575" spans="1:26" ht="15.75" customHeight="1" x14ac:dyDescent="0.25">
      <c r="A575" s="169"/>
      <c r="B575" s="169"/>
      <c r="C575" s="169"/>
      <c r="D575" s="169"/>
      <c r="E575" s="169"/>
      <c r="F575" s="169"/>
      <c r="G575" s="169"/>
      <c r="H575" s="169"/>
      <c r="I575" s="169"/>
      <c r="J575" s="169"/>
      <c r="K575" s="169"/>
      <c r="L575" s="169"/>
      <c r="M575" s="169"/>
      <c r="N575" s="169"/>
      <c r="O575" s="169"/>
      <c r="P575" s="169"/>
      <c r="Q575" s="169"/>
      <c r="R575" s="169"/>
      <c r="S575" s="169"/>
      <c r="T575" s="169"/>
      <c r="U575" s="169"/>
      <c r="V575" s="169"/>
      <c r="W575" s="169"/>
      <c r="X575" s="169"/>
      <c r="Y575" s="169"/>
      <c r="Z575" s="169"/>
    </row>
    <row r="576" spans="1:26" ht="15.75" customHeight="1" x14ac:dyDescent="0.25">
      <c r="A576" s="169"/>
      <c r="B576" s="169"/>
      <c r="C576" s="169"/>
      <c r="D576" s="169"/>
      <c r="E576" s="169"/>
      <c r="F576" s="169"/>
      <c r="G576" s="169"/>
      <c r="H576" s="169"/>
      <c r="I576" s="169"/>
      <c r="J576" s="169"/>
      <c r="K576" s="169"/>
      <c r="L576" s="169"/>
      <c r="M576" s="169"/>
      <c r="N576" s="169"/>
      <c r="O576" s="169"/>
      <c r="P576" s="169"/>
      <c r="Q576" s="169"/>
      <c r="R576" s="169"/>
      <c r="S576" s="169"/>
      <c r="T576" s="169"/>
      <c r="U576" s="169"/>
      <c r="V576" s="169"/>
      <c r="W576" s="169"/>
      <c r="X576" s="169"/>
      <c r="Y576" s="169"/>
      <c r="Z576" s="169"/>
    </row>
    <row r="577" spans="1:26" ht="15.75" customHeight="1" x14ac:dyDescent="0.25">
      <c r="A577" s="169"/>
      <c r="B577" s="169"/>
      <c r="C577" s="169"/>
      <c r="D577" s="169"/>
      <c r="E577" s="169"/>
      <c r="F577" s="169"/>
      <c r="G577" s="169"/>
      <c r="H577" s="169"/>
      <c r="I577" s="169"/>
      <c r="J577" s="169"/>
      <c r="K577" s="169"/>
      <c r="L577" s="169"/>
      <c r="M577" s="169"/>
      <c r="N577" s="169"/>
      <c r="O577" s="169"/>
      <c r="P577" s="169"/>
      <c r="Q577" s="169"/>
      <c r="R577" s="169"/>
      <c r="S577" s="169"/>
      <c r="T577" s="169"/>
      <c r="U577" s="169"/>
      <c r="V577" s="169"/>
      <c r="W577" s="169"/>
      <c r="X577" s="169"/>
      <c r="Y577" s="169"/>
      <c r="Z577" s="169"/>
    </row>
    <row r="578" spans="1:26" ht="15.75" customHeight="1" x14ac:dyDescent="0.25">
      <c r="A578" s="169"/>
      <c r="B578" s="169"/>
      <c r="C578" s="169"/>
      <c r="D578" s="169"/>
      <c r="E578" s="169"/>
      <c r="F578" s="169"/>
      <c r="G578" s="169"/>
      <c r="H578" s="169"/>
      <c r="I578" s="169"/>
      <c r="J578" s="169"/>
      <c r="K578" s="169"/>
      <c r="L578" s="169"/>
      <c r="M578" s="169"/>
      <c r="N578" s="169"/>
      <c r="O578" s="169"/>
      <c r="P578" s="169"/>
      <c r="Q578" s="169"/>
      <c r="R578" s="169"/>
      <c r="S578" s="169"/>
      <c r="T578" s="169"/>
      <c r="U578" s="169"/>
      <c r="V578" s="169"/>
      <c r="W578" s="169"/>
      <c r="X578" s="169"/>
      <c r="Y578" s="169"/>
      <c r="Z578" s="169"/>
    </row>
    <row r="579" spans="1:26" ht="15.75" customHeight="1" x14ac:dyDescent="0.25">
      <c r="A579" s="169"/>
      <c r="B579" s="169"/>
      <c r="C579" s="169"/>
      <c r="D579" s="169"/>
      <c r="E579" s="169"/>
      <c r="F579" s="169"/>
      <c r="G579" s="169"/>
      <c r="H579" s="169"/>
      <c r="I579" s="169"/>
      <c r="J579" s="169"/>
      <c r="K579" s="169"/>
      <c r="L579" s="169"/>
      <c r="M579" s="169"/>
      <c r="N579" s="169"/>
      <c r="O579" s="169"/>
      <c r="P579" s="169"/>
      <c r="Q579" s="169"/>
      <c r="R579" s="169"/>
      <c r="S579" s="169"/>
      <c r="T579" s="169"/>
      <c r="U579" s="169"/>
      <c r="V579" s="169"/>
      <c r="W579" s="169"/>
      <c r="X579" s="169"/>
      <c r="Y579" s="169"/>
      <c r="Z579" s="169"/>
    </row>
    <row r="580" spans="1:26" ht="15.75" customHeight="1" x14ac:dyDescent="0.25">
      <c r="A580" s="169"/>
      <c r="B580" s="169"/>
      <c r="C580" s="169"/>
      <c r="D580" s="169"/>
      <c r="E580" s="169"/>
      <c r="F580" s="169"/>
      <c r="G580" s="169"/>
      <c r="H580" s="169"/>
      <c r="I580" s="169"/>
      <c r="J580" s="169"/>
      <c r="K580" s="169"/>
      <c r="L580" s="169"/>
      <c r="M580" s="169"/>
      <c r="N580" s="169"/>
      <c r="O580" s="169"/>
      <c r="P580" s="169"/>
      <c r="Q580" s="169"/>
      <c r="R580" s="169"/>
      <c r="S580" s="169"/>
      <c r="T580" s="169"/>
      <c r="U580" s="169"/>
      <c r="V580" s="169"/>
      <c r="W580" s="169"/>
      <c r="X580" s="169"/>
      <c r="Y580" s="169"/>
      <c r="Z580" s="169"/>
    </row>
    <row r="581" spans="1:26" ht="15.75" customHeight="1" x14ac:dyDescent="0.25">
      <c r="A581" s="169"/>
      <c r="B581" s="169"/>
      <c r="C581" s="169"/>
      <c r="D581" s="169"/>
      <c r="E581" s="169"/>
      <c r="F581" s="169"/>
      <c r="G581" s="169"/>
      <c r="H581" s="169"/>
      <c r="I581" s="169"/>
      <c r="J581" s="169"/>
      <c r="K581" s="169"/>
      <c r="L581" s="169"/>
      <c r="M581" s="169"/>
      <c r="N581" s="169"/>
      <c r="O581" s="169"/>
      <c r="P581" s="169"/>
      <c r="Q581" s="169"/>
      <c r="R581" s="169"/>
      <c r="S581" s="169"/>
      <c r="T581" s="169"/>
      <c r="U581" s="169"/>
      <c r="V581" s="169"/>
      <c r="W581" s="169"/>
      <c r="X581" s="169"/>
      <c r="Y581" s="169"/>
      <c r="Z581" s="169"/>
    </row>
    <row r="582" spans="1:26" ht="15.75" customHeight="1" x14ac:dyDescent="0.25">
      <c r="A582" s="169"/>
      <c r="B582" s="169"/>
      <c r="C582" s="169"/>
      <c r="D582" s="169"/>
      <c r="E582" s="169"/>
      <c r="F582" s="169"/>
      <c r="G582" s="169"/>
      <c r="H582" s="169"/>
      <c r="I582" s="169"/>
      <c r="J582" s="169"/>
      <c r="K582" s="169"/>
      <c r="L582" s="169"/>
      <c r="M582" s="169"/>
      <c r="N582" s="169"/>
      <c r="O582" s="169"/>
      <c r="P582" s="169"/>
      <c r="Q582" s="169"/>
      <c r="R582" s="169"/>
      <c r="S582" s="169"/>
      <c r="T582" s="169"/>
      <c r="U582" s="169"/>
      <c r="V582" s="169"/>
      <c r="W582" s="169"/>
      <c r="X582" s="169"/>
      <c r="Y582" s="169"/>
      <c r="Z582" s="169"/>
    </row>
    <row r="583" spans="1:26" ht="15.75" customHeight="1" x14ac:dyDescent="0.25">
      <c r="A583" s="169"/>
      <c r="B583" s="169"/>
      <c r="C583" s="169"/>
      <c r="D583" s="169"/>
      <c r="E583" s="169"/>
      <c r="F583" s="169"/>
      <c r="G583" s="169"/>
      <c r="H583" s="169"/>
      <c r="I583" s="169"/>
      <c r="J583" s="169"/>
      <c r="K583" s="169"/>
      <c r="L583" s="169"/>
      <c r="M583" s="169"/>
      <c r="N583" s="169"/>
      <c r="O583" s="169"/>
      <c r="P583" s="169"/>
      <c r="Q583" s="169"/>
      <c r="R583" s="169"/>
      <c r="S583" s="169"/>
      <c r="T583" s="169"/>
      <c r="U583" s="169"/>
      <c r="V583" s="169"/>
      <c r="W583" s="169"/>
      <c r="X583" s="169"/>
      <c r="Y583" s="169"/>
      <c r="Z583" s="169"/>
    </row>
    <row r="584" spans="1:26" ht="15.75" customHeight="1" x14ac:dyDescent="0.25">
      <c r="A584" s="169"/>
      <c r="B584" s="169"/>
      <c r="C584" s="169"/>
      <c r="D584" s="169"/>
      <c r="E584" s="169"/>
      <c r="F584" s="169"/>
      <c r="G584" s="169"/>
      <c r="H584" s="169"/>
      <c r="I584" s="169"/>
      <c r="J584" s="169"/>
      <c r="K584" s="169"/>
      <c r="L584" s="169"/>
      <c r="M584" s="169"/>
      <c r="N584" s="169"/>
      <c r="O584" s="169"/>
      <c r="P584" s="169"/>
      <c r="Q584" s="169"/>
      <c r="R584" s="169"/>
      <c r="S584" s="169"/>
      <c r="T584" s="169"/>
      <c r="U584" s="169"/>
      <c r="V584" s="169"/>
      <c r="W584" s="169"/>
      <c r="X584" s="169"/>
      <c r="Y584" s="169"/>
      <c r="Z584" s="169"/>
    </row>
    <row r="585" spans="1:26" ht="15.75" customHeight="1" x14ac:dyDescent="0.25">
      <c r="A585" s="169"/>
      <c r="B585" s="169"/>
      <c r="C585" s="169"/>
      <c r="D585" s="169"/>
      <c r="E585" s="169"/>
      <c r="F585" s="169"/>
      <c r="G585" s="169"/>
      <c r="H585" s="169"/>
      <c r="I585" s="169"/>
      <c r="J585" s="169"/>
      <c r="K585" s="169"/>
      <c r="L585" s="169"/>
      <c r="M585" s="169"/>
      <c r="N585" s="169"/>
      <c r="O585" s="169"/>
      <c r="P585" s="169"/>
      <c r="Q585" s="169"/>
      <c r="R585" s="169"/>
      <c r="S585" s="169"/>
      <c r="T585" s="169"/>
      <c r="U585" s="169"/>
      <c r="V585" s="169"/>
      <c r="W585" s="169"/>
      <c r="X585" s="169"/>
      <c r="Y585" s="169"/>
      <c r="Z585" s="169"/>
    </row>
    <row r="586" spans="1:26" ht="15.75" customHeight="1" x14ac:dyDescent="0.25">
      <c r="A586" s="169"/>
      <c r="B586" s="169"/>
      <c r="C586" s="169"/>
      <c r="D586" s="169"/>
      <c r="E586" s="169"/>
      <c r="F586" s="169"/>
      <c r="G586" s="169"/>
      <c r="H586" s="169"/>
      <c r="I586" s="169"/>
      <c r="J586" s="169"/>
      <c r="K586" s="169"/>
      <c r="L586" s="169"/>
      <c r="M586" s="169"/>
      <c r="N586" s="169"/>
      <c r="O586" s="169"/>
      <c r="P586" s="169"/>
      <c r="Q586" s="169"/>
      <c r="R586" s="169"/>
      <c r="S586" s="169"/>
      <c r="T586" s="169"/>
      <c r="U586" s="169"/>
      <c r="V586" s="169"/>
      <c r="W586" s="169"/>
      <c r="X586" s="169"/>
      <c r="Y586" s="169"/>
      <c r="Z586" s="169"/>
    </row>
    <row r="587" spans="1:26" ht="15.75" customHeight="1" x14ac:dyDescent="0.25">
      <c r="A587" s="169"/>
      <c r="B587" s="169"/>
      <c r="C587" s="169"/>
      <c r="D587" s="169"/>
      <c r="E587" s="169"/>
      <c r="F587" s="169"/>
      <c r="G587" s="169"/>
      <c r="H587" s="169"/>
      <c r="I587" s="169"/>
      <c r="J587" s="169"/>
      <c r="K587" s="169"/>
      <c r="L587" s="169"/>
      <c r="M587" s="169"/>
      <c r="N587" s="169"/>
      <c r="O587" s="169"/>
      <c r="P587" s="169"/>
      <c r="Q587" s="169"/>
      <c r="R587" s="169"/>
      <c r="S587" s="169"/>
      <c r="T587" s="169"/>
      <c r="U587" s="169"/>
      <c r="V587" s="169"/>
      <c r="W587" s="169"/>
      <c r="X587" s="169"/>
      <c r="Y587" s="169"/>
      <c r="Z587" s="169"/>
    </row>
    <row r="588" spans="1:26" ht="15.75" customHeight="1" x14ac:dyDescent="0.25">
      <c r="A588" s="169"/>
      <c r="B588" s="169"/>
      <c r="C588" s="169"/>
      <c r="D588" s="169"/>
      <c r="E588" s="169"/>
      <c r="F588" s="169"/>
      <c r="G588" s="169"/>
      <c r="H588" s="169"/>
      <c r="I588" s="169"/>
      <c r="J588" s="169"/>
      <c r="K588" s="169"/>
      <c r="L588" s="169"/>
      <c r="M588" s="169"/>
      <c r="N588" s="169"/>
      <c r="O588" s="169"/>
      <c r="P588" s="169"/>
      <c r="Q588" s="169"/>
      <c r="R588" s="169"/>
      <c r="S588" s="169"/>
      <c r="T588" s="169"/>
      <c r="U588" s="169"/>
      <c r="V588" s="169"/>
      <c r="W588" s="169"/>
      <c r="X588" s="169"/>
      <c r="Y588" s="169"/>
      <c r="Z588" s="169"/>
    </row>
    <row r="589" spans="1:26" ht="15.75" customHeight="1" x14ac:dyDescent="0.25">
      <c r="A589" s="169"/>
      <c r="B589" s="169"/>
      <c r="C589" s="169"/>
      <c r="D589" s="169"/>
      <c r="E589" s="169"/>
      <c r="F589" s="169"/>
      <c r="G589" s="169"/>
      <c r="H589" s="169"/>
      <c r="I589" s="169"/>
      <c r="J589" s="169"/>
      <c r="K589" s="169"/>
      <c r="L589" s="169"/>
      <c r="M589" s="169"/>
      <c r="N589" s="169"/>
      <c r="O589" s="169"/>
      <c r="P589" s="169"/>
      <c r="Q589" s="169"/>
      <c r="R589" s="169"/>
      <c r="S589" s="169"/>
      <c r="T589" s="169"/>
      <c r="U589" s="169"/>
      <c r="V589" s="169"/>
      <c r="W589" s="169"/>
      <c r="X589" s="169"/>
      <c r="Y589" s="169"/>
      <c r="Z589" s="169"/>
    </row>
    <row r="590" spans="1:26" ht="15.75" customHeight="1" x14ac:dyDescent="0.25">
      <c r="A590" s="169"/>
      <c r="B590" s="169"/>
      <c r="C590" s="169"/>
      <c r="D590" s="169"/>
      <c r="E590" s="169"/>
      <c r="F590" s="169"/>
      <c r="G590" s="169"/>
      <c r="H590" s="169"/>
      <c r="I590" s="169"/>
      <c r="J590" s="169"/>
      <c r="K590" s="169"/>
      <c r="L590" s="169"/>
      <c r="M590" s="169"/>
      <c r="N590" s="169"/>
      <c r="O590" s="169"/>
      <c r="P590" s="169"/>
      <c r="Q590" s="169"/>
      <c r="R590" s="169"/>
      <c r="S590" s="169"/>
      <c r="T590" s="169"/>
      <c r="U590" s="169"/>
      <c r="V590" s="169"/>
      <c r="W590" s="169"/>
      <c r="X590" s="169"/>
      <c r="Y590" s="169"/>
      <c r="Z590" s="169"/>
    </row>
    <row r="591" spans="1:26" ht="15.75" customHeight="1" x14ac:dyDescent="0.25">
      <c r="A591" s="169"/>
      <c r="B591" s="169"/>
      <c r="C591" s="169"/>
      <c r="D591" s="169"/>
      <c r="E591" s="169"/>
      <c r="F591" s="169"/>
      <c r="G591" s="169"/>
      <c r="H591" s="169"/>
      <c r="I591" s="169"/>
      <c r="J591" s="169"/>
      <c r="K591" s="169"/>
      <c r="L591" s="169"/>
      <c r="M591" s="169"/>
      <c r="N591" s="169"/>
      <c r="O591" s="169"/>
      <c r="P591" s="169"/>
      <c r="Q591" s="169"/>
      <c r="R591" s="169"/>
      <c r="S591" s="169"/>
      <c r="T591" s="169"/>
      <c r="U591" s="169"/>
      <c r="V591" s="169"/>
      <c r="W591" s="169"/>
      <c r="X591" s="169"/>
      <c r="Y591" s="169"/>
      <c r="Z591" s="169"/>
    </row>
    <row r="592" spans="1:26" ht="15.75" customHeight="1" x14ac:dyDescent="0.25">
      <c r="A592" s="169"/>
      <c r="B592" s="169"/>
      <c r="C592" s="169"/>
      <c r="D592" s="169"/>
      <c r="E592" s="169"/>
      <c r="F592" s="169"/>
      <c r="G592" s="169"/>
      <c r="H592" s="169"/>
      <c r="I592" s="169"/>
      <c r="J592" s="169"/>
      <c r="K592" s="169"/>
      <c r="L592" s="169"/>
      <c r="M592" s="169"/>
      <c r="N592" s="169"/>
      <c r="O592" s="169"/>
      <c r="P592" s="169"/>
      <c r="Q592" s="169"/>
      <c r="R592" s="169"/>
      <c r="S592" s="169"/>
      <c r="T592" s="169"/>
      <c r="U592" s="169"/>
      <c r="V592" s="169"/>
      <c r="W592" s="169"/>
      <c r="X592" s="169"/>
      <c r="Y592" s="169"/>
      <c r="Z592" s="169"/>
    </row>
    <row r="593" spans="1:26" ht="15.75" customHeight="1" x14ac:dyDescent="0.25">
      <c r="A593" s="169"/>
      <c r="B593" s="169"/>
      <c r="C593" s="169"/>
      <c r="D593" s="169"/>
      <c r="E593" s="169"/>
      <c r="F593" s="169"/>
      <c r="G593" s="169"/>
      <c r="H593" s="169"/>
      <c r="I593" s="169"/>
      <c r="J593" s="169"/>
      <c r="K593" s="169"/>
      <c r="L593" s="169"/>
      <c r="M593" s="169"/>
      <c r="N593" s="169"/>
      <c r="O593" s="169"/>
      <c r="P593" s="169"/>
      <c r="Q593" s="169"/>
      <c r="R593" s="169"/>
      <c r="S593" s="169"/>
      <c r="T593" s="169"/>
      <c r="U593" s="169"/>
      <c r="V593" s="169"/>
      <c r="W593" s="169"/>
      <c r="X593" s="169"/>
      <c r="Y593" s="169"/>
      <c r="Z593" s="169"/>
    </row>
    <row r="594" spans="1:26" ht="15.75" customHeight="1" x14ac:dyDescent="0.25">
      <c r="A594" s="169"/>
      <c r="B594" s="169"/>
      <c r="C594" s="169"/>
      <c r="D594" s="169"/>
      <c r="E594" s="169"/>
      <c r="F594" s="169"/>
      <c r="G594" s="169"/>
      <c r="H594" s="169"/>
      <c r="I594" s="169"/>
      <c r="J594" s="169"/>
      <c r="K594" s="169"/>
      <c r="L594" s="169"/>
      <c r="M594" s="169"/>
      <c r="N594" s="169"/>
      <c r="O594" s="169"/>
      <c r="P594" s="169"/>
      <c r="Q594" s="169"/>
      <c r="R594" s="169"/>
      <c r="S594" s="169"/>
      <c r="T594" s="169"/>
      <c r="U594" s="169"/>
      <c r="V594" s="169"/>
      <c r="W594" s="169"/>
      <c r="X594" s="169"/>
      <c r="Y594" s="169"/>
      <c r="Z594" s="169"/>
    </row>
    <row r="595" spans="1:26" ht="15.75" customHeight="1" x14ac:dyDescent="0.25">
      <c r="A595" s="169"/>
      <c r="B595" s="169"/>
      <c r="C595" s="169"/>
      <c r="D595" s="169"/>
      <c r="E595" s="169"/>
      <c r="F595" s="169"/>
      <c r="G595" s="169"/>
      <c r="H595" s="169"/>
      <c r="I595" s="169"/>
      <c r="J595" s="169"/>
      <c r="K595" s="169"/>
      <c r="L595" s="169"/>
      <c r="M595" s="169"/>
      <c r="N595" s="169"/>
      <c r="O595" s="169"/>
      <c r="P595" s="169"/>
      <c r="Q595" s="169"/>
      <c r="R595" s="169"/>
      <c r="S595" s="169"/>
      <c r="T595" s="169"/>
      <c r="U595" s="169"/>
      <c r="V595" s="169"/>
      <c r="W595" s="169"/>
      <c r="X595" s="169"/>
      <c r="Y595" s="169"/>
      <c r="Z595" s="169"/>
    </row>
    <row r="596" spans="1:26" ht="15.75" customHeight="1" x14ac:dyDescent="0.25">
      <c r="A596" s="169"/>
      <c r="B596" s="169"/>
      <c r="C596" s="169"/>
      <c r="D596" s="169"/>
      <c r="E596" s="169"/>
      <c r="F596" s="169"/>
      <c r="G596" s="169"/>
      <c r="H596" s="169"/>
      <c r="I596" s="169"/>
      <c r="J596" s="169"/>
      <c r="K596" s="169"/>
      <c r="L596" s="169"/>
      <c r="M596" s="169"/>
      <c r="N596" s="169"/>
      <c r="O596" s="169"/>
      <c r="P596" s="169"/>
      <c r="Q596" s="169"/>
      <c r="R596" s="169"/>
      <c r="S596" s="169"/>
      <c r="T596" s="169"/>
      <c r="U596" s="169"/>
      <c r="V596" s="169"/>
      <c r="W596" s="169"/>
      <c r="X596" s="169"/>
      <c r="Y596" s="169"/>
      <c r="Z596" s="169"/>
    </row>
    <row r="597" spans="1:26" ht="15.75" customHeight="1" x14ac:dyDescent="0.25">
      <c r="A597" s="169"/>
      <c r="B597" s="169"/>
      <c r="C597" s="169"/>
      <c r="D597" s="169"/>
      <c r="E597" s="169"/>
      <c r="F597" s="169"/>
      <c r="G597" s="169"/>
      <c r="H597" s="169"/>
      <c r="I597" s="169"/>
      <c r="J597" s="169"/>
      <c r="K597" s="169"/>
      <c r="L597" s="169"/>
      <c r="M597" s="169"/>
      <c r="N597" s="169"/>
      <c r="O597" s="169"/>
      <c r="P597" s="169"/>
      <c r="Q597" s="169"/>
      <c r="R597" s="169"/>
      <c r="S597" s="169"/>
      <c r="T597" s="169"/>
      <c r="U597" s="169"/>
      <c r="V597" s="169"/>
      <c r="W597" s="169"/>
      <c r="X597" s="169"/>
      <c r="Y597" s="169"/>
      <c r="Z597" s="169"/>
    </row>
    <row r="598" spans="1:26" ht="15.75" customHeight="1" x14ac:dyDescent="0.25">
      <c r="A598" s="169"/>
      <c r="B598" s="169"/>
      <c r="C598" s="169"/>
      <c r="D598" s="169"/>
      <c r="E598" s="169"/>
      <c r="F598" s="169"/>
      <c r="G598" s="169"/>
      <c r="H598" s="169"/>
      <c r="I598" s="169"/>
      <c r="J598" s="169"/>
      <c r="K598" s="169"/>
      <c r="L598" s="169"/>
      <c r="M598" s="169"/>
      <c r="N598" s="169"/>
      <c r="O598" s="169"/>
      <c r="P598" s="169"/>
      <c r="Q598" s="169"/>
      <c r="R598" s="169"/>
      <c r="S598" s="169"/>
      <c r="T598" s="169"/>
      <c r="U598" s="169"/>
      <c r="V598" s="169"/>
      <c r="W598" s="169"/>
      <c r="X598" s="169"/>
      <c r="Y598" s="169"/>
      <c r="Z598" s="169"/>
    </row>
    <row r="599" spans="1:26" ht="15.75" customHeight="1" x14ac:dyDescent="0.25">
      <c r="A599" s="169"/>
      <c r="B599" s="169"/>
      <c r="C599" s="169"/>
      <c r="D599" s="169"/>
      <c r="E599" s="169"/>
      <c r="F599" s="169"/>
      <c r="G599" s="169"/>
      <c r="H599" s="169"/>
      <c r="I599" s="169"/>
      <c r="J599" s="169"/>
      <c r="K599" s="169"/>
      <c r="L599" s="169"/>
      <c r="M599" s="169"/>
      <c r="N599" s="169"/>
      <c r="O599" s="169"/>
      <c r="P599" s="169"/>
      <c r="Q599" s="169"/>
      <c r="R599" s="169"/>
      <c r="S599" s="169"/>
      <c r="T599" s="169"/>
      <c r="U599" s="169"/>
      <c r="V599" s="169"/>
      <c r="W599" s="169"/>
      <c r="X599" s="169"/>
      <c r="Y599" s="169"/>
      <c r="Z599" s="169"/>
    </row>
    <row r="600" spans="1:26" ht="15.75" customHeight="1" x14ac:dyDescent="0.25">
      <c r="A600" s="169"/>
      <c r="B600" s="169"/>
      <c r="C600" s="169"/>
      <c r="D600" s="169"/>
      <c r="E600" s="169"/>
      <c r="F600" s="169"/>
      <c r="G600" s="169"/>
      <c r="H600" s="169"/>
      <c r="I600" s="169"/>
      <c r="J600" s="169"/>
      <c r="K600" s="169"/>
      <c r="L600" s="169"/>
      <c r="M600" s="169"/>
      <c r="N600" s="169"/>
      <c r="O600" s="169"/>
      <c r="P600" s="169"/>
      <c r="Q600" s="169"/>
      <c r="R600" s="169"/>
      <c r="S600" s="169"/>
      <c r="T600" s="169"/>
      <c r="U600" s="169"/>
      <c r="V600" s="169"/>
      <c r="W600" s="169"/>
      <c r="X600" s="169"/>
      <c r="Y600" s="169"/>
      <c r="Z600" s="169"/>
    </row>
    <row r="601" spans="1:26" ht="15.75" customHeight="1" x14ac:dyDescent="0.25">
      <c r="A601" s="169"/>
      <c r="B601" s="169"/>
      <c r="C601" s="169"/>
      <c r="D601" s="169"/>
      <c r="E601" s="169"/>
      <c r="F601" s="169"/>
      <c r="G601" s="169"/>
      <c r="H601" s="169"/>
      <c r="I601" s="169"/>
      <c r="J601" s="169"/>
      <c r="K601" s="169"/>
      <c r="L601" s="169"/>
      <c r="M601" s="169"/>
      <c r="N601" s="169"/>
      <c r="O601" s="169"/>
      <c r="P601" s="169"/>
      <c r="Q601" s="169"/>
      <c r="R601" s="169"/>
      <c r="S601" s="169"/>
      <c r="T601" s="169"/>
      <c r="U601" s="169"/>
      <c r="V601" s="169"/>
      <c r="W601" s="169"/>
      <c r="X601" s="169"/>
      <c r="Y601" s="169"/>
      <c r="Z601" s="169"/>
    </row>
    <row r="602" spans="1:26" ht="15.75" customHeight="1" x14ac:dyDescent="0.25">
      <c r="A602" s="169"/>
      <c r="B602" s="169"/>
      <c r="C602" s="169"/>
      <c r="D602" s="169"/>
      <c r="E602" s="169"/>
      <c r="F602" s="169"/>
      <c r="G602" s="169"/>
      <c r="H602" s="169"/>
      <c r="I602" s="169"/>
      <c r="J602" s="169"/>
      <c r="K602" s="169"/>
      <c r="L602" s="169"/>
      <c r="M602" s="169"/>
      <c r="N602" s="169"/>
      <c r="O602" s="169"/>
      <c r="P602" s="169"/>
      <c r="Q602" s="169"/>
      <c r="R602" s="169"/>
      <c r="S602" s="169"/>
      <c r="T602" s="169"/>
      <c r="U602" s="169"/>
      <c r="V602" s="169"/>
      <c r="W602" s="169"/>
      <c r="X602" s="169"/>
      <c r="Y602" s="169"/>
      <c r="Z602" s="169"/>
    </row>
    <row r="603" spans="1:26" ht="15.75" customHeight="1" x14ac:dyDescent="0.25">
      <c r="A603" s="169"/>
      <c r="B603" s="169"/>
      <c r="C603" s="169"/>
      <c r="D603" s="169"/>
      <c r="E603" s="169"/>
      <c r="F603" s="169"/>
      <c r="G603" s="169"/>
      <c r="H603" s="169"/>
      <c r="I603" s="169"/>
      <c r="J603" s="169"/>
      <c r="K603" s="169"/>
      <c r="L603" s="169"/>
      <c r="M603" s="169"/>
      <c r="N603" s="169"/>
      <c r="O603" s="169"/>
      <c r="P603" s="169"/>
      <c r="Q603" s="169"/>
      <c r="R603" s="169"/>
      <c r="S603" s="169"/>
      <c r="T603" s="169"/>
      <c r="U603" s="169"/>
      <c r="V603" s="169"/>
      <c r="W603" s="169"/>
      <c r="X603" s="169"/>
      <c r="Y603" s="169"/>
      <c r="Z603" s="169"/>
    </row>
    <row r="604" spans="1:26" ht="15.75" customHeight="1" x14ac:dyDescent="0.25">
      <c r="A604" s="169"/>
      <c r="B604" s="169"/>
      <c r="C604" s="169"/>
      <c r="D604" s="169"/>
      <c r="E604" s="169"/>
      <c r="F604" s="169"/>
      <c r="G604" s="169"/>
      <c r="H604" s="169"/>
      <c r="I604" s="169"/>
      <c r="J604" s="169"/>
      <c r="K604" s="169"/>
      <c r="L604" s="169"/>
      <c r="M604" s="169"/>
      <c r="N604" s="169"/>
      <c r="O604" s="169"/>
      <c r="P604" s="169"/>
      <c r="Q604" s="169"/>
      <c r="R604" s="169"/>
      <c r="S604" s="169"/>
      <c r="T604" s="169"/>
      <c r="U604" s="169"/>
      <c r="V604" s="169"/>
      <c r="W604" s="169"/>
      <c r="X604" s="169"/>
      <c r="Y604" s="169"/>
      <c r="Z604" s="169"/>
    </row>
    <row r="605" spans="1:26" ht="15.75" customHeight="1" x14ac:dyDescent="0.25">
      <c r="A605" s="169"/>
      <c r="B605" s="169"/>
      <c r="C605" s="169"/>
      <c r="D605" s="169"/>
      <c r="E605" s="169"/>
      <c r="F605" s="169"/>
      <c r="G605" s="169"/>
      <c r="H605" s="169"/>
      <c r="I605" s="169"/>
      <c r="J605" s="169"/>
      <c r="K605" s="169"/>
      <c r="L605" s="169"/>
      <c r="M605" s="169"/>
      <c r="N605" s="169"/>
      <c r="O605" s="169"/>
      <c r="P605" s="169"/>
      <c r="Q605" s="169"/>
      <c r="R605" s="169"/>
      <c r="S605" s="169"/>
      <c r="T605" s="169"/>
      <c r="U605" s="169"/>
      <c r="V605" s="169"/>
      <c r="W605" s="169"/>
      <c r="X605" s="169"/>
      <c r="Y605" s="169"/>
      <c r="Z605" s="169"/>
    </row>
    <row r="606" spans="1:26" ht="15.75" customHeight="1" x14ac:dyDescent="0.25">
      <c r="A606" s="169"/>
      <c r="B606" s="169"/>
      <c r="C606" s="169"/>
      <c r="D606" s="169"/>
      <c r="E606" s="169"/>
      <c r="F606" s="169"/>
      <c r="G606" s="169"/>
      <c r="H606" s="169"/>
      <c r="I606" s="169"/>
      <c r="J606" s="169"/>
      <c r="K606" s="169"/>
      <c r="L606" s="169"/>
      <c r="M606" s="169"/>
      <c r="N606" s="169"/>
      <c r="O606" s="169"/>
      <c r="P606" s="169"/>
      <c r="Q606" s="169"/>
      <c r="R606" s="169"/>
      <c r="S606" s="169"/>
      <c r="T606" s="169"/>
      <c r="U606" s="169"/>
      <c r="V606" s="169"/>
      <c r="W606" s="169"/>
      <c r="X606" s="169"/>
      <c r="Y606" s="169"/>
      <c r="Z606" s="169"/>
    </row>
    <row r="607" spans="1:26" ht="15.75" customHeight="1" x14ac:dyDescent="0.25">
      <c r="A607" s="169"/>
      <c r="B607" s="169"/>
      <c r="C607" s="169"/>
      <c r="D607" s="169"/>
      <c r="E607" s="169"/>
      <c r="F607" s="169"/>
      <c r="G607" s="169"/>
      <c r="H607" s="169"/>
      <c r="I607" s="169"/>
      <c r="J607" s="169"/>
      <c r="K607" s="169"/>
      <c r="L607" s="169"/>
      <c r="M607" s="169"/>
      <c r="N607" s="169"/>
      <c r="O607" s="169"/>
      <c r="P607" s="169"/>
      <c r="Q607" s="169"/>
      <c r="R607" s="169"/>
      <c r="S607" s="169"/>
      <c r="T607" s="169"/>
      <c r="U607" s="169"/>
      <c r="V607" s="169"/>
      <c r="W607" s="169"/>
      <c r="X607" s="169"/>
      <c r="Y607" s="169"/>
      <c r="Z607" s="169"/>
    </row>
    <row r="608" spans="1:26" ht="15.75" customHeight="1" x14ac:dyDescent="0.25">
      <c r="A608" s="169"/>
      <c r="B608" s="169"/>
      <c r="C608" s="169"/>
      <c r="D608" s="169"/>
      <c r="E608" s="169"/>
      <c r="F608" s="169"/>
      <c r="G608" s="169"/>
      <c r="H608" s="169"/>
      <c r="I608" s="169"/>
      <c r="J608" s="169"/>
      <c r="K608" s="169"/>
      <c r="L608" s="169"/>
      <c r="M608" s="169"/>
      <c r="N608" s="169"/>
      <c r="O608" s="169"/>
      <c r="P608" s="169"/>
      <c r="Q608" s="169"/>
      <c r="R608" s="169"/>
      <c r="S608" s="169"/>
      <c r="T608" s="169"/>
      <c r="U608" s="169"/>
      <c r="V608" s="169"/>
      <c r="W608" s="169"/>
      <c r="X608" s="169"/>
      <c r="Y608" s="169"/>
      <c r="Z608" s="169"/>
    </row>
    <row r="609" spans="1:26" ht="15.75" customHeight="1" x14ac:dyDescent="0.25">
      <c r="A609" s="169"/>
      <c r="B609" s="169"/>
      <c r="C609" s="169"/>
      <c r="D609" s="169"/>
      <c r="E609" s="169"/>
      <c r="F609" s="169"/>
      <c r="G609" s="169"/>
      <c r="H609" s="169"/>
      <c r="I609" s="169"/>
      <c r="J609" s="169"/>
      <c r="K609" s="169"/>
      <c r="L609" s="169"/>
      <c r="M609" s="169"/>
      <c r="N609" s="169"/>
      <c r="O609" s="169"/>
      <c r="P609" s="169"/>
      <c r="Q609" s="169"/>
      <c r="R609" s="169"/>
      <c r="S609" s="169"/>
      <c r="T609" s="169"/>
      <c r="U609" s="169"/>
      <c r="V609" s="169"/>
      <c r="W609" s="169"/>
      <c r="X609" s="169"/>
      <c r="Y609" s="169"/>
      <c r="Z609" s="169"/>
    </row>
    <row r="610" spans="1:26" ht="15.75" customHeight="1" x14ac:dyDescent="0.25">
      <c r="A610" s="169"/>
      <c r="B610" s="169"/>
      <c r="C610" s="169"/>
      <c r="D610" s="169"/>
      <c r="E610" s="169"/>
      <c r="F610" s="169"/>
      <c r="G610" s="169"/>
      <c r="H610" s="169"/>
      <c r="I610" s="169"/>
      <c r="J610" s="169"/>
      <c r="K610" s="169"/>
      <c r="L610" s="169"/>
      <c r="M610" s="169"/>
      <c r="N610" s="169"/>
      <c r="O610" s="169"/>
      <c r="P610" s="169"/>
      <c r="Q610" s="169"/>
      <c r="R610" s="169"/>
      <c r="S610" s="169"/>
      <c r="T610" s="169"/>
      <c r="U610" s="169"/>
      <c r="V610" s="169"/>
      <c r="W610" s="169"/>
      <c r="X610" s="169"/>
      <c r="Y610" s="169"/>
      <c r="Z610" s="169"/>
    </row>
    <row r="611" spans="1:26" ht="15.75" customHeight="1" x14ac:dyDescent="0.25">
      <c r="A611" s="169"/>
      <c r="B611" s="169"/>
      <c r="C611" s="169"/>
      <c r="D611" s="169"/>
      <c r="E611" s="169"/>
      <c r="F611" s="169"/>
      <c r="G611" s="169"/>
      <c r="H611" s="169"/>
      <c r="I611" s="169"/>
      <c r="J611" s="169"/>
      <c r="K611" s="169"/>
      <c r="L611" s="169"/>
      <c r="M611" s="169"/>
      <c r="N611" s="169"/>
      <c r="O611" s="169"/>
      <c r="P611" s="169"/>
      <c r="Q611" s="169"/>
      <c r="R611" s="169"/>
      <c r="S611" s="169"/>
      <c r="T611" s="169"/>
      <c r="U611" s="169"/>
      <c r="V611" s="169"/>
      <c r="W611" s="169"/>
      <c r="X611" s="169"/>
      <c r="Y611" s="169"/>
      <c r="Z611" s="169"/>
    </row>
    <row r="612" spans="1:26" ht="15.75" customHeight="1" x14ac:dyDescent="0.25">
      <c r="A612" s="169"/>
      <c r="B612" s="169"/>
      <c r="C612" s="169"/>
      <c r="D612" s="169"/>
      <c r="E612" s="169"/>
      <c r="F612" s="169"/>
      <c r="G612" s="169"/>
      <c r="H612" s="169"/>
      <c r="I612" s="169"/>
      <c r="J612" s="169"/>
      <c r="K612" s="169"/>
      <c r="L612" s="169"/>
      <c r="M612" s="169"/>
      <c r="N612" s="169"/>
      <c r="O612" s="169"/>
      <c r="P612" s="169"/>
      <c r="Q612" s="169"/>
      <c r="R612" s="169"/>
      <c r="S612" s="169"/>
      <c r="T612" s="169"/>
      <c r="U612" s="169"/>
      <c r="V612" s="169"/>
      <c r="W612" s="169"/>
      <c r="X612" s="169"/>
      <c r="Y612" s="169"/>
      <c r="Z612" s="169"/>
    </row>
    <row r="613" spans="1:26" ht="15.75" customHeight="1" x14ac:dyDescent="0.25">
      <c r="A613" s="169"/>
      <c r="B613" s="169"/>
      <c r="C613" s="169"/>
      <c r="D613" s="169"/>
      <c r="E613" s="169"/>
      <c r="F613" s="169"/>
      <c r="G613" s="169"/>
      <c r="H613" s="169"/>
      <c r="I613" s="169"/>
      <c r="J613" s="169"/>
      <c r="K613" s="169"/>
      <c r="L613" s="169"/>
      <c r="M613" s="169"/>
      <c r="N613" s="169"/>
      <c r="O613" s="169"/>
      <c r="P613" s="169"/>
      <c r="Q613" s="169"/>
      <c r="R613" s="169"/>
      <c r="S613" s="169"/>
      <c r="T613" s="169"/>
      <c r="U613" s="169"/>
      <c r="V613" s="169"/>
      <c r="W613" s="169"/>
      <c r="X613" s="169"/>
      <c r="Y613" s="169"/>
      <c r="Z613" s="169"/>
    </row>
    <row r="614" spans="1:26" ht="15.75" customHeight="1" x14ac:dyDescent="0.25">
      <c r="A614" s="169"/>
      <c r="B614" s="169"/>
      <c r="C614" s="169"/>
      <c r="D614" s="169"/>
      <c r="E614" s="169"/>
      <c r="F614" s="169"/>
      <c r="G614" s="169"/>
      <c r="H614" s="169"/>
      <c r="I614" s="169"/>
      <c r="J614" s="169"/>
      <c r="K614" s="169"/>
      <c r="L614" s="169"/>
      <c r="M614" s="169"/>
      <c r="N614" s="169"/>
      <c r="O614" s="169"/>
      <c r="P614" s="169"/>
      <c r="Q614" s="169"/>
      <c r="R614" s="169"/>
      <c r="S614" s="169"/>
      <c r="T614" s="169"/>
      <c r="U614" s="169"/>
      <c r="V614" s="169"/>
      <c r="W614" s="169"/>
      <c r="X614" s="169"/>
      <c r="Y614" s="169"/>
      <c r="Z614" s="169"/>
    </row>
    <row r="615" spans="1:26" ht="15.75" customHeight="1" x14ac:dyDescent="0.25">
      <c r="A615" s="169"/>
      <c r="B615" s="169"/>
      <c r="C615" s="169"/>
      <c r="D615" s="169"/>
      <c r="E615" s="169"/>
      <c r="F615" s="169"/>
      <c r="G615" s="169"/>
      <c r="H615" s="169"/>
      <c r="I615" s="169"/>
      <c r="J615" s="169"/>
      <c r="K615" s="169"/>
      <c r="L615" s="169"/>
      <c r="M615" s="169"/>
      <c r="N615" s="169"/>
      <c r="O615" s="169"/>
      <c r="P615" s="169"/>
      <c r="Q615" s="169"/>
      <c r="R615" s="169"/>
      <c r="S615" s="169"/>
      <c r="T615" s="169"/>
      <c r="U615" s="169"/>
      <c r="V615" s="169"/>
      <c r="W615" s="169"/>
      <c r="X615" s="169"/>
      <c r="Y615" s="169"/>
      <c r="Z615" s="169"/>
    </row>
    <row r="616" spans="1:26" ht="15.75" customHeight="1" x14ac:dyDescent="0.25">
      <c r="A616" s="169"/>
      <c r="B616" s="169"/>
      <c r="C616" s="169"/>
      <c r="D616" s="169"/>
      <c r="E616" s="169"/>
      <c r="F616" s="169"/>
      <c r="G616" s="169"/>
      <c r="H616" s="169"/>
      <c r="I616" s="169"/>
      <c r="J616" s="169"/>
      <c r="K616" s="169"/>
      <c r="L616" s="169"/>
      <c r="M616" s="169"/>
      <c r="N616" s="169"/>
      <c r="O616" s="169"/>
      <c r="P616" s="169"/>
      <c r="Q616" s="169"/>
      <c r="R616" s="169"/>
      <c r="S616" s="169"/>
      <c r="T616" s="169"/>
      <c r="U616" s="169"/>
      <c r="V616" s="169"/>
      <c r="W616" s="169"/>
      <c r="X616" s="169"/>
      <c r="Y616" s="169"/>
      <c r="Z616" s="169"/>
    </row>
    <row r="617" spans="1:26" ht="15.75" customHeight="1" x14ac:dyDescent="0.25">
      <c r="A617" s="169"/>
      <c r="B617" s="169"/>
      <c r="C617" s="169"/>
      <c r="D617" s="169"/>
      <c r="E617" s="169"/>
      <c r="F617" s="169"/>
      <c r="G617" s="169"/>
      <c r="H617" s="169"/>
      <c r="I617" s="169"/>
      <c r="J617" s="169"/>
      <c r="K617" s="169"/>
      <c r="L617" s="169"/>
      <c r="M617" s="169"/>
      <c r="N617" s="169"/>
      <c r="O617" s="169"/>
      <c r="P617" s="169"/>
      <c r="Q617" s="169"/>
      <c r="R617" s="169"/>
      <c r="S617" s="169"/>
      <c r="T617" s="169"/>
      <c r="U617" s="169"/>
      <c r="V617" s="169"/>
      <c r="W617" s="169"/>
      <c r="X617" s="169"/>
      <c r="Y617" s="169"/>
      <c r="Z617" s="169"/>
    </row>
    <row r="618" spans="1:26" ht="15.75" customHeight="1" x14ac:dyDescent="0.25">
      <c r="A618" s="169"/>
      <c r="B618" s="169"/>
      <c r="C618" s="169"/>
      <c r="D618" s="169"/>
      <c r="E618" s="169"/>
      <c r="F618" s="169"/>
      <c r="G618" s="169"/>
      <c r="H618" s="169"/>
      <c r="I618" s="169"/>
      <c r="J618" s="169"/>
      <c r="K618" s="169"/>
      <c r="L618" s="169"/>
      <c r="M618" s="169"/>
      <c r="N618" s="169"/>
      <c r="O618" s="169"/>
      <c r="P618" s="169"/>
      <c r="Q618" s="169"/>
      <c r="R618" s="169"/>
      <c r="S618" s="169"/>
      <c r="T618" s="169"/>
      <c r="U618" s="169"/>
      <c r="V618" s="169"/>
      <c r="W618" s="169"/>
      <c r="X618" s="169"/>
      <c r="Y618" s="169"/>
      <c r="Z618" s="169"/>
    </row>
    <row r="619" spans="1:26" ht="15.75" customHeight="1" x14ac:dyDescent="0.25">
      <c r="A619" s="169"/>
      <c r="B619" s="169"/>
      <c r="C619" s="169"/>
      <c r="D619" s="169"/>
      <c r="E619" s="169"/>
      <c r="F619" s="169"/>
      <c r="G619" s="169"/>
      <c r="H619" s="169"/>
      <c r="I619" s="169"/>
      <c r="J619" s="169"/>
      <c r="K619" s="169"/>
      <c r="L619" s="169"/>
      <c r="M619" s="169"/>
      <c r="N619" s="169"/>
      <c r="O619" s="169"/>
      <c r="P619" s="169"/>
      <c r="Q619" s="169"/>
      <c r="R619" s="169"/>
      <c r="S619" s="169"/>
      <c r="T619" s="169"/>
      <c r="U619" s="169"/>
      <c r="V619" s="169"/>
      <c r="W619" s="169"/>
      <c r="X619" s="169"/>
      <c r="Y619" s="169"/>
      <c r="Z619" s="169"/>
    </row>
    <row r="620" spans="1:26" ht="15.75" customHeight="1" x14ac:dyDescent="0.25">
      <c r="A620" s="169"/>
      <c r="B620" s="169"/>
      <c r="C620" s="169"/>
      <c r="D620" s="169"/>
      <c r="E620" s="169"/>
      <c r="F620" s="169"/>
      <c r="G620" s="169"/>
      <c r="H620" s="169"/>
      <c r="I620" s="169"/>
      <c r="J620" s="169"/>
      <c r="K620" s="169"/>
      <c r="L620" s="169"/>
      <c r="M620" s="169"/>
      <c r="N620" s="169"/>
      <c r="O620" s="169"/>
      <c r="P620" s="169"/>
      <c r="Q620" s="169"/>
      <c r="R620" s="169"/>
      <c r="S620" s="169"/>
      <c r="T620" s="169"/>
      <c r="U620" s="169"/>
      <c r="V620" s="169"/>
      <c r="W620" s="169"/>
      <c r="X620" s="169"/>
      <c r="Y620" s="169"/>
      <c r="Z620" s="169"/>
    </row>
    <row r="621" spans="1:26" ht="15.75" customHeight="1" x14ac:dyDescent="0.25">
      <c r="A621" s="169"/>
      <c r="B621" s="169"/>
      <c r="C621" s="169"/>
      <c r="D621" s="169"/>
      <c r="E621" s="169"/>
      <c r="F621" s="169"/>
      <c r="G621" s="169"/>
      <c r="H621" s="169"/>
      <c r="I621" s="169"/>
      <c r="J621" s="169"/>
      <c r="K621" s="169"/>
      <c r="L621" s="169"/>
      <c r="M621" s="169"/>
      <c r="N621" s="169"/>
      <c r="O621" s="169"/>
      <c r="P621" s="169"/>
      <c r="Q621" s="169"/>
      <c r="R621" s="169"/>
      <c r="S621" s="169"/>
      <c r="T621" s="169"/>
      <c r="U621" s="169"/>
      <c r="V621" s="169"/>
      <c r="W621" s="169"/>
      <c r="X621" s="169"/>
      <c r="Y621" s="169"/>
      <c r="Z621" s="169"/>
    </row>
    <row r="622" spans="1:26" ht="15.75" customHeight="1" x14ac:dyDescent="0.25">
      <c r="A622" s="169"/>
      <c r="B622" s="169"/>
      <c r="C622" s="169"/>
      <c r="D622" s="169"/>
      <c r="E622" s="169"/>
      <c r="F622" s="169"/>
      <c r="G622" s="169"/>
      <c r="H622" s="169"/>
      <c r="I622" s="169"/>
      <c r="J622" s="169"/>
      <c r="K622" s="169"/>
      <c r="L622" s="169"/>
      <c r="M622" s="169"/>
      <c r="N622" s="169"/>
      <c r="O622" s="169"/>
      <c r="P622" s="169"/>
      <c r="Q622" s="169"/>
      <c r="R622" s="169"/>
      <c r="S622" s="169"/>
      <c r="T622" s="169"/>
      <c r="U622" s="169"/>
      <c r="V622" s="169"/>
      <c r="W622" s="169"/>
      <c r="X622" s="169"/>
      <c r="Y622" s="169"/>
      <c r="Z622" s="169"/>
    </row>
    <row r="623" spans="1:26" ht="15.75" customHeight="1" x14ac:dyDescent="0.25">
      <c r="A623" s="169"/>
      <c r="B623" s="169"/>
      <c r="C623" s="169"/>
      <c r="D623" s="169"/>
      <c r="E623" s="169"/>
      <c r="F623" s="169"/>
      <c r="G623" s="169"/>
      <c r="H623" s="169"/>
      <c r="I623" s="169"/>
      <c r="J623" s="169"/>
      <c r="K623" s="169"/>
      <c r="L623" s="169"/>
      <c r="M623" s="169"/>
      <c r="N623" s="169"/>
      <c r="O623" s="169"/>
      <c r="P623" s="169"/>
      <c r="Q623" s="169"/>
      <c r="R623" s="169"/>
      <c r="S623" s="169"/>
      <c r="T623" s="169"/>
      <c r="U623" s="169"/>
      <c r="V623" s="169"/>
      <c r="W623" s="169"/>
      <c r="X623" s="169"/>
      <c r="Y623" s="169"/>
      <c r="Z623" s="169"/>
    </row>
    <row r="624" spans="1:26" ht="15.75" customHeight="1" x14ac:dyDescent="0.25">
      <c r="A624" s="169"/>
      <c r="B624" s="169"/>
      <c r="C624" s="169"/>
      <c r="D624" s="169"/>
      <c r="E624" s="169"/>
      <c r="F624" s="169"/>
      <c r="G624" s="169"/>
      <c r="H624" s="169"/>
      <c r="I624" s="169"/>
      <c r="J624" s="169"/>
      <c r="K624" s="169"/>
      <c r="L624" s="169"/>
      <c r="M624" s="169"/>
      <c r="N624" s="169"/>
      <c r="O624" s="169"/>
      <c r="P624" s="169"/>
      <c r="Q624" s="169"/>
      <c r="R624" s="169"/>
      <c r="S624" s="169"/>
      <c r="T624" s="169"/>
      <c r="U624" s="169"/>
      <c r="V624" s="169"/>
      <c r="W624" s="169"/>
      <c r="X624" s="169"/>
      <c r="Y624" s="169"/>
      <c r="Z624" s="169"/>
    </row>
    <row r="625" spans="1:26" ht="15.75" customHeight="1" x14ac:dyDescent="0.25">
      <c r="A625" s="169"/>
      <c r="B625" s="169"/>
      <c r="C625" s="169"/>
      <c r="D625" s="169"/>
      <c r="E625" s="169"/>
      <c r="F625" s="169"/>
      <c r="G625" s="169"/>
      <c r="H625" s="169"/>
      <c r="I625" s="169"/>
      <c r="J625" s="169"/>
      <c r="K625" s="169"/>
      <c r="L625" s="169"/>
      <c r="M625" s="169"/>
      <c r="N625" s="169"/>
      <c r="O625" s="169"/>
      <c r="P625" s="169"/>
      <c r="Q625" s="169"/>
      <c r="R625" s="169"/>
      <c r="S625" s="169"/>
      <c r="T625" s="169"/>
      <c r="U625" s="169"/>
      <c r="V625" s="169"/>
      <c r="W625" s="169"/>
      <c r="X625" s="169"/>
      <c r="Y625" s="169"/>
      <c r="Z625" s="169"/>
    </row>
    <row r="626" spans="1:26" ht="15.75" customHeight="1" x14ac:dyDescent="0.25">
      <c r="A626" s="169"/>
      <c r="B626" s="169"/>
      <c r="C626" s="169"/>
      <c r="D626" s="169"/>
      <c r="E626" s="169"/>
      <c r="F626" s="169"/>
      <c r="G626" s="169"/>
      <c r="H626" s="169"/>
      <c r="I626" s="169"/>
      <c r="J626" s="169"/>
      <c r="K626" s="169"/>
      <c r="L626" s="169"/>
      <c r="M626" s="169"/>
      <c r="N626" s="169"/>
      <c r="O626" s="169"/>
      <c r="P626" s="169"/>
      <c r="Q626" s="169"/>
      <c r="R626" s="169"/>
      <c r="S626" s="169"/>
      <c r="T626" s="169"/>
      <c r="U626" s="169"/>
      <c r="V626" s="169"/>
      <c r="W626" s="169"/>
      <c r="X626" s="169"/>
      <c r="Y626" s="169"/>
      <c r="Z626" s="169"/>
    </row>
    <row r="627" spans="1:26" ht="15.75" customHeight="1" x14ac:dyDescent="0.25">
      <c r="A627" s="169"/>
      <c r="B627" s="169"/>
      <c r="C627" s="169"/>
      <c r="D627" s="169"/>
      <c r="E627" s="169"/>
      <c r="F627" s="169"/>
      <c r="G627" s="169"/>
      <c r="H627" s="169"/>
      <c r="I627" s="169"/>
      <c r="J627" s="169"/>
      <c r="K627" s="169"/>
      <c r="L627" s="169"/>
      <c r="M627" s="169"/>
      <c r="N627" s="169"/>
      <c r="O627" s="169"/>
      <c r="P627" s="169"/>
      <c r="Q627" s="169"/>
      <c r="R627" s="169"/>
      <c r="S627" s="169"/>
      <c r="T627" s="169"/>
      <c r="U627" s="169"/>
      <c r="V627" s="169"/>
      <c r="W627" s="169"/>
      <c r="X627" s="169"/>
      <c r="Y627" s="169"/>
      <c r="Z627" s="169"/>
    </row>
    <row r="628" spans="1:26" ht="15.75" customHeight="1" x14ac:dyDescent="0.25">
      <c r="A628" s="169"/>
      <c r="B628" s="169"/>
      <c r="C628" s="169"/>
      <c r="D628" s="169"/>
      <c r="E628" s="169"/>
      <c r="F628" s="169"/>
      <c r="G628" s="169"/>
      <c r="H628" s="169"/>
      <c r="I628" s="169"/>
      <c r="J628" s="169"/>
      <c r="K628" s="169"/>
      <c r="L628" s="169"/>
      <c r="M628" s="169"/>
      <c r="N628" s="169"/>
      <c r="O628" s="169"/>
      <c r="P628" s="169"/>
      <c r="Q628" s="169"/>
      <c r="R628" s="169"/>
      <c r="S628" s="169"/>
      <c r="T628" s="169"/>
      <c r="U628" s="169"/>
      <c r="V628" s="169"/>
      <c r="W628" s="169"/>
      <c r="X628" s="169"/>
      <c r="Y628" s="169"/>
      <c r="Z628" s="169"/>
    </row>
    <row r="629" spans="1:26" ht="15.75" customHeight="1" x14ac:dyDescent="0.25">
      <c r="A629" s="169"/>
      <c r="B629" s="169"/>
      <c r="C629" s="169"/>
      <c r="D629" s="169"/>
      <c r="E629" s="169"/>
      <c r="F629" s="169"/>
      <c r="G629" s="169"/>
      <c r="H629" s="169"/>
      <c r="I629" s="169"/>
      <c r="J629" s="169"/>
      <c r="K629" s="169"/>
      <c r="L629" s="169"/>
      <c r="M629" s="169"/>
      <c r="N629" s="169"/>
      <c r="O629" s="169"/>
      <c r="P629" s="169"/>
      <c r="Q629" s="169"/>
      <c r="R629" s="169"/>
      <c r="S629" s="169"/>
      <c r="T629" s="169"/>
      <c r="U629" s="169"/>
      <c r="V629" s="169"/>
      <c r="W629" s="169"/>
      <c r="X629" s="169"/>
      <c r="Y629" s="169"/>
      <c r="Z629" s="169"/>
    </row>
    <row r="630" spans="1:26" ht="15.75" customHeight="1" x14ac:dyDescent="0.25">
      <c r="A630" s="169"/>
      <c r="B630" s="169"/>
      <c r="C630" s="169"/>
      <c r="D630" s="169"/>
      <c r="E630" s="169"/>
      <c r="F630" s="169"/>
      <c r="G630" s="169"/>
      <c r="H630" s="169"/>
      <c r="I630" s="169"/>
      <c r="J630" s="169"/>
      <c r="K630" s="169"/>
      <c r="L630" s="169"/>
      <c r="M630" s="169"/>
      <c r="N630" s="169"/>
      <c r="O630" s="169"/>
      <c r="P630" s="169"/>
      <c r="Q630" s="169"/>
      <c r="R630" s="169"/>
      <c r="S630" s="169"/>
      <c r="T630" s="169"/>
      <c r="U630" s="169"/>
      <c r="V630" s="169"/>
      <c r="W630" s="169"/>
      <c r="X630" s="169"/>
      <c r="Y630" s="169"/>
      <c r="Z630" s="169"/>
    </row>
    <row r="631" spans="1:26" ht="15.75" customHeight="1" x14ac:dyDescent="0.25">
      <c r="A631" s="169"/>
      <c r="B631" s="169"/>
      <c r="C631" s="169"/>
      <c r="D631" s="169"/>
      <c r="E631" s="169"/>
      <c r="F631" s="169"/>
      <c r="G631" s="169"/>
      <c r="H631" s="169"/>
      <c r="I631" s="169"/>
      <c r="J631" s="169"/>
      <c r="K631" s="169"/>
      <c r="L631" s="169"/>
      <c r="M631" s="169"/>
      <c r="N631" s="169"/>
      <c r="O631" s="169"/>
      <c r="P631" s="169"/>
      <c r="Q631" s="169"/>
      <c r="R631" s="169"/>
      <c r="S631" s="169"/>
      <c r="T631" s="169"/>
      <c r="U631" s="169"/>
      <c r="V631" s="169"/>
      <c r="W631" s="169"/>
      <c r="X631" s="169"/>
      <c r="Y631" s="169"/>
      <c r="Z631" s="169"/>
    </row>
    <row r="632" spans="1:26" ht="15.75" customHeight="1" x14ac:dyDescent="0.25">
      <c r="A632" s="169"/>
      <c r="B632" s="169"/>
      <c r="C632" s="169"/>
      <c r="D632" s="169"/>
      <c r="E632" s="169"/>
      <c r="F632" s="169"/>
      <c r="G632" s="169"/>
      <c r="H632" s="169"/>
      <c r="I632" s="169"/>
      <c r="J632" s="169"/>
      <c r="K632" s="169"/>
      <c r="L632" s="169"/>
      <c r="M632" s="169"/>
      <c r="N632" s="169"/>
      <c r="O632" s="169"/>
      <c r="P632" s="169"/>
      <c r="Q632" s="169"/>
      <c r="R632" s="169"/>
      <c r="S632" s="169"/>
      <c r="T632" s="169"/>
      <c r="U632" s="169"/>
      <c r="V632" s="169"/>
      <c r="W632" s="169"/>
      <c r="X632" s="169"/>
      <c r="Y632" s="169"/>
      <c r="Z632" s="169"/>
    </row>
    <row r="633" spans="1:26" ht="15.75" customHeight="1" x14ac:dyDescent="0.25">
      <c r="A633" s="169"/>
      <c r="B633" s="169"/>
      <c r="C633" s="169"/>
      <c r="D633" s="169"/>
      <c r="E633" s="169"/>
      <c r="F633" s="169"/>
      <c r="G633" s="169"/>
      <c r="H633" s="169"/>
      <c r="I633" s="169"/>
      <c r="J633" s="169"/>
      <c r="K633" s="169"/>
      <c r="L633" s="169"/>
      <c r="M633" s="169"/>
      <c r="N633" s="169"/>
      <c r="O633" s="169"/>
      <c r="P633" s="169"/>
      <c r="Q633" s="169"/>
      <c r="R633" s="169"/>
      <c r="S633" s="169"/>
      <c r="T633" s="169"/>
      <c r="U633" s="169"/>
      <c r="V633" s="169"/>
      <c r="W633" s="169"/>
      <c r="X633" s="169"/>
      <c r="Y633" s="169"/>
      <c r="Z633" s="169"/>
    </row>
    <row r="634" spans="1:26" ht="15.75" customHeight="1" x14ac:dyDescent="0.25">
      <c r="A634" s="169"/>
      <c r="B634" s="169"/>
      <c r="C634" s="169"/>
      <c r="D634" s="169"/>
      <c r="E634" s="169"/>
      <c r="F634" s="169"/>
      <c r="G634" s="169"/>
      <c r="H634" s="169"/>
      <c r="I634" s="169"/>
      <c r="J634" s="169"/>
      <c r="K634" s="169"/>
      <c r="L634" s="169"/>
      <c r="M634" s="169"/>
      <c r="N634" s="169"/>
      <c r="O634" s="169"/>
      <c r="P634" s="169"/>
      <c r="Q634" s="169"/>
      <c r="R634" s="169"/>
      <c r="S634" s="169"/>
      <c r="T634" s="169"/>
      <c r="U634" s="169"/>
      <c r="V634" s="169"/>
      <c r="W634" s="169"/>
      <c r="X634" s="169"/>
      <c r="Y634" s="169"/>
      <c r="Z634" s="169"/>
    </row>
    <row r="635" spans="1:26" ht="15.75" customHeight="1" x14ac:dyDescent="0.25">
      <c r="A635" s="169"/>
      <c r="B635" s="169"/>
      <c r="C635" s="169"/>
      <c r="D635" s="169"/>
      <c r="E635" s="169"/>
      <c r="F635" s="169"/>
      <c r="G635" s="169"/>
      <c r="H635" s="169"/>
      <c r="I635" s="169"/>
      <c r="J635" s="169"/>
      <c r="K635" s="169"/>
      <c r="L635" s="169"/>
      <c r="M635" s="169"/>
      <c r="N635" s="169"/>
      <c r="O635" s="169"/>
      <c r="P635" s="169"/>
      <c r="Q635" s="169"/>
      <c r="R635" s="169"/>
      <c r="S635" s="169"/>
      <c r="T635" s="169"/>
      <c r="U635" s="169"/>
      <c r="V635" s="169"/>
      <c r="W635" s="169"/>
      <c r="X635" s="169"/>
      <c r="Y635" s="169"/>
      <c r="Z635" s="169"/>
    </row>
    <row r="636" spans="1:26" ht="15.75" customHeight="1" x14ac:dyDescent="0.25">
      <c r="A636" s="169"/>
      <c r="B636" s="169"/>
      <c r="C636" s="169"/>
      <c r="D636" s="169"/>
      <c r="E636" s="169"/>
      <c r="F636" s="169"/>
      <c r="G636" s="169"/>
      <c r="H636" s="169"/>
      <c r="I636" s="169"/>
      <c r="J636" s="169"/>
      <c r="K636" s="169"/>
      <c r="L636" s="169"/>
      <c r="M636" s="169"/>
      <c r="N636" s="169"/>
      <c r="O636" s="169"/>
      <c r="P636" s="169"/>
      <c r="Q636" s="169"/>
      <c r="R636" s="169"/>
      <c r="S636" s="169"/>
      <c r="T636" s="169"/>
      <c r="U636" s="169"/>
      <c r="V636" s="169"/>
      <c r="W636" s="169"/>
      <c r="X636" s="169"/>
      <c r="Y636" s="169"/>
      <c r="Z636" s="169"/>
    </row>
    <row r="637" spans="1:26" ht="15.75" customHeight="1" x14ac:dyDescent="0.25">
      <c r="A637" s="169"/>
      <c r="B637" s="169"/>
      <c r="C637" s="169"/>
      <c r="D637" s="169"/>
      <c r="E637" s="169"/>
      <c r="F637" s="169"/>
      <c r="G637" s="169"/>
      <c r="H637" s="169"/>
      <c r="I637" s="169"/>
      <c r="J637" s="169"/>
      <c r="K637" s="169"/>
      <c r="L637" s="169"/>
      <c r="M637" s="169"/>
      <c r="N637" s="169"/>
      <c r="O637" s="169"/>
      <c r="P637" s="169"/>
      <c r="Q637" s="169"/>
      <c r="R637" s="169"/>
      <c r="S637" s="169"/>
      <c r="T637" s="169"/>
      <c r="U637" s="169"/>
      <c r="V637" s="169"/>
      <c r="W637" s="169"/>
      <c r="X637" s="169"/>
      <c r="Y637" s="169"/>
      <c r="Z637" s="169"/>
    </row>
    <row r="638" spans="1:26" ht="15.75" customHeight="1" x14ac:dyDescent="0.25">
      <c r="A638" s="169"/>
      <c r="B638" s="169"/>
      <c r="C638" s="169"/>
      <c r="D638" s="169"/>
      <c r="E638" s="169"/>
      <c r="F638" s="169"/>
      <c r="G638" s="169"/>
      <c r="H638" s="169"/>
      <c r="I638" s="169"/>
      <c r="J638" s="169"/>
      <c r="K638" s="169"/>
      <c r="L638" s="169"/>
      <c r="M638" s="169"/>
      <c r="N638" s="169"/>
      <c r="O638" s="169"/>
      <c r="P638" s="169"/>
      <c r="Q638" s="169"/>
      <c r="R638" s="169"/>
      <c r="S638" s="169"/>
      <c r="T638" s="169"/>
      <c r="U638" s="169"/>
      <c r="V638" s="169"/>
      <c r="W638" s="169"/>
      <c r="X638" s="169"/>
      <c r="Y638" s="169"/>
      <c r="Z638" s="169"/>
    </row>
    <row r="639" spans="1:26" ht="15.75" customHeight="1" x14ac:dyDescent="0.25">
      <c r="A639" s="169"/>
      <c r="B639" s="169"/>
      <c r="C639" s="169"/>
      <c r="D639" s="169"/>
      <c r="E639" s="169"/>
      <c r="F639" s="169"/>
      <c r="G639" s="169"/>
      <c r="H639" s="169"/>
      <c r="I639" s="169"/>
      <c r="J639" s="169"/>
      <c r="K639" s="169"/>
      <c r="L639" s="169"/>
      <c r="M639" s="169"/>
      <c r="N639" s="169"/>
      <c r="O639" s="169"/>
      <c r="P639" s="169"/>
      <c r="Q639" s="169"/>
      <c r="R639" s="169"/>
      <c r="S639" s="169"/>
      <c r="T639" s="169"/>
      <c r="U639" s="169"/>
      <c r="V639" s="169"/>
      <c r="W639" s="169"/>
      <c r="X639" s="169"/>
      <c r="Y639" s="169"/>
      <c r="Z639" s="169"/>
    </row>
    <row r="640" spans="1:26" ht="15.75" customHeight="1" x14ac:dyDescent="0.25">
      <c r="A640" s="169"/>
      <c r="B640" s="169"/>
      <c r="C640" s="169"/>
      <c r="D640" s="169"/>
      <c r="E640" s="169"/>
      <c r="F640" s="169"/>
      <c r="G640" s="169"/>
      <c r="H640" s="169"/>
      <c r="I640" s="169"/>
      <c r="J640" s="169"/>
      <c r="K640" s="169"/>
      <c r="L640" s="169"/>
      <c r="M640" s="169"/>
      <c r="N640" s="169"/>
      <c r="O640" s="169"/>
      <c r="P640" s="169"/>
      <c r="Q640" s="169"/>
      <c r="R640" s="169"/>
      <c r="S640" s="169"/>
      <c r="T640" s="169"/>
      <c r="U640" s="169"/>
      <c r="V640" s="169"/>
      <c r="W640" s="169"/>
      <c r="X640" s="169"/>
      <c r="Y640" s="169"/>
      <c r="Z640" s="169"/>
    </row>
    <row r="641" spans="1:26" ht="15.75" customHeight="1" x14ac:dyDescent="0.25">
      <c r="A641" s="169"/>
      <c r="B641" s="169"/>
      <c r="C641" s="169"/>
      <c r="D641" s="169"/>
      <c r="E641" s="169"/>
      <c r="F641" s="169"/>
      <c r="G641" s="169"/>
      <c r="H641" s="169"/>
      <c r="I641" s="169"/>
      <c r="J641" s="169"/>
      <c r="K641" s="169"/>
      <c r="L641" s="169"/>
      <c r="M641" s="169"/>
      <c r="N641" s="169"/>
      <c r="O641" s="169"/>
      <c r="P641" s="169"/>
      <c r="Q641" s="169"/>
      <c r="R641" s="169"/>
      <c r="S641" s="169"/>
      <c r="T641" s="169"/>
      <c r="U641" s="169"/>
      <c r="V641" s="169"/>
      <c r="W641" s="169"/>
      <c r="X641" s="169"/>
      <c r="Y641" s="169"/>
      <c r="Z641" s="169"/>
    </row>
    <row r="642" spans="1:26" ht="15.75" customHeight="1" x14ac:dyDescent="0.25">
      <c r="A642" s="169"/>
      <c r="B642" s="169"/>
      <c r="C642" s="169"/>
      <c r="D642" s="169"/>
      <c r="E642" s="169"/>
      <c r="F642" s="169"/>
      <c r="G642" s="169"/>
      <c r="H642" s="169"/>
      <c r="I642" s="169"/>
      <c r="J642" s="169"/>
      <c r="K642" s="169"/>
      <c r="L642" s="169"/>
      <c r="M642" s="169"/>
      <c r="N642" s="169"/>
      <c r="O642" s="169"/>
      <c r="P642" s="169"/>
      <c r="Q642" s="169"/>
      <c r="R642" s="169"/>
      <c r="S642" s="169"/>
      <c r="T642" s="169"/>
      <c r="U642" s="169"/>
      <c r="V642" s="169"/>
      <c r="W642" s="169"/>
      <c r="X642" s="169"/>
      <c r="Y642" s="169"/>
      <c r="Z642" s="169"/>
    </row>
    <row r="643" spans="1:26" ht="15.75" customHeight="1" x14ac:dyDescent="0.25">
      <c r="A643" s="169"/>
      <c r="B643" s="169"/>
      <c r="C643" s="169"/>
      <c r="D643" s="169"/>
      <c r="E643" s="169"/>
      <c r="F643" s="169"/>
      <c r="G643" s="169"/>
      <c r="H643" s="169"/>
      <c r="I643" s="169"/>
      <c r="J643" s="169"/>
      <c r="K643" s="169"/>
      <c r="L643" s="169"/>
      <c r="M643" s="169"/>
      <c r="N643" s="169"/>
      <c r="O643" s="169"/>
      <c r="P643" s="169"/>
      <c r="Q643" s="169"/>
      <c r="R643" s="169"/>
      <c r="S643" s="169"/>
      <c r="T643" s="169"/>
      <c r="U643" s="169"/>
      <c r="V643" s="169"/>
      <c r="W643" s="169"/>
      <c r="X643" s="169"/>
      <c r="Y643" s="169"/>
      <c r="Z643" s="169"/>
    </row>
    <row r="644" spans="1:26" ht="15.75" customHeight="1" x14ac:dyDescent="0.25">
      <c r="A644" s="169"/>
      <c r="B644" s="169"/>
      <c r="C644" s="169"/>
      <c r="D644" s="169"/>
      <c r="E644" s="169"/>
      <c r="F644" s="169"/>
      <c r="G644" s="169"/>
      <c r="H644" s="169"/>
      <c r="I644" s="169"/>
      <c r="J644" s="169"/>
      <c r="K644" s="169"/>
      <c r="L644" s="169"/>
      <c r="M644" s="169"/>
      <c r="N644" s="169"/>
      <c r="O644" s="169"/>
      <c r="P644" s="169"/>
      <c r="Q644" s="169"/>
      <c r="R644" s="169"/>
      <c r="S644" s="169"/>
      <c r="T644" s="169"/>
      <c r="U644" s="169"/>
      <c r="V644" s="169"/>
      <c r="W644" s="169"/>
      <c r="X644" s="169"/>
      <c r="Y644" s="169"/>
      <c r="Z644" s="169"/>
    </row>
    <row r="645" spans="1:26" ht="15.75" customHeight="1" x14ac:dyDescent="0.25">
      <c r="A645" s="169"/>
      <c r="B645" s="169"/>
      <c r="C645" s="169"/>
      <c r="D645" s="169"/>
      <c r="E645" s="169"/>
      <c r="F645" s="169"/>
      <c r="G645" s="169"/>
      <c r="H645" s="169"/>
      <c r="I645" s="169"/>
      <c r="J645" s="169"/>
      <c r="K645" s="169"/>
      <c r="L645" s="169"/>
      <c r="M645" s="169"/>
      <c r="N645" s="169"/>
      <c r="O645" s="169"/>
      <c r="P645" s="169"/>
      <c r="Q645" s="169"/>
      <c r="R645" s="169"/>
      <c r="S645" s="169"/>
      <c r="T645" s="169"/>
      <c r="U645" s="169"/>
      <c r="V645" s="169"/>
      <c r="W645" s="169"/>
      <c r="X645" s="169"/>
      <c r="Y645" s="169"/>
      <c r="Z645" s="169"/>
    </row>
    <row r="646" spans="1:26" ht="15.75" customHeight="1" x14ac:dyDescent="0.25">
      <c r="A646" s="169"/>
      <c r="B646" s="169"/>
      <c r="C646" s="169"/>
      <c r="D646" s="169"/>
      <c r="E646" s="169"/>
      <c r="F646" s="169"/>
      <c r="G646" s="169"/>
      <c r="H646" s="169"/>
      <c r="I646" s="169"/>
      <c r="J646" s="169"/>
      <c r="K646" s="169"/>
      <c r="L646" s="169"/>
      <c r="M646" s="169"/>
      <c r="N646" s="169"/>
      <c r="O646" s="169"/>
      <c r="P646" s="169"/>
      <c r="Q646" s="169"/>
      <c r="R646" s="169"/>
      <c r="S646" s="169"/>
      <c r="T646" s="169"/>
      <c r="U646" s="169"/>
      <c r="V646" s="169"/>
      <c r="W646" s="169"/>
      <c r="X646" s="169"/>
      <c r="Y646" s="169"/>
      <c r="Z646" s="169"/>
    </row>
    <row r="647" spans="1:26" ht="15.75" customHeight="1" x14ac:dyDescent="0.25">
      <c r="A647" s="169"/>
      <c r="B647" s="169"/>
      <c r="C647" s="169"/>
      <c r="D647" s="169"/>
      <c r="E647" s="169"/>
      <c r="F647" s="169"/>
      <c r="G647" s="169"/>
      <c r="H647" s="169"/>
      <c r="I647" s="169"/>
      <c r="J647" s="169"/>
      <c r="K647" s="169"/>
      <c r="L647" s="169"/>
      <c r="M647" s="169"/>
      <c r="N647" s="169"/>
      <c r="O647" s="169"/>
      <c r="P647" s="169"/>
      <c r="Q647" s="169"/>
      <c r="R647" s="169"/>
      <c r="S647" s="169"/>
      <c r="T647" s="169"/>
      <c r="U647" s="169"/>
      <c r="V647" s="169"/>
      <c r="W647" s="169"/>
      <c r="X647" s="169"/>
      <c r="Y647" s="169"/>
      <c r="Z647" s="169"/>
    </row>
    <row r="648" spans="1:26" ht="15.75" customHeight="1" x14ac:dyDescent="0.25">
      <c r="A648" s="169"/>
      <c r="B648" s="169"/>
      <c r="C648" s="169"/>
      <c r="D648" s="169"/>
      <c r="E648" s="169"/>
      <c r="F648" s="169"/>
      <c r="G648" s="169"/>
      <c r="H648" s="169"/>
      <c r="I648" s="169"/>
      <c r="J648" s="169"/>
      <c r="K648" s="169"/>
      <c r="L648" s="169"/>
      <c r="M648" s="169"/>
      <c r="N648" s="169"/>
      <c r="O648" s="169"/>
      <c r="P648" s="169"/>
      <c r="Q648" s="169"/>
      <c r="R648" s="169"/>
      <c r="S648" s="169"/>
      <c r="T648" s="169"/>
      <c r="U648" s="169"/>
      <c r="V648" s="169"/>
      <c r="W648" s="169"/>
      <c r="X648" s="169"/>
      <c r="Y648" s="169"/>
      <c r="Z648" s="169"/>
    </row>
    <row r="649" spans="1:26" ht="15.75" customHeight="1" x14ac:dyDescent="0.25">
      <c r="A649" s="169"/>
      <c r="B649" s="169"/>
      <c r="C649" s="169"/>
      <c r="D649" s="169"/>
      <c r="E649" s="169"/>
      <c r="F649" s="169"/>
      <c r="G649" s="169"/>
      <c r="H649" s="169"/>
      <c r="I649" s="169"/>
      <c r="J649" s="169"/>
      <c r="K649" s="169"/>
      <c r="L649" s="169"/>
      <c r="M649" s="169"/>
      <c r="N649" s="169"/>
      <c r="O649" s="169"/>
      <c r="P649" s="169"/>
      <c r="Q649" s="169"/>
      <c r="R649" s="169"/>
      <c r="S649" s="169"/>
      <c r="T649" s="169"/>
      <c r="U649" s="169"/>
      <c r="V649" s="169"/>
      <c r="W649" s="169"/>
      <c r="X649" s="169"/>
      <c r="Y649" s="169"/>
      <c r="Z649" s="169"/>
    </row>
    <row r="650" spans="1:26" ht="15.75" customHeight="1" x14ac:dyDescent="0.25">
      <c r="A650" s="169"/>
      <c r="B650" s="169"/>
      <c r="C650" s="169"/>
      <c r="D650" s="169"/>
      <c r="E650" s="169"/>
      <c r="F650" s="169"/>
      <c r="G650" s="169"/>
      <c r="H650" s="169"/>
      <c r="I650" s="169"/>
      <c r="J650" s="169"/>
      <c r="K650" s="169"/>
      <c r="L650" s="169"/>
      <c r="M650" s="169"/>
      <c r="N650" s="169"/>
      <c r="O650" s="169"/>
      <c r="P650" s="169"/>
      <c r="Q650" s="169"/>
      <c r="R650" s="169"/>
      <c r="S650" s="169"/>
      <c r="T650" s="169"/>
      <c r="U650" s="169"/>
      <c r="V650" s="169"/>
      <c r="W650" s="169"/>
      <c r="X650" s="169"/>
      <c r="Y650" s="169"/>
      <c r="Z650" s="169"/>
    </row>
    <row r="651" spans="1:26" ht="15.75" customHeight="1" x14ac:dyDescent="0.25">
      <c r="A651" s="169"/>
      <c r="B651" s="169"/>
      <c r="C651" s="169"/>
      <c r="D651" s="169"/>
      <c r="E651" s="169"/>
      <c r="F651" s="169"/>
      <c r="G651" s="169"/>
      <c r="H651" s="169"/>
      <c r="I651" s="169"/>
      <c r="J651" s="169"/>
      <c r="K651" s="169"/>
      <c r="L651" s="169"/>
      <c r="M651" s="169"/>
      <c r="N651" s="169"/>
      <c r="O651" s="169"/>
      <c r="P651" s="169"/>
      <c r="Q651" s="169"/>
      <c r="R651" s="169"/>
      <c r="S651" s="169"/>
      <c r="T651" s="169"/>
      <c r="U651" s="169"/>
      <c r="V651" s="169"/>
      <c r="W651" s="169"/>
      <c r="X651" s="169"/>
      <c r="Y651" s="169"/>
      <c r="Z651" s="169"/>
    </row>
    <row r="652" spans="1:26" ht="15.75" customHeight="1" x14ac:dyDescent="0.25">
      <c r="A652" s="169"/>
      <c r="B652" s="169"/>
      <c r="C652" s="169"/>
      <c r="D652" s="169"/>
      <c r="E652" s="169"/>
      <c r="F652" s="169"/>
      <c r="G652" s="169"/>
      <c r="H652" s="169"/>
      <c r="I652" s="169"/>
      <c r="J652" s="169"/>
      <c r="K652" s="169"/>
      <c r="L652" s="169"/>
      <c r="M652" s="169"/>
      <c r="N652" s="169"/>
      <c r="O652" s="169"/>
      <c r="P652" s="169"/>
      <c r="Q652" s="169"/>
      <c r="R652" s="169"/>
      <c r="S652" s="169"/>
      <c r="T652" s="169"/>
      <c r="U652" s="169"/>
      <c r="V652" s="169"/>
      <c r="W652" s="169"/>
      <c r="X652" s="169"/>
      <c r="Y652" s="169"/>
      <c r="Z652" s="169"/>
    </row>
    <row r="653" spans="1:26" ht="15.75" customHeight="1" x14ac:dyDescent="0.25">
      <c r="A653" s="169"/>
      <c r="B653" s="169"/>
      <c r="C653" s="169"/>
      <c r="D653" s="169"/>
      <c r="E653" s="169"/>
      <c r="F653" s="169"/>
      <c r="G653" s="169"/>
      <c r="H653" s="169"/>
      <c r="I653" s="169"/>
      <c r="J653" s="169"/>
      <c r="K653" s="169"/>
      <c r="L653" s="169"/>
      <c r="M653" s="169"/>
      <c r="N653" s="169"/>
      <c r="O653" s="169"/>
      <c r="P653" s="169"/>
      <c r="Q653" s="169"/>
      <c r="R653" s="169"/>
      <c r="S653" s="169"/>
      <c r="T653" s="169"/>
      <c r="U653" s="169"/>
      <c r="V653" s="169"/>
      <c r="W653" s="169"/>
      <c r="X653" s="169"/>
      <c r="Y653" s="169"/>
      <c r="Z653" s="169"/>
    </row>
    <row r="654" spans="1:26" ht="15.75" customHeight="1" x14ac:dyDescent="0.25">
      <c r="A654" s="169"/>
      <c r="B654" s="169"/>
      <c r="C654" s="169"/>
      <c r="D654" s="169"/>
      <c r="E654" s="169"/>
      <c r="F654" s="169"/>
      <c r="G654" s="169"/>
      <c r="H654" s="169"/>
      <c r="I654" s="169"/>
      <c r="J654" s="169"/>
      <c r="K654" s="169"/>
      <c r="L654" s="169"/>
      <c r="M654" s="169"/>
      <c r="N654" s="169"/>
      <c r="O654" s="169"/>
      <c r="P654" s="169"/>
      <c r="Q654" s="169"/>
      <c r="R654" s="169"/>
      <c r="S654" s="169"/>
      <c r="T654" s="169"/>
      <c r="U654" s="169"/>
      <c r="V654" s="169"/>
      <c r="W654" s="169"/>
      <c r="X654" s="169"/>
      <c r="Y654" s="169"/>
      <c r="Z654" s="169"/>
    </row>
    <row r="655" spans="1:26" ht="15.75" customHeight="1" x14ac:dyDescent="0.25">
      <c r="A655" s="169"/>
      <c r="B655" s="169"/>
      <c r="C655" s="169"/>
      <c r="D655" s="169"/>
      <c r="E655" s="169"/>
      <c r="F655" s="169"/>
      <c r="G655" s="169"/>
      <c r="H655" s="169"/>
      <c r="I655" s="169"/>
      <c r="J655" s="169"/>
      <c r="K655" s="169"/>
      <c r="L655" s="169"/>
      <c r="M655" s="169"/>
      <c r="N655" s="169"/>
      <c r="O655" s="169"/>
      <c r="P655" s="169"/>
      <c r="Q655" s="169"/>
      <c r="R655" s="169"/>
      <c r="S655" s="169"/>
      <c r="T655" s="169"/>
      <c r="U655" s="169"/>
      <c r="V655" s="169"/>
      <c r="W655" s="169"/>
      <c r="X655" s="169"/>
      <c r="Y655" s="169"/>
      <c r="Z655" s="169"/>
    </row>
    <row r="656" spans="1:26" ht="15.75" customHeight="1" x14ac:dyDescent="0.25">
      <c r="A656" s="169"/>
      <c r="B656" s="169"/>
      <c r="C656" s="169"/>
      <c r="D656" s="169"/>
      <c r="E656" s="169"/>
      <c r="F656" s="169"/>
      <c r="G656" s="169"/>
      <c r="H656" s="169"/>
      <c r="I656" s="169"/>
      <c r="J656" s="169"/>
      <c r="K656" s="169"/>
      <c r="L656" s="169"/>
      <c r="M656" s="169"/>
      <c r="N656" s="169"/>
      <c r="O656" s="169"/>
      <c r="P656" s="169"/>
      <c r="Q656" s="169"/>
      <c r="R656" s="169"/>
      <c r="S656" s="169"/>
      <c r="T656" s="169"/>
      <c r="U656" s="169"/>
      <c r="V656" s="169"/>
      <c r="W656" s="169"/>
      <c r="X656" s="169"/>
      <c r="Y656" s="169"/>
      <c r="Z656" s="169"/>
    </row>
    <row r="657" spans="1:26" ht="15.75" customHeight="1" x14ac:dyDescent="0.25">
      <c r="A657" s="169"/>
      <c r="B657" s="169"/>
      <c r="C657" s="169"/>
      <c r="D657" s="169"/>
      <c r="E657" s="169"/>
      <c r="F657" s="169"/>
      <c r="G657" s="169"/>
      <c r="H657" s="169"/>
      <c r="I657" s="169"/>
      <c r="J657" s="169"/>
      <c r="K657" s="169"/>
      <c r="L657" s="169"/>
      <c r="M657" s="169"/>
      <c r="N657" s="169"/>
      <c r="O657" s="169"/>
      <c r="P657" s="169"/>
      <c r="Q657" s="169"/>
      <c r="R657" s="169"/>
      <c r="S657" s="169"/>
      <c r="T657" s="169"/>
      <c r="U657" s="169"/>
      <c r="V657" s="169"/>
      <c r="W657" s="169"/>
      <c r="X657" s="169"/>
      <c r="Y657" s="169"/>
      <c r="Z657" s="169"/>
    </row>
    <row r="658" spans="1:26" ht="15.75" customHeight="1" x14ac:dyDescent="0.25">
      <c r="A658" s="169"/>
      <c r="B658" s="169"/>
      <c r="C658" s="169"/>
      <c r="D658" s="169"/>
      <c r="E658" s="169"/>
      <c r="F658" s="169"/>
      <c r="G658" s="169"/>
      <c r="H658" s="169"/>
      <c r="I658" s="169"/>
      <c r="J658" s="169"/>
      <c r="K658" s="169"/>
      <c r="L658" s="169"/>
      <c r="M658" s="169"/>
      <c r="N658" s="169"/>
      <c r="O658" s="169"/>
      <c r="P658" s="169"/>
      <c r="Q658" s="169"/>
      <c r="R658" s="169"/>
      <c r="S658" s="169"/>
      <c r="T658" s="169"/>
      <c r="U658" s="169"/>
      <c r="V658" s="169"/>
      <c r="W658" s="169"/>
      <c r="X658" s="169"/>
      <c r="Y658" s="169"/>
      <c r="Z658" s="169"/>
    </row>
    <row r="659" spans="1:26" ht="15.75" customHeight="1" x14ac:dyDescent="0.25">
      <c r="A659" s="169"/>
      <c r="B659" s="169"/>
      <c r="C659" s="169"/>
      <c r="D659" s="169"/>
      <c r="E659" s="169"/>
      <c r="F659" s="169"/>
      <c r="G659" s="169"/>
      <c r="H659" s="169"/>
      <c r="I659" s="169"/>
      <c r="J659" s="169"/>
      <c r="K659" s="169"/>
      <c r="L659" s="169"/>
      <c r="M659" s="169"/>
      <c r="N659" s="169"/>
      <c r="O659" s="169"/>
      <c r="P659" s="169"/>
      <c r="Q659" s="169"/>
      <c r="R659" s="169"/>
      <c r="S659" s="169"/>
      <c r="T659" s="169"/>
      <c r="U659" s="169"/>
      <c r="V659" s="169"/>
      <c r="W659" s="169"/>
      <c r="X659" s="169"/>
      <c r="Y659" s="169"/>
      <c r="Z659" s="169"/>
    </row>
    <row r="660" spans="1:26" ht="15.75" customHeight="1" x14ac:dyDescent="0.25">
      <c r="A660" s="169"/>
      <c r="B660" s="169"/>
      <c r="C660" s="169"/>
      <c r="D660" s="169"/>
      <c r="E660" s="169"/>
      <c r="F660" s="169"/>
      <c r="G660" s="169"/>
      <c r="H660" s="169"/>
      <c r="I660" s="169"/>
      <c r="J660" s="169"/>
      <c r="K660" s="169"/>
      <c r="L660" s="169"/>
      <c r="M660" s="169"/>
      <c r="N660" s="169"/>
      <c r="O660" s="169"/>
      <c r="P660" s="169"/>
      <c r="Q660" s="169"/>
      <c r="R660" s="169"/>
      <c r="S660" s="169"/>
      <c r="T660" s="169"/>
      <c r="U660" s="169"/>
      <c r="V660" s="169"/>
      <c r="W660" s="169"/>
      <c r="X660" s="169"/>
      <c r="Y660" s="169"/>
      <c r="Z660" s="169"/>
    </row>
    <row r="661" spans="1:26" ht="15.75" customHeight="1" x14ac:dyDescent="0.25">
      <c r="A661" s="169"/>
      <c r="B661" s="169"/>
      <c r="C661" s="169"/>
      <c r="D661" s="169"/>
      <c r="E661" s="169"/>
      <c r="F661" s="169"/>
      <c r="G661" s="169"/>
      <c r="H661" s="169"/>
      <c r="I661" s="169"/>
      <c r="J661" s="169"/>
      <c r="K661" s="169"/>
      <c r="L661" s="169"/>
      <c r="M661" s="169"/>
      <c r="N661" s="169"/>
      <c r="O661" s="169"/>
      <c r="P661" s="169"/>
      <c r="Q661" s="169"/>
      <c r="R661" s="169"/>
      <c r="S661" s="169"/>
      <c r="T661" s="169"/>
      <c r="U661" s="169"/>
      <c r="V661" s="169"/>
      <c r="W661" s="169"/>
      <c r="X661" s="169"/>
      <c r="Y661" s="169"/>
      <c r="Z661" s="169"/>
    </row>
    <row r="662" spans="1:26" ht="15.75" customHeight="1" x14ac:dyDescent="0.25">
      <c r="A662" s="169"/>
      <c r="B662" s="169"/>
      <c r="C662" s="169"/>
      <c r="D662" s="169"/>
      <c r="E662" s="169"/>
      <c r="F662" s="169"/>
      <c r="G662" s="169"/>
      <c r="H662" s="169"/>
      <c r="I662" s="169"/>
      <c r="J662" s="169"/>
      <c r="K662" s="169"/>
      <c r="L662" s="169"/>
      <c r="M662" s="169"/>
      <c r="N662" s="169"/>
      <c r="O662" s="169"/>
      <c r="P662" s="169"/>
      <c r="Q662" s="169"/>
      <c r="R662" s="169"/>
      <c r="S662" s="169"/>
      <c r="T662" s="169"/>
      <c r="U662" s="169"/>
      <c r="V662" s="169"/>
      <c r="W662" s="169"/>
      <c r="X662" s="169"/>
      <c r="Y662" s="169"/>
      <c r="Z662" s="169"/>
    </row>
    <row r="663" spans="1:26" ht="15.75" customHeight="1" x14ac:dyDescent="0.25">
      <c r="A663" s="169"/>
      <c r="B663" s="169"/>
      <c r="C663" s="169"/>
      <c r="D663" s="169"/>
      <c r="E663" s="169"/>
      <c r="F663" s="169"/>
      <c r="G663" s="169"/>
      <c r="H663" s="169"/>
      <c r="I663" s="169"/>
      <c r="J663" s="169"/>
      <c r="K663" s="169"/>
      <c r="L663" s="169"/>
      <c r="M663" s="169"/>
      <c r="N663" s="169"/>
      <c r="O663" s="169"/>
      <c r="P663" s="169"/>
      <c r="Q663" s="169"/>
      <c r="R663" s="169"/>
      <c r="S663" s="169"/>
      <c r="T663" s="169"/>
      <c r="U663" s="169"/>
      <c r="V663" s="169"/>
      <c r="W663" s="169"/>
      <c r="X663" s="169"/>
      <c r="Y663" s="169"/>
      <c r="Z663" s="169"/>
    </row>
    <row r="664" spans="1:26" ht="15.75" customHeight="1" x14ac:dyDescent="0.25">
      <c r="A664" s="169"/>
      <c r="B664" s="169"/>
      <c r="C664" s="169"/>
      <c r="D664" s="169"/>
      <c r="E664" s="169"/>
      <c r="F664" s="169"/>
      <c r="G664" s="169"/>
      <c r="H664" s="169"/>
      <c r="I664" s="169"/>
      <c r="J664" s="169"/>
      <c r="K664" s="169"/>
      <c r="L664" s="169"/>
      <c r="M664" s="169"/>
      <c r="N664" s="169"/>
      <c r="O664" s="169"/>
      <c r="P664" s="169"/>
      <c r="Q664" s="169"/>
      <c r="R664" s="169"/>
      <c r="S664" s="169"/>
      <c r="T664" s="169"/>
      <c r="U664" s="169"/>
      <c r="V664" s="169"/>
      <c r="W664" s="169"/>
      <c r="X664" s="169"/>
      <c r="Y664" s="169"/>
      <c r="Z664" s="169"/>
    </row>
    <row r="665" spans="1:26" ht="15.75" customHeight="1" x14ac:dyDescent="0.25">
      <c r="A665" s="169"/>
      <c r="B665" s="169"/>
      <c r="C665" s="169"/>
      <c r="D665" s="169"/>
      <c r="E665" s="169"/>
      <c r="F665" s="169"/>
      <c r="G665" s="169"/>
      <c r="H665" s="169"/>
      <c r="I665" s="169"/>
      <c r="J665" s="169"/>
      <c r="K665" s="169"/>
      <c r="L665" s="169"/>
      <c r="M665" s="169"/>
      <c r="N665" s="169"/>
      <c r="O665" s="169"/>
      <c r="P665" s="169"/>
      <c r="Q665" s="169"/>
      <c r="R665" s="169"/>
      <c r="S665" s="169"/>
      <c r="T665" s="169"/>
      <c r="U665" s="169"/>
      <c r="V665" s="169"/>
      <c r="W665" s="169"/>
      <c r="X665" s="169"/>
      <c r="Y665" s="169"/>
      <c r="Z665" s="169"/>
    </row>
    <row r="666" spans="1:26" ht="15.75" customHeight="1" x14ac:dyDescent="0.25">
      <c r="A666" s="169"/>
      <c r="B666" s="169"/>
      <c r="C666" s="169"/>
      <c r="D666" s="169"/>
      <c r="E666" s="169"/>
      <c r="F666" s="169"/>
      <c r="G666" s="169"/>
      <c r="H666" s="169"/>
      <c r="I666" s="169"/>
      <c r="J666" s="169"/>
      <c r="K666" s="169"/>
      <c r="L666" s="169"/>
      <c r="M666" s="169"/>
      <c r="N666" s="169"/>
      <c r="O666" s="169"/>
      <c r="P666" s="169"/>
      <c r="Q666" s="169"/>
      <c r="R666" s="169"/>
      <c r="S666" s="169"/>
      <c r="T666" s="169"/>
      <c r="U666" s="169"/>
      <c r="V666" s="169"/>
      <c r="W666" s="169"/>
      <c r="X666" s="169"/>
      <c r="Y666" s="169"/>
      <c r="Z666" s="169"/>
    </row>
    <row r="667" spans="1:26" ht="15.75" customHeight="1" x14ac:dyDescent="0.25">
      <c r="A667" s="169"/>
      <c r="B667" s="169"/>
      <c r="C667" s="169"/>
      <c r="D667" s="169"/>
      <c r="E667" s="169"/>
      <c r="F667" s="169"/>
      <c r="G667" s="169"/>
      <c r="H667" s="169"/>
      <c r="I667" s="169"/>
      <c r="J667" s="169"/>
      <c r="K667" s="169"/>
      <c r="L667" s="169"/>
      <c r="M667" s="169"/>
      <c r="N667" s="169"/>
      <c r="O667" s="169"/>
      <c r="P667" s="169"/>
      <c r="Q667" s="169"/>
      <c r="R667" s="169"/>
      <c r="S667" s="169"/>
      <c r="T667" s="169"/>
      <c r="U667" s="169"/>
      <c r="V667" s="169"/>
      <c r="W667" s="169"/>
      <c r="X667" s="169"/>
      <c r="Y667" s="169"/>
      <c r="Z667" s="169"/>
    </row>
    <row r="668" spans="1:26" ht="15.75" customHeight="1" x14ac:dyDescent="0.25">
      <c r="A668" s="169"/>
      <c r="B668" s="169"/>
      <c r="C668" s="169"/>
      <c r="D668" s="169"/>
      <c r="E668" s="169"/>
      <c r="F668" s="169"/>
      <c r="G668" s="169"/>
      <c r="H668" s="169"/>
      <c r="I668" s="169"/>
      <c r="J668" s="169"/>
      <c r="K668" s="169"/>
      <c r="L668" s="169"/>
      <c r="M668" s="169"/>
      <c r="N668" s="169"/>
      <c r="O668" s="169"/>
      <c r="P668" s="169"/>
      <c r="Q668" s="169"/>
      <c r="R668" s="169"/>
      <c r="S668" s="169"/>
      <c r="T668" s="169"/>
      <c r="U668" s="169"/>
      <c r="V668" s="169"/>
      <c r="W668" s="169"/>
      <c r="X668" s="169"/>
      <c r="Y668" s="169"/>
      <c r="Z668" s="169"/>
    </row>
    <row r="669" spans="1:26" ht="15.75" customHeight="1" x14ac:dyDescent="0.25">
      <c r="A669" s="169"/>
      <c r="B669" s="169"/>
      <c r="C669" s="169"/>
      <c r="D669" s="169"/>
      <c r="E669" s="169"/>
      <c r="F669" s="169"/>
      <c r="G669" s="169"/>
      <c r="H669" s="169"/>
      <c r="I669" s="169"/>
      <c r="J669" s="169"/>
      <c r="K669" s="169"/>
      <c r="L669" s="169"/>
      <c r="M669" s="169"/>
      <c r="N669" s="169"/>
      <c r="O669" s="169"/>
      <c r="P669" s="169"/>
      <c r="Q669" s="169"/>
      <c r="R669" s="169"/>
      <c r="S669" s="169"/>
      <c r="T669" s="169"/>
      <c r="U669" s="169"/>
      <c r="V669" s="169"/>
      <c r="W669" s="169"/>
      <c r="X669" s="169"/>
      <c r="Y669" s="169"/>
      <c r="Z669" s="169"/>
    </row>
    <row r="670" spans="1:26" ht="15.75" customHeight="1" x14ac:dyDescent="0.25">
      <c r="A670" s="169"/>
      <c r="B670" s="169"/>
      <c r="C670" s="169"/>
      <c r="D670" s="169"/>
      <c r="E670" s="169"/>
      <c r="F670" s="169"/>
      <c r="G670" s="169"/>
      <c r="H670" s="169"/>
      <c r="I670" s="169"/>
      <c r="J670" s="169"/>
      <c r="K670" s="169"/>
      <c r="L670" s="169"/>
      <c r="M670" s="169"/>
      <c r="N670" s="169"/>
      <c r="O670" s="169"/>
      <c r="P670" s="169"/>
      <c r="Q670" s="169"/>
      <c r="R670" s="169"/>
      <c r="S670" s="169"/>
      <c r="T670" s="169"/>
      <c r="U670" s="169"/>
      <c r="V670" s="169"/>
      <c r="W670" s="169"/>
      <c r="X670" s="169"/>
      <c r="Y670" s="169"/>
      <c r="Z670" s="169"/>
    </row>
    <row r="671" spans="1:26" ht="15.75" customHeight="1" x14ac:dyDescent="0.25">
      <c r="A671" s="169"/>
      <c r="B671" s="169"/>
      <c r="C671" s="169"/>
      <c r="D671" s="169"/>
      <c r="E671" s="169"/>
      <c r="F671" s="169"/>
      <c r="G671" s="169"/>
      <c r="H671" s="169"/>
      <c r="I671" s="169"/>
      <c r="J671" s="169"/>
      <c r="K671" s="169"/>
      <c r="L671" s="169"/>
      <c r="M671" s="169"/>
      <c r="N671" s="169"/>
      <c r="O671" s="169"/>
      <c r="P671" s="169"/>
      <c r="Q671" s="169"/>
      <c r="R671" s="169"/>
      <c r="S671" s="169"/>
      <c r="T671" s="169"/>
      <c r="U671" s="169"/>
      <c r="V671" s="169"/>
      <c r="W671" s="169"/>
      <c r="X671" s="169"/>
      <c r="Y671" s="169"/>
      <c r="Z671" s="169"/>
    </row>
    <row r="672" spans="1:26" ht="15.75" customHeight="1" x14ac:dyDescent="0.25">
      <c r="A672" s="169"/>
      <c r="B672" s="169"/>
      <c r="C672" s="169"/>
      <c r="D672" s="169"/>
      <c r="E672" s="169"/>
      <c r="F672" s="169"/>
      <c r="G672" s="169"/>
      <c r="H672" s="169"/>
      <c r="I672" s="169"/>
      <c r="J672" s="169"/>
      <c r="K672" s="169"/>
      <c r="L672" s="169"/>
      <c r="M672" s="169"/>
      <c r="N672" s="169"/>
      <c r="O672" s="169"/>
      <c r="P672" s="169"/>
      <c r="Q672" s="169"/>
      <c r="R672" s="169"/>
      <c r="S672" s="169"/>
      <c r="T672" s="169"/>
      <c r="U672" s="169"/>
      <c r="V672" s="169"/>
      <c r="W672" s="169"/>
      <c r="X672" s="169"/>
      <c r="Y672" s="169"/>
      <c r="Z672" s="169"/>
    </row>
    <row r="673" spans="1:26" ht="15.75" customHeight="1" x14ac:dyDescent="0.25">
      <c r="A673" s="169"/>
      <c r="B673" s="169"/>
      <c r="C673" s="169"/>
      <c r="D673" s="169"/>
      <c r="E673" s="169"/>
      <c r="F673" s="169"/>
      <c r="G673" s="169"/>
      <c r="H673" s="169"/>
      <c r="I673" s="169"/>
      <c r="J673" s="169"/>
      <c r="K673" s="169"/>
      <c r="L673" s="169"/>
      <c r="M673" s="169"/>
      <c r="N673" s="169"/>
      <c r="O673" s="169"/>
      <c r="P673" s="169"/>
      <c r="Q673" s="169"/>
      <c r="R673" s="169"/>
      <c r="S673" s="169"/>
      <c r="T673" s="169"/>
      <c r="U673" s="169"/>
      <c r="V673" s="169"/>
      <c r="W673" s="169"/>
      <c r="X673" s="169"/>
      <c r="Y673" s="169"/>
      <c r="Z673" s="169"/>
    </row>
    <row r="674" spans="1:26" ht="15.75" customHeight="1" x14ac:dyDescent="0.25">
      <c r="A674" s="169"/>
      <c r="B674" s="169"/>
      <c r="C674" s="169"/>
      <c r="D674" s="169"/>
      <c r="E674" s="169"/>
      <c r="F674" s="169"/>
      <c r="G674" s="169"/>
      <c r="H674" s="169"/>
      <c r="I674" s="169"/>
      <c r="J674" s="169"/>
      <c r="K674" s="169"/>
      <c r="L674" s="169"/>
      <c r="M674" s="169"/>
      <c r="N674" s="169"/>
      <c r="O674" s="169"/>
      <c r="P674" s="169"/>
      <c r="Q674" s="169"/>
      <c r="R674" s="169"/>
      <c r="S674" s="169"/>
      <c r="T674" s="169"/>
      <c r="U674" s="169"/>
      <c r="V674" s="169"/>
      <c r="W674" s="169"/>
      <c r="X674" s="169"/>
      <c r="Y674" s="169"/>
      <c r="Z674" s="169"/>
    </row>
    <row r="675" spans="1:26" ht="15.75" customHeight="1" x14ac:dyDescent="0.25">
      <c r="A675" s="169"/>
      <c r="B675" s="169"/>
      <c r="C675" s="169"/>
      <c r="D675" s="169"/>
      <c r="E675" s="169"/>
      <c r="F675" s="169"/>
      <c r="G675" s="169"/>
      <c r="H675" s="169"/>
      <c r="I675" s="169"/>
      <c r="J675" s="169"/>
      <c r="K675" s="169"/>
      <c r="L675" s="169"/>
      <c r="M675" s="169"/>
      <c r="N675" s="169"/>
      <c r="O675" s="169"/>
      <c r="P675" s="169"/>
      <c r="Q675" s="169"/>
      <c r="R675" s="169"/>
      <c r="S675" s="169"/>
      <c r="T675" s="169"/>
      <c r="U675" s="169"/>
      <c r="V675" s="169"/>
      <c r="W675" s="169"/>
      <c r="X675" s="169"/>
      <c r="Y675" s="169"/>
      <c r="Z675" s="169"/>
    </row>
    <row r="676" spans="1:26" ht="15.75" customHeight="1" x14ac:dyDescent="0.25">
      <c r="A676" s="169"/>
      <c r="B676" s="169"/>
      <c r="C676" s="169"/>
      <c r="D676" s="169"/>
      <c r="E676" s="169"/>
      <c r="F676" s="169"/>
      <c r="G676" s="169"/>
      <c r="H676" s="169"/>
      <c r="I676" s="169"/>
      <c r="J676" s="169"/>
      <c r="K676" s="169"/>
      <c r="L676" s="169"/>
      <c r="M676" s="169"/>
      <c r="N676" s="169"/>
      <c r="O676" s="169"/>
      <c r="P676" s="169"/>
      <c r="Q676" s="169"/>
      <c r="R676" s="169"/>
      <c r="S676" s="169"/>
      <c r="T676" s="169"/>
      <c r="U676" s="169"/>
      <c r="V676" s="169"/>
      <c r="W676" s="169"/>
      <c r="X676" s="169"/>
      <c r="Y676" s="169"/>
      <c r="Z676" s="169"/>
    </row>
    <row r="677" spans="1:26" ht="15.75" customHeight="1" x14ac:dyDescent="0.25">
      <c r="A677" s="169"/>
      <c r="B677" s="169"/>
      <c r="C677" s="169"/>
      <c r="D677" s="169"/>
      <c r="E677" s="169"/>
      <c r="F677" s="169"/>
      <c r="G677" s="169"/>
      <c r="H677" s="169"/>
      <c r="I677" s="169"/>
      <c r="J677" s="169"/>
      <c r="K677" s="169"/>
      <c r="L677" s="169"/>
      <c r="M677" s="169"/>
      <c r="N677" s="169"/>
      <c r="O677" s="169"/>
      <c r="P677" s="169"/>
      <c r="Q677" s="169"/>
      <c r="R677" s="169"/>
      <c r="S677" s="169"/>
      <c r="T677" s="169"/>
      <c r="U677" s="169"/>
      <c r="V677" s="169"/>
      <c r="W677" s="169"/>
      <c r="X677" s="169"/>
      <c r="Y677" s="169"/>
      <c r="Z677" s="169"/>
    </row>
    <row r="678" spans="1:26" ht="15.75" customHeight="1" x14ac:dyDescent="0.25">
      <c r="A678" s="169"/>
      <c r="B678" s="169"/>
      <c r="C678" s="169"/>
      <c r="D678" s="169"/>
      <c r="E678" s="169"/>
      <c r="F678" s="169"/>
      <c r="G678" s="169"/>
      <c r="H678" s="169"/>
      <c r="I678" s="169"/>
      <c r="J678" s="169"/>
      <c r="K678" s="169"/>
      <c r="L678" s="169"/>
      <c r="M678" s="169"/>
      <c r="N678" s="169"/>
      <c r="O678" s="169"/>
      <c r="P678" s="169"/>
      <c r="Q678" s="169"/>
      <c r="R678" s="169"/>
      <c r="S678" s="169"/>
      <c r="T678" s="169"/>
      <c r="U678" s="169"/>
      <c r="V678" s="169"/>
      <c r="W678" s="169"/>
      <c r="X678" s="169"/>
      <c r="Y678" s="169"/>
      <c r="Z678" s="169"/>
    </row>
    <row r="679" spans="1:26" ht="15.75" customHeight="1" x14ac:dyDescent="0.25">
      <c r="A679" s="169"/>
      <c r="B679" s="169"/>
      <c r="C679" s="169"/>
      <c r="D679" s="169"/>
      <c r="E679" s="169"/>
      <c r="F679" s="169"/>
      <c r="G679" s="169"/>
      <c r="H679" s="169"/>
      <c r="I679" s="169"/>
      <c r="J679" s="169"/>
      <c r="K679" s="169"/>
      <c r="L679" s="169"/>
      <c r="M679" s="169"/>
      <c r="N679" s="169"/>
      <c r="O679" s="169"/>
      <c r="P679" s="169"/>
      <c r="Q679" s="169"/>
      <c r="R679" s="169"/>
      <c r="S679" s="169"/>
      <c r="T679" s="169"/>
      <c r="U679" s="169"/>
      <c r="V679" s="169"/>
      <c r="W679" s="169"/>
      <c r="X679" s="169"/>
      <c r="Y679" s="169"/>
      <c r="Z679" s="169"/>
    </row>
    <row r="680" spans="1:26" ht="15.75" customHeight="1" x14ac:dyDescent="0.25">
      <c r="A680" s="169"/>
      <c r="B680" s="169"/>
      <c r="C680" s="169"/>
      <c r="D680" s="169"/>
      <c r="E680" s="169"/>
      <c r="F680" s="169"/>
      <c r="G680" s="169"/>
      <c r="H680" s="169"/>
      <c r="I680" s="169"/>
      <c r="J680" s="169"/>
      <c r="K680" s="169"/>
      <c r="L680" s="169"/>
      <c r="M680" s="169"/>
      <c r="N680" s="169"/>
      <c r="O680" s="169"/>
      <c r="P680" s="169"/>
      <c r="Q680" s="169"/>
      <c r="R680" s="169"/>
      <c r="S680" s="169"/>
      <c r="T680" s="169"/>
      <c r="U680" s="169"/>
      <c r="V680" s="169"/>
      <c r="W680" s="169"/>
      <c r="X680" s="169"/>
      <c r="Y680" s="169"/>
      <c r="Z680" s="169"/>
    </row>
    <row r="681" spans="1:26" ht="15.75" customHeight="1" x14ac:dyDescent="0.25">
      <c r="A681" s="169"/>
      <c r="B681" s="169"/>
      <c r="C681" s="169"/>
      <c r="D681" s="169"/>
      <c r="E681" s="169"/>
      <c r="F681" s="169"/>
      <c r="G681" s="169"/>
      <c r="H681" s="169"/>
      <c r="I681" s="169"/>
      <c r="J681" s="169"/>
      <c r="K681" s="169"/>
      <c r="L681" s="169"/>
      <c r="M681" s="169"/>
      <c r="N681" s="169"/>
      <c r="O681" s="169"/>
      <c r="P681" s="169"/>
      <c r="Q681" s="169"/>
      <c r="R681" s="169"/>
      <c r="S681" s="169"/>
      <c r="T681" s="169"/>
      <c r="U681" s="169"/>
      <c r="V681" s="169"/>
      <c r="W681" s="169"/>
      <c r="X681" s="169"/>
      <c r="Y681" s="169"/>
      <c r="Z681" s="169"/>
    </row>
    <row r="682" spans="1:26" ht="15.75" customHeight="1" x14ac:dyDescent="0.25">
      <c r="A682" s="169"/>
      <c r="B682" s="169"/>
      <c r="C682" s="169"/>
      <c r="D682" s="169"/>
      <c r="E682" s="169"/>
      <c r="F682" s="169"/>
      <c r="G682" s="169"/>
      <c r="H682" s="169"/>
      <c r="I682" s="169"/>
      <c r="J682" s="169"/>
      <c r="K682" s="169"/>
      <c r="L682" s="169"/>
      <c r="M682" s="169"/>
      <c r="N682" s="169"/>
      <c r="O682" s="169"/>
      <c r="P682" s="169"/>
      <c r="Q682" s="169"/>
      <c r="R682" s="169"/>
      <c r="S682" s="169"/>
      <c r="T682" s="169"/>
      <c r="U682" s="169"/>
      <c r="V682" s="169"/>
      <c r="W682" s="169"/>
      <c r="X682" s="169"/>
      <c r="Y682" s="169"/>
      <c r="Z682" s="169"/>
    </row>
    <row r="683" spans="1:26" ht="15.75" customHeight="1" x14ac:dyDescent="0.25">
      <c r="A683" s="169"/>
      <c r="B683" s="169"/>
      <c r="C683" s="169"/>
      <c r="D683" s="169"/>
      <c r="E683" s="169"/>
      <c r="F683" s="169"/>
      <c r="G683" s="169"/>
      <c r="H683" s="169"/>
      <c r="I683" s="169"/>
      <c r="J683" s="169"/>
      <c r="K683" s="169"/>
      <c r="L683" s="169"/>
      <c r="M683" s="169"/>
      <c r="N683" s="169"/>
      <c r="O683" s="169"/>
      <c r="P683" s="169"/>
      <c r="Q683" s="169"/>
      <c r="R683" s="169"/>
      <c r="S683" s="169"/>
      <c r="T683" s="169"/>
      <c r="U683" s="169"/>
      <c r="V683" s="169"/>
      <c r="W683" s="169"/>
      <c r="X683" s="169"/>
      <c r="Y683" s="169"/>
      <c r="Z683" s="169"/>
    </row>
    <row r="684" spans="1:26" ht="15.75" customHeight="1" x14ac:dyDescent="0.25">
      <c r="A684" s="169"/>
      <c r="B684" s="169"/>
      <c r="C684" s="169"/>
      <c r="D684" s="169"/>
      <c r="E684" s="169"/>
      <c r="F684" s="169"/>
      <c r="G684" s="169"/>
      <c r="H684" s="169"/>
      <c r="I684" s="169"/>
      <c r="J684" s="169"/>
      <c r="K684" s="169"/>
      <c r="L684" s="169"/>
      <c r="M684" s="169"/>
      <c r="N684" s="169"/>
      <c r="O684" s="169"/>
      <c r="P684" s="169"/>
      <c r="Q684" s="169"/>
      <c r="R684" s="169"/>
      <c r="S684" s="169"/>
      <c r="T684" s="169"/>
      <c r="U684" s="169"/>
      <c r="V684" s="169"/>
      <c r="W684" s="169"/>
      <c r="X684" s="169"/>
      <c r="Y684" s="169"/>
      <c r="Z684" s="169"/>
    </row>
    <row r="685" spans="1:26" ht="15.75" customHeight="1" x14ac:dyDescent="0.25">
      <c r="A685" s="169"/>
      <c r="B685" s="169"/>
      <c r="C685" s="169"/>
      <c r="D685" s="169"/>
      <c r="E685" s="169"/>
      <c r="F685" s="169"/>
      <c r="G685" s="169"/>
      <c r="H685" s="169"/>
      <c r="I685" s="169"/>
      <c r="J685" s="169"/>
      <c r="K685" s="169"/>
      <c r="L685" s="169"/>
      <c r="M685" s="169"/>
      <c r="N685" s="169"/>
      <c r="O685" s="169"/>
      <c r="P685" s="169"/>
      <c r="Q685" s="169"/>
      <c r="R685" s="169"/>
      <c r="S685" s="169"/>
      <c r="T685" s="169"/>
      <c r="U685" s="169"/>
      <c r="V685" s="169"/>
      <c r="W685" s="169"/>
      <c r="X685" s="169"/>
      <c r="Y685" s="169"/>
      <c r="Z685" s="169"/>
    </row>
    <row r="686" spans="1:26" ht="15.75" customHeight="1" x14ac:dyDescent="0.25">
      <c r="A686" s="169"/>
      <c r="B686" s="169"/>
      <c r="C686" s="169"/>
      <c r="D686" s="169"/>
      <c r="E686" s="169"/>
      <c r="F686" s="169"/>
      <c r="G686" s="169"/>
      <c r="H686" s="169"/>
      <c r="I686" s="169"/>
      <c r="J686" s="169"/>
      <c r="K686" s="169"/>
      <c r="L686" s="169"/>
      <c r="M686" s="169"/>
      <c r="N686" s="169"/>
      <c r="O686" s="169"/>
      <c r="P686" s="169"/>
      <c r="Q686" s="169"/>
      <c r="R686" s="169"/>
      <c r="S686" s="169"/>
      <c r="T686" s="169"/>
      <c r="U686" s="169"/>
      <c r="V686" s="169"/>
      <c r="W686" s="169"/>
      <c r="X686" s="169"/>
      <c r="Y686" s="169"/>
      <c r="Z686" s="169"/>
    </row>
    <row r="687" spans="1:26" ht="15.75" customHeight="1" x14ac:dyDescent="0.25">
      <c r="A687" s="169"/>
      <c r="B687" s="169"/>
      <c r="C687" s="169"/>
      <c r="D687" s="169"/>
      <c r="E687" s="169"/>
      <c r="F687" s="169"/>
      <c r="G687" s="169"/>
      <c r="H687" s="169"/>
      <c r="I687" s="169"/>
      <c r="J687" s="169"/>
      <c r="K687" s="169"/>
      <c r="L687" s="169"/>
      <c r="M687" s="169"/>
      <c r="N687" s="169"/>
      <c r="O687" s="169"/>
      <c r="P687" s="169"/>
      <c r="Q687" s="169"/>
      <c r="R687" s="169"/>
      <c r="S687" s="169"/>
      <c r="T687" s="169"/>
      <c r="U687" s="169"/>
      <c r="V687" s="169"/>
      <c r="W687" s="169"/>
      <c r="X687" s="169"/>
      <c r="Y687" s="169"/>
      <c r="Z687" s="169"/>
    </row>
    <row r="688" spans="1:26" ht="15.75" customHeight="1" x14ac:dyDescent="0.25">
      <c r="A688" s="169"/>
      <c r="B688" s="169"/>
      <c r="C688" s="169"/>
      <c r="D688" s="169"/>
      <c r="E688" s="169"/>
      <c r="F688" s="169"/>
      <c r="G688" s="169"/>
      <c r="H688" s="169"/>
      <c r="I688" s="169"/>
      <c r="J688" s="169"/>
      <c r="K688" s="169"/>
      <c r="L688" s="169"/>
      <c r="M688" s="169"/>
      <c r="N688" s="169"/>
      <c r="O688" s="169"/>
      <c r="P688" s="169"/>
      <c r="Q688" s="169"/>
      <c r="R688" s="169"/>
      <c r="S688" s="169"/>
      <c r="T688" s="169"/>
      <c r="U688" s="169"/>
      <c r="V688" s="169"/>
      <c r="W688" s="169"/>
      <c r="X688" s="169"/>
      <c r="Y688" s="169"/>
      <c r="Z688" s="169"/>
    </row>
    <row r="689" spans="1:26" ht="15.75" customHeight="1" x14ac:dyDescent="0.25">
      <c r="A689" s="169"/>
      <c r="B689" s="169"/>
      <c r="C689" s="169"/>
      <c r="D689" s="169"/>
      <c r="E689" s="169"/>
      <c r="F689" s="169"/>
      <c r="G689" s="169"/>
      <c r="H689" s="169"/>
      <c r="I689" s="169"/>
      <c r="J689" s="169"/>
      <c r="K689" s="169"/>
      <c r="L689" s="169"/>
      <c r="M689" s="169"/>
      <c r="N689" s="169"/>
      <c r="O689" s="169"/>
      <c r="P689" s="169"/>
      <c r="Q689" s="169"/>
      <c r="R689" s="169"/>
      <c r="S689" s="169"/>
      <c r="T689" s="169"/>
      <c r="U689" s="169"/>
      <c r="V689" s="169"/>
      <c r="W689" s="169"/>
      <c r="X689" s="169"/>
      <c r="Y689" s="169"/>
      <c r="Z689" s="169"/>
    </row>
    <row r="690" spans="1:26" ht="15.75" customHeight="1" x14ac:dyDescent="0.25">
      <c r="A690" s="169"/>
      <c r="B690" s="169"/>
      <c r="C690" s="169"/>
      <c r="D690" s="169"/>
      <c r="E690" s="169"/>
      <c r="F690" s="169"/>
      <c r="G690" s="169"/>
      <c r="H690" s="169"/>
      <c r="I690" s="169"/>
      <c r="J690" s="169"/>
      <c r="K690" s="169"/>
      <c r="L690" s="169"/>
      <c r="M690" s="169"/>
      <c r="N690" s="169"/>
      <c r="O690" s="169"/>
      <c r="P690" s="169"/>
      <c r="Q690" s="169"/>
      <c r="R690" s="169"/>
      <c r="S690" s="169"/>
      <c r="T690" s="169"/>
      <c r="U690" s="169"/>
      <c r="V690" s="169"/>
      <c r="W690" s="169"/>
      <c r="X690" s="169"/>
      <c r="Y690" s="169"/>
      <c r="Z690" s="169"/>
    </row>
    <row r="691" spans="1:26" ht="15.75" customHeight="1" x14ac:dyDescent="0.25">
      <c r="A691" s="169"/>
      <c r="B691" s="169"/>
      <c r="C691" s="169"/>
      <c r="D691" s="169"/>
      <c r="E691" s="169"/>
      <c r="F691" s="169"/>
      <c r="G691" s="169"/>
      <c r="H691" s="169"/>
      <c r="I691" s="169"/>
      <c r="J691" s="169"/>
      <c r="K691" s="169"/>
      <c r="L691" s="169"/>
      <c r="M691" s="169"/>
      <c r="N691" s="169"/>
      <c r="O691" s="169"/>
      <c r="P691" s="169"/>
      <c r="Q691" s="169"/>
      <c r="R691" s="169"/>
      <c r="S691" s="169"/>
      <c r="T691" s="169"/>
      <c r="U691" s="169"/>
      <c r="V691" s="169"/>
      <c r="W691" s="169"/>
      <c r="X691" s="169"/>
      <c r="Y691" s="169"/>
      <c r="Z691" s="169"/>
    </row>
    <row r="692" spans="1:26" ht="15.75" customHeight="1" x14ac:dyDescent="0.25">
      <c r="A692" s="169"/>
      <c r="B692" s="169"/>
      <c r="C692" s="169"/>
      <c r="D692" s="169"/>
      <c r="E692" s="169"/>
      <c r="F692" s="169"/>
      <c r="G692" s="169"/>
      <c r="H692" s="169"/>
      <c r="I692" s="169"/>
      <c r="J692" s="169"/>
      <c r="K692" s="169"/>
      <c r="L692" s="169"/>
      <c r="M692" s="169"/>
      <c r="N692" s="169"/>
      <c r="O692" s="169"/>
      <c r="P692" s="169"/>
      <c r="Q692" s="169"/>
      <c r="R692" s="169"/>
      <c r="S692" s="169"/>
      <c r="T692" s="169"/>
      <c r="U692" s="169"/>
      <c r="V692" s="169"/>
      <c r="W692" s="169"/>
      <c r="X692" s="169"/>
      <c r="Y692" s="169"/>
      <c r="Z692" s="169"/>
    </row>
    <row r="693" spans="1:26" ht="15.75" customHeight="1" x14ac:dyDescent="0.25">
      <c r="A693" s="169"/>
      <c r="B693" s="169"/>
      <c r="C693" s="169"/>
      <c r="D693" s="169"/>
      <c r="E693" s="169"/>
      <c r="F693" s="169"/>
      <c r="G693" s="169"/>
      <c r="H693" s="169"/>
      <c r="I693" s="169"/>
      <c r="J693" s="169"/>
      <c r="K693" s="169"/>
      <c r="L693" s="169"/>
      <c r="M693" s="169"/>
      <c r="N693" s="169"/>
      <c r="O693" s="169"/>
      <c r="P693" s="169"/>
      <c r="Q693" s="169"/>
      <c r="R693" s="169"/>
      <c r="S693" s="169"/>
      <c r="T693" s="169"/>
      <c r="U693" s="169"/>
      <c r="V693" s="169"/>
      <c r="W693" s="169"/>
      <c r="X693" s="169"/>
      <c r="Y693" s="169"/>
      <c r="Z693" s="169"/>
    </row>
    <row r="694" spans="1:26" ht="15.75" customHeight="1" x14ac:dyDescent="0.25">
      <c r="A694" s="169"/>
      <c r="B694" s="169"/>
      <c r="C694" s="169"/>
      <c r="D694" s="169"/>
      <c r="E694" s="169"/>
      <c r="F694" s="169"/>
      <c r="G694" s="169"/>
      <c r="H694" s="169"/>
      <c r="I694" s="169"/>
      <c r="J694" s="169"/>
      <c r="K694" s="169"/>
      <c r="L694" s="169"/>
      <c r="M694" s="169"/>
      <c r="N694" s="169"/>
      <c r="O694" s="169"/>
      <c r="P694" s="169"/>
      <c r="Q694" s="169"/>
      <c r="R694" s="169"/>
      <c r="S694" s="169"/>
      <c r="T694" s="169"/>
      <c r="U694" s="169"/>
      <c r="V694" s="169"/>
      <c r="W694" s="169"/>
      <c r="X694" s="169"/>
      <c r="Y694" s="169"/>
      <c r="Z694" s="169"/>
    </row>
    <row r="695" spans="1:26" ht="15.75" customHeight="1" x14ac:dyDescent="0.25">
      <c r="A695" s="169"/>
      <c r="B695" s="169"/>
      <c r="C695" s="169"/>
      <c r="D695" s="169"/>
      <c r="E695" s="169"/>
      <c r="F695" s="169"/>
      <c r="G695" s="169"/>
      <c r="H695" s="169"/>
      <c r="I695" s="169"/>
      <c r="J695" s="169"/>
      <c r="K695" s="169"/>
      <c r="L695" s="169"/>
      <c r="M695" s="169"/>
      <c r="N695" s="169"/>
      <c r="O695" s="169"/>
      <c r="P695" s="169"/>
      <c r="Q695" s="169"/>
      <c r="R695" s="169"/>
      <c r="S695" s="169"/>
      <c r="T695" s="169"/>
      <c r="U695" s="169"/>
      <c r="V695" s="169"/>
      <c r="W695" s="169"/>
      <c r="X695" s="169"/>
      <c r="Y695" s="169"/>
      <c r="Z695" s="169"/>
    </row>
    <row r="696" spans="1:26" ht="15.75" customHeight="1" x14ac:dyDescent="0.25">
      <c r="A696" s="169"/>
      <c r="B696" s="169"/>
      <c r="C696" s="169"/>
      <c r="D696" s="169"/>
      <c r="E696" s="169"/>
      <c r="F696" s="169"/>
      <c r="G696" s="169"/>
      <c r="H696" s="169"/>
      <c r="I696" s="169"/>
      <c r="J696" s="169"/>
      <c r="K696" s="169"/>
      <c r="L696" s="169"/>
      <c r="M696" s="169"/>
      <c r="N696" s="169"/>
      <c r="O696" s="169"/>
      <c r="P696" s="169"/>
      <c r="Q696" s="169"/>
      <c r="R696" s="169"/>
      <c r="S696" s="169"/>
      <c r="T696" s="169"/>
      <c r="U696" s="169"/>
      <c r="V696" s="169"/>
      <c r="W696" s="169"/>
      <c r="X696" s="169"/>
      <c r="Y696" s="169"/>
      <c r="Z696" s="169"/>
    </row>
    <row r="697" spans="1:26" ht="15.75" customHeight="1" x14ac:dyDescent="0.25">
      <c r="A697" s="169"/>
      <c r="B697" s="169"/>
      <c r="C697" s="169"/>
      <c r="D697" s="169"/>
      <c r="E697" s="169"/>
      <c r="F697" s="169"/>
      <c r="G697" s="169"/>
      <c r="H697" s="169"/>
      <c r="I697" s="169"/>
      <c r="J697" s="169"/>
      <c r="K697" s="169"/>
      <c r="L697" s="169"/>
      <c r="M697" s="169"/>
      <c r="N697" s="169"/>
      <c r="O697" s="169"/>
      <c r="P697" s="169"/>
      <c r="Q697" s="169"/>
      <c r="R697" s="169"/>
      <c r="S697" s="169"/>
      <c r="T697" s="169"/>
      <c r="U697" s="169"/>
      <c r="V697" s="169"/>
      <c r="W697" s="169"/>
      <c r="X697" s="169"/>
      <c r="Y697" s="169"/>
      <c r="Z697" s="169"/>
    </row>
    <row r="698" spans="1:26" ht="15.75" customHeight="1" x14ac:dyDescent="0.25">
      <c r="A698" s="169"/>
      <c r="B698" s="169"/>
      <c r="C698" s="169"/>
      <c r="D698" s="169"/>
      <c r="E698" s="169"/>
      <c r="F698" s="169"/>
      <c r="G698" s="169"/>
      <c r="H698" s="169"/>
      <c r="I698" s="169"/>
      <c r="J698" s="169"/>
      <c r="K698" s="169"/>
      <c r="L698" s="169"/>
      <c r="M698" s="169"/>
      <c r="N698" s="169"/>
      <c r="O698" s="169"/>
      <c r="P698" s="169"/>
      <c r="Q698" s="169"/>
      <c r="R698" s="169"/>
      <c r="S698" s="169"/>
      <c r="T698" s="169"/>
      <c r="U698" s="169"/>
      <c r="V698" s="169"/>
      <c r="W698" s="169"/>
      <c r="X698" s="169"/>
      <c r="Y698" s="169"/>
      <c r="Z698" s="169"/>
    </row>
    <row r="699" spans="1:26" ht="15.75" customHeight="1" x14ac:dyDescent="0.25">
      <c r="A699" s="169"/>
      <c r="B699" s="169"/>
      <c r="C699" s="169"/>
      <c r="D699" s="169"/>
      <c r="E699" s="169"/>
      <c r="F699" s="169"/>
      <c r="G699" s="169"/>
      <c r="H699" s="169"/>
      <c r="I699" s="169"/>
      <c r="J699" s="169"/>
      <c r="K699" s="169"/>
      <c r="L699" s="169"/>
      <c r="M699" s="169"/>
      <c r="N699" s="169"/>
      <c r="O699" s="169"/>
      <c r="P699" s="169"/>
      <c r="Q699" s="169"/>
      <c r="R699" s="169"/>
      <c r="S699" s="169"/>
      <c r="T699" s="169"/>
      <c r="U699" s="169"/>
      <c r="V699" s="169"/>
      <c r="W699" s="169"/>
      <c r="X699" s="169"/>
      <c r="Y699" s="169"/>
      <c r="Z699" s="169"/>
    </row>
    <row r="700" spans="1:26" ht="15.75" customHeight="1" x14ac:dyDescent="0.25">
      <c r="A700" s="169"/>
      <c r="B700" s="169"/>
      <c r="C700" s="169"/>
      <c r="D700" s="169"/>
      <c r="E700" s="169"/>
      <c r="F700" s="169"/>
      <c r="G700" s="169"/>
      <c r="H700" s="169"/>
      <c r="I700" s="169"/>
      <c r="J700" s="169"/>
      <c r="K700" s="169"/>
      <c r="L700" s="169"/>
      <c r="M700" s="169"/>
      <c r="N700" s="169"/>
      <c r="O700" s="169"/>
      <c r="P700" s="169"/>
      <c r="Q700" s="169"/>
      <c r="R700" s="169"/>
      <c r="S700" s="169"/>
      <c r="T700" s="169"/>
      <c r="U700" s="169"/>
      <c r="V700" s="169"/>
      <c r="W700" s="169"/>
      <c r="X700" s="169"/>
      <c r="Y700" s="169"/>
      <c r="Z700" s="169"/>
    </row>
    <row r="701" spans="1:26" ht="15.75" customHeight="1" x14ac:dyDescent="0.25">
      <c r="A701" s="169"/>
      <c r="B701" s="169"/>
      <c r="C701" s="169"/>
      <c r="D701" s="169"/>
      <c r="E701" s="169"/>
      <c r="F701" s="169"/>
      <c r="G701" s="169"/>
      <c r="H701" s="169"/>
      <c r="I701" s="169"/>
      <c r="J701" s="169"/>
      <c r="K701" s="169"/>
      <c r="L701" s="169"/>
      <c r="M701" s="169"/>
      <c r="N701" s="169"/>
      <c r="O701" s="169"/>
      <c r="P701" s="169"/>
      <c r="Q701" s="169"/>
      <c r="R701" s="169"/>
      <c r="S701" s="169"/>
      <c r="T701" s="169"/>
      <c r="U701" s="169"/>
      <c r="V701" s="169"/>
      <c r="W701" s="169"/>
      <c r="X701" s="169"/>
      <c r="Y701" s="169"/>
      <c r="Z701" s="169"/>
    </row>
    <row r="702" spans="1:26" ht="15.75" customHeight="1" x14ac:dyDescent="0.25">
      <c r="A702" s="169"/>
      <c r="B702" s="169"/>
      <c r="C702" s="169"/>
      <c r="D702" s="169"/>
      <c r="E702" s="169"/>
      <c r="F702" s="169"/>
      <c r="G702" s="169"/>
      <c r="H702" s="169"/>
      <c r="I702" s="169"/>
      <c r="J702" s="169"/>
      <c r="K702" s="169"/>
      <c r="L702" s="169"/>
      <c r="M702" s="169"/>
      <c r="N702" s="169"/>
      <c r="O702" s="169"/>
      <c r="P702" s="169"/>
      <c r="Q702" s="169"/>
      <c r="R702" s="169"/>
      <c r="S702" s="169"/>
      <c r="T702" s="169"/>
      <c r="U702" s="169"/>
      <c r="V702" s="169"/>
      <c r="W702" s="169"/>
      <c r="X702" s="169"/>
      <c r="Y702" s="169"/>
      <c r="Z702" s="169"/>
    </row>
    <row r="703" spans="1:26" ht="15.75" customHeight="1" x14ac:dyDescent="0.25">
      <c r="A703" s="169"/>
      <c r="B703" s="169"/>
      <c r="C703" s="169"/>
      <c r="D703" s="169"/>
      <c r="E703" s="169"/>
      <c r="F703" s="169"/>
      <c r="G703" s="169"/>
      <c r="H703" s="169"/>
      <c r="I703" s="169"/>
      <c r="J703" s="169"/>
      <c r="K703" s="169"/>
      <c r="L703" s="169"/>
      <c r="M703" s="169"/>
      <c r="N703" s="169"/>
      <c r="O703" s="169"/>
      <c r="P703" s="169"/>
      <c r="Q703" s="169"/>
      <c r="R703" s="169"/>
      <c r="S703" s="169"/>
      <c r="T703" s="169"/>
      <c r="U703" s="169"/>
      <c r="V703" s="169"/>
      <c r="W703" s="169"/>
      <c r="X703" s="169"/>
      <c r="Y703" s="169"/>
      <c r="Z703" s="169"/>
    </row>
    <row r="704" spans="1:26" ht="15.75" customHeight="1" x14ac:dyDescent="0.25">
      <c r="A704" s="169"/>
      <c r="B704" s="169"/>
      <c r="C704" s="169"/>
      <c r="D704" s="169"/>
      <c r="E704" s="169"/>
      <c r="F704" s="169"/>
      <c r="G704" s="169"/>
      <c r="H704" s="169"/>
      <c r="I704" s="169"/>
      <c r="J704" s="169"/>
      <c r="K704" s="169"/>
      <c r="L704" s="169"/>
      <c r="M704" s="169"/>
      <c r="N704" s="169"/>
      <c r="O704" s="169"/>
      <c r="P704" s="169"/>
      <c r="Q704" s="169"/>
      <c r="R704" s="169"/>
      <c r="S704" s="169"/>
      <c r="T704" s="169"/>
      <c r="U704" s="169"/>
      <c r="V704" s="169"/>
      <c r="W704" s="169"/>
      <c r="X704" s="169"/>
      <c r="Y704" s="169"/>
      <c r="Z704" s="169"/>
    </row>
    <row r="705" spans="1:26" ht="15.75" customHeight="1" x14ac:dyDescent="0.25">
      <c r="A705" s="169"/>
      <c r="B705" s="169"/>
      <c r="C705" s="169"/>
      <c r="D705" s="169"/>
      <c r="E705" s="169"/>
      <c r="F705" s="169"/>
      <c r="G705" s="169"/>
      <c r="H705" s="169"/>
      <c r="I705" s="169"/>
      <c r="J705" s="169"/>
      <c r="K705" s="169"/>
      <c r="L705" s="169"/>
      <c r="M705" s="169"/>
      <c r="N705" s="169"/>
      <c r="O705" s="169"/>
      <c r="P705" s="169"/>
      <c r="Q705" s="169"/>
      <c r="R705" s="169"/>
      <c r="S705" s="169"/>
      <c r="T705" s="169"/>
      <c r="U705" s="169"/>
      <c r="V705" s="169"/>
      <c r="W705" s="169"/>
      <c r="X705" s="169"/>
      <c r="Y705" s="169"/>
      <c r="Z705" s="169"/>
    </row>
    <row r="706" spans="1:26" ht="15.75" customHeight="1" x14ac:dyDescent="0.25">
      <c r="A706" s="169"/>
      <c r="B706" s="169"/>
      <c r="C706" s="169"/>
      <c r="D706" s="169"/>
      <c r="E706" s="169"/>
      <c r="F706" s="169"/>
      <c r="G706" s="169"/>
      <c r="H706" s="169"/>
      <c r="I706" s="169"/>
      <c r="J706" s="169"/>
      <c r="K706" s="169"/>
      <c r="L706" s="169"/>
      <c r="M706" s="169"/>
      <c r="N706" s="169"/>
      <c r="O706" s="169"/>
      <c r="P706" s="169"/>
      <c r="Q706" s="169"/>
      <c r="R706" s="169"/>
      <c r="S706" s="169"/>
      <c r="T706" s="169"/>
      <c r="U706" s="169"/>
      <c r="V706" s="169"/>
      <c r="W706" s="169"/>
      <c r="X706" s="169"/>
      <c r="Y706" s="169"/>
      <c r="Z706" s="169"/>
    </row>
    <row r="707" spans="1:26" ht="15.75" customHeight="1" x14ac:dyDescent="0.25">
      <c r="A707" s="169"/>
      <c r="B707" s="169"/>
      <c r="C707" s="169"/>
      <c r="D707" s="169"/>
      <c r="E707" s="169"/>
      <c r="F707" s="169"/>
      <c r="G707" s="169"/>
      <c r="H707" s="169"/>
      <c r="I707" s="169"/>
      <c r="J707" s="169"/>
      <c r="K707" s="169"/>
      <c r="L707" s="169"/>
      <c r="M707" s="169"/>
      <c r="N707" s="169"/>
      <c r="O707" s="169"/>
      <c r="P707" s="169"/>
      <c r="Q707" s="169"/>
      <c r="R707" s="169"/>
      <c r="S707" s="169"/>
      <c r="T707" s="169"/>
      <c r="U707" s="169"/>
      <c r="V707" s="169"/>
      <c r="W707" s="169"/>
      <c r="X707" s="169"/>
      <c r="Y707" s="169"/>
      <c r="Z707" s="169"/>
    </row>
    <row r="708" spans="1:26" ht="15.75" customHeight="1" x14ac:dyDescent="0.25">
      <c r="A708" s="169"/>
      <c r="B708" s="169"/>
      <c r="C708" s="169"/>
      <c r="D708" s="169"/>
      <c r="E708" s="169"/>
      <c r="F708" s="169"/>
      <c r="G708" s="169"/>
      <c r="H708" s="169"/>
      <c r="I708" s="169"/>
      <c r="J708" s="169"/>
      <c r="K708" s="169"/>
      <c r="L708" s="169"/>
      <c r="M708" s="169"/>
      <c r="N708" s="169"/>
      <c r="O708" s="169"/>
      <c r="P708" s="169"/>
      <c r="Q708" s="169"/>
      <c r="R708" s="169"/>
      <c r="S708" s="169"/>
      <c r="T708" s="169"/>
      <c r="U708" s="169"/>
      <c r="V708" s="169"/>
      <c r="W708" s="169"/>
      <c r="X708" s="169"/>
      <c r="Y708" s="169"/>
      <c r="Z708" s="169"/>
    </row>
    <row r="709" spans="1:26" ht="15.75" customHeight="1" x14ac:dyDescent="0.25">
      <c r="A709" s="169"/>
      <c r="B709" s="169"/>
      <c r="C709" s="169"/>
      <c r="D709" s="169"/>
      <c r="E709" s="169"/>
      <c r="F709" s="169"/>
      <c r="G709" s="169"/>
      <c r="H709" s="169"/>
      <c r="I709" s="169"/>
      <c r="J709" s="169"/>
      <c r="K709" s="169"/>
      <c r="L709" s="169"/>
      <c r="M709" s="169"/>
      <c r="N709" s="169"/>
      <c r="O709" s="169"/>
      <c r="P709" s="169"/>
      <c r="Q709" s="169"/>
      <c r="R709" s="169"/>
      <c r="S709" s="169"/>
      <c r="T709" s="169"/>
      <c r="U709" s="169"/>
      <c r="V709" s="169"/>
      <c r="W709" s="169"/>
      <c r="X709" s="169"/>
      <c r="Y709" s="169"/>
      <c r="Z709" s="169"/>
    </row>
    <row r="710" spans="1:26" ht="15.75" customHeight="1" x14ac:dyDescent="0.25">
      <c r="A710" s="169"/>
      <c r="B710" s="169"/>
      <c r="C710" s="169"/>
      <c r="D710" s="169"/>
      <c r="E710" s="169"/>
      <c r="F710" s="169"/>
      <c r="G710" s="169"/>
      <c r="H710" s="169"/>
      <c r="I710" s="169"/>
      <c r="J710" s="169"/>
      <c r="K710" s="169"/>
      <c r="L710" s="169"/>
      <c r="M710" s="169"/>
      <c r="N710" s="169"/>
      <c r="O710" s="169"/>
      <c r="P710" s="169"/>
      <c r="Q710" s="169"/>
      <c r="R710" s="169"/>
      <c r="S710" s="169"/>
      <c r="T710" s="169"/>
      <c r="U710" s="169"/>
      <c r="V710" s="169"/>
      <c r="W710" s="169"/>
      <c r="X710" s="169"/>
      <c r="Y710" s="169"/>
      <c r="Z710" s="169"/>
    </row>
    <row r="711" spans="1:26" ht="15.75" customHeight="1" x14ac:dyDescent="0.25">
      <c r="A711" s="169"/>
      <c r="B711" s="169"/>
      <c r="C711" s="169"/>
      <c r="D711" s="169"/>
      <c r="E711" s="169"/>
      <c r="F711" s="169"/>
      <c r="G711" s="169"/>
      <c r="H711" s="169"/>
      <c r="I711" s="169"/>
      <c r="J711" s="169"/>
      <c r="K711" s="169"/>
      <c r="L711" s="169"/>
      <c r="M711" s="169"/>
      <c r="N711" s="169"/>
      <c r="O711" s="169"/>
      <c r="P711" s="169"/>
      <c r="Q711" s="169"/>
      <c r="R711" s="169"/>
      <c r="S711" s="169"/>
      <c r="T711" s="169"/>
      <c r="U711" s="169"/>
      <c r="V711" s="169"/>
      <c r="W711" s="169"/>
      <c r="X711" s="169"/>
      <c r="Y711" s="169"/>
      <c r="Z711" s="169"/>
    </row>
    <row r="712" spans="1:26" ht="15.75" customHeight="1" x14ac:dyDescent="0.25">
      <c r="A712" s="169"/>
      <c r="B712" s="169"/>
      <c r="C712" s="169"/>
      <c r="D712" s="169"/>
      <c r="E712" s="169"/>
      <c r="F712" s="169"/>
      <c r="G712" s="169"/>
      <c r="H712" s="169"/>
      <c r="I712" s="169"/>
      <c r="J712" s="169"/>
      <c r="K712" s="169"/>
      <c r="L712" s="169"/>
      <c r="M712" s="169"/>
      <c r="N712" s="169"/>
      <c r="O712" s="169"/>
      <c r="P712" s="169"/>
      <c r="Q712" s="169"/>
      <c r="R712" s="169"/>
      <c r="S712" s="169"/>
      <c r="T712" s="169"/>
      <c r="U712" s="169"/>
      <c r="V712" s="169"/>
      <c r="W712" s="169"/>
      <c r="X712" s="169"/>
      <c r="Y712" s="169"/>
      <c r="Z712" s="169"/>
    </row>
    <row r="713" spans="1:26" ht="15.75" customHeight="1" x14ac:dyDescent="0.25">
      <c r="A713" s="169"/>
      <c r="B713" s="169"/>
      <c r="C713" s="169"/>
      <c r="D713" s="169"/>
      <c r="E713" s="169"/>
      <c r="F713" s="169"/>
      <c r="G713" s="169"/>
      <c r="H713" s="169"/>
      <c r="I713" s="169"/>
      <c r="J713" s="169"/>
      <c r="K713" s="169"/>
      <c r="L713" s="169"/>
      <c r="M713" s="169"/>
      <c r="N713" s="169"/>
      <c r="O713" s="169"/>
      <c r="P713" s="169"/>
      <c r="Q713" s="169"/>
      <c r="R713" s="169"/>
      <c r="S713" s="169"/>
      <c r="T713" s="169"/>
      <c r="U713" s="169"/>
      <c r="V713" s="169"/>
      <c r="W713" s="169"/>
      <c r="X713" s="169"/>
      <c r="Y713" s="169"/>
      <c r="Z713" s="169"/>
    </row>
    <row r="714" spans="1:26" ht="15.75" customHeight="1" x14ac:dyDescent="0.25">
      <c r="A714" s="169"/>
      <c r="B714" s="169"/>
      <c r="C714" s="169"/>
      <c r="D714" s="169"/>
      <c r="E714" s="169"/>
      <c r="F714" s="169"/>
      <c r="G714" s="169"/>
      <c r="H714" s="169"/>
      <c r="I714" s="169"/>
      <c r="J714" s="169"/>
      <c r="K714" s="169"/>
      <c r="L714" s="169"/>
      <c r="M714" s="169"/>
      <c r="N714" s="169"/>
      <c r="O714" s="169"/>
      <c r="P714" s="169"/>
      <c r="Q714" s="169"/>
      <c r="R714" s="169"/>
      <c r="S714" s="169"/>
      <c r="T714" s="169"/>
      <c r="U714" s="169"/>
      <c r="V714" s="169"/>
      <c r="W714" s="169"/>
      <c r="X714" s="169"/>
      <c r="Y714" s="169"/>
      <c r="Z714" s="169"/>
    </row>
    <row r="715" spans="1:26" ht="15.75" customHeight="1" x14ac:dyDescent="0.25">
      <c r="A715" s="169"/>
      <c r="B715" s="169"/>
      <c r="C715" s="169"/>
      <c r="D715" s="169"/>
      <c r="E715" s="169"/>
      <c r="F715" s="169"/>
      <c r="G715" s="169"/>
      <c r="H715" s="169"/>
      <c r="I715" s="169"/>
      <c r="J715" s="169"/>
      <c r="K715" s="169"/>
      <c r="L715" s="169"/>
      <c r="M715" s="169"/>
      <c r="N715" s="169"/>
      <c r="O715" s="169"/>
      <c r="P715" s="169"/>
      <c r="Q715" s="169"/>
      <c r="R715" s="169"/>
      <c r="S715" s="169"/>
      <c r="T715" s="169"/>
      <c r="U715" s="169"/>
      <c r="V715" s="169"/>
      <c r="W715" s="169"/>
      <c r="X715" s="169"/>
      <c r="Y715" s="169"/>
      <c r="Z715" s="169"/>
    </row>
    <row r="716" spans="1:26" ht="15.75" customHeight="1" x14ac:dyDescent="0.25">
      <c r="A716" s="169"/>
      <c r="B716" s="169"/>
      <c r="C716" s="169"/>
      <c r="D716" s="169"/>
      <c r="E716" s="169"/>
      <c r="F716" s="169"/>
      <c r="G716" s="169"/>
      <c r="H716" s="169"/>
      <c r="I716" s="169"/>
      <c r="J716" s="169"/>
      <c r="K716" s="169"/>
      <c r="L716" s="169"/>
      <c r="M716" s="169"/>
      <c r="N716" s="169"/>
      <c r="O716" s="169"/>
      <c r="P716" s="169"/>
      <c r="Q716" s="169"/>
      <c r="R716" s="169"/>
      <c r="S716" s="169"/>
      <c r="T716" s="169"/>
      <c r="U716" s="169"/>
      <c r="V716" s="169"/>
      <c r="W716" s="169"/>
      <c r="X716" s="169"/>
      <c r="Y716" s="169"/>
      <c r="Z716" s="169"/>
    </row>
    <row r="717" spans="1:26" ht="15.75" customHeight="1" x14ac:dyDescent="0.25">
      <c r="A717" s="169"/>
      <c r="B717" s="169"/>
      <c r="C717" s="169"/>
      <c r="D717" s="169"/>
      <c r="E717" s="169"/>
      <c r="F717" s="169"/>
      <c r="G717" s="169"/>
      <c r="H717" s="169"/>
      <c r="I717" s="169"/>
      <c r="J717" s="169"/>
      <c r="K717" s="169"/>
      <c r="L717" s="169"/>
      <c r="M717" s="169"/>
      <c r="N717" s="169"/>
      <c r="O717" s="169"/>
      <c r="P717" s="169"/>
      <c r="Q717" s="169"/>
      <c r="R717" s="169"/>
      <c r="S717" s="169"/>
      <c r="T717" s="169"/>
      <c r="U717" s="169"/>
      <c r="V717" s="169"/>
      <c r="W717" s="169"/>
      <c r="X717" s="169"/>
      <c r="Y717" s="169"/>
      <c r="Z717" s="169"/>
    </row>
    <row r="718" spans="1:26" ht="15.75" customHeight="1" x14ac:dyDescent="0.25">
      <c r="A718" s="169"/>
      <c r="B718" s="169"/>
      <c r="C718" s="169"/>
      <c r="D718" s="169"/>
      <c r="E718" s="169"/>
      <c r="F718" s="169"/>
      <c r="G718" s="169"/>
      <c r="H718" s="169"/>
      <c r="I718" s="169"/>
      <c r="J718" s="169"/>
      <c r="K718" s="169"/>
      <c r="L718" s="169"/>
      <c r="M718" s="169"/>
      <c r="N718" s="169"/>
      <c r="O718" s="169"/>
      <c r="P718" s="169"/>
      <c r="Q718" s="169"/>
      <c r="R718" s="169"/>
      <c r="S718" s="169"/>
      <c r="T718" s="169"/>
      <c r="U718" s="169"/>
      <c r="V718" s="169"/>
      <c r="W718" s="169"/>
      <c r="X718" s="169"/>
      <c r="Y718" s="169"/>
      <c r="Z718" s="169"/>
    </row>
    <row r="719" spans="1:26" ht="15.75" customHeight="1" x14ac:dyDescent="0.25">
      <c r="A719" s="169"/>
      <c r="B719" s="169"/>
      <c r="C719" s="169"/>
      <c r="D719" s="169"/>
      <c r="E719" s="169"/>
      <c r="F719" s="169"/>
      <c r="G719" s="169"/>
      <c r="H719" s="169"/>
      <c r="I719" s="169"/>
      <c r="J719" s="169"/>
      <c r="K719" s="169"/>
      <c r="L719" s="169"/>
      <c r="M719" s="169"/>
      <c r="N719" s="169"/>
      <c r="O719" s="169"/>
      <c r="P719" s="169"/>
      <c r="Q719" s="169"/>
      <c r="R719" s="169"/>
      <c r="S719" s="169"/>
      <c r="T719" s="169"/>
      <c r="U719" s="169"/>
      <c r="V719" s="169"/>
      <c r="W719" s="169"/>
      <c r="X719" s="169"/>
      <c r="Y719" s="169"/>
      <c r="Z719" s="169"/>
    </row>
    <row r="720" spans="1:26" ht="15.75" customHeight="1" x14ac:dyDescent="0.25">
      <c r="A720" s="169"/>
      <c r="B720" s="169"/>
      <c r="C720" s="169"/>
      <c r="D720" s="169"/>
      <c r="E720" s="169"/>
      <c r="F720" s="169"/>
      <c r="G720" s="169"/>
      <c r="H720" s="169"/>
      <c r="I720" s="169"/>
      <c r="J720" s="169"/>
      <c r="K720" s="169"/>
      <c r="L720" s="169"/>
      <c r="M720" s="169"/>
      <c r="N720" s="169"/>
      <c r="O720" s="169"/>
      <c r="P720" s="169"/>
      <c r="Q720" s="169"/>
      <c r="R720" s="169"/>
      <c r="S720" s="169"/>
      <c r="T720" s="169"/>
      <c r="U720" s="169"/>
      <c r="V720" s="169"/>
      <c r="W720" s="169"/>
      <c r="X720" s="169"/>
      <c r="Y720" s="169"/>
      <c r="Z720" s="169"/>
    </row>
    <row r="721" spans="1:26" ht="15.75" customHeight="1" x14ac:dyDescent="0.25">
      <c r="A721" s="169"/>
      <c r="B721" s="169"/>
      <c r="C721" s="169"/>
      <c r="D721" s="169"/>
      <c r="E721" s="169"/>
      <c r="F721" s="169"/>
      <c r="G721" s="169"/>
      <c r="H721" s="169"/>
      <c r="I721" s="169"/>
      <c r="J721" s="169"/>
      <c r="K721" s="169"/>
      <c r="L721" s="169"/>
      <c r="M721" s="169"/>
      <c r="N721" s="169"/>
      <c r="O721" s="169"/>
      <c r="P721" s="169"/>
      <c r="Q721" s="169"/>
      <c r="R721" s="169"/>
      <c r="S721" s="169"/>
      <c r="T721" s="169"/>
      <c r="U721" s="169"/>
      <c r="V721" s="169"/>
      <c r="W721" s="169"/>
      <c r="X721" s="169"/>
      <c r="Y721" s="169"/>
      <c r="Z721" s="169"/>
    </row>
    <row r="722" spans="1:26" ht="15.75" customHeight="1" x14ac:dyDescent="0.25">
      <c r="A722" s="169"/>
      <c r="B722" s="169"/>
      <c r="C722" s="169"/>
      <c r="D722" s="169"/>
      <c r="E722" s="169"/>
      <c r="F722" s="169"/>
      <c r="G722" s="169"/>
      <c r="H722" s="169"/>
      <c r="I722" s="169"/>
      <c r="J722" s="169"/>
      <c r="K722" s="169"/>
      <c r="L722" s="169"/>
      <c r="M722" s="169"/>
      <c r="N722" s="169"/>
      <c r="O722" s="169"/>
      <c r="P722" s="169"/>
      <c r="Q722" s="169"/>
      <c r="R722" s="169"/>
      <c r="S722" s="169"/>
      <c r="T722" s="169"/>
      <c r="U722" s="169"/>
      <c r="V722" s="169"/>
      <c r="W722" s="169"/>
      <c r="X722" s="169"/>
      <c r="Y722" s="169"/>
      <c r="Z722" s="169"/>
    </row>
    <row r="723" spans="1:26" ht="15.75" customHeight="1" x14ac:dyDescent="0.25">
      <c r="A723" s="169"/>
      <c r="B723" s="169"/>
      <c r="C723" s="169"/>
      <c r="D723" s="169"/>
      <c r="E723" s="169"/>
      <c r="F723" s="169"/>
      <c r="G723" s="169"/>
      <c r="H723" s="169"/>
      <c r="I723" s="169"/>
      <c r="J723" s="169"/>
      <c r="K723" s="169"/>
      <c r="L723" s="169"/>
      <c r="M723" s="169"/>
      <c r="N723" s="169"/>
      <c r="O723" s="169"/>
      <c r="P723" s="169"/>
      <c r="Q723" s="169"/>
      <c r="R723" s="169"/>
      <c r="S723" s="169"/>
      <c r="T723" s="169"/>
      <c r="U723" s="169"/>
      <c r="V723" s="169"/>
      <c r="W723" s="169"/>
      <c r="X723" s="169"/>
      <c r="Y723" s="169"/>
      <c r="Z723" s="169"/>
    </row>
    <row r="724" spans="1:26" ht="15.75" customHeight="1" x14ac:dyDescent="0.25">
      <c r="A724" s="169"/>
      <c r="B724" s="169"/>
      <c r="C724" s="169"/>
      <c r="D724" s="169"/>
      <c r="E724" s="169"/>
      <c r="F724" s="169"/>
      <c r="G724" s="169"/>
      <c r="H724" s="169"/>
      <c r="I724" s="169"/>
      <c r="J724" s="169"/>
      <c r="K724" s="169"/>
      <c r="L724" s="169"/>
      <c r="M724" s="169"/>
      <c r="N724" s="169"/>
      <c r="O724" s="169"/>
      <c r="P724" s="169"/>
      <c r="Q724" s="169"/>
      <c r="R724" s="169"/>
      <c r="S724" s="169"/>
      <c r="T724" s="169"/>
      <c r="U724" s="169"/>
      <c r="V724" s="169"/>
      <c r="W724" s="169"/>
      <c r="X724" s="169"/>
      <c r="Y724" s="169"/>
      <c r="Z724" s="169"/>
    </row>
    <row r="725" spans="1:26" ht="15.75" customHeight="1" x14ac:dyDescent="0.25">
      <c r="A725" s="169"/>
      <c r="B725" s="169"/>
      <c r="C725" s="169"/>
      <c r="D725" s="169"/>
      <c r="E725" s="169"/>
      <c r="F725" s="169"/>
      <c r="G725" s="169"/>
      <c r="H725" s="169"/>
      <c r="I725" s="169"/>
      <c r="J725" s="169"/>
      <c r="K725" s="169"/>
      <c r="L725" s="169"/>
      <c r="M725" s="169"/>
      <c r="N725" s="169"/>
      <c r="O725" s="169"/>
      <c r="P725" s="169"/>
      <c r="Q725" s="169"/>
      <c r="R725" s="169"/>
      <c r="S725" s="169"/>
      <c r="T725" s="169"/>
      <c r="U725" s="169"/>
      <c r="V725" s="169"/>
      <c r="W725" s="169"/>
      <c r="X725" s="169"/>
      <c r="Y725" s="169"/>
      <c r="Z725" s="169"/>
    </row>
    <row r="726" spans="1:26" ht="15.75" customHeight="1" x14ac:dyDescent="0.25">
      <c r="A726" s="169"/>
      <c r="B726" s="169"/>
      <c r="C726" s="169"/>
      <c r="D726" s="169"/>
      <c r="E726" s="169"/>
      <c r="F726" s="169"/>
      <c r="G726" s="169"/>
      <c r="H726" s="169"/>
      <c r="I726" s="169"/>
      <c r="J726" s="169"/>
      <c r="K726" s="169"/>
      <c r="L726" s="169"/>
      <c r="M726" s="169"/>
      <c r="N726" s="169"/>
      <c r="O726" s="169"/>
      <c r="P726" s="169"/>
      <c r="Q726" s="169"/>
      <c r="R726" s="169"/>
      <c r="S726" s="169"/>
      <c r="T726" s="169"/>
      <c r="U726" s="169"/>
      <c r="V726" s="169"/>
      <c r="W726" s="169"/>
      <c r="X726" s="169"/>
      <c r="Y726" s="169"/>
      <c r="Z726" s="169"/>
    </row>
    <row r="727" spans="1:26" ht="15.75" customHeight="1" x14ac:dyDescent="0.25">
      <c r="A727" s="169"/>
      <c r="B727" s="169"/>
      <c r="C727" s="169"/>
      <c r="D727" s="169"/>
      <c r="E727" s="169"/>
      <c r="F727" s="169"/>
      <c r="G727" s="169"/>
      <c r="H727" s="169"/>
      <c r="I727" s="169"/>
      <c r="J727" s="169"/>
      <c r="K727" s="169"/>
      <c r="L727" s="169"/>
      <c r="M727" s="169"/>
      <c r="N727" s="169"/>
      <c r="O727" s="169"/>
      <c r="P727" s="169"/>
      <c r="Q727" s="169"/>
      <c r="R727" s="169"/>
      <c r="S727" s="169"/>
      <c r="T727" s="169"/>
      <c r="U727" s="169"/>
      <c r="V727" s="169"/>
      <c r="W727" s="169"/>
      <c r="X727" s="169"/>
      <c r="Y727" s="169"/>
      <c r="Z727" s="169"/>
    </row>
    <row r="728" spans="1:26" ht="15.75" customHeight="1" x14ac:dyDescent="0.25">
      <c r="A728" s="169"/>
      <c r="B728" s="169"/>
      <c r="C728" s="169"/>
      <c r="D728" s="169"/>
      <c r="E728" s="169"/>
      <c r="F728" s="169"/>
      <c r="G728" s="169"/>
      <c r="H728" s="169"/>
      <c r="I728" s="169"/>
      <c r="J728" s="169"/>
      <c r="K728" s="169"/>
      <c r="L728" s="169"/>
      <c r="M728" s="169"/>
      <c r="N728" s="169"/>
      <c r="O728" s="169"/>
      <c r="P728" s="169"/>
      <c r="Q728" s="169"/>
      <c r="R728" s="169"/>
      <c r="S728" s="169"/>
      <c r="T728" s="169"/>
      <c r="U728" s="169"/>
      <c r="V728" s="169"/>
      <c r="W728" s="169"/>
      <c r="X728" s="169"/>
      <c r="Y728" s="169"/>
      <c r="Z728" s="169"/>
    </row>
    <row r="729" spans="1:26" ht="15.75" customHeight="1" x14ac:dyDescent="0.25">
      <c r="A729" s="169"/>
      <c r="B729" s="169"/>
      <c r="C729" s="169"/>
      <c r="D729" s="169"/>
      <c r="E729" s="169"/>
      <c r="F729" s="169"/>
      <c r="G729" s="169"/>
      <c r="H729" s="169"/>
      <c r="I729" s="169"/>
      <c r="J729" s="169"/>
      <c r="K729" s="169"/>
      <c r="L729" s="169"/>
      <c r="M729" s="169"/>
      <c r="N729" s="169"/>
      <c r="O729" s="169"/>
      <c r="P729" s="169"/>
      <c r="Q729" s="169"/>
      <c r="R729" s="169"/>
      <c r="S729" s="169"/>
      <c r="T729" s="169"/>
      <c r="U729" s="169"/>
      <c r="V729" s="169"/>
      <c r="W729" s="169"/>
      <c r="X729" s="169"/>
      <c r="Y729" s="169"/>
      <c r="Z729" s="169"/>
    </row>
    <row r="730" spans="1:26" ht="15.75" customHeight="1" x14ac:dyDescent="0.25">
      <c r="A730" s="169"/>
      <c r="B730" s="169"/>
      <c r="C730" s="169"/>
      <c r="D730" s="169"/>
      <c r="E730" s="169"/>
      <c r="F730" s="169"/>
      <c r="G730" s="169"/>
      <c r="H730" s="169"/>
      <c r="I730" s="169"/>
      <c r="J730" s="169"/>
      <c r="K730" s="169"/>
      <c r="L730" s="169"/>
      <c r="M730" s="169"/>
      <c r="N730" s="169"/>
      <c r="O730" s="169"/>
      <c r="P730" s="169"/>
      <c r="Q730" s="169"/>
      <c r="R730" s="169"/>
      <c r="S730" s="169"/>
      <c r="T730" s="169"/>
      <c r="U730" s="169"/>
      <c r="V730" s="169"/>
      <c r="W730" s="169"/>
      <c r="X730" s="169"/>
      <c r="Y730" s="169"/>
      <c r="Z730" s="169"/>
    </row>
    <row r="731" spans="1:26" ht="15.75" customHeight="1" x14ac:dyDescent="0.25">
      <c r="A731" s="169"/>
      <c r="B731" s="169"/>
      <c r="C731" s="169"/>
      <c r="D731" s="169"/>
      <c r="E731" s="169"/>
      <c r="F731" s="169"/>
      <c r="G731" s="169"/>
      <c r="H731" s="169"/>
      <c r="I731" s="169"/>
      <c r="J731" s="169"/>
      <c r="K731" s="169"/>
      <c r="L731" s="169"/>
      <c r="M731" s="169"/>
      <c r="N731" s="169"/>
      <c r="O731" s="169"/>
      <c r="P731" s="169"/>
      <c r="Q731" s="169"/>
      <c r="R731" s="169"/>
      <c r="S731" s="169"/>
      <c r="T731" s="169"/>
      <c r="U731" s="169"/>
      <c r="V731" s="169"/>
      <c r="W731" s="169"/>
      <c r="X731" s="169"/>
      <c r="Y731" s="169"/>
      <c r="Z731" s="169"/>
    </row>
    <row r="732" spans="1:26" ht="15.75" customHeight="1" x14ac:dyDescent="0.25">
      <c r="A732" s="169"/>
      <c r="B732" s="169"/>
      <c r="C732" s="169"/>
      <c r="D732" s="169"/>
      <c r="E732" s="169"/>
      <c r="F732" s="169"/>
      <c r="G732" s="169"/>
      <c r="H732" s="169"/>
      <c r="I732" s="169"/>
      <c r="J732" s="169"/>
      <c r="K732" s="169"/>
      <c r="L732" s="169"/>
      <c r="M732" s="169"/>
      <c r="N732" s="169"/>
      <c r="O732" s="169"/>
      <c r="P732" s="169"/>
      <c r="Q732" s="169"/>
      <c r="R732" s="169"/>
      <c r="S732" s="169"/>
      <c r="T732" s="169"/>
      <c r="U732" s="169"/>
      <c r="V732" s="169"/>
      <c r="W732" s="169"/>
      <c r="X732" s="169"/>
      <c r="Y732" s="169"/>
      <c r="Z732" s="169"/>
    </row>
    <row r="733" spans="1:26" ht="15.75" customHeight="1" x14ac:dyDescent="0.25">
      <c r="A733" s="169"/>
      <c r="B733" s="169"/>
      <c r="C733" s="169"/>
      <c r="D733" s="169"/>
      <c r="E733" s="169"/>
      <c r="F733" s="169"/>
      <c r="G733" s="169"/>
      <c r="H733" s="169"/>
      <c r="I733" s="169"/>
      <c r="J733" s="169"/>
      <c r="K733" s="169"/>
      <c r="L733" s="169"/>
      <c r="M733" s="169"/>
      <c r="N733" s="169"/>
      <c r="O733" s="169"/>
      <c r="P733" s="169"/>
      <c r="Q733" s="169"/>
      <c r="R733" s="169"/>
      <c r="S733" s="169"/>
      <c r="T733" s="169"/>
      <c r="U733" s="169"/>
      <c r="V733" s="169"/>
      <c r="W733" s="169"/>
      <c r="X733" s="169"/>
      <c r="Y733" s="169"/>
      <c r="Z733" s="169"/>
    </row>
    <row r="734" spans="1:26" ht="15.75" customHeight="1" x14ac:dyDescent="0.25">
      <c r="A734" s="169"/>
      <c r="B734" s="169"/>
      <c r="C734" s="169"/>
      <c r="D734" s="169"/>
      <c r="E734" s="169"/>
      <c r="F734" s="169"/>
      <c r="G734" s="169"/>
      <c r="H734" s="169"/>
      <c r="I734" s="169"/>
      <c r="J734" s="169"/>
      <c r="K734" s="169"/>
      <c r="L734" s="169"/>
      <c r="M734" s="169"/>
      <c r="N734" s="169"/>
      <c r="O734" s="169"/>
      <c r="P734" s="169"/>
      <c r="Q734" s="169"/>
      <c r="R734" s="169"/>
      <c r="S734" s="169"/>
      <c r="T734" s="169"/>
      <c r="U734" s="169"/>
      <c r="V734" s="169"/>
      <c r="W734" s="169"/>
      <c r="X734" s="169"/>
      <c r="Y734" s="169"/>
      <c r="Z734" s="169"/>
    </row>
    <row r="735" spans="1:26" ht="15.75" customHeight="1" x14ac:dyDescent="0.25">
      <c r="A735" s="169"/>
      <c r="B735" s="169"/>
      <c r="C735" s="169"/>
      <c r="D735" s="169"/>
      <c r="E735" s="169"/>
      <c r="F735" s="169"/>
      <c r="G735" s="169"/>
      <c r="H735" s="169"/>
      <c r="I735" s="169"/>
      <c r="J735" s="169"/>
      <c r="K735" s="169"/>
      <c r="L735" s="169"/>
      <c r="M735" s="169"/>
      <c r="N735" s="169"/>
      <c r="O735" s="169"/>
      <c r="P735" s="169"/>
      <c r="Q735" s="169"/>
      <c r="R735" s="169"/>
      <c r="S735" s="169"/>
      <c r="T735" s="169"/>
      <c r="U735" s="169"/>
      <c r="V735" s="169"/>
      <c r="W735" s="169"/>
      <c r="X735" s="169"/>
      <c r="Y735" s="169"/>
      <c r="Z735" s="169"/>
    </row>
    <row r="736" spans="1:26" ht="15.75" customHeight="1" x14ac:dyDescent="0.25">
      <c r="A736" s="169"/>
      <c r="B736" s="169"/>
      <c r="C736" s="169"/>
      <c r="D736" s="169"/>
      <c r="E736" s="169"/>
      <c r="F736" s="169"/>
      <c r="G736" s="169"/>
      <c r="H736" s="169"/>
      <c r="I736" s="169"/>
      <c r="J736" s="169"/>
      <c r="K736" s="169"/>
      <c r="L736" s="169"/>
      <c r="M736" s="169"/>
      <c r="N736" s="169"/>
      <c r="O736" s="169"/>
      <c r="P736" s="169"/>
      <c r="Q736" s="169"/>
      <c r="R736" s="169"/>
      <c r="S736" s="169"/>
      <c r="T736" s="169"/>
      <c r="U736" s="169"/>
      <c r="V736" s="169"/>
      <c r="W736" s="169"/>
      <c r="X736" s="169"/>
      <c r="Y736" s="169"/>
      <c r="Z736" s="169"/>
    </row>
    <row r="737" spans="1:26" ht="15.75" customHeight="1" x14ac:dyDescent="0.25">
      <c r="A737" s="169"/>
      <c r="B737" s="169"/>
      <c r="C737" s="169"/>
      <c r="D737" s="169"/>
      <c r="E737" s="169"/>
      <c r="F737" s="169"/>
      <c r="G737" s="169"/>
      <c r="H737" s="169"/>
      <c r="I737" s="169"/>
      <c r="J737" s="169"/>
      <c r="K737" s="169"/>
      <c r="L737" s="169"/>
      <c r="M737" s="169"/>
      <c r="N737" s="169"/>
      <c r="O737" s="169"/>
      <c r="P737" s="169"/>
      <c r="Q737" s="169"/>
      <c r="R737" s="169"/>
      <c r="S737" s="169"/>
      <c r="T737" s="169"/>
      <c r="U737" s="169"/>
      <c r="V737" s="169"/>
      <c r="W737" s="169"/>
      <c r="X737" s="169"/>
      <c r="Y737" s="169"/>
      <c r="Z737" s="169"/>
    </row>
    <row r="738" spans="1:26" ht="15.75" customHeight="1" x14ac:dyDescent="0.25">
      <c r="A738" s="169"/>
      <c r="B738" s="169"/>
      <c r="C738" s="169"/>
      <c r="D738" s="169"/>
      <c r="E738" s="169"/>
      <c r="F738" s="169"/>
      <c r="G738" s="169"/>
      <c r="H738" s="169"/>
      <c r="I738" s="169"/>
      <c r="J738" s="169"/>
      <c r="K738" s="169"/>
      <c r="L738" s="169"/>
      <c r="M738" s="169"/>
      <c r="N738" s="169"/>
      <c r="O738" s="169"/>
      <c r="P738" s="169"/>
      <c r="Q738" s="169"/>
      <c r="R738" s="169"/>
      <c r="S738" s="169"/>
      <c r="T738" s="169"/>
      <c r="U738" s="169"/>
      <c r="V738" s="169"/>
      <c r="W738" s="169"/>
      <c r="X738" s="169"/>
      <c r="Y738" s="169"/>
      <c r="Z738" s="169"/>
    </row>
    <row r="739" spans="1:26" ht="15.75" customHeight="1" x14ac:dyDescent="0.25">
      <c r="A739" s="169"/>
      <c r="B739" s="169"/>
      <c r="C739" s="169"/>
      <c r="D739" s="169"/>
      <c r="E739" s="169"/>
      <c r="F739" s="169"/>
      <c r="G739" s="169"/>
      <c r="H739" s="169"/>
      <c r="I739" s="169"/>
      <c r="J739" s="169"/>
      <c r="K739" s="169"/>
      <c r="L739" s="169"/>
      <c r="M739" s="169"/>
      <c r="N739" s="169"/>
      <c r="O739" s="169"/>
      <c r="P739" s="169"/>
      <c r="Q739" s="169"/>
      <c r="R739" s="169"/>
      <c r="S739" s="169"/>
      <c r="T739" s="169"/>
      <c r="U739" s="169"/>
      <c r="V739" s="169"/>
      <c r="W739" s="169"/>
      <c r="X739" s="169"/>
      <c r="Y739" s="169"/>
      <c r="Z739" s="169"/>
    </row>
    <row r="740" spans="1:26" ht="15.75" customHeight="1" x14ac:dyDescent="0.25">
      <c r="A740" s="169"/>
      <c r="B740" s="169"/>
      <c r="C740" s="169"/>
      <c r="D740" s="169"/>
      <c r="E740" s="169"/>
      <c r="F740" s="169"/>
      <c r="G740" s="169"/>
      <c r="H740" s="169"/>
      <c r="I740" s="169"/>
      <c r="J740" s="169"/>
      <c r="K740" s="169"/>
      <c r="L740" s="169"/>
      <c r="M740" s="169"/>
      <c r="N740" s="169"/>
      <c r="O740" s="169"/>
      <c r="P740" s="169"/>
      <c r="Q740" s="169"/>
      <c r="R740" s="169"/>
      <c r="S740" s="169"/>
      <c r="T740" s="169"/>
      <c r="U740" s="169"/>
      <c r="V740" s="169"/>
      <c r="W740" s="169"/>
      <c r="X740" s="169"/>
      <c r="Y740" s="169"/>
      <c r="Z740" s="169"/>
    </row>
    <row r="741" spans="1:26" ht="15.75" customHeight="1" x14ac:dyDescent="0.25">
      <c r="A741" s="169"/>
      <c r="B741" s="169"/>
      <c r="C741" s="169"/>
      <c r="D741" s="169"/>
      <c r="E741" s="169"/>
      <c r="F741" s="169"/>
      <c r="G741" s="169"/>
      <c r="H741" s="169"/>
      <c r="I741" s="169"/>
      <c r="J741" s="169"/>
      <c r="K741" s="169"/>
      <c r="L741" s="169"/>
      <c r="M741" s="169"/>
      <c r="N741" s="169"/>
      <c r="O741" s="169"/>
      <c r="P741" s="169"/>
      <c r="Q741" s="169"/>
      <c r="R741" s="169"/>
      <c r="S741" s="169"/>
      <c r="T741" s="169"/>
      <c r="U741" s="169"/>
      <c r="V741" s="169"/>
      <c r="W741" s="169"/>
      <c r="X741" s="169"/>
      <c r="Y741" s="169"/>
      <c r="Z741" s="169"/>
    </row>
    <row r="742" spans="1:26" ht="15.75" customHeight="1" x14ac:dyDescent="0.25">
      <c r="A742" s="169"/>
      <c r="B742" s="169"/>
      <c r="C742" s="169"/>
      <c r="D742" s="169"/>
      <c r="E742" s="169"/>
      <c r="F742" s="169"/>
      <c r="G742" s="169"/>
      <c r="H742" s="169"/>
      <c r="I742" s="169"/>
      <c r="J742" s="169"/>
      <c r="K742" s="169"/>
      <c r="L742" s="169"/>
      <c r="M742" s="169"/>
      <c r="N742" s="169"/>
      <c r="O742" s="169"/>
      <c r="P742" s="169"/>
      <c r="Q742" s="169"/>
      <c r="R742" s="169"/>
      <c r="S742" s="169"/>
      <c r="T742" s="169"/>
      <c r="U742" s="169"/>
      <c r="V742" s="169"/>
      <c r="W742" s="169"/>
      <c r="X742" s="169"/>
      <c r="Y742" s="169"/>
      <c r="Z742" s="169"/>
    </row>
    <row r="743" spans="1:26" ht="15.75" customHeight="1" x14ac:dyDescent="0.25">
      <c r="A743" s="169"/>
      <c r="B743" s="169"/>
      <c r="C743" s="169"/>
      <c r="D743" s="169"/>
      <c r="E743" s="169"/>
      <c r="F743" s="169"/>
      <c r="G743" s="169"/>
      <c r="H743" s="169"/>
      <c r="I743" s="169"/>
      <c r="J743" s="169"/>
      <c r="K743" s="169"/>
      <c r="L743" s="169"/>
      <c r="M743" s="169"/>
      <c r="N743" s="169"/>
      <c r="O743" s="169"/>
      <c r="P743" s="169"/>
      <c r="Q743" s="169"/>
      <c r="R743" s="169"/>
      <c r="S743" s="169"/>
      <c r="T743" s="169"/>
      <c r="U743" s="169"/>
      <c r="V743" s="169"/>
      <c r="W743" s="169"/>
      <c r="X743" s="169"/>
      <c r="Y743" s="169"/>
      <c r="Z743" s="169"/>
    </row>
    <row r="744" spans="1:26" ht="15.75" customHeight="1" x14ac:dyDescent="0.25">
      <c r="A744" s="169"/>
      <c r="B744" s="169"/>
      <c r="C744" s="169"/>
      <c r="D744" s="169"/>
      <c r="E744" s="169"/>
      <c r="F744" s="169"/>
      <c r="G744" s="169"/>
      <c r="H744" s="169"/>
      <c r="I744" s="169"/>
      <c r="J744" s="169"/>
      <c r="K744" s="169"/>
      <c r="L744" s="169"/>
      <c r="M744" s="169"/>
      <c r="N744" s="169"/>
      <c r="O744" s="169"/>
      <c r="P744" s="169"/>
      <c r="Q744" s="169"/>
      <c r="R744" s="169"/>
      <c r="S744" s="169"/>
      <c r="T744" s="169"/>
      <c r="U744" s="169"/>
      <c r="V744" s="169"/>
      <c r="W744" s="169"/>
      <c r="X744" s="169"/>
      <c r="Y744" s="169"/>
      <c r="Z744" s="169"/>
    </row>
    <row r="745" spans="1:26" ht="15.75" customHeight="1" x14ac:dyDescent="0.25">
      <c r="A745" s="169"/>
      <c r="B745" s="169"/>
      <c r="C745" s="169"/>
      <c r="D745" s="169"/>
      <c r="E745" s="169"/>
      <c r="F745" s="169"/>
      <c r="G745" s="169"/>
      <c r="H745" s="169"/>
      <c r="I745" s="169"/>
      <c r="J745" s="169"/>
      <c r="K745" s="169"/>
      <c r="L745" s="169"/>
      <c r="M745" s="169"/>
      <c r="N745" s="169"/>
      <c r="O745" s="169"/>
      <c r="P745" s="169"/>
      <c r="Q745" s="169"/>
      <c r="R745" s="169"/>
      <c r="S745" s="169"/>
      <c r="T745" s="169"/>
      <c r="U745" s="169"/>
      <c r="V745" s="169"/>
      <c r="W745" s="169"/>
      <c r="X745" s="169"/>
      <c r="Y745" s="169"/>
      <c r="Z745" s="169"/>
    </row>
    <row r="746" spans="1:26" ht="15.75" customHeight="1" x14ac:dyDescent="0.25">
      <c r="A746" s="169"/>
      <c r="B746" s="169"/>
      <c r="C746" s="169"/>
      <c r="D746" s="169"/>
      <c r="E746" s="169"/>
      <c r="F746" s="169"/>
      <c r="G746" s="169"/>
      <c r="H746" s="169"/>
      <c r="I746" s="169"/>
      <c r="J746" s="169"/>
      <c r="K746" s="169"/>
      <c r="L746" s="169"/>
      <c r="M746" s="169"/>
      <c r="N746" s="169"/>
      <c r="O746" s="169"/>
      <c r="P746" s="169"/>
      <c r="Q746" s="169"/>
      <c r="R746" s="169"/>
      <c r="S746" s="169"/>
      <c r="T746" s="169"/>
      <c r="U746" s="169"/>
      <c r="V746" s="169"/>
      <c r="W746" s="169"/>
      <c r="X746" s="169"/>
      <c r="Y746" s="169"/>
      <c r="Z746" s="169"/>
    </row>
    <row r="747" spans="1:26" ht="15.75" customHeight="1" x14ac:dyDescent="0.25">
      <c r="A747" s="169"/>
      <c r="B747" s="169"/>
      <c r="C747" s="169"/>
      <c r="D747" s="169"/>
      <c r="E747" s="169"/>
      <c r="F747" s="169"/>
      <c r="G747" s="169"/>
      <c r="H747" s="169"/>
      <c r="I747" s="169"/>
      <c r="J747" s="169"/>
      <c r="K747" s="169"/>
      <c r="L747" s="169"/>
      <c r="M747" s="169"/>
      <c r="N747" s="169"/>
      <c r="O747" s="169"/>
      <c r="P747" s="169"/>
      <c r="Q747" s="169"/>
      <c r="R747" s="169"/>
      <c r="S747" s="169"/>
      <c r="T747" s="169"/>
      <c r="U747" s="169"/>
      <c r="V747" s="169"/>
      <c r="W747" s="169"/>
      <c r="X747" s="169"/>
      <c r="Y747" s="169"/>
      <c r="Z747" s="169"/>
    </row>
    <row r="748" spans="1:26" ht="15.75" customHeight="1" x14ac:dyDescent="0.25">
      <c r="A748" s="169"/>
      <c r="B748" s="169"/>
      <c r="C748" s="169"/>
      <c r="D748" s="169"/>
      <c r="E748" s="169"/>
      <c r="F748" s="169"/>
      <c r="G748" s="169"/>
      <c r="H748" s="169"/>
      <c r="I748" s="169"/>
      <c r="J748" s="169"/>
      <c r="K748" s="169"/>
      <c r="L748" s="169"/>
      <c r="M748" s="169"/>
      <c r="N748" s="169"/>
      <c r="O748" s="169"/>
      <c r="P748" s="169"/>
      <c r="Q748" s="169"/>
      <c r="R748" s="169"/>
      <c r="S748" s="169"/>
      <c r="T748" s="169"/>
      <c r="U748" s="169"/>
      <c r="V748" s="169"/>
      <c r="W748" s="169"/>
      <c r="X748" s="169"/>
      <c r="Y748" s="169"/>
      <c r="Z748" s="169"/>
    </row>
    <row r="749" spans="1:26" ht="15.75" customHeight="1" x14ac:dyDescent="0.25">
      <c r="A749" s="169"/>
      <c r="B749" s="169"/>
      <c r="C749" s="169"/>
      <c r="D749" s="169"/>
      <c r="E749" s="169"/>
      <c r="F749" s="169"/>
      <c r="G749" s="169"/>
      <c r="H749" s="169"/>
      <c r="I749" s="169"/>
      <c r="J749" s="169"/>
      <c r="K749" s="169"/>
      <c r="L749" s="169"/>
      <c r="M749" s="169"/>
      <c r="N749" s="169"/>
      <c r="O749" s="169"/>
      <c r="P749" s="169"/>
      <c r="Q749" s="169"/>
      <c r="R749" s="169"/>
      <c r="S749" s="169"/>
      <c r="T749" s="169"/>
      <c r="U749" s="169"/>
      <c r="V749" s="169"/>
      <c r="W749" s="169"/>
      <c r="X749" s="169"/>
      <c r="Y749" s="169"/>
      <c r="Z749" s="169"/>
    </row>
    <row r="750" spans="1:26" ht="15.75" customHeight="1" x14ac:dyDescent="0.25">
      <c r="A750" s="169"/>
      <c r="B750" s="169"/>
      <c r="C750" s="169"/>
      <c r="D750" s="169"/>
      <c r="E750" s="169"/>
      <c r="F750" s="169"/>
      <c r="G750" s="169"/>
      <c r="H750" s="169"/>
      <c r="I750" s="169"/>
      <c r="J750" s="169"/>
      <c r="K750" s="169"/>
      <c r="L750" s="169"/>
      <c r="M750" s="169"/>
      <c r="N750" s="169"/>
      <c r="O750" s="169"/>
      <c r="P750" s="169"/>
      <c r="Q750" s="169"/>
      <c r="R750" s="169"/>
      <c r="S750" s="169"/>
      <c r="T750" s="169"/>
      <c r="U750" s="169"/>
      <c r="V750" s="169"/>
      <c r="W750" s="169"/>
      <c r="X750" s="169"/>
      <c r="Y750" s="169"/>
      <c r="Z750" s="169"/>
    </row>
    <row r="751" spans="1:26" ht="15.75" customHeight="1" x14ac:dyDescent="0.25">
      <c r="A751" s="169"/>
      <c r="B751" s="169"/>
      <c r="C751" s="169"/>
      <c r="D751" s="169"/>
      <c r="E751" s="169"/>
      <c r="F751" s="169"/>
      <c r="G751" s="169"/>
      <c r="H751" s="169"/>
      <c r="I751" s="169"/>
      <c r="J751" s="169"/>
      <c r="K751" s="169"/>
      <c r="L751" s="169"/>
      <c r="M751" s="169"/>
      <c r="N751" s="169"/>
      <c r="O751" s="169"/>
      <c r="P751" s="169"/>
      <c r="Q751" s="169"/>
      <c r="R751" s="169"/>
      <c r="S751" s="169"/>
      <c r="T751" s="169"/>
      <c r="U751" s="169"/>
      <c r="V751" s="169"/>
      <c r="W751" s="169"/>
      <c r="X751" s="169"/>
      <c r="Y751" s="169"/>
      <c r="Z751" s="169"/>
    </row>
    <row r="752" spans="1:26" ht="15.75" customHeight="1" x14ac:dyDescent="0.25">
      <c r="A752" s="169"/>
      <c r="B752" s="169"/>
      <c r="C752" s="169"/>
      <c r="D752" s="169"/>
      <c r="E752" s="169"/>
      <c r="F752" s="169"/>
      <c r="G752" s="169"/>
      <c r="H752" s="169"/>
      <c r="I752" s="169"/>
      <c r="J752" s="169"/>
      <c r="K752" s="169"/>
      <c r="L752" s="169"/>
      <c r="M752" s="169"/>
      <c r="N752" s="169"/>
      <c r="O752" s="169"/>
      <c r="P752" s="169"/>
      <c r="Q752" s="169"/>
      <c r="R752" s="169"/>
      <c r="S752" s="169"/>
      <c r="T752" s="169"/>
      <c r="U752" s="169"/>
      <c r="V752" s="169"/>
      <c r="W752" s="169"/>
      <c r="X752" s="169"/>
      <c r="Y752" s="169"/>
      <c r="Z752" s="169"/>
    </row>
    <row r="753" spans="1:26" ht="15.75" customHeight="1" x14ac:dyDescent="0.25">
      <c r="A753" s="169"/>
      <c r="B753" s="169"/>
      <c r="C753" s="169"/>
      <c r="D753" s="169"/>
      <c r="E753" s="169"/>
      <c r="F753" s="169"/>
      <c r="G753" s="169"/>
      <c r="H753" s="169"/>
      <c r="I753" s="169"/>
      <c r="J753" s="169"/>
      <c r="K753" s="169"/>
      <c r="L753" s="169"/>
      <c r="M753" s="169"/>
      <c r="N753" s="169"/>
      <c r="O753" s="169"/>
      <c r="P753" s="169"/>
      <c r="Q753" s="169"/>
      <c r="R753" s="169"/>
      <c r="S753" s="169"/>
      <c r="T753" s="169"/>
      <c r="U753" s="169"/>
      <c r="V753" s="169"/>
      <c r="W753" s="169"/>
      <c r="X753" s="169"/>
      <c r="Y753" s="169"/>
      <c r="Z753" s="169"/>
    </row>
    <row r="754" spans="1:26" ht="15.75" customHeight="1" x14ac:dyDescent="0.25">
      <c r="A754" s="169"/>
      <c r="B754" s="169"/>
      <c r="C754" s="169"/>
      <c r="D754" s="169"/>
      <c r="E754" s="169"/>
      <c r="F754" s="169"/>
      <c r="G754" s="169"/>
      <c r="H754" s="169"/>
      <c r="I754" s="169"/>
      <c r="J754" s="169"/>
      <c r="K754" s="169"/>
      <c r="L754" s="169"/>
      <c r="M754" s="169"/>
      <c r="N754" s="169"/>
      <c r="O754" s="169"/>
      <c r="P754" s="169"/>
      <c r="Q754" s="169"/>
      <c r="R754" s="169"/>
      <c r="S754" s="169"/>
      <c r="T754" s="169"/>
      <c r="U754" s="169"/>
      <c r="V754" s="169"/>
      <c r="W754" s="169"/>
      <c r="X754" s="169"/>
      <c r="Y754" s="169"/>
      <c r="Z754" s="169"/>
    </row>
    <row r="755" spans="1:26" ht="15.75" customHeight="1" x14ac:dyDescent="0.25">
      <c r="A755" s="169"/>
      <c r="B755" s="169"/>
      <c r="C755" s="169"/>
      <c r="D755" s="169"/>
      <c r="E755" s="169"/>
      <c r="F755" s="169"/>
      <c r="G755" s="169"/>
      <c r="H755" s="169"/>
      <c r="I755" s="169"/>
      <c r="J755" s="169"/>
      <c r="K755" s="169"/>
      <c r="L755" s="169"/>
      <c r="M755" s="169"/>
      <c r="N755" s="169"/>
      <c r="O755" s="169"/>
      <c r="P755" s="169"/>
      <c r="Q755" s="169"/>
      <c r="R755" s="169"/>
      <c r="S755" s="169"/>
      <c r="T755" s="169"/>
      <c r="U755" s="169"/>
      <c r="V755" s="169"/>
      <c r="W755" s="169"/>
      <c r="X755" s="169"/>
      <c r="Y755" s="169"/>
      <c r="Z755" s="169"/>
    </row>
    <row r="756" spans="1:26" ht="15.75" customHeight="1" x14ac:dyDescent="0.25">
      <c r="A756" s="169"/>
      <c r="B756" s="169"/>
      <c r="C756" s="169"/>
      <c r="D756" s="169"/>
      <c r="E756" s="169"/>
      <c r="F756" s="169"/>
      <c r="G756" s="169"/>
      <c r="H756" s="169"/>
      <c r="I756" s="169"/>
      <c r="J756" s="169"/>
      <c r="K756" s="169"/>
      <c r="L756" s="169"/>
      <c r="M756" s="169"/>
      <c r="N756" s="169"/>
      <c r="O756" s="169"/>
      <c r="P756" s="169"/>
      <c r="Q756" s="169"/>
      <c r="R756" s="169"/>
      <c r="S756" s="169"/>
      <c r="T756" s="169"/>
      <c r="U756" s="169"/>
      <c r="V756" s="169"/>
      <c r="W756" s="169"/>
      <c r="X756" s="169"/>
      <c r="Y756" s="169"/>
      <c r="Z756" s="169"/>
    </row>
    <row r="757" spans="1:26" ht="15.75" customHeight="1" x14ac:dyDescent="0.25">
      <c r="A757" s="169"/>
      <c r="B757" s="169"/>
      <c r="C757" s="169"/>
      <c r="D757" s="169"/>
      <c r="E757" s="169"/>
      <c r="F757" s="169"/>
      <c r="G757" s="169"/>
      <c r="H757" s="169"/>
      <c r="I757" s="169"/>
      <c r="J757" s="169"/>
      <c r="K757" s="169"/>
      <c r="L757" s="169"/>
      <c r="M757" s="169"/>
      <c r="N757" s="169"/>
      <c r="O757" s="169"/>
      <c r="P757" s="169"/>
      <c r="Q757" s="169"/>
      <c r="R757" s="169"/>
      <c r="S757" s="169"/>
      <c r="T757" s="169"/>
      <c r="U757" s="169"/>
      <c r="V757" s="169"/>
      <c r="W757" s="169"/>
      <c r="X757" s="169"/>
      <c r="Y757" s="169"/>
      <c r="Z757" s="169"/>
    </row>
    <row r="758" spans="1:26" ht="15.75" customHeight="1" x14ac:dyDescent="0.25">
      <c r="A758" s="169"/>
      <c r="B758" s="169"/>
      <c r="C758" s="169"/>
      <c r="D758" s="169"/>
      <c r="E758" s="169"/>
      <c r="F758" s="169"/>
      <c r="G758" s="169"/>
      <c r="H758" s="169"/>
      <c r="I758" s="169"/>
      <c r="J758" s="169"/>
      <c r="K758" s="169"/>
      <c r="L758" s="169"/>
      <c r="M758" s="169"/>
      <c r="N758" s="169"/>
      <c r="O758" s="169"/>
      <c r="P758" s="169"/>
      <c r="Q758" s="169"/>
      <c r="R758" s="169"/>
      <c r="S758" s="169"/>
      <c r="T758" s="169"/>
      <c r="U758" s="169"/>
      <c r="V758" s="169"/>
      <c r="W758" s="169"/>
      <c r="X758" s="169"/>
      <c r="Y758" s="169"/>
      <c r="Z758" s="169"/>
    </row>
    <row r="759" spans="1:26" ht="15.75" customHeight="1" x14ac:dyDescent="0.25">
      <c r="A759" s="169"/>
      <c r="B759" s="169"/>
      <c r="C759" s="169"/>
      <c r="D759" s="169"/>
      <c r="E759" s="169"/>
      <c r="F759" s="169"/>
      <c r="G759" s="169"/>
      <c r="H759" s="169"/>
      <c r="I759" s="169"/>
      <c r="J759" s="169"/>
      <c r="K759" s="169"/>
      <c r="L759" s="169"/>
      <c r="M759" s="169"/>
      <c r="N759" s="169"/>
      <c r="O759" s="169"/>
      <c r="P759" s="169"/>
      <c r="Q759" s="169"/>
      <c r="R759" s="169"/>
      <c r="S759" s="169"/>
      <c r="T759" s="169"/>
      <c r="U759" s="169"/>
      <c r="V759" s="169"/>
      <c r="W759" s="169"/>
      <c r="X759" s="169"/>
      <c r="Y759" s="169"/>
      <c r="Z759" s="169"/>
    </row>
    <row r="760" spans="1:26" ht="15.75" customHeight="1" x14ac:dyDescent="0.25">
      <c r="A760" s="169"/>
      <c r="B760" s="169"/>
      <c r="C760" s="169"/>
      <c r="D760" s="169"/>
      <c r="E760" s="169"/>
      <c r="F760" s="169"/>
      <c r="G760" s="169"/>
      <c r="H760" s="169"/>
      <c r="I760" s="169"/>
      <c r="J760" s="169"/>
      <c r="K760" s="169"/>
      <c r="L760" s="169"/>
      <c r="M760" s="169"/>
      <c r="N760" s="169"/>
      <c r="O760" s="169"/>
      <c r="P760" s="169"/>
      <c r="Q760" s="169"/>
      <c r="R760" s="169"/>
      <c r="S760" s="169"/>
      <c r="T760" s="169"/>
      <c r="U760" s="169"/>
      <c r="V760" s="169"/>
      <c r="W760" s="169"/>
      <c r="X760" s="169"/>
      <c r="Y760" s="169"/>
      <c r="Z760" s="169"/>
    </row>
    <row r="761" spans="1:26" ht="15.75" customHeight="1" x14ac:dyDescent="0.25">
      <c r="A761" s="169"/>
      <c r="B761" s="169"/>
      <c r="C761" s="169"/>
      <c r="D761" s="169"/>
      <c r="E761" s="169"/>
      <c r="F761" s="169"/>
      <c r="G761" s="169"/>
      <c r="H761" s="169"/>
      <c r="I761" s="169"/>
      <c r="J761" s="169"/>
      <c r="K761" s="169"/>
      <c r="L761" s="169"/>
      <c r="M761" s="169"/>
      <c r="N761" s="169"/>
      <c r="O761" s="169"/>
      <c r="P761" s="169"/>
      <c r="Q761" s="169"/>
      <c r="R761" s="169"/>
      <c r="S761" s="169"/>
      <c r="T761" s="169"/>
      <c r="U761" s="169"/>
      <c r="V761" s="169"/>
      <c r="W761" s="169"/>
      <c r="X761" s="169"/>
      <c r="Y761" s="169"/>
      <c r="Z761" s="169"/>
    </row>
    <row r="762" spans="1:26" ht="15.75" customHeight="1" x14ac:dyDescent="0.25">
      <c r="A762" s="169"/>
      <c r="B762" s="169"/>
      <c r="C762" s="169"/>
      <c r="D762" s="169"/>
      <c r="E762" s="169"/>
      <c r="F762" s="169"/>
      <c r="G762" s="169"/>
      <c r="H762" s="169"/>
      <c r="I762" s="169"/>
      <c r="J762" s="169"/>
      <c r="K762" s="169"/>
      <c r="L762" s="169"/>
      <c r="M762" s="169"/>
      <c r="N762" s="169"/>
      <c r="O762" s="169"/>
      <c r="P762" s="169"/>
      <c r="Q762" s="169"/>
      <c r="R762" s="169"/>
      <c r="S762" s="169"/>
      <c r="T762" s="169"/>
      <c r="U762" s="169"/>
      <c r="V762" s="169"/>
      <c r="W762" s="169"/>
      <c r="X762" s="169"/>
      <c r="Y762" s="169"/>
      <c r="Z762" s="169"/>
    </row>
    <row r="763" spans="1:26" ht="15.75" customHeight="1" x14ac:dyDescent="0.25">
      <c r="A763" s="169"/>
      <c r="B763" s="169"/>
      <c r="C763" s="169"/>
      <c r="D763" s="169"/>
      <c r="E763" s="169"/>
      <c r="F763" s="169"/>
      <c r="G763" s="169"/>
      <c r="H763" s="169"/>
      <c r="I763" s="169"/>
      <c r="J763" s="169"/>
      <c r="K763" s="169"/>
      <c r="L763" s="169"/>
      <c r="M763" s="169"/>
      <c r="N763" s="169"/>
      <c r="O763" s="169"/>
      <c r="P763" s="169"/>
      <c r="Q763" s="169"/>
      <c r="R763" s="169"/>
      <c r="S763" s="169"/>
      <c r="T763" s="169"/>
      <c r="U763" s="169"/>
      <c r="V763" s="169"/>
      <c r="W763" s="169"/>
      <c r="X763" s="169"/>
      <c r="Y763" s="169"/>
      <c r="Z763" s="169"/>
    </row>
    <row r="764" spans="1:26" ht="15.75" customHeight="1" x14ac:dyDescent="0.25">
      <c r="A764" s="169"/>
      <c r="B764" s="169"/>
      <c r="C764" s="169"/>
      <c r="D764" s="169"/>
      <c r="E764" s="169"/>
      <c r="F764" s="169"/>
      <c r="G764" s="169"/>
      <c r="H764" s="169"/>
      <c r="I764" s="169"/>
      <c r="J764" s="169"/>
      <c r="K764" s="169"/>
      <c r="L764" s="169"/>
      <c r="M764" s="169"/>
      <c r="N764" s="169"/>
      <c r="O764" s="169"/>
      <c r="P764" s="169"/>
      <c r="Q764" s="169"/>
      <c r="R764" s="169"/>
      <c r="S764" s="169"/>
      <c r="T764" s="169"/>
      <c r="U764" s="169"/>
      <c r="V764" s="169"/>
      <c r="W764" s="169"/>
      <c r="X764" s="169"/>
      <c r="Y764" s="169"/>
      <c r="Z764" s="169"/>
    </row>
    <row r="765" spans="1:26" ht="15.75" customHeight="1" x14ac:dyDescent="0.25">
      <c r="A765" s="169"/>
      <c r="B765" s="169"/>
      <c r="C765" s="169"/>
      <c r="D765" s="169"/>
      <c r="E765" s="169"/>
      <c r="F765" s="169"/>
      <c r="G765" s="169"/>
      <c r="H765" s="169"/>
      <c r="I765" s="169"/>
      <c r="J765" s="169"/>
      <c r="K765" s="169"/>
      <c r="L765" s="169"/>
      <c r="M765" s="169"/>
      <c r="N765" s="169"/>
      <c r="O765" s="169"/>
      <c r="P765" s="169"/>
      <c r="Q765" s="169"/>
      <c r="R765" s="169"/>
      <c r="S765" s="169"/>
      <c r="T765" s="169"/>
      <c r="U765" s="169"/>
      <c r="V765" s="169"/>
      <c r="W765" s="169"/>
      <c r="X765" s="169"/>
      <c r="Y765" s="169"/>
      <c r="Z765" s="169"/>
    </row>
    <row r="766" spans="1:26" ht="15.75" customHeight="1" x14ac:dyDescent="0.25">
      <c r="A766" s="169"/>
      <c r="B766" s="169"/>
      <c r="C766" s="169"/>
      <c r="D766" s="169"/>
      <c r="E766" s="169"/>
      <c r="F766" s="169"/>
      <c r="G766" s="169"/>
      <c r="H766" s="169"/>
      <c r="I766" s="169"/>
      <c r="J766" s="169"/>
      <c r="K766" s="169"/>
      <c r="L766" s="169"/>
      <c r="M766" s="169"/>
      <c r="N766" s="169"/>
      <c r="O766" s="169"/>
      <c r="P766" s="169"/>
      <c r="Q766" s="169"/>
      <c r="R766" s="169"/>
      <c r="S766" s="169"/>
      <c r="T766" s="169"/>
      <c r="U766" s="169"/>
      <c r="V766" s="169"/>
      <c r="W766" s="169"/>
      <c r="X766" s="169"/>
      <c r="Y766" s="169"/>
      <c r="Z766" s="169"/>
    </row>
    <row r="767" spans="1:26" ht="15.75" customHeight="1" x14ac:dyDescent="0.25">
      <c r="A767" s="169"/>
      <c r="B767" s="169"/>
      <c r="C767" s="169"/>
      <c r="D767" s="169"/>
      <c r="E767" s="169"/>
      <c r="F767" s="169"/>
      <c r="G767" s="169"/>
      <c r="H767" s="169"/>
      <c r="I767" s="169"/>
      <c r="J767" s="169"/>
      <c r="K767" s="169"/>
      <c r="L767" s="169"/>
      <c r="M767" s="169"/>
      <c r="N767" s="169"/>
      <c r="O767" s="169"/>
      <c r="P767" s="169"/>
      <c r="Q767" s="169"/>
      <c r="R767" s="169"/>
      <c r="S767" s="169"/>
      <c r="T767" s="169"/>
      <c r="U767" s="169"/>
      <c r="V767" s="169"/>
      <c r="W767" s="169"/>
      <c r="X767" s="169"/>
      <c r="Y767" s="169"/>
      <c r="Z767" s="169"/>
    </row>
    <row r="768" spans="1:26" ht="15.75" customHeight="1" x14ac:dyDescent="0.25">
      <c r="A768" s="169"/>
      <c r="B768" s="169"/>
      <c r="C768" s="169"/>
      <c r="D768" s="169"/>
      <c r="E768" s="169"/>
      <c r="F768" s="169"/>
      <c r="G768" s="169"/>
      <c r="H768" s="169"/>
      <c r="I768" s="169"/>
      <c r="J768" s="169"/>
      <c r="K768" s="169"/>
      <c r="L768" s="169"/>
      <c r="M768" s="169"/>
      <c r="N768" s="169"/>
      <c r="O768" s="169"/>
      <c r="P768" s="169"/>
      <c r="Q768" s="169"/>
      <c r="R768" s="169"/>
      <c r="S768" s="169"/>
      <c r="T768" s="169"/>
      <c r="U768" s="169"/>
      <c r="V768" s="169"/>
      <c r="W768" s="169"/>
      <c r="X768" s="169"/>
      <c r="Y768" s="169"/>
      <c r="Z768" s="169"/>
    </row>
    <row r="769" spans="1:26" ht="15.75" customHeight="1" x14ac:dyDescent="0.25">
      <c r="A769" s="169"/>
      <c r="B769" s="169"/>
      <c r="C769" s="169"/>
      <c r="D769" s="169"/>
      <c r="E769" s="169"/>
      <c r="F769" s="169"/>
      <c r="G769" s="169"/>
      <c r="H769" s="169"/>
      <c r="I769" s="169"/>
      <c r="J769" s="169"/>
      <c r="K769" s="169"/>
      <c r="L769" s="169"/>
      <c r="M769" s="169"/>
      <c r="N769" s="169"/>
      <c r="O769" s="169"/>
      <c r="P769" s="169"/>
      <c r="Q769" s="169"/>
      <c r="R769" s="169"/>
      <c r="S769" s="169"/>
      <c r="T769" s="169"/>
      <c r="U769" s="169"/>
      <c r="V769" s="169"/>
      <c r="W769" s="169"/>
      <c r="X769" s="169"/>
      <c r="Y769" s="169"/>
      <c r="Z769" s="169"/>
    </row>
    <row r="770" spans="1:26" ht="15.75" customHeight="1" x14ac:dyDescent="0.25">
      <c r="A770" s="169"/>
      <c r="B770" s="169"/>
      <c r="C770" s="169"/>
      <c r="D770" s="169"/>
      <c r="E770" s="169"/>
      <c r="F770" s="169"/>
      <c r="G770" s="169"/>
      <c r="H770" s="169"/>
      <c r="I770" s="169"/>
      <c r="J770" s="169"/>
      <c r="K770" s="169"/>
      <c r="L770" s="169"/>
      <c r="M770" s="169"/>
      <c r="N770" s="169"/>
      <c r="O770" s="169"/>
      <c r="P770" s="169"/>
      <c r="Q770" s="169"/>
      <c r="R770" s="169"/>
      <c r="S770" s="169"/>
      <c r="T770" s="169"/>
      <c r="U770" s="169"/>
      <c r="V770" s="169"/>
      <c r="W770" s="169"/>
      <c r="X770" s="169"/>
      <c r="Y770" s="169"/>
      <c r="Z770" s="169"/>
    </row>
    <row r="771" spans="1:26" ht="15.75" customHeight="1" x14ac:dyDescent="0.25">
      <c r="A771" s="169"/>
      <c r="B771" s="169"/>
      <c r="C771" s="169"/>
      <c r="D771" s="169"/>
      <c r="E771" s="169"/>
      <c r="F771" s="169"/>
      <c r="G771" s="169"/>
      <c r="H771" s="169"/>
      <c r="I771" s="169"/>
      <c r="J771" s="169"/>
      <c r="K771" s="169"/>
      <c r="L771" s="169"/>
      <c r="M771" s="169"/>
      <c r="N771" s="169"/>
      <c r="O771" s="169"/>
      <c r="P771" s="169"/>
      <c r="Q771" s="169"/>
      <c r="R771" s="169"/>
      <c r="S771" s="169"/>
      <c r="T771" s="169"/>
      <c r="U771" s="169"/>
      <c r="V771" s="169"/>
      <c r="W771" s="169"/>
      <c r="X771" s="169"/>
      <c r="Y771" s="169"/>
      <c r="Z771" s="169"/>
    </row>
    <row r="772" spans="1:26" ht="15.75" customHeight="1" x14ac:dyDescent="0.25">
      <c r="A772" s="169"/>
      <c r="B772" s="169"/>
      <c r="C772" s="169"/>
      <c r="D772" s="169"/>
      <c r="E772" s="169"/>
      <c r="F772" s="169"/>
      <c r="G772" s="169"/>
      <c r="H772" s="169"/>
      <c r="I772" s="169"/>
      <c r="J772" s="169"/>
      <c r="K772" s="169"/>
      <c r="L772" s="169"/>
      <c r="M772" s="169"/>
      <c r="N772" s="169"/>
      <c r="O772" s="169"/>
      <c r="P772" s="169"/>
      <c r="Q772" s="169"/>
      <c r="R772" s="169"/>
      <c r="S772" s="169"/>
      <c r="T772" s="169"/>
      <c r="U772" s="169"/>
      <c r="V772" s="169"/>
      <c r="W772" s="169"/>
      <c r="X772" s="169"/>
      <c r="Y772" s="169"/>
      <c r="Z772" s="169"/>
    </row>
    <row r="773" spans="1:26" ht="15.75" customHeight="1" x14ac:dyDescent="0.25">
      <c r="A773" s="169"/>
      <c r="B773" s="169"/>
      <c r="C773" s="169"/>
      <c r="D773" s="169"/>
      <c r="E773" s="169"/>
      <c r="F773" s="169"/>
      <c r="G773" s="169"/>
      <c r="H773" s="169"/>
      <c r="I773" s="169"/>
      <c r="J773" s="169"/>
      <c r="K773" s="169"/>
      <c r="L773" s="169"/>
      <c r="M773" s="169"/>
      <c r="N773" s="169"/>
      <c r="O773" s="169"/>
      <c r="P773" s="169"/>
      <c r="Q773" s="169"/>
      <c r="R773" s="169"/>
      <c r="S773" s="169"/>
      <c r="T773" s="169"/>
      <c r="U773" s="169"/>
      <c r="V773" s="169"/>
      <c r="W773" s="169"/>
      <c r="X773" s="169"/>
      <c r="Y773" s="169"/>
      <c r="Z773" s="169"/>
    </row>
    <row r="774" spans="1:26" ht="15.75" customHeight="1" x14ac:dyDescent="0.25">
      <c r="A774" s="169"/>
      <c r="B774" s="169"/>
      <c r="C774" s="169"/>
      <c r="D774" s="169"/>
      <c r="E774" s="169"/>
      <c r="F774" s="169"/>
      <c r="G774" s="169"/>
      <c r="H774" s="169"/>
      <c r="I774" s="169"/>
      <c r="J774" s="169"/>
      <c r="K774" s="169"/>
      <c r="L774" s="169"/>
      <c r="M774" s="169"/>
      <c r="N774" s="169"/>
      <c r="O774" s="169"/>
      <c r="P774" s="169"/>
      <c r="Q774" s="169"/>
      <c r="R774" s="169"/>
      <c r="S774" s="169"/>
      <c r="T774" s="169"/>
      <c r="U774" s="169"/>
      <c r="V774" s="169"/>
      <c r="W774" s="169"/>
      <c r="X774" s="169"/>
      <c r="Y774" s="169"/>
      <c r="Z774" s="169"/>
    </row>
    <row r="775" spans="1:26" ht="15.75" customHeight="1" x14ac:dyDescent="0.25">
      <c r="A775" s="169"/>
      <c r="B775" s="169"/>
      <c r="C775" s="169"/>
      <c r="D775" s="169"/>
      <c r="E775" s="169"/>
      <c r="F775" s="169"/>
      <c r="G775" s="169"/>
      <c r="H775" s="169"/>
      <c r="I775" s="169"/>
      <c r="J775" s="169"/>
      <c r="K775" s="169"/>
      <c r="L775" s="169"/>
      <c r="M775" s="169"/>
      <c r="N775" s="169"/>
      <c r="O775" s="169"/>
      <c r="P775" s="169"/>
      <c r="Q775" s="169"/>
      <c r="R775" s="169"/>
      <c r="S775" s="169"/>
      <c r="T775" s="169"/>
      <c r="U775" s="169"/>
      <c r="V775" s="169"/>
      <c r="W775" s="169"/>
      <c r="X775" s="169"/>
      <c r="Y775" s="169"/>
      <c r="Z775" s="169"/>
    </row>
    <row r="776" spans="1:26" ht="15.75" customHeight="1" x14ac:dyDescent="0.25">
      <c r="A776" s="169"/>
      <c r="B776" s="169"/>
      <c r="C776" s="169"/>
      <c r="D776" s="169"/>
      <c r="E776" s="169"/>
      <c r="F776" s="169"/>
      <c r="G776" s="169"/>
      <c r="H776" s="169"/>
      <c r="I776" s="169"/>
      <c r="J776" s="169"/>
      <c r="K776" s="169"/>
      <c r="L776" s="169"/>
      <c r="M776" s="169"/>
      <c r="N776" s="169"/>
      <c r="O776" s="169"/>
      <c r="P776" s="169"/>
      <c r="Q776" s="169"/>
      <c r="R776" s="169"/>
      <c r="S776" s="169"/>
      <c r="T776" s="169"/>
      <c r="U776" s="169"/>
      <c r="V776" s="169"/>
      <c r="W776" s="169"/>
      <c r="X776" s="169"/>
      <c r="Y776" s="169"/>
      <c r="Z776" s="169"/>
    </row>
    <row r="777" spans="1:26" ht="15.75" customHeight="1" x14ac:dyDescent="0.25">
      <c r="A777" s="169"/>
      <c r="B777" s="169"/>
      <c r="C777" s="169"/>
      <c r="D777" s="169"/>
      <c r="E777" s="169"/>
      <c r="F777" s="169"/>
      <c r="G777" s="169"/>
      <c r="H777" s="169"/>
      <c r="I777" s="169"/>
      <c r="J777" s="169"/>
      <c r="K777" s="169"/>
      <c r="L777" s="169"/>
      <c r="M777" s="169"/>
      <c r="N777" s="169"/>
      <c r="O777" s="169"/>
      <c r="P777" s="169"/>
      <c r="Q777" s="169"/>
      <c r="R777" s="169"/>
      <c r="S777" s="169"/>
      <c r="T777" s="169"/>
      <c r="U777" s="169"/>
      <c r="V777" s="169"/>
      <c r="W777" s="169"/>
      <c r="X777" s="169"/>
      <c r="Y777" s="169"/>
      <c r="Z777" s="169"/>
    </row>
    <row r="778" spans="1:26" ht="15.75" customHeight="1" x14ac:dyDescent="0.25">
      <c r="A778" s="169"/>
      <c r="B778" s="169"/>
      <c r="C778" s="169"/>
      <c r="D778" s="169"/>
      <c r="E778" s="169"/>
      <c r="F778" s="169"/>
      <c r="G778" s="169"/>
      <c r="H778" s="169"/>
      <c r="I778" s="169"/>
      <c r="J778" s="169"/>
      <c r="K778" s="169"/>
      <c r="L778" s="169"/>
      <c r="M778" s="169"/>
      <c r="N778" s="169"/>
      <c r="O778" s="169"/>
      <c r="P778" s="169"/>
      <c r="Q778" s="169"/>
      <c r="R778" s="169"/>
      <c r="S778" s="169"/>
      <c r="T778" s="169"/>
      <c r="U778" s="169"/>
      <c r="V778" s="169"/>
      <c r="W778" s="169"/>
      <c r="X778" s="169"/>
      <c r="Y778" s="169"/>
      <c r="Z778" s="169"/>
    </row>
    <row r="779" spans="1:26" ht="15.75" customHeight="1" x14ac:dyDescent="0.25">
      <c r="A779" s="169"/>
      <c r="B779" s="169"/>
      <c r="C779" s="169"/>
      <c r="D779" s="169"/>
      <c r="E779" s="169"/>
      <c r="F779" s="169"/>
      <c r="G779" s="169"/>
      <c r="H779" s="169"/>
      <c r="I779" s="169"/>
      <c r="J779" s="169"/>
      <c r="K779" s="169"/>
      <c r="L779" s="169"/>
      <c r="M779" s="169"/>
      <c r="N779" s="169"/>
      <c r="O779" s="169"/>
      <c r="P779" s="169"/>
      <c r="Q779" s="169"/>
      <c r="R779" s="169"/>
      <c r="S779" s="169"/>
      <c r="T779" s="169"/>
      <c r="U779" s="169"/>
      <c r="V779" s="169"/>
      <c r="W779" s="169"/>
      <c r="X779" s="169"/>
      <c r="Y779" s="169"/>
      <c r="Z779" s="169"/>
    </row>
    <row r="780" spans="1:26" ht="15.75" customHeight="1" x14ac:dyDescent="0.25">
      <c r="A780" s="169"/>
      <c r="B780" s="169"/>
      <c r="C780" s="169"/>
      <c r="D780" s="169"/>
      <c r="E780" s="169"/>
      <c r="F780" s="169"/>
      <c r="G780" s="169"/>
      <c r="H780" s="169"/>
      <c r="I780" s="169"/>
      <c r="J780" s="169"/>
      <c r="K780" s="169"/>
      <c r="L780" s="169"/>
      <c r="M780" s="169"/>
      <c r="N780" s="169"/>
      <c r="O780" s="169"/>
      <c r="P780" s="169"/>
      <c r="Q780" s="169"/>
      <c r="R780" s="169"/>
      <c r="S780" s="169"/>
      <c r="T780" s="169"/>
      <c r="U780" s="169"/>
      <c r="V780" s="169"/>
      <c r="W780" s="169"/>
      <c r="X780" s="169"/>
      <c r="Y780" s="169"/>
      <c r="Z780" s="169"/>
    </row>
    <row r="781" spans="1:26" ht="15.75" customHeight="1" x14ac:dyDescent="0.25">
      <c r="A781" s="169"/>
      <c r="B781" s="169"/>
      <c r="C781" s="169"/>
      <c r="D781" s="169"/>
      <c r="E781" s="169"/>
      <c r="F781" s="169"/>
      <c r="G781" s="169"/>
      <c r="H781" s="169"/>
      <c r="I781" s="169"/>
      <c r="J781" s="169"/>
      <c r="K781" s="169"/>
      <c r="L781" s="169"/>
      <c r="M781" s="169"/>
      <c r="N781" s="169"/>
      <c r="O781" s="169"/>
      <c r="P781" s="169"/>
      <c r="Q781" s="169"/>
      <c r="R781" s="169"/>
      <c r="S781" s="169"/>
      <c r="T781" s="169"/>
      <c r="U781" s="169"/>
      <c r="V781" s="169"/>
      <c r="W781" s="169"/>
      <c r="X781" s="169"/>
      <c r="Y781" s="169"/>
      <c r="Z781" s="169"/>
    </row>
    <row r="782" spans="1:26" ht="15.75" customHeight="1" x14ac:dyDescent="0.25">
      <c r="A782" s="169"/>
      <c r="B782" s="169"/>
      <c r="C782" s="169"/>
      <c r="D782" s="169"/>
      <c r="E782" s="169"/>
      <c r="F782" s="169"/>
      <c r="G782" s="169"/>
      <c r="H782" s="169"/>
      <c r="I782" s="169"/>
      <c r="J782" s="169"/>
      <c r="K782" s="169"/>
      <c r="L782" s="169"/>
      <c r="M782" s="169"/>
      <c r="N782" s="169"/>
      <c r="O782" s="169"/>
      <c r="P782" s="169"/>
      <c r="Q782" s="169"/>
      <c r="R782" s="169"/>
      <c r="S782" s="169"/>
      <c r="T782" s="169"/>
      <c r="U782" s="169"/>
      <c r="V782" s="169"/>
      <c r="W782" s="169"/>
      <c r="X782" s="169"/>
      <c r="Y782" s="169"/>
      <c r="Z782" s="169"/>
    </row>
    <row r="783" spans="1:26" ht="15.75" customHeight="1" x14ac:dyDescent="0.25">
      <c r="A783" s="169"/>
      <c r="B783" s="169"/>
      <c r="C783" s="169"/>
      <c r="D783" s="169"/>
      <c r="E783" s="169"/>
      <c r="F783" s="169"/>
      <c r="G783" s="169"/>
      <c r="H783" s="169"/>
      <c r="I783" s="169"/>
      <c r="J783" s="169"/>
      <c r="K783" s="169"/>
      <c r="L783" s="169"/>
      <c r="M783" s="169"/>
      <c r="N783" s="169"/>
      <c r="O783" s="169"/>
      <c r="P783" s="169"/>
      <c r="Q783" s="169"/>
      <c r="R783" s="169"/>
      <c r="S783" s="169"/>
      <c r="T783" s="169"/>
      <c r="U783" s="169"/>
      <c r="V783" s="169"/>
      <c r="W783" s="169"/>
      <c r="X783" s="169"/>
      <c r="Y783" s="169"/>
      <c r="Z783" s="169"/>
    </row>
    <row r="784" spans="1:26" ht="15.75" customHeight="1" x14ac:dyDescent="0.25">
      <c r="A784" s="169"/>
      <c r="B784" s="169"/>
      <c r="C784" s="169"/>
      <c r="D784" s="169"/>
      <c r="E784" s="169"/>
      <c r="F784" s="169"/>
      <c r="G784" s="169"/>
      <c r="H784" s="169"/>
      <c r="I784" s="169"/>
      <c r="J784" s="169"/>
      <c r="K784" s="169"/>
      <c r="L784" s="169"/>
      <c r="M784" s="169"/>
      <c r="N784" s="169"/>
      <c r="O784" s="169"/>
      <c r="P784" s="169"/>
      <c r="Q784" s="169"/>
      <c r="R784" s="169"/>
      <c r="S784" s="169"/>
      <c r="T784" s="169"/>
      <c r="U784" s="169"/>
      <c r="V784" s="169"/>
      <c r="W784" s="169"/>
      <c r="X784" s="169"/>
      <c r="Y784" s="169"/>
      <c r="Z784" s="169"/>
    </row>
    <row r="785" spans="1:26" ht="15.75" customHeight="1" x14ac:dyDescent="0.25">
      <c r="A785" s="169"/>
      <c r="B785" s="169"/>
      <c r="C785" s="169"/>
      <c r="D785" s="169"/>
      <c r="E785" s="169"/>
      <c r="F785" s="169"/>
      <c r="G785" s="169"/>
      <c r="H785" s="169"/>
      <c r="I785" s="169"/>
      <c r="J785" s="169"/>
      <c r="K785" s="169"/>
      <c r="L785" s="169"/>
      <c r="M785" s="169"/>
      <c r="N785" s="169"/>
      <c r="O785" s="169"/>
      <c r="P785" s="169"/>
      <c r="Q785" s="169"/>
      <c r="R785" s="169"/>
      <c r="S785" s="169"/>
      <c r="T785" s="169"/>
      <c r="U785" s="169"/>
      <c r="V785" s="169"/>
      <c r="W785" s="169"/>
      <c r="X785" s="169"/>
      <c r="Y785" s="169"/>
      <c r="Z785" s="169"/>
    </row>
    <row r="786" spans="1:26" ht="15.75" customHeight="1" x14ac:dyDescent="0.25">
      <c r="A786" s="169"/>
      <c r="B786" s="169"/>
      <c r="C786" s="169"/>
      <c r="D786" s="169"/>
      <c r="E786" s="169"/>
      <c r="F786" s="169"/>
      <c r="G786" s="169"/>
      <c r="H786" s="169"/>
      <c r="I786" s="169"/>
      <c r="J786" s="169"/>
      <c r="K786" s="169"/>
      <c r="L786" s="169"/>
      <c r="M786" s="169"/>
      <c r="N786" s="169"/>
      <c r="O786" s="169"/>
      <c r="P786" s="169"/>
      <c r="Q786" s="169"/>
      <c r="R786" s="169"/>
      <c r="S786" s="169"/>
      <c r="T786" s="169"/>
      <c r="U786" s="169"/>
      <c r="V786" s="169"/>
      <c r="W786" s="169"/>
      <c r="X786" s="169"/>
      <c r="Y786" s="169"/>
      <c r="Z786" s="169"/>
    </row>
    <row r="787" spans="1:26" ht="15.75" customHeight="1" x14ac:dyDescent="0.25">
      <c r="A787" s="169"/>
      <c r="B787" s="169"/>
      <c r="C787" s="169"/>
      <c r="D787" s="169"/>
      <c r="E787" s="169"/>
      <c r="F787" s="169"/>
      <c r="G787" s="169"/>
      <c r="H787" s="169"/>
      <c r="I787" s="169"/>
      <c r="J787" s="169"/>
      <c r="K787" s="169"/>
      <c r="L787" s="169"/>
      <c r="M787" s="169"/>
      <c r="N787" s="169"/>
      <c r="O787" s="169"/>
      <c r="P787" s="169"/>
      <c r="Q787" s="169"/>
      <c r="R787" s="169"/>
      <c r="S787" s="169"/>
      <c r="T787" s="169"/>
      <c r="U787" s="169"/>
      <c r="V787" s="169"/>
      <c r="W787" s="169"/>
      <c r="X787" s="169"/>
      <c r="Y787" s="169"/>
      <c r="Z787" s="169"/>
    </row>
    <row r="788" spans="1:26" ht="15.75" customHeight="1" x14ac:dyDescent="0.25">
      <c r="A788" s="169"/>
      <c r="B788" s="169"/>
      <c r="C788" s="169"/>
      <c r="D788" s="169"/>
      <c r="E788" s="169"/>
      <c r="F788" s="169"/>
      <c r="G788" s="169"/>
      <c r="H788" s="169"/>
      <c r="I788" s="169"/>
      <c r="J788" s="169"/>
      <c r="K788" s="169"/>
      <c r="L788" s="169"/>
      <c r="M788" s="169"/>
      <c r="N788" s="169"/>
      <c r="O788" s="169"/>
      <c r="P788" s="169"/>
      <c r="Q788" s="169"/>
      <c r="R788" s="169"/>
      <c r="S788" s="169"/>
      <c r="T788" s="169"/>
      <c r="U788" s="169"/>
      <c r="V788" s="169"/>
      <c r="W788" s="169"/>
      <c r="X788" s="169"/>
      <c r="Y788" s="169"/>
      <c r="Z788" s="169"/>
    </row>
    <row r="789" spans="1:26" ht="15.75" customHeight="1" x14ac:dyDescent="0.25">
      <c r="A789" s="169"/>
      <c r="B789" s="169"/>
      <c r="C789" s="169"/>
      <c r="D789" s="169"/>
      <c r="E789" s="169"/>
      <c r="F789" s="169"/>
      <c r="G789" s="169"/>
      <c r="H789" s="169"/>
      <c r="I789" s="169"/>
      <c r="J789" s="169"/>
      <c r="K789" s="169"/>
      <c r="L789" s="169"/>
      <c r="M789" s="169"/>
      <c r="N789" s="169"/>
      <c r="O789" s="169"/>
      <c r="P789" s="169"/>
      <c r="Q789" s="169"/>
      <c r="R789" s="169"/>
      <c r="S789" s="169"/>
      <c r="T789" s="169"/>
      <c r="U789" s="169"/>
      <c r="V789" s="169"/>
      <c r="W789" s="169"/>
      <c r="X789" s="169"/>
      <c r="Y789" s="169"/>
      <c r="Z789" s="169"/>
    </row>
    <row r="790" spans="1:26" ht="15.75" customHeight="1" x14ac:dyDescent="0.25">
      <c r="A790" s="169"/>
      <c r="B790" s="169"/>
      <c r="C790" s="169"/>
      <c r="D790" s="169"/>
      <c r="E790" s="169"/>
      <c r="F790" s="169"/>
      <c r="G790" s="169"/>
      <c r="H790" s="169"/>
      <c r="I790" s="169"/>
      <c r="J790" s="169"/>
      <c r="K790" s="169"/>
      <c r="L790" s="169"/>
      <c r="M790" s="169"/>
      <c r="N790" s="169"/>
      <c r="O790" s="169"/>
      <c r="P790" s="169"/>
      <c r="Q790" s="169"/>
      <c r="R790" s="169"/>
      <c r="S790" s="169"/>
      <c r="T790" s="169"/>
      <c r="U790" s="169"/>
      <c r="V790" s="169"/>
      <c r="W790" s="169"/>
      <c r="X790" s="169"/>
      <c r="Y790" s="169"/>
      <c r="Z790" s="169"/>
    </row>
    <row r="791" spans="1:26" ht="15.75" customHeight="1" x14ac:dyDescent="0.25">
      <c r="A791" s="169"/>
      <c r="B791" s="169"/>
      <c r="C791" s="169"/>
      <c r="D791" s="169"/>
      <c r="E791" s="169"/>
      <c r="F791" s="169"/>
      <c r="G791" s="169"/>
      <c r="H791" s="169"/>
      <c r="I791" s="169"/>
      <c r="J791" s="169"/>
      <c r="K791" s="169"/>
      <c r="L791" s="169"/>
      <c r="M791" s="169"/>
      <c r="N791" s="169"/>
      <c r="O791" s="169"/>
      <c r="P791" s="169"/>
      <c r="Q791" s="169"/>
      <c r="R791" s="169"/>
      <c r="S791" s="169"/>
      <c r="T791" s="169"/>
      <c r="U791" s="169"/>
      <c r="V791" s="169"/>
      <c r="W791" s="169"/>
      <c r="X791" s="169"/>
      <c r="Y791" s="169"/>
      <c r="Z791" s="169"/>
    </row>
    <row r="792" spans="1:26" ht="15.75" customHeight="1" x14ac:dyDescent="0.25">
      <c r="A792" s="169"/>
      <c r="B792" s="169"/>
      <c r="C792" s="169"/>
      <c r="D792" s="169"/>
      <c r="E792" s="169"/>
      <c r="F792" s="169"/>
      <c r="G792" s="169"/>
      <c r="H792" s="169"/>
      <c r="I792" s="169"/>
      <c r="J792" s="169"/>
      <c r="K792" s="169"/>
      <c r="L792" s="169"/>
      <c r="M792" s="169"/>
      <c r="N792" s="169"/>
      <c r="O792" s="169"/>
      <c r="P792" s="169"/>
      <c r="Q792" s="169"/>
      <c r="R792" s="169"/>
      <c r="S792" s="169"/>
      <c r="T792" s="169"/>
      <c r="U792" s="169"/>
      <c r="V792" s="169"/>
      <c r="W792" s="169"/>
      <c r="X792" s="169"/>
      <c r="Y792" s="169"/>
      <c r="Z792" s="169"/>
    </row>
    <row r="793" spans="1:26" ht="15.75" customHeight="1" x14ac:dyDescent="0.25">
      <c r="A793" s="169"/>
      <c r="B793" s="169"/>
      <c r="C793" s="169"/>
      <c r="D793" s="169"/>
      <c r="E793" s="169"/>
      <c r="F793" s="169"/>
      <c r="G793" s="169"/>
      <c r="H793" s="169"/>
      <c r="I793" s="169"/>
      <c r="J793" s="169"/>
      <c r="K793" s="169"/>
      <c r="L793" s="169"/>
      <c r="M793" s="169"/>
      <c r="N793" s="169"/>
      <c r="O793" s="169"/>
      <c r="P793" s="169"/>
      <c r="Q793" s="169"/>
      <c r="R793" s="169"/>
      <c r="S793" s="169"/>
      <c r="T793" s="169"/>
      <c r="U793" s="169"/>
      <c r="V793" s="169"/>
      <c r="W793" s="169"/>
      <c r="X793" s="169"/>
      <c r="Y793" s="169"/>
      <c r="Z793" s="169"/>
    </row>
    <row r="794" spans="1:26" ht="15.75" customHeight="1" x14ac:dyDescent="0.25">
      <c r="A794" s="169"/>
      <c r="B794" s="169"/>
      <c r="C794" s="169"/>
      <c r="D794" s="169"/>
      <c r="E794" s="169"/>
      <c r="F794" s="169"/>
      <c r="G794" s="169"/>
      <c r="H794" s="169"/>
      <c r="I794" s="169"/>
      <c r="J794" s="169"/>
      <c r="K794" s="169"/>
      <c r="L794" s="169"/>
      <c r="M794" s="169"/>
      <c r="N794" s="169"/>
      <c r="O794" s="169"/>
      <c r="P794" s="169"/>
      <c r="Q794" s="169"/>
      <c r="R794" s="169"/>
      <c r="S794" s="169"/>
      <c r="T794" s="169"/>
      <c r="U794" s="169"/>
      <c r="V794" s="169"/>
      <c r="W794" s="169"/>
      <c r="X794" s="169"/>
      <c r="Y794" s="169"/>
      <c r="Z794" s="169"/>
    </row>
    <row r="795" spans="1:26" ht="15.75" customHeight="1" x14ac:dyDescent="0.25">
      <c r="A795" s="169"/>
      <c r="B795" s="169"/>
      <c r="C795" s="169"/>
      <c r="D795" s="169"/>
      <c r="E795" s="169"/>
      <c r="F795" s="169"/>
      <c r="G795" s="169"/>
      <c r="H795" s="169"/>
      <c r="I795" s="169"/>
      <c r="J795" s="169"/>
      <c r="K795" s="169"/>
      <c r="L795" s="169"/>
      <c r="M795" s="169"/>
      <c r="N795" s="169"/>
      <c r="O795" s="169"/>
      <c r="P795" s="169"/>
      <c r="Q795" s="169"/>
      <c r="R795" s="169"/>
      <c r="S795" s="169"/>
      <c r="T795" s="169"/>
      <c r="U795" s="169"/>
      <c r="V795" s="169"/>
      <c r="W795" s="169"/>
      <c r="X795" s="169"/>
      <c r="Y795" s="169"/>
      <c r="Z795" s="169"/>
    </row>
    <row r="796" spans="1:26" ht="15.75" customHeight="1" x14ac:dyDescent="0.25">
      <c r="A796" s="169"/>
      <c r="B796" s="169"/>
      <c r="C796" s="169"/>
      <c r="D796" s="169"/>
      <c r="E796" s="169"/>
      <c r="F796" s="169"/>
      <c r="G796" s="169"/>
      <c r="H796" s="169"/>
      <c r="I796" s="169"/>
      <c r="J796" s="169"/>
      <c r="K796" s="169"/>
      <c r="L796" s="169"/>
      <c r="M796" s="169"/>
      <c r="N796" s="169"/>
      <c r="O796" s="169"/>
      <c r="P796" s="169"/>
      <c r="Q796" s="169"/>
      <c r="R796" s="169"/>
      <c r="S796" s="169"/>
      <c r="T796" s="169"/>
      <c r="U796" s="169"/>
      <c r="V796" s="169"/>
      <c r="W796" s="169"/>
      <c r="X796" s="169"/>
      <c r="Y796" s="169"/>
      <c r="Z796" s="169"/>
    </row>
    <row r="797" spans="1:26" ht="15.75" customHeight="1" x14ac:dyDescent="0.25">
      <c r="A797" s="169"/>
      <c r="B797" s="169"/>
      <c r="C797" s="169"/>
      <c r="D797" s="169"/>
      <c r="E797" s="169"/>
      <c r="F797" s="169"/>
      <c r="G797" s="169"/>
      <c r="H797" s="169"/>
      <c r="I797" s="169"/>
      <c r="J797" s="169"/>
      <c r="K797" s="169"/>
      <c r="L797" s="169"/>
      <c r="M797" s="169"/>
      <c r="N797" s="169"/>
      <c r="O797" s="169"/>
      <c r="P797" s="169"/>
      <c r="Q797" s="169"/>
      <c r="R797" s="169"/>
      <c r="S797" s="169"/>
      <c r="T797" s="169"/>
      <c r="U797" s="169"/>
      <c r="V797" s="169"/>
      <c r="W797" s="169"/>
      <c r="X797" s="169"/>
      <c r="Y797" s="169"/>
      <c r="Z797" s="169"/>
    </row>
    <row r="798" spans="1:26" ht="15.75" customHeight="1" x14ac:dyDescent="0.25">
      <c r="A798" s="169"/>
      <c r="B798" s="169"/>
      <c r="C798" s="169"/>
      <c r="D798" s="169"/>
      <c r="E798" s="169"/>
      <c r="F798" s="169"/>
      <c r="G798" s="169"/>
      <c r="H798" s="169"/>
      <c r="I798" s="169"/>
      <c r="J798" s="169"/>
      <c r="K798" s="169"/>
      <c r="L798" s="169"/>
      <c r="M798" s="169"/>
      <c r="N798" s="169"/>
      <c r="O798" s="169"/>
      <c r="P798" s="169"/>
      <c r="Q798" s="169"/>
      <c r="R798" s="169"/>
      <c r="S798" s="169"/>
      <c r="T798" s="169"/>
      <c r="U798" s="169"/>
      <c r="V798" s="169"/>
      <c r="W798" s="169"/>
      <c r="X798" s="169"/>
      <c r="Y798" s="169"/>
      <c r="Z798" s="169"/>
    </row>
    <row r="799" spans="1:26" ht="15.75" customHeight="1" x14ac:dyDescent="0.25">
      <c r="A799" s="169"/>
      <c r="B799" s="169"/>
      <c r="C799" s="169"/>
      <c r="D799" s="169"/>
      <c r="E799" s="169"/>
      <c r="F799" s="169"/>
      <c r="G799" s="169"/>
      <c r="H799" s="169"/>
      <c r="I799" s="169"/>
      <c r="J799" s="169"/>
      <c r="K799" s="169"/>
      <c r="L799" s="169"/>
      <c r="M799" s="169"/>
      <c r="N799" s="169"/>
      <c r="O799" s="169"/>
      <c r="P799" s="169"/>
      <c r="Q799" s="169"/>
      <c r="R799" s="169"/>
      <c r="S799" s="169"/>
      <c r="T799" s="169"/>
      <c r="U799" s="169"/>
      <c r="V799" s="169"/>
      <c r="W799" s="169"/>
      <c r="X799" s="169"/>
      <c r="Y799" s="169"/>
      <c r="Z799" s="169"/>
    </row>
    <row r="800" spans="1:26" ht="15.75" customHeight="1" x14ac:dyDescent="0.25">
      <c r="A800" s="169"/>
      <c r="B800" s="169"/>
      <c r="C800" s="169"/>
      <c r="D800" s="169"/>
      <c r="E800" s="169"/>
      <c r="F800" s="169"/>
      <c r="G800" s="169"/>
      <c r="H800" s="169"/>
      <c r="I800" s="169"/>
      <c r="J800" s="169"/>
      <c r="K800" s="169"/>
      <c r="L800" s="169"/>
      <c r="M800" s="169"/>
      <c r="N800" s="169"/>
      <c r="O800" s="169"/>
      <c r="P800" s="169"/>
      <c r="Q800" s="169"/>
      <c r="R800" s="169"/>
      <c r="S800" s="169"/>
      <c r="T800" s="169"/>
      <c r="U800" s="169"/>
      <c r="V800" s="169"/>
      <c r="W800" s="169"/>
      <c r="X800" s="169"/>
      <c r="Y800" s="169"/>
      <c r="Z800" s="169"/>
    </row>
    <row r="801" spans="1:26" ht="15.75" customHeight="1" x14ac:dyDescent="0.25">
      <c r="A801" s="169"/>
      <c r="B801" s="169"/>
      <c r="C801" s="169"/>
      <c r="D801" s="169"/>
      <c r="E801" s="169"/>
      <c r="F801" s="169"/>
      <c r="G801" s="169"/>
      <c r="H801" s="169"/>
      <c r="I801" s="169"/>
      <c r="J801" s="169"/>
      <c r="K801" s="169"/>
      <c r="L801" s="169"/>
      <c r="M801" s="169"/>
      <c r="N801" s="169"/>
      <c r="O801" s="169"/>
      <c r="P801" s="169"/>
      <c r="Q801" s="169"/>
      <c r="R801" s="169"/>
      <c r="S801" s="169"/>
      <c r="T801" s="169"/>
      <c r="U801" s="169"/>
      <c r="V801" s="169"/>
      <c r="W801" s="169"/>
      <c r="X801" s="169"/>
      <c r="Y801" s="169"/>
      <c r="Z801" s="169"/>
    </row>
    <row r="802" spans="1:26" ht="15.75" customHeight="1" x14ac:dyDescent="0.25">
      <c r="A802" s="169"/>
      <c r="B802" s="169"/>
      <c r="C802" s="169"/>
      <c r="D802" s="169"/>
      <c r="E802" s="169"/>
      <c r="F802" s="169"/>
      <c r="G802" s="169"/>
      <c r="H802" s="169"/>
      <c r="I802" s="169"/>
      <c r="J802" s="169"/>
      <c r="K802" s="169"/>
      <c r="L802" s="169"/>
      <c r="M802" s="169"/>
      <c r="N802" s="169"/>
      <c r="O802" s="169"/>
      <c r="P802" s="169"/>
      <c r="Q802" s="169"/>
      <c r="R802" s="169"/>
      <c r="S802" s="169"/>
      <c r="T802" s="169"/>
      <c r="U802" s="169"/>
      <c r="V802" s="169"/>
      <c r="W802" s="169"/>
      <c r="X802" s="169"/>
      <c r="Y802" s="169"/>
      <c r="Z802" s="169"/>
    </row>
    <row r="803" spans="1:26" ht="15.75" customHeight="1" x14ac:dyDescent="0.25">
      <c r="A803" s="169"/>
      <c r="B803" s="169"/>
      <c r="C803" s="169"/>
      <c r="D803" s="169"/>
      <c r="E803" s="169"/>
      <c r="F803" s="169"/>
      <c r="G803" s="169"/>
      <c r="H803" s="169"/>
      <c r="I803" s="169"/>
      <c r="J803" s="169"/>
      <c r="K803" s="169"/>
      <c r="L803" s="169"/>
      <c r="M803" s="169"/>
      <c r="N803" s="169"/>
      <c r="O803" s="169"/>
      <c r="P803" s="169"/>
      <c r="Q803" s="169"/>
      <c r="R803" s="169"/>
      <c r="S803" s="169"/>
      <c r="T803" s="169"/>
      <c r="U803" s="169"/>
      <c r="V803" s="169"/>
      <c r="W803" s="169"/>
      <c r="X803" s="169"/>
      <c r="Y803" s="169"/>
      <c r="Z803" s="169"/>
    </row>
    <row r="804" spans="1:26" ht="15.75" customHeight="1" x14ac:dyDescent="0.25">
      <c r="A804" s="169"/>
      <c r="B804" s="169"/>
      <c r="C804" s="169"/>
      <c r="D804" s="169"/>
      <c r="E804" s="169"/>
      <c r="F804" s="169"/>
      <c r="G804" s="169"/>
      <c r="H804" s="169"/>
      <c r="I804" s="169"/>
      <c r="J804" s="169"/>
      <c r="K804" s="169"/>
      <c r="L804" s="169"/>
      <c r="M804" s="169"/>
      <c r="N804" s="169"/>
      <c r="O804" s="169"/>
      <c r="P804" s="169"/>
      <c r="Q804" s="169"/>
      <c r="R804" s="169"/>
      <c r="S804" s="169"/>
      <c r="T804" s="169"/>
      <c r="U804" s="169"/>
      <c r="V804" s="169"/>
      <c r="W804" s="169"/>
      <c r="X804" s="169"/>
      <c r="Y804" s="169"/>
      <c r="Z804" s="169"/>
    </row>
    <row r="805" spans="1:26" ht="15.75" customHeight="1" x14ac:dyDescent="0.25">
      <c r="A805" s="169"/>
      <c r="B805" s="169"/>
      <c r="C805" s="169"/>
      <c r="D805" s="169"/>
      <c r="E805" s="169"/>
      <c r="F805" s="169"/>
      <c r="G805" s="169"/>
      <c r="H805" s="169"/>
      <c r="I805" s="169"/>
      <c r="J805" s="169"/>
      <c r="K805" s="169"/>
      <c r="L805" s="169"/>
      <c r="M805" s="169"/>
      <c r="N805" s="169"/>
      <c r="O805" s="169"/>
      <c r="P805" s="169"/>
      <c r="Q805" s="169"/>
      <c r="R805" s="169"/>
      <c r="S805" s="169"/>
      <c r="T805" s="169"/>
      <c r="U805" s="169"/>
      <c r="V805" s="169"/>
      <c r="W805" s="169"/>
      <c r="X805" s="169"/>
      <c r="Y805" s="169"/>
      <c r="Z805" s="169"/>
    </row>
    <row r="806" spans="1:26" ht="15.75" customHeight="1" x14ac:dyDescent="0.25">
      <c r="A806" s="169"/>
      <c r="B806" s="169"/>
      <c r="C806" s="169"/>
      <c r="D806" s="169"/>
      <c r="E806" s="169"/>
      <c r="F806" s="169"/>
      <c r="G806" s="169"/>
      <c r="H806" s="169"/>
      <c r="I806" s="169"/>
      <c r="J806" s="169"/>
      <c r="K806" s="169"/>
      <c r="L806" s="169"/>
      <c r="M806" s="169"/>
      <c r="N806" s="169"/>
      <c r="O806" s="169"/>
      <c r="P806" s="169"/>
      <c r="Q806" s="169"/>
      <c r="R806" s="169"/>
      <c r="S806" s="169"/>
      <c r="T806" s="169"/>
      <c r="U806" s="169"/>
      <c r="V806" s="169"/>
      <c r="W806" s="169"/>
      <c r="X806" s="169"/>
      <c r="Y806" s="169"/>
      <c r="Z806" s="169"/>
    </row>
    <row r="807" spans="1:26" ht="15.75" customHeight="1" x14ac:dyDescent="0.25">
      <c r="A807" s="169"/>
      <c r="B807" s="169"/>
      <c r="C807" s="169"/>
      <c r="D807" s="169"/>
      <c r="E807" s="169"/>
      <c r="F807" s="169"/>
      <c r="G807" s="169"/>
      <c r="H807" s="169"/>
      <c r="I807" s="169"/>
      <c r="J807" s="169"/>
      <c r="K807" s="169"/>
      <c r="L807" s="169"/>
      <c r="M807" s="169"/>
      <c r="N807" s="169"/>
      <c r="O807" s="169"/>
      <c r="P807" s="169"/>
      <c r="Q807" s="169"/>
      <c r="R807" s="169"/>
      <c r="S807" s="169"/>
      <c r="T807" s="169"/>
      <c r="U807" s="169"/>
      <c r="V807" s="169"/>
      <c r="W807" s="169"/>
      <c r="X807" s="169"/>
      <c r="Y807" s="169"/>
      <c r="Z807" s="169"/>
    </row>
    <row r="808" spans="1:26" ht="15.75" customHeight="1" x14ac:dyDescent="0.25">
      <c r="A808" s="169"/>
      <c r="B808" s="169"/>
      <c r="C808" s="169"/>
      <c r="D808" s="169"/>
      <c r="E808" s="169"/>
      <c r="F808" s="169"/>
      <c r="G808" s="169"/>
      <c r="H808" s="169"/>
      <c r="I808" s="169"/>
      <c r="J808" s="169"/>
      <c r="K808" s="169"/>
      <c r="L808" s="169"/>
      <c r="M808" s="169"/>
      <c r="N808" s="169"/>
      <c r="O808" s="169"/>
      <c r="P808" s="169"/>
      <c r="Q808" s="169"/>
      <c r="R808" s="169"/>
      <c r="S808" s="169"/>
      <c r="T808" s="169"/>
      <c r="U808" s="169"/>
      <c r="V808" s="169"/>
      <c r="W808" s="169"/>
      <c r="X808" s="169"/>
      <c r="Y808" s="169"/>
      <c r="Z808" s="169"/>
    </row>
    <row r="809" spans="1:26" ht="15.75" customHeight="1" x14ac:dyDescent="0.25">
      <c r="A809" s="169"/>
      <c r="B809" s="169"/>
      <c r="C809" s="169"/>
      <c r="D809" s="169"/>
      <c r="E809" s="169"/>
      <c r="F809" s="169"/>
      <c r="G809" s="169"/>
      <c r="H809" s="169"/>
      <c r="I809" s="169"/>
      <c r="J809" s="169"/>
      <c r="K809" s="169"/>
      <c r="L809" s="169"/>
      <c r="M809" s="169"/>
      <c r="N809" s="169"/>
      <c r="O809" s="169"/>
      <c r="P809" s="169"/>
      <c r="Q809" s="169"/>
      <c r="R809" s="169"/>
      <c r="S809" s="169"/>
      <c r="T809" s="169"/>
      <c r="U809" s="169"/>
      <c r="V809" s="169"/>
      <c r="W809" s="169"/>
      <c r="X809" s="169"/>
      <c r="Y809" s="169"/>
      <c r="Z809" s="169"/>
    </row>
    <row r="810" spans="1:26" ht="15.75" customHeight="1" x14ac:dyDescent="0.25">
      <c r="A810" s="169"/>
      <c r="B810" s="169"/>
      <c r="C810" s="169"/>
      <c r="D810" s="169"/>
      <c r="E810" s="169"/>
      <c r="F810" s="169"/>
      <c r="G810" s="169"/>
      <c r="H810" s="169"/>
      <c r="I810" s="169"/>
      <c r="J810" s="169"/>
      <c r="K810" s="169"/>
      <c r="L810" s="169"/>
      <c r="M810" s="169"/>
      <c r="N810" s="169"/>
      <c r="O810" s="169"/>
      <c r="P810" s="169"/>
      <c r="Q810" s="169"/>
      <c r="R810" s="169"/>
      <c r="S810" s="169"/>
      <c r="T810" s="169"/>
      <c r="U810" s="169"/>
      <c r="V810" s="169"/>
      <c r="W810" s="169"/>
      <c r="X810" s="169"/>
      <c r="Y810" s="169"/>
      <c r="Z810" s="169"/>
    </row>
    <row r="811" spans="1:26" ht="15.75" customHeight="1" x14ac:dyDescent="0.25">
      <c r="A811" s="169"/>
      <c r="B811" s="169"/>
      <c r="C811" s="169"/>
      <c r="D811" s="169"/>
      <c r="E811" s="169"/>
      <c r="F811" s="169"/>
      <c r="G811" s="169"/>
      <c r="H811" s="169"/>
      <c r="I811" s="169"/>
      <c r="J811" s="169"/>
      <c r="K811" s="169"/>
      <c r="L811" s="169"/>
      <c r="M811" s="169"/>
      <c r="N811" s="169"/>
      <c r="O811" s="169"/>
      <c r="P811" s="169"/>
      <c r="Q811" s="169"/>
      <c r="R811" s="169"/>
      <c r="S811" s="169"/>
      <c r="T811" s="169"/>
      <c r="U811" s="169"/>
      <c r="V811" s="169"/>
      <c r="W811" s="169"/>
      <c r="X811" s="169"/>
      <c r="Y811" s="169"/>
      <c r="Z811" s="169"/>
    </row>
    <row r="812" spans="1:26" ht="15.75" customHeight="1" x14ac:dyDescent="0.25">
      <c r="A812" s="169"/>
      <c r="B812" s="169"/>
      <c r="C812" s="169"/>
      <c r="D812" s="169"/>
      <c r="E812" s="169"/>
      <c r="F812" s="169"/>
      <c r="G812" s="169"/>
      <c r="H812" s="169"/>
      <c r="I812" s="169"/>
      <c r="J812" s="169"/>
      <c r="K812" s="169"/>
      <c r="L812" s="169"/>
      <c r="M812" s="169"/>
      <c r="N812" s="169"/>
      <c r="O812" s="169"/>
      <c r="P812" s="169"/>
      <c r="Q812" s="169"/>
      <c r="R812" s="169"/>
      <c r="S812" s="169"/>
      <c r="T812" s="169"/>
      <c r="U812" s="169"/>
      <c r="V812" s="169"/>
      <c r="W812" s="169"/>
      <c r="X812" s="169"/>
      <c r="Y812" s="169"/>
      <c r="Z812" s="169"/>
    </row>
    <row r="813" spans="1:26" ht="15.75" customHeight="1" x14ac:dyDescent="0.25">
      <c r="A813" s="169"/>
      <c r="B813" s="169"/>
      <c r="C813" s="169"/>
      <c r="D813" s="169"/>
      <c r="E813" s="169"/>
      <c r="F813" s="169"/>
      <c r="G813" s="169"/>
      <c r="H813" s="169"/>
      <c r="I813" s="169"/>
      <c r="J813" s="169"/>
      <c r="K813" s="169"/>
      <c r="L813" s="169"/>
      <c r="M813" s="169"/>
      <c r="N813" s="169"/>
      <c r="O813" s="169"/>
      <c r="P813" s="169"/>
      <c r="Q813" s="169"/>
      <c r="R813" s="169"/>
      <c r="S813" s="169"/>
      <c r="T813" s="169"/>
      <c r="U813" s="169"/>
      <c r="V813" s="169"/>
      <c r="W813" s="169"/>
      <c r="X813" s="169"/>
      <c r="Y813" s="169"/>
      <c r="Z813" s="169"/>
    </row>
    <row r="814" spans="1:26" ht="15.75" customHeight="1" x14ac:dyDescent="0.25">
      <c r="A814" s="169"/>
      <c r="B814" s="169"/>
      <c r="C814" s="169"/>
      <c r="D814" s="169"/>
      <c r="E814" s="169"/>
      <c r="F814" s="169"/>
      <c r="G814" s="169"/>
      <c r="H814" s="169"/>
      <c r="I814" s="169"/>
      <c r="J814" s="169"/>
      <c r="K814" s="169"/>
      <c r="L814" s="169"/>
      <c r="M814" s="169"/>
      <c r="N814" s="169"/>
      <c r="O814" s="169"/>
      <c r="P814" s="169"/>
      <c r="Q814" s="169"/>
      <c r="R814" s="169"/>
      <c r="S814" s="169"/>
      <c r="T814" s="169"/>
      <c r="U814" s="169"/>
      <c r="V814" s="169"/>
      <c r="W814" s="169"/>
      <c r="X814" s="169"/>
      <c r="Y814" s="169"/>
      <c r="Z814" s="169"/>
    </row>
    <row r="815" spans="1:26" ht="15.75" customHeight="1" x14ac:dyDescent="0.25">
      <c r="A815" s="169"/>
      <c r="B815" s="169"/>
      <c r="C815" s="169"/>
      <c r="D815" s="169"/>
      <c r="E815" s="169"/>
      <c r="F815" s="169"/>
      <c r="G815" s="169"/>
      <c r="H815" s="169"/>
      <c r="I815" s="169"/>
      <c r="J815" s="169"/>
      <c r="K815" s="169"/>
      <c r="L815" s="169"/>
      <c r="M815" s="169"/>
      <c r="N815" s="169"/>
      <c r="O815" s="169"/>
      <c r="P815" s="169"/>
      <c r="Q815" s="169"/>
      <c r="R815" s="169"/>
      <c r="S815" s="169"/>
      <c r="T815" s="169"/>
      <c r="U815" s="169"/>
      <c r="V815" s="169"/>
      <c r="W815" s="169"/>
      <c r="X815" s="169"/>
      <c r="Y815" s="169"/>
      <c r="Z815" s="169"/>
    </row>
    <row r="816" spans="1:26" ht="15.75" customHeight="1" x14ac:dyDescent="0.25">
      <c r="A816" s="169"/>
      <c r="B816" s="169"/>
      <c r="C816" s="169"/>
      <c r="D816" s="169"/>
      <c r="E816" s="169"/>
      <c r="F816" s="169"/>
      <c r="G816" s="169"/>
      <c r="H816" s="169"/>
      <c r="I816" s="169"/>
      <c r="J816" s="169"/>
      <c r="K816" s="169"/>
      <c r="L816" s="169"/>
      <c r="M816" s="169"/>
      <c r="N816" s="169"/>
      <c r="O816" s="169"/>
      <c r="P816" s="169"/>
      <c r="Q816" s="169"/>
      <c r="R816" s="169"/>
      <c r="S816" s="169"/>
      <c r="T816" s="169"/>
      <c r="U816" s="169"/>
      <c r="V816" s="169"/>
      <c r="W816" s="169"/>
      <c r="X816" s="169"/>
      <c r="Y816" s="169"/>
      <c r="Z816" s="169"/>
    </row>
    <row r="817" spans="1:26" ht="15.75" customHeight="1" x14ac:dyDescent="0.25">
      <c r="A817" s="169"/>
      <c r="B817" s="169"/>
      <c r="C817" s="169"/>
      <c r="D817" s="169"/>
      <c r="E817" s="169"/>
      <c r="F817" s="169"/>
      <c r="G817" s="169"/>
      <c r="H817" s="169"/>
      <c r="I817" s="169"/>
      <c r="J817" s="169"/>
      <c r="K817" s="169"/>
      <c r="L817" s="169"/>
      <c r="M817" s="169"/>
      <c r="N817" s="169"/>
      <c r="O817" s="169"/>
      <c r="P817" s="169"/>
      <c r="Q817" s="169"/>
      <c r="R817" s="169"/>
      <c r="S817" s="169"/>
      <c r="T817" s="169"/>
      <c r="U817" s="169"/>
      <c r="V817" s="169"/>
      <c r="W817" s="169"/>
      <c r="X817" s="169"/>
      <c r="Y817" s="169"/>
      <c r="Z817" s="169"/>
    </row>
    <row r="818" spans="1:26" ht="15.75" customHeight="1" x14ac:dyDescent="0.25">
      <c r="A818" s="169"/>
      <c r="B818" s="169"/>
      <c r="C818" s="169"/>
      <c r="D818" s="169"/>
      <c r="E818" s="169"/>
      <c r="F818" s="169"/>
      <c r="G818" s="169"/>
      <c r="H818" s="169"/>
      <c r="I818" s="169"/>
      <c r="J818" s="169"/>
      <c r="K818" s="169"/>
      <c r="L818" s="169"/>
      <c r="M818" s="169"/>
      <c r="N818" s="169"/>
      <c r="O818" s="169"/>
      <c r="P818" s="169"/>
      <c r="Q818" s="169"/>
      <c r="R818" s="169"/>
      <c r="S818" s="169"/>
      <c r="T818" s="169"/>
      <c r="U818" s="169"/>
      <c r="V818" s="169"/>
      <c r="W818" s="169"/>
      <c r="X818" s="169"/>
      <c r="Y818" s="169"/>
      <c r="Z818" s="169"/>
    </row>
    <row r="819" spans="1:26" ht="15.75" customHeight="1" x14ac:dyDescent="0.25">
      <c r="A819" s="169"/>
      <c r="B819" s="169"/>
      <c r="C819" s="169"/>
      <c r="D819" s="169"/>
      <c r="E819" s="169"/>
      <c r="F819" s="169"/>
      <c r="G819" s="169"/>
      <c r="H819" s="169"/>
      <c r="I819" s="169"/>
      <c r="J819" s="169"/>
      <c r="K819" s="169"/>
      <c r="L819" s="169"/>
      <c r="M819" s="169"/>
      <c r="N819" s="169"/>
      <c r="O819" s="169"/>
      <c r="P819" s="169"/>
      <c r="Q819" s="169"/>
      <c r="R819" s="169"/>
      <c r="S819" s="169"/>
      <c r="T819" s="169"/>
      <c r="U819" s="169"/>
      <c r="V819" s="169"/>
      <c r="W819" s="169"/>
      <c r="X819" s="169"/>
      <c r="Y819" s="169"/>
      <c r="Z819" s="169"/>
    </row>
    <row r="820" spans="1:26" ht="15.75" customHeight="1" x14ac:dyDescent="0.25">
      <c r="A820" s="169"/>
      <c r="B820" s="169"/>
      <c r="C820" s="169"/>
      <c r="D820" s="169"/>
      <c r="E820" s="169"/>
      <c r="F820" s="169"/>
      <c r="G820" s="169"/>
      <c r="H820" s="169"/>
      <c r="I820" s="169"/>
      <c r="J820" s="169"/>
      <c r="K820" s="169"/>
      <c r="L820" s="169"/>
      <c r="M820" s="169"/>
      <c r="N820" s="169"/>
      <c r="O820" s="169"/>
      <c r="P820" s="169"/>
      <c r="Q820" s="169"/>
      <c r="R820" s="169"/>
      <c r="S820" s="169"/>
      <c r="T820" s="169"/>
      <c r="U820" s="169"/>
      <c r="V820" s="169"/>
      <c r="W820" s="169"/>
      <c r="X820" s="169"/>
      <c r="Y820" s="169"/>
      <c r="Z820" s="169"/>
    </row>
    <row r="821" spans="1:26" ht="15.75" customHeight="1" x14ac:dyDescent="0.25">
      <c r="A821" s="169"/>
      <c r="B821" s="169"/>
      <c r="C821" s="169"/>
      <c r="D821" s="169"/>
      <c r="E821" s="169"/>
      <c r="F821" s="169"/>
      <c r="G821" s="169"/>
      <c r="H821" s="169"/>
      <c r="I821" s="169"/>
      <c r="J821" s="169"/>
      <c r="K821" s="169"/>
      <c r="L821" s="169"/>
      <c r="M821" s="169"/>
      <c r="N821" s="169"/>
      <c r="O821" s="169"/>
      <c r="P821" s="169"/>
      <c r="Q821" s="169"/>
      <c r="R821" s="169"/>
      <c r="S821" s="169"/>
      <c r="T821" s="169"/>
      <c r="U821" s="169"/>
      <c r="V821" s="169"/>
      <c r="W821" s="169"/>
      <c r="X821" s="169"/>
      <c r="Y821" s="169"/>
      <c r="Z821" s="169"/>
    </row>
    <row r="822" spans="1:26" ht="15.75" customHeight="1" x14ac:dyDescent="0.25">
      <c r="A822" s="169"/>
      <c r="B822" s="169"/>
      <c r="C822" s="169"/>
      <c r="D822" s="169"/>
      <c r="E822" s="169"/>
      <c r="F822" s="169"/>
      <c r="G822" s="169"/>
      <c r="H822" s="169"/>
      <c r="I822" s="169"/>
      <c r="J822" s="169"/>
      <c r="K822" s="169"/>
      <c r="L822" s="169"/>
      <c r="M822" s="169"/>
      <c r="N822" s="169"/>
      <c r="O822" s="169"/>
      <c r="P822" s="169"/>
      <c r="Q822" s="169"/>
      <c r="R822" s="169"/>
      <c r="S822" s="169"/>
      <c r="T822" s="169"/>
      <c r="U822" s="169"/>
      <c r="V822" s="169"/>
      <c r="W822" s="169"/>
      <c r="X822" s="169"/>
      <c r="Y822" s="169"/>
      <c r="Z822" s="169"/>
    </row>
    <row r="823" spans="1:26" ht="15.75" customHeight="1" x14ac:dyDescent="0.25">
      <c r="A823" s="169"/>
      <c r="B823" s="169"/>
      <c r="C823" s="169"/>
      <c r="D823" s="169"/>
      <c r="E823" s="169"/>
      <c r="F823" s="169"/>
      <c r="G823" s="169"/>
      <c r="H823" s="169"/>
      <c r="I823" s="169"/>
      <c r="J823" s="169"/>
      <c r="K823" s="169"/>
      <c r="L823" s="169"/>
      <c r="M823" s="169"/>
      <c r="N823" s="169"/>
      <c r="O823" s="169"/>
      <c r="P823" s="169"/>
      <c r="Q823" s="169"/>
      <c r="R823" s="169"/>
      <c r="S823" s="169"/>
      <c r="T823" s="169"/>
      <c r="U823" s="169"/>
      <c r="V823" s="169"/>
      <c r="W823" s="169"/>
      <c r="X823" s="169"/>
      <c r="Y823" s="169"/>
      <c r="Z823" s="169"/>
    </row>
    <row r="824" spans="1:26" ht="15.75" customHeight="1" x14ac:dyDescent="0.25">
      <c r="A824" s="169"/>
      <c r="B824" s="169"/>
      <c r="C824" s="169"/>
      <c r="D824" s="169"/>
      <c r="E824" s="169"/>
      <c r="F824" s="169"/>
      <c r="G824" s="169"/>
      <c r="H824" s="169"/>
      <c r="I824" s="169"/>
      <c r="J824" s="169"/>
      <c r="K824" s="169"/>
      <c r="L824" s="169"/>
      <c r="M824" s="169"/>
      <c r="N824" s="169"/>
      <c r="O824" s="169"/>
      <c r="P824" s="169"/>
      <c r="Q824" s="169"/>
      <c r="R824" s="169"/>
      <c r="S824" s="169"/>
      <c r="T824" s="169"/>
      <c r="U824" s="169"/>
      <c r="V824" s="169"/>
      <c r="W824" s="169"/>
      <c r="X824" s="169"/>
      <c r="Y824" s="169"/>
      <c r="Z824" s="169"/>
    </row>
    <row r="825" spans="1:26" ht="15.75" customHeight="1" x14ac:dyDescent="0.25">
      <c r="A825" s="169"/>
      <c r="B825" s="169"/>
      <c r="C825" s="169"/>
      <c r="D825" s="169"/>
      <c r="E825" s="169"/>
      <c r="F825" s="169"/>
      <c r="G825" s="169"/>
      <c r="H825" s="169"/>
      <c r="I825" s="169"/>
      <c r="J825" s="169"/>
      <c r="K825" s="169"/>
      <c r="L825" s="169"/>
      <c r="M825" s="169"/>
      <c r="N825" s="169"/>
      <c r="O825" s="169"/>
      <c r="P825" s="169"/>
      <c r="Q825" s="169"/>
      <c r="R825" s="169"/>
      <c r="S825" s="169"/>
      <c r="T825" s="169"/>
      <c r="U825" s="169"/>
      <c r="V825" s="169"/>
      <c r="W825" s="169"/>
      <c r="X825" s="169"/>
      <c r="Y825" s="169"/>
      <c r="Z825" s="169"/>
    </row>
    <row r="826" spans="1:26" ht="15.75" customHeight="1" x14ac:dyDescent="0.25">
      <c r="A826" s="169"/>
      <c r="B826" s="169"/>
      <c r="C826" s="169"/>
      <c r="D826" s="169"/>
      <c r="E826" s="169"/>
      <c r="F826" s="169"/>
      <c r="G826" s="169"/>
      <c r="H826" s="169"/>
      <c r="I826" s="169"/>
      <c r="J826" s="169"/>
      <c r="K826" s="169"/>
      <c r="L826" s="169"/>
      <c r="M826" s="169"/>
      <c r="N826" s="169"/>
      <c r="O826" s="169"/>
      <c r="P826" s="169"/>
      <c r="Q826" s="169"/>
      <c r="R826" s="169"/>
      <c r="S826" s="169"/>
      <c r="T826" s="169"/>
      <c r="U826" s="169"/>
      <c r="V826" s="169"/>
      <c r="W826" s="169"/>
      <c r="X826" s="169"/>
      <c r="Y826" s="169"/>
      <c r="Z826" s="169"/>
    </row>
    <row r="827" spans="1:26" ht="15.75" customHeight="1" x14ac:dyDescent="0.25">
      <c r="A827" s="169"/>
      <c r="B827" s="169"/>
      <c r="C827" s="169"/>
      <c r="D827" s="169"/>
      <c r="E827" s="169"/>
      <c r="F827" s="169"/>
      <c r="G827" s="169"/>
      <c r="H827" s="169"/>
      <c r="I827" s="169"/>
      <c r="J827" s="169"/>
      <c r="K827" s="169"/>
      <c r="L827" s="169"/>
      <c r="M827" s="169"/>
      <c r="N827" s="169"/>
      <c r="O827" s="169"/>
      <c r="P827" s="169"/>
      <c r="Q827" s="169"/>
      <c r="R827" s="169"/>
      <c r="S827" s="169"/>
      <c r="T827" s="169"/>
      <c r="U827" s="169"/>
      <c r="V827" s="169"/>
      <c r="W827" s="169"/>
      <c r="X827" s="169"/>
      <c r="Y827" s="169"/>
      <c r="Z827" s="169"/>
    </row>
    <row r="828" spans="1:26" ht="15.75" customHeight="1" x14ac:dyDescent="0.25">
      <c r="A828" s="169"/>
      <c r="B828" s="169"/>
      <c r="C828" s="169"/>
      <c r="D828" s="169"/>
      <c r="E828" s="169"/>
      <c r="F828" s="169"/>
      <c r="G828" s="169"/>
      <c r="H828" s="169"/>
      <c r="I828" s="169"/>
      <c r="J828" s="169"/>
      <c r="K828" s="169"/>
      <c r="L828" s="169"/>
      <c r="M828" s="169"/>
      <c r="N828" s="169"/>
      <c r="O828" s="169"/>
      <c r="P828" s="169"/>
      <c r="Q828" s="169"/>
      <c r="R828" s="169"/>
      <c r="S828" s="169"/>
      <c r="T828" s="169"/>
      <c r="U828" s="169"/>
      <c r="V828" s="169"/>
      <c r="W828" s="169"/>
      <c r="X828" s="169"/>
      <c r="Y828" s="169"/>
      <c r="Z828" s="169"/>
    </row>
    <row r="829" spans="1:26" ht="15.75" customHeight="1" x14ac:dyDescent="0.25">
      <c r="A829" s="169"/>
      <c r="B829" s="169"/>
      <c r="C829" s="169"/>
      <c r="D829" s="169"/>
      <c r="E829" s="169"/>
      <c r="F829" s="169"/>
      <c r="G829" s="169"/>
      <c r="H829" s="169"/>
      <c r="I829" s="169"/>
      <c r="J829" s="169"/>
      <c r="K829" s="169"/>
      <c r="L829" s="169"/>
      <c r="M829" s="169"/>
      <c r="N829" s="169"/>
      <c r="O829" s="169"/>
      <c r="P829" s="169"/>
      <c r="Q829" s="169"/>
      <c r="R829" s="169"/>
      <c r="S829" s="169"/>
      <c r="T829" s="169"/>
      <c r="U829" s="169"/>
      <c r="V829" s="169"/>
      <c r="W829" s="169"/>
      <c r="X829" s="169"/>
      <c r="Y829" s="169"/>
      <c r="Z829" s="169"/>
    </row>
    <row r="830" spans="1:26" ht="15.75" customHeight="1" x14ac:dyDescent="0.25">
      <c r="A830" s="169"/>
      <c r="B830" s="169"/>
      <c r="C830" s="169"/>
      <c r="D830" s="169"/>
      <c r="E830" s="169"/>
      <c r="F830" s="169"/>
      <c r="G830" s="169"/>
      <c r="H830" s="169"/>
      <c r="I830" s="169"/>
      <c r="J830" s="169"/>
      <c r="K830" s="169"/>
      <c r="L830" s="169"/>
      <c r="M830" s="169"/>
      <c r="N830" s="169"/>
      <c r="O830" s="169"/>
      <c r="P830" s="169"/>
      <c r="Q830" s="169"/>
      <c r="R830" s="169"/>
      <c r="S830" s="169"/>
      <c r="T830" s="169"/>
      <c r="U830" s="169"/>
      <c r="V830" s="169"/>
      <c r="W830" s="169"/>
      <c r="X830" s="169"/>
      <c r="Y830" s="169"/>
      <c r="Z830" s="169"/>
    </row>
    <row r="831" spans="1:26" ht="15.75" customHeight="1" x14ac:dyDescent="0.25">
      <c r="A831" s="169"/>
      <c r="B831" s="169"/>
      <c r="C831" s="169"/>
      <c r="D831" s="169"/>
      <c r="E831" s="169"/>
      <c r="F831" s="169"/>
      <c r="G831" s="169"/>
      <c r="H831" s="169"/>
      <c r="I831" s="169"/>
      <c r="J831" s="169"/>
      <c r="K831" s="169"/>
      <c r="L831" s="169"/>
      <c r="M831" s="169"/>
      <c r="N831" s="169"/>
      <c r="O831" s="169"/>
      <c r="P831" s="169"/>
      <c r="Q831" s="169"/>
      <c r="R831" s="169"/>
      <c r="S831" s="169"/>
      <c r="T831" s="169"/>
      <c r="U831" s="169"/>
      <c r="V831" s="169"/>
      <c r="W831" s="169"/>
      <c r="X831" s="169"/>
      <c r="Y831" s="169"/>
      <c r="Z831" s="169"/>
    </row>
    <row r="832" spans="1:26" ht="15.75" customHeight="1" x14ac:dyDescent="0.25">
      <c r="A832" s="169"/>
      <c r="B832" s="169"/>
      <c r="C832" s="169"/>
      <c r="D832" s="169"/>
      <c r="E832" s="169"/>
      <c r="F832" s="169"/>
      <c r="G832" s="169"/>
      <c r="H832" s="169"/>
      <c r="I832" s="169"/>
      <c r="J832" s="169"/>
      <c r="K832" s="169"/>
      <c r="L832" s="169"/>
      <c r="M832" s="169"/>
      <c r="N832" s="169"/>
      <c r="O832" s="169"/>
      <c r="P832" s="169"/>
      <c r="Q832" s="169"/>
      <c r="R832" s="169"/>
      <c r="S832" s="169"/>
      <c r="T832" s="169"/>
      <c r="U832" s="169"/>
      <c r="V832" s="169"/>
      <c r="W832" s="169"/>
      <c r="X832" s="169"/>
      <c r="Y832" s="169"/>
      <c r="Z832" s="169"/>
    </row>
    <row r="833" spans="1:26" ht="15.75" customHeight="1" x14ac:dyDescent="0.25">
      <c r="A833" s="169"/>
      <c r="B833" s="169"/>
      <c r="C833" s="169"/>
      <c r="D833" s="169"/>
      <c r="E833" s="169"/>
      <c r="F833" s="169"/>
      <c r="G833" s="169"/>
      <c r="H833" s="169"/>
      <c r="I833" s="169"/>
      <c r="J833" s="169"/>
      <c r="K833" s="169"/>
      <c r="L833" s="169"/>
      <c r="M833" s="169"/>
      <c r="N833" s="169"/>
      <c r="O833" s="169"/>
      <c r="P833" s="169"/>
      <c r="Q833" s="169"/>
      <c r="R833" s="169"/>
      <c r="S833" s="169"/>
      <c r="T833" s="169"/>
      <c r="U833" s="169"/>
      <c r="V833" s="169"/>
      <c r="W833" s="169"/>
      <c r="X833" s="169"/>
      <c r="Y833" s="169"/>
      <c r="Z833" s="169"/>
    </row>
    <row r="834" spans="1:26" ht="15.75" customHeight="1" x14ac:dyDescent="0.25">
      <c r="A834" s="169"/>
      <c r="B834" s="169"/>
      <c r="C834" s="169"/>
      <c r="D834" s="169"/>
      <c r="E834" s="169"/>
      <c r="F834" s="169"/>
      <c r="G834" s="169"/>
      <c r="H834" s="169"/>
      <c r="I834" s="169"/>
      <c r="J834" s="169"/>
      <c r="K834" s="169"/>
      <c r="L834" s="169"/>
      <c r="M834" s="169"/>
      <c r="N834" s="169"/>
      <c r="O834" s="169"/>
      <c r="P834" s="169"/>
      <c r="Q834" s="169"/>
      <c r="R834" s="169"/>
      <c r="S834" s="169"/>
      <c r="T834" s="169"/>
      <c r="U834" s="169"/>
      <c r="V834" s="169"/>
      <c r="W834" s="169"/>
      <c r="X834" s="169"/>
      <c r="Y834" s="169"/>
      <c r="Z834" s="169"/>
    </row>
    <row r="835" spans="1:26" ht="15.75" customHeight="1" x14ac:dyDescent="0.25">
      <c r="A835" s="169"/>
      <c r="B835" s="169"/>
      <c r="C835" s="169"/>
      <c r="D835" s="169"/>
      <c r="E835" s="169"/>
      <c r="F835" s="169"/>
      <c r="G835" s="169"/>
      <c r="H835" s="169"/>
      <c r="I835" s="169"/>
      <c r="J835" s="169"/>
      <c r="K835" s="169"/>
      <c r="L835" s="169"/>
      <c r="M835" s="169"/>
      <c r="N835" s="169"/>
      <c r="O835" s="169"/>
      <c r="P835" s="169"/>
      <c r="Q835" s="169"/>
      <c r="R835" s="169"/>
      <c r="S835" s="169"/>
      <c r="T835" s="169"/>
      <c r="U835" s="169"/>
      <c r="V835" s="169"/>
      <c r="W835" s="169"/>
      <c r="X835" s="169"/>
      <c r="Y835" s="169"/>
      <c r="Z835" s="169"/>
    </row>
    <row r="836" spans="1:26" ht="15.75" customHeight="1" x14ac:dyDescent="0.25">
      <c r="A836" s="169"/>
      <c r="B836" s="169"/>
      <c r="C836" s="169"/>
      <c r="D836" s="169"/>
      <c r="E836" s="169"/>
      <c r="F836" s="169"/>
      <c r="G836" s="169"/>
      <c r="H836" s="169"/>
      <c r="I836" s="169"/>
      <c r="J836" s="169"/>
      <c r="K836" s="169"/>
      <c r="L836" s="169"/>
      <c r="M836" s="169"/>
      <c r="N836" s="169"/>
      <c r="O836" s="169"/>
      <c r="P836" s="169"/>
      <c r="Q836" s="169"/>
      <c r="R836" s="169"/>
      <c r="S836" s="169"/>
      <c r="T836" s="169"/>
      <c r="U836" s="169"/>
      <c r="V836" s="169"/>
      <c r="W836" s="169"/>
      <c r="X836" s="169"/>
      <c r="Y836" s="169"/>
      <c r="Z836" s="169"/>
    </row>
    <row r="837" spans="1:26" ht="15.75" customHeight="1" x14ac:dyDescent="0.25">
      <c r="A837" s="169"/>
      <c r="B837" s="169"/>
      <c r="C837" s="169"/>
      <c r="D837" s="169"/>
      <c r="E837" s="169"/>
      <c r="F837" s="169"/>
      <c r="G837" s="169"/>
      <c r="H837" s="169"/>
      <c r="I837" s="169"/>
      <c r="J837" s="169"/>
      <c r="K837" s="169"/>
      <c r="L837" s="169"/>
      <c r="M837" s="169"/>
      <c r="N837" s="169"/>
      <c r="O837" s="169"/>
      <c r="P837" s="169"/>
      <c r="Q837" s="169"/>
      <c r="R837" s="169"/>
      <c r="S837" s="169"/>
      <c r="T837" s="169"/>
      <c r="U837" s="169"/>
      <c r="V837" s="169"/>
      <c r="W837" s="169"/>
      <c r="X837" s="169"/>
      <c r="Y837" s="169"/>
      <c r="Z837" s="169"/>
    </row>
    <row r="838" spans="1:26" ht="15.75" customHeight="1" x14ac:dyDescent="0.25">
      <c r="A838" s="169"/>
      <c r="B838" s="169"/>
      <c r="C838" s="169"/>
      <c r="D838" s="169"/>
      <c r="E838" s="169"/>
      <c r="F838" s="169"/>
      <c r="G838" s="169"/>
      <c r="H838" s="169"/>
      <c r="I838" s="169"/>
      <c r="J838" s="169"/>
      <c r="K838" s="169"/>
      <c r="L838" s="169"/>
      <c r="M838" s="169"/>
      <c r="N838" s="169"/>
      <c r="O838" s="169"/>
      <c r="P838" s="169"/>
      <c r="Q838" s="169"/>
      <c r="R838" s="169"/>
      <c r="S838" s="169"/>
      <c r="T838" s="169"/>
      <c r="U838" s="169"/>
      <c r="V838" s="169"/>
      <c r="W838" s="169"/>
      <c r="X838" s="169"/>
      <c r="Y838" s="169"/>
      <c r="Z838" s="169"/>
    </row>
    <row r="839" spans="1:26" ht="15.75" customHeight="1" x14ac:dyDescent="0.25">
      <c r="A839" s="169"/>
      <c r="B839" s="169"/>
      <c r="C839" s="169"/>
      <c r="D839" s="169"/>
      <c r="E839" s="169"/>
      <c r="F839" s="169"/>
      <c r="G839" s="169"/>
      <c r="H839" s="169"/>
      <c r="I839" s="169"/>
      <c r="J839" s="169"/>
      <c r="K839" s="169"/>
      <c r="L839" s="169"/>
      <c r="M839" s="169"/>
      <c r="N839" s="169"/>
      <c r="O839" s="169"/>
      <c r="P839" s="169"/>
      <c r="Q839" s="169"/>
      <c r="R839" s="169"/>
      <c r="S839" s="169"/>
      <c r="T839" s="169"/>
      <c r="U839" s="169"/>
      <c r="V839" s="169"/>
      <c r="W839" s="169"/>
      <c r="X839" s="169"/>
      <c r="Y839" s="169"/>
      <c r="Z839" s="169"/>
    </row>
    <row r="840" spans="1:26" ht="15.75" customHeight="1" x14ac:dyDescent="0.25">
      <c r="A840" s="169"/>
      <c r="B840" s="169"/>
      <c r="C840" s="169"/>
      <c r="D840" s="169"/>
      <c r="E840" s="169"/>
      <c r="F840" s="169"/>
      <c r="G840" s="169"/>
      <c r="H840" s="169"/>
      <c r="I840" s="169"/>
      <c r="J840" s="169"/>
      <c r="K840" s="169"/>
      <c r="L840" s="169"/>
      <c r="M840" s="169"/>
      <c r="N840" s="169"/>
      <c r="O840" s="169"/>
      <c r="P840" s="169"/>
      <c r="Q840" s="169"/>
      <c r="R840" s="169"/>
      <c r="S840" s="169"/>
      <c r="T840" s="169"/>
      <c r="U840" s="169"/>
      <c r="V840" s="169"/>
      <c r="W840" s="169"/>
      <c r="X840" s="169"/>
      <c r="Y840" s="169"/>
      <c r="Z840" s="169"/>
    </row>
    <row r="841" spans="1:26" ht="15.75" customHeight="1" x14ac:dyDescent="0.25">
      <c r="A841" s="169"/>
      <c r="B841" s="169"/>
      <c r="C841" s="169"/>
      <c r="D841" s="169"/>
      <c r="E841" s="169"/>
      <c r="F841" s="169"/>
      <c r="G841" s="169"/>
      <c r="H841" s="169"/>
      <c r="I841" s="169"/>
      <c r="J841" s="169"/>
      <c r="K841" s="169"/>
      <c r="L841" s="169"/>
      <c r="M841" s="169"/>
      <c r="N841" s="169"/>
      <c r="O841" s="169"/>
      <c r="P841" s="169"/>
      <c r="Q841" s="169"/>
      <c r="R841" s="169"/>
      <c r="S841" s="169"/>
      <c r="T841" s="169"/>
      <c r="U841" s="169"/>
      <c r="V841" s="169"/>
      <c r="W841" s="169"/>
      <c r="X841" s="169"/>
      <c r="Y841" s="169"/>
      <c r="Z841" s="169"/>
    </row>
    <row r="842" spans="1:26" ht="15.75" customHeight="1" x14ac:dyDescent="0.25">
      <c r="A842" s="169"/>
      <c r="B842" s="169"/>
      <c r="C842" s="169"/>
      <c r="D842" s="169"/>
      <c r="E842" s="169"/>
      <c r="F842" s="169"/>
      <c r="G842" s="169"/>
      <c r="H842" s="169"/>
      <c r="I842" s="169"/>
      <c r="J842" s="169"/>
      <c r="K842" s="169"/>
      <c r="L842" s="169"/>
      <c r="M842" s="169"/>
      <c r="N842" s="169"/>
      <c r="O842" s="169"/>
      <c r="P842" s="169"/>
      <c r="Q842" s="169"/>
      <c r="R842" s="169"/>
      <c r="S842" s="169"/>
      <c r="T842" s="169"/>
      <c r="U842" s="169"/>
      <c r="V842" s="169"/>
      <c r="W842" s="169"/>
      <c r="X842" s="169"/>
      <c r="Y842" s="169"/>
      <c r="Z842" s="169"/>
    </row>
    <row r="843" spans="1:26" ht="15.75" customHeight="1" x14ac:dyDescent="0.25">
      <c r="A843" s="169"/>
      <c r="B843" s="169"/>
      <c r="C843" s="169"/>
      <c r="D843" s="169"/>
      <c r="E843" s="169"/>
      <c r="F843" s="169"/>
      <c r="G843" s="169"/>
      <c r="H843" s="169"/>
      <c r="I843" s="169"/>
      <c r="J843" s="169"/>
      <c r="K843" s="169"/>
      <c r="L843" s="169"/>
      <c r="M843" s="169"/>
      <c r="N843" s="169"/>
      <c r="O843" s="169"/>
      <c r="P843" s="169"/>
      <c r="Q843" s="169"/>
      <c r="R843" s="169"/>
      <c r="S843" s="169"/>
      <c r="T843" s="169"/>
      <c r="U843" s="169"/>
      <c r="V843" s="169"/>
      <c r="W843" s="169"/>
      <c r="X843" s="169"/>
      <c r="Y843" s="169"/>
      <c r="Z843" s="169"/>
    </row>
    <row r="844" spans="1:26" ht="15.75" customHeight="1" x14ac:dyDescent="0.25">
      <c r="A844" s="169"/>
      <c r="B844" s="169"/>
      <c r="C844" s="169"/>
      <c r="D844" s="169"/>
      <c r="E844" s="169"/>
      <c r="F844" s="169"/>
      <c r="G844" s="169"/>
      <c r="H844" s="169"/>
      <c r="I844" s="169"/>
      <c r="J844" s="169"/>
      <c r="K844" s="169"/>
      <c r="L844" s="169"/>
      <c r="M844" s="169"/>
      <c r="N844" s="169"/>
      <c r="O844" s="169"/>
      <c r="P844" s="169"/>
      <c r="Q844" s="169"/>
      <c r="R844" s="169"/>
      <c r="S844" s="169"/>
      <c r="T844" s="169"/>
      <c r="U844" s="169"/>
      <c r="V844" s="169"/>
      <c r="W844" s="169"/>
      <c r="X844" s="169"/>
      <c r="Y844" s="169"/>
      <c r="Z844" s="169"/>
    </row>
    <row r="845" spans="1:26" ht="15.75" customHeight="1" x14ac:dyDescent="0.25">
      <c r="A845" s="169"/>
      <c r="B845" s="169"/>
      <c r="C845" s="169"/>
      <c r="D845" s="169"/>
      <c r="E845" s="169"/>
      <c r="F845" s="169"/>
      <c r="G845" s="169"/>
      <c r="H845" s="169"/>
      <c r="I845" s="169"/>
      <c r="J845" s="169"/>
      <c r="K845" s="169"/>
      <c r="L845" s="169"/>
      <c r="M845" s="169"/>
      <c r="N845" s="169"/>
      <c r="O845" s="169"/>
      <c r="P845" s="169"/>
      <c r="Q845" s="169"/>
      <c r="R845" s="169"/>
      <c r="S845" s="169"/>
      <c r="T845" s="169"/>
      <c r="U845" s="169"/>
      <c r="V845" s="169"/>
      <c r="W845" s="169"/>
      <c r="X845" s="169"/>
      <c r="Y845" s="169"/>
      <c r="Z845" s="169"/>
    </row>
    <row r="846" spans="1:26" ht="15.75" customHeight="1" x14ac:dyDescent="0.25">
      <c r="A846" s="169"/>
      <c r="B846" s="169"/>
      <c r="C846" s="169"/>
      <c r="D846" s="169"/>
      <c r="E846" s="169"/>
      <c r="F846" s="169"/>
      <c r="G846" s="169"/>
      <c r="H846" s="169"/>
      <c r="I846" s="169"/>
      <c r="J846" s="169"/>
      <c r="K846" s="169"/>
      <c r="L846" s="169"/>
      <c r="M846" s="169"/>
      <c r="N846" s="169"/>
      <c r="O846" s="169"/>
      <c r="P846" s="169"/>
      <c r="Q846" s="169"/>
      <c r="R846" s="169"/>
      <c r="S846" s="169"/>
      <c r="T846" s="169"/>
      <c r="U846" s="169"/>
      <c r="V846" s="169"/>
      <c r="W846" s="169"/>
      <c r="X846" s="169"/>
      <c r="Y846" s="169"/>
      <c r="Z846" s="169"/>
    </row>
    <row r="847" spans="1:26" ht="15.75" customHeight="1" x14ac:dyDescent="0.25">
      <c r="A847" s="169"/>
      <c r="B847" s="169"/>
      <c r="C847" s="169"/>
      <c r="D847" s="169"/>
      <c r="E847" s="169"/>
      <c r="F847" s="169"/>
      <c r="G847" s="169"/>
      <c r="H847" s="169"/>
      <c r="I847" s="169"/>
      <c r="J847" s="169"/>
      <c r="K847" s="169"/>
      <c r="L847" s="169"/>
      <c r="M847" s="169"/>
      <c r="N847" s="169"/>
      <c r="O847" s="169"/>
      <c r="P847" s="169"/>
      <c r="Q847" s="169"/>
      <c r="R847" s="169"/>
      <c r="S847" s="169"/>
      <c r="T847" s="169"/>
      <c r="U847" s="169"/>
      <c r="V847" s="169"/>
      <c r="W847" s="169"/>
      <c r="X847" s="169"/>
      <c r="Y847" s="169"/>
      <c r="Z847" s="169"/>
    </row>
    <row r="848" spans="1:26" ht="15.75" customHeight="1" x14ac:dyDescent="0.25">
      <c r="A848" s="169"/>
      <c r="B848" s="169"/>
      <c r="C848" s="169"/>
      <c r="D848" s="169"/>
      <c r="E848" s="169"/>
      <c r="F848" s="169"/>
      <c r="G848" s="169"/>
      <c r="H848" s="169"/>
      <c r="I848" s="169"/>
      <c r="J848" s="169"/>
      <c r="K848" s="169"/>
      <c r="L848" s="169"/>
      <c r="M848" s="169"/>
      <c r="N848" s="169"/>
      <c r="O848" s="169"/>
      <c r="P848" s="169"/>
      <c r="Q848" s="169"/>
      <c r="R848" s="169"/>
      <c r="S848" s="169"/>
      <c r="T848" s="169"/>
      <c r="U848" s="169"/>
      <c r="V848" s="169"/>
      <c r="W848" s="169"/>
      <c r="X848" s="169"/>
      <c r="Y848" s="169"/>
      <c r="Z848" s="169"/>
    </row>
    <row r="849" spans="1:26" ht="15.75" customHeight="1" x14ac:dyDescent="0.25">
      <c r="A849" s="169"/>
      <c r="B849" s="169"/>
      <c r="C849" s="169"/>
      <c r="D849" s="169"/>
      <c r="E849" s="169"/>
      <c r="F849" s="169"/>
      <c r="G849" s="169"/>
      <c r="H849" s="169"/>
      <c r="I849" s="169"/>
      <c r="J849" s="169"/>
      <c r="K849" s="169"/>
      <c r="L849" s="169"/>
      <c r="M849" s="169"/>
      <c r="N849" s="169"/>
      <c r="O849" s="169"/>
      <c r="P849" s="169"/>
      <c r="Q849" s="169"/>
      <c r="R849" s="169"/>
      <c r="S849" s="169"/>
      <c r="T849" s="169"/>
      <c r="U849" s="169"/>
      <c r="V849" s="169"/>
      <c r="W849" s="169"/>
      <c r="X849" s="169"/>
      <c r="Y849" s="169"/>
      <c r="Z849" s="169"/>
    </row>
    <row r="850" spans="1:26" ht="15.75" customHeight="1" x14ac:dyDescent="0.25">
      <c r="A850" s="169"/>
      <c r="B850" s="169"/>
      <c r="C850" s="169"/>
      <c r="D850" s="169"/>
      <c r="E850" s="169"/>
      <c r="F850" s="169"/>
      <c r="G850" s="169"/>
      <c r="H850" s="169"/>
      <c r="I850" s="169"/>
      <c r="J850" s="169"/>
      <c r="K850" s="169"/>
      <c r="L850" s="169"/>
      <c r="M850" s="169"/>
      <c r="N850" s="169"/>
      <c r="O850" s="169"/>
      <c r="P850" s="169"/>
      <c r="Q850" s="169"/>
      <c r="R850" s="169"/>
      <c r="S850" s="169"/>
      <c r="T850" s="169"/>
      <c r="U850" s="169"/>
      <c r="V850" s="169"/>
      <c r="W850" s="169"/>
      <c r="X850" s="169"/>
      <c r="Y850" s="169"/>
      <c r="Z850" s="169"/>
    </row>
    <row r="851" spans="1:26" ht="15.75" customHeight="1" x14ac:dyDescent="0.25">
      <c r="A851" s="169"/>
      <c r="B851" s="169"/>
      <c r="C851" s="169"/>
      <c r="D851" s="169"/>
      <c r="E851" s="169"/>
      <c r="F851" s="169"/>
      <c r="G851" s="169"/>
      <c r="H851" s="169"/>
      <c r="I851" s="169"/>
      <c r="J851" s="169"/>
      <c r="K851" s="169"/>
      <c r="L851" s="169"/>
      <c r="M851" s="169"/>
      <c r="N851" s="169"/>
      <c r="O851" s="169"/>
      <c r="P851" s="169"/>
      <c r="Q851" s="169"/>
      <c r="R851" s="169"/>
      <c r="S851" s="169"/>
      <c r="T851" s="169"/>
      <c r="U851" s="169"/>
      <c r="V851" s="169"/>
      <c r="W851" s="169"/>
      <c r="X851" s="169"/>
      <c r="Y851" s="169"/>
      <c r="Z851" s="169"/>
    </row>
    <row r="852" spans="1:26" ht="15.75" customHeight="1" x14ac:dyDescent="0.25">
      <c r="A852" s="169"/>
      <c r="B852" s="169"/>
      <c r="C852" s="169"/>
      <c r="D852" s="169"/>
      <c r="E852" s="169"/>
      <c r="F852" s="169"/>
      <c r="G852" s="169"/>
      <c r="H852" s="169"/>
      <c r="I852" s="169"/>
      <c r="J852" s="169"/>
      <c r="K852" s="169"/>
      <c r="L852" s="169"/>
      <c r="M852" s="169"/>
      <c r="N852" s="169"/>
      <c r="O852" s="169"/>
      <c r="P852" s="169"/>
      <c r="Q852" s="169"/>
      <c r="R852" s="169"/>
      <c r="S852" s="169"/>
      <c r="T852" s="169"/>
      <c r="U852" s="169"/>
      <c r="V852" s="169"/>
      <c r="W852" s="169"/>
      <c r="X852" s="169"/>
      <c r="Y852" s="169"/>
      <c r="Z852" s="169"/>
    </row>
    <row r="853" spans="1:26" ht="15.75" customHeight="1" x14ac:dyDescent="0.25">
      <c r="A853" s="169"/>
      <c r="B853" s="169"/>
      <c r="C853" s="169"/>
      <c r="D853" s="169"/>
      <c r="E853" s="169"/>
      <c r="F853" s="169"/>
      <c r="G853" s="169"/>
      <c r="H853" s="169"/>
      <c r="I853" s="169"/>
      <c r="J853" s="169"/>
      <c r="K853" s="169"/>
      <c r="L853" s="169"/>
      <c r="M853" s="169"/>
      <c r="N853" s="169"/>
      <c r="O853" s="169"/>
      <c r="P853" s="169"/>
      <c r="Q853" s="169"/>
      <c r="R853" s="169"/>
      <c r="S853" s="169"/>
      <c r="T853" s="169"/>
      <c r="U853" s="169"/>
      <c r="V853" s="169"/>
      <c r="W853" s="169"/>
      <c r="X853" s="169"/>
      <c r="Y853" s="169"/>
      <c r="Z853" s="169"/>
    </row>
    <row r="854" spans="1:26" ht="15.75" customHeight="1" x14ac:dyDescent="0.25">
      <c r="A854" s="169"/>
      <c r="B854" s="169"/>
      <c r="C854" s="169"/>
      <c r="D854" s="169"/>
      <c r="E854" s="169"/>
      <c r="F854" s="169"/>
      <c r="G854" s="169"/>
      <c r="H854" s="169"/>
      <c r="I854" s="169"/>
      <c r="J854" s="169"/>
      <c r="K854" s="169"/>
      <c r="L854" s="169"/>
      <c r="M854" s="169"/>
      <c r="N854" s="169"/>
      <c r="O854" s="169"/>
      <c r="P854" s="169"/>
      <c r="Q854" s="169"/>
      <c r="R854" s="169"/>
      <c r="S854" s="169"/>
      <c r="T854" s="169"/>
      <c r="U854" s="169"/>
      <c r="V854" s="169"/>
      <c r="W854" s="169"/>
      <c r="X854" s="169"/>
      <c r="Y854" s="169"/>
      <c r="Z854" s="169"/>
    </row>
    <row r="855" spans="1:26" ht="15.75" customHeight="1" x14ac:dyDescent="0.25">
      <c r="A855" s="169"/>
      <c r="B855" s="169"/>
      <c r="C855" s="169"/>
      <c r="D855" s="169"/>
      <c r="E855" s="169"/>
      <c r="F855" s="169"/>
      <c r="G855" s="169"/>
      <c r="H855" s="169"/>
      <c r="I855" s="169"/>
      <c r="J855" s="169"/>
      <c r="K855" s="169"/>
      <c r="L855" s="169"/>
      <c r="M855" s="169"/>
      <c r="N855" s="169"/>
      <c r="O855" s="169"/>
      <c r="P855" s="169"/>
      <c r="Q855" s="169"/>
      <c r="R855" s="169"/>
      <c r="S855" s="169"/>
      <c r="T855" s="169"/>
      <c r="U855" s="169"/>
      <c r="V855" s="169"/>
      <c r="W855" s="169"/>
      <c r="X855" s="169"/>
      <c r="Y855" s="169"/>
      <c r="Z855" s="169"/>
    </row>
    <row r="856" spans="1:26" ht="15.75" customHeight="1" x14ac:dyDescent="0.25">
      <c r="A856" s="169"/>
      <c r="B856" s="169"/>
      <c r="C856" s="169"/>
      <c r="D856" s="169"/>
      <c r="E856" s="169"/>
      <c r="F856" s="169"/>
      <c r="G856" s="169"/>
      <c r="H856" s="169"/>
      <c r="I856" s="169"/>
      <c r="J856" s="169"/>
      <c r="K856" s="169"/>
      <c r="L856" s="169"/>
      <c r="M856" s="169"/>
      <c r="N856" s="169"/>
      <c r="O856" s="169"/>
      <c r="P856" s="169"/>
      <c r="Q856" s="169"/>
      <c r="R856" s="169"/>
      <c r="S856" s="169"/>
      <c r="T856" s="169"/>
      <c r="U856" s="169"/>
      <c r="V856" s="169"/>
      <c r="W856" s="169"/>
      <c r="X856" s="169"/>
      <c r="Y856" s="169"/>
      <c r="Z856" s="169"/>
    </row>
    <row r="857" spans="1:26" ht="15.75" customHeight="1" x14ac:dyDescent="0.25">
      <c r="A857" s="169"/>
      <c r="B857" s="169"/>
      <c r="C857" s="169"/>
      <c r="D857" s="169"/>
      <c r="E857" s="169"/>
      <c r="F857" s="169"/>
      <c r="G857" s="169"/>
      <c r="H857" s="169"/>
      <c r="I857" s="169"/>
      <c r="J857" s="169"/>
      <c r="K857" s="169"/>
      <c r="L857" s="169"/>
      <c r="M857" s="169"/>
      <c r="N857" s="169"/>
      <c r="O857" s="169"/>
      <c r="P857" s="169"/>
      <c r="Q857" s="169"/>
      <c r="R857" s="169"/>
      <c r="S857" s="169"/>
      <c r="T857" s="169"/>
      <c r="U857" s="169"/>
      <c r="V857" s="169"/>
      <c r="W857" s="169"/>
      <c r="X857" s="169"/>
      <c r="Y857" s="169"/>
      <c r="Z857" s="169"/>
    </row>
    <row r="858" spans="1:26" ht="15.75" customHeight="1" x14ac:dyDescent="0.25">
      <c r="A858" s="169"/>
      <c r="B858" s="169"/>
      <c r="C858" s="169"/>
      <c r="D858" s="169"/>
      <c r="E858" s="169"/>
      <c r="F858" s="169"/>
      <c r="G858" s="169"/>
      <c r="H858" s="169"/>
      <c r="I858" s="169"/>
      <c r="J858" s="169"/>
      <c r="K858" s="169"/>
      <c r="L858" s="169"/>
      <c r="M858" s="169"/>
      <c r="N858" s="169"/>
      <c r="O858" s="169"/>
      <c r="P858" s="169"/>
      <c r="Q858" s="169"/>
      <c r="R858" s="169"/>
      <c r="S858" s="169"/>
      <c r="T858" s="169"/>
      <c r="U858" s="169"/>
      <c r="V858" s="169"/>
      <c r="W858" s="169"/>
      <c r="X858" s="169"/>
      <c r="Y858" s="169"/>
      <c r="Z858" s="169"/>
    </row>
    <row r="859" spans="1:26" ht="15.75" customHeight="1" x14ac:dyDescent="0.25">
      <c r="A859" s="169"/>
      <c r="B859" s="169"/>
      <c r="C859" s="169"/>
      <c r="D859" s="169"/>
      <c r="E859" s="169"/>
      <c r="F859" s="169"/>
      <c r="G859" s="169"/>
      <c r="H859" s="169"/>
      <c r="I859" s="169"/>
      <c r="J859" s="169"/>
      <c r="K859" s="169"/>
      <c r="L859" s="169"/>
      <c r="M859" s="169"/>
      <c r="N859" s="169"/>
      <c r="O859" s="169"/>
      <c r="P859" s="169"/>
      <c r="Q859" s="169"/>
      <c r="R859" s="169"/>
      <c r="S859" s="169"/>
      <c r="T859" s="169"/>
      <c r="U859" s="169"/>
      <c r="V859" s="169"/>
      <c r="W859" s="169"/>
      <c r="X859" s="169"/>
      <c r="Y859" s="169"/>
      <c r="Z859" s="169"/>
    </row>
    <row r="860" spans="1:26" ht="15.75" customHeight="1" x14ac:dyDescent="0.25">
      <c r="A860" s="169"/>
      <c r="B860" s="169"/>
      <c r="C860" s="169"/>
      <c r="D860" s="169"/>
      <c r="E860" s="169"/>
      <c r="F860" s="169"/>
      <c r="G860" s="169"/>
      <c r="H860" s="169"/>
      <c r="I860" s="169"/>
      <c r="J860" s="169"/>
      <c r="K860" s="169"/>
      <c r="L860" s="169"/>
      <c r="M860" s="169"/>
      <c r="N860" s="169"/>
      <c r="O860" s="169"/>
      <c r="P860" s="169"/>
      <c r="Q860" s="169"/>
      <c r="R860" s="169"/>
      <c r="S860" s="169"/>
      <c r="T860" s="169"/>
      <c r="U860" s="169"/>
      <c r="V860" s="169"/>
      <c r="W860" s="169"/>
      <c r="X860" s="169"/>
      <c r="Y860" s="169"/>
      <c r="Z860" s="169"/>
    </row>
    <row r="861" spans="1:26" ht="15.75" customHeight="1" x14ac:dyDescent="0.25">
      <c r="A861" s="169"/>
      <c r="B861" s="169"/>
      <c r="C861" s="169"/>
      <c r="D861" s="169"/>
      <c r="E861" s="169"/>
      <c r="F861" s="169"/>
      <c r="G861" s="169"/>
      <c r="H861" s="169"/>
      <c r="I861" s="169"/>
      <c r="J861" s="169"/>
      <c r="K861" s="169"/>
      <c r="L861" s="169"/>
      <c r="M861" s="169"/>
      <c r="N861" s="169"/>
      <c r="O861" s="169"/>
      <c r="P861" s="169"/>
      <c r="Q861" s="169"/>
      <c r="R861" s="169"/>
      <c r="S861" s="169"/>
      <c r="T861" s="169"/>
      <c r="U861" s="169"/>
      <c r="V861" s="169"/>
      <c r="W861" s="169"/>
      <c r="X861" s="169"/>
      <c r="Y861" s="169"/>
      <c r="Z861" s="169"/>
    </row>
    <row r="862" spans="1:26" ht="15.75" customHeight="1" x14ac:dyDescent="0.25">
      <c r="A862" s="169"/>
      <c r="B862" s="169"/>
      <c r="C862" s="169"/>
      <c r="D862" s="169"/>
      <c r="E862" s="169"/>
      <c r="F862" s="169"/>
      <c r="G862" s="169"/>
      <c r="H862" s="169"/>
      <c r="I862" s="169"/>
      <c r="J862" s="169"/>
      <c r="K862" s="169"/>
      <c r="L862" s="169"/>
      <c r="M862" s="169"/>
      <c r="N862" s="169"/>
      <c r="O862" s="169"/>
      <c r="P862" s="169"/>
      <c r="Q862" s="169"/>
      <c r="R862" s="169"/>
      <c r="S862" s="169"/>
      <c r="T862" s="169"/>
      <c r="U862" s="169"/>
      <c r="V862" s="169"/>
      <c r="W862" s="169"/>
      <c r="X862" s="169"/>
      <c r="Y862" s="169"/>
      <c r="Z862" s="169"/>
    </row>
    <row r="863" spans="1:26" ht="15.75" customHeight="1" x14ac:dyDescent="0.25">
      <c r="A863" s="169"/>
      <c r="B863" s="169"/>
      <c r="C863" s="169"/>
      <c r="D863" s="169"/>
      <c r="E863" s="169"/>
      <c r="F863" s="169"/>
      <c r="G863" s="169"/>
      <c r="H863" s="169"/>
      <c r="I863" s="169"/>
      <c r="J863" s="169"/>
      <c r="K863" s="169"/>
      <c r="L863" s="169"/>
      <c r="M863" s="169"/>
      <c r="N863" s="169"/>
      <c r="O863" s="169"/>
      <c r="P863" s="169"/>
      <c r="Q863" s="169"/>
      <c r="R863" s="169"/>
      <c r="S863" s="169"/>
      <c r="T863" s="169"/>
      <c r="U863" s="169"/>
      <c r="V863" s="169"/>
      <c r="W863" s="169"/>
      <c r="X863" s="169"/>
      <c r="Y863" s="169"/>
      <c r="Z863" s="169"/>
    </row>
    <row r="864" spans="1:26" ht="15.75" customHeight="1" x14ac:dyDescent="0.25">
      <c r="A864" s="169"/>
      <c r="B864" s="169"/>
      <c r="C864" s="169"/>
      <c r="D864" s="169"/>
      <c r="E864" s="169"/>
      <c r="F864" s="169"/>
      <c r="G864" s="169"/>
      <c r="H864" s="169"/>
      <c r="I864" s="169"/>
      <c r="J864" s="169"/>
      <c r="K864" s="169"/>
      <c r="L864" s="169"/>
      <c r="M864" s="169"/>
      <c r="N864" s="169"/>
      <c r="O864" s="169"/>
      <c r="P864" s="169"/>
      <c r="Q864" s="169"/>
      <c r="R864" s="169"/>
      <c r="S864" s="169"/>
      <c r="T864" s="169"/>
      <c r="U864" s="169"/>
      <c r="V864" s="169"/>
      <c r="W864" s="169"/>
      <c r="X864" s="169"/>
      <c r="Y864" s="169"/>
      <c r="Z864" s="169"/>
    </row>
    <row r="865" spans="1:26" ht="15.75" customHeight="1" x14ac:dyDescent="0.25">
      <c r="A865" s="169"/>
      <c r="B865" s="169"/>
      <c r="C865" s="169"/>
      <c r="D865" s="169"/>
      <c r="E865" s="169"/>
      <c r="F865" s="169"/>
      <c r="G865" s="169"/>
      <c r="H865" s="169"/>
      <c r="I865" s="169"/>
      <c r="J865" s="169"/>
      <c r="K865" s="169"/>
      <c r="L865" s="169"/>
      <c r="M865" s="169"/>
      <c r="N865" s="169"/>
      <c r="O865" s="169"/>
      <c r="P865" s="169"/>
      <c r="Q865" s="169"/>
      <c r="R865" s="169"/>
      <c r="S865" s="169"/>
      <c r="T865" s="169"/>
      <c r="U865" s="169"/>
      <c r="V865" s="169"/>
      <c r="W865" s="169"/>
      <c r="X865" s="169"/>
      <c r="Y865" s="169"/>
      <c r="Z865" s="169"/>
    </row>
    <row r="866" spans="1:26" ht="15.75" customHeight="1" x14ac:dyDescent="0.25">
      <c r="A866" s="169"/>
      <c r="B866" s="169"/>
      <c r="C866" s="169"/>
      <c r="D866" s="169"/>
      <c r="E866" s="169"/>
      <c r="F866" s="169"/>
      <c r="G866" s="169"/>
      <c r="H866" s="169"/>
      <c r="I866" s="169"/>
      <c r="J866" s="169"/>
      <c r="K866" s="169"/>
      <c r="L866" s="169"/>
      <c r="M866" s="169"/>
      <c r="N866" s="169"/>
      <c r="O866" s="169"/>
      <c r="P866" s="169"/>
      <c r="Q866" s="169"/>
      <c r="R866" s="169"/>
      <c r="S866" s="169"/>
      <c r="T866" s="169"/>
      <c r="U866" s="169"/>
      <c r="V866" s="169"/>
      <c r="W866" s="169"/>
      <c r="X866" s="169"/>
      <c r="Y866" s="169"/>
      <c r="Z866" s="169"/>
    </row>
    <row r="867" spans="1:26" ht="15.75" customHeight="1" x14ac:dyDescent="0.25">
      <c r="A867" s="169"/>
      <c r="B867" s="169"/>
      <c r="C867" s="169"/>
      <c r="D867" s="169"/>
      <c r="E867" s="169"/>
      <c r="F867" s="169"/>
      <c r="G867" s="169"/>
      <c r="H867" s="169"/>
      <c r="I867" s="169"/>
      <c r="J867" s="169"/>
      <c r="K867" s="169"/>
      <c r="L867" s="169"/>
      <c r="M867" s="169"/>
      <c r="N867" s="169"/>
      <c r="O867" s="169"/>
      <c r="P867" s="169"/>
      <c r="Q867" s="169"/>
      <c r="R867" s="169"/>
      <c r="S867" s="169"/>
      <c r="T867" s="169"/>
      <c r="U867" s="169"/>
      <c r="V867" s="169"/>
      <c r="W867" s="169"/>
      <c r="X867" s="169"/>
      <c r="Y867" s="169"/>
      <c r="Z867" s="169"/>
    </row>
    <row r="868" spans="1:26" ht="15.75" customHeight="1" x14ac:dyDescent="0.25">
      <c r="A868" s="169"/>
      <c r="B868" s="169"/>
      <c r="C868" s="169"/>
      <c r="D868" s="169"/>
      <c r="E868" s="169"/>
      <c r="F868" s="169"/>
      <c r="G868" s="169"/>
      <c r="H868" s="169"/>
      <c r="I868" s="169"/>
      <c r="J868" s="169"/>
      <c r="K868" s="169"/>
      <c r="L868" s="169"/>
      <c r="M868" s="169"/>
      <c r="N868" s="169"/>
      <c r="O868" s="169"/>
      <c r="P868" s="169"/>
      <c r="Q868" s="169"/>
      <c r="R868" s="169"/>
      <c r="S868" s="169"/>
      <c r="T868" s="169"/>
      <c r="U868" s="169"/>
      <c r="V868" s="169"/>
      <c r="W868" s="169"/>
      <c r="X868" s="169"/>
      <c r="Y868" s="169"/>
      <c r="Z868" s="169"/>
    </row>
    <row r="869" spans="1:26" ht="15.75" customHeight="1" x14ac:dyDescent="0.25">
      <c r="A869" s="169"/>
      <c r="B869" s="169"/>
      <c r="C869" s="169"/>
      <c r="D869" s="169"/>
      <c r="E869" s="169"/>
      <c r="F869" s="169"/>
      <c r="G869" s="169"/>
      <c r="H869" s="169"/>
      <c r="I869" s="169"/>
      <c r="J869" s="169"/>
      <c r="K869" s="169"/>
      <c r="L869" s="169"/>
      <c r="M869" s="169"/>
      <c r="N869" s="169"/>
      <c r="O869" s="169"/>
      <c r="P869" s="169"/>
      <c r="Q869" s="169"/>
      <c r="R869" s="169"/>
      <c r="S869" s="169"/>
      <c r="T869" s="169"/>
      <c r="U869" s="169"/>
      <c r="V869" s="169"/>
      <c r="W869" s="169"/>
      <c r="X869" s="169"/>
      <c r="Y869" s="169"/>
      <c r="Z869" s="169"/>
    </row>
    <row r="870" spans="1:26" ht="15.75" customHeight="1" x14ac:dyDescent="0.25">
      <c r="A870" s="169"/>
      <c r="B870" s="169"/>
      <c r="C870" s="169"/>
      <c r="D870" s="169"/>
      <c r="E870" s="169"/>
      <c r="F870" s="169"/>
      <c r="G870" s="169"/>
      <c r="H870" s="169"/>
      <c r="I870" s="169"/>
      <c r="J870" s="169"/>
      <c r="K870" s="169"/>
      <c r="L870" s="169"/>
      <c r="M870" s="169"/>
      <c r="N870" s="169"/>
      <c r="O870" s="169"/>
      <c r="P870" s="169"/>
      <c r="Q870" s="169"/>
      <c r="R870" s="169"/>
      <c r="S870" s="169"/>
      <c r="T870" s="169"/>
      <c r="U870" s="169"/>
      <c r="V870" s="169"/>
      <c r="W870" s="169"/>
      <c r="X870" s="169"/>
      <c r="Y870" s="169"/>
      <c r="Z870" s="169"/>
    </row>
    <row r="871" spans="1:26" ht="15.75" customHeight="1" x14ac:dyDescent="0.25">
      <c r="A871" s="169"/>
      <c r="B871" s="169"/>
      <c r="C871" s="169"/>
      <c r="D871" s="169"/>
      <c r="E871" s="169"/>
      <c r="F871" s="169"/>
      <c r="G871" s="169"/>
      <c r="H871" s="169"/>
      <c r="I871" s="169"/>
      <c r="J871" s="169"/>
      <c r="K871" s="169"/>
      <c r="L871" s="169"/>
      <c r="M871" s="169"/>
      <c r="N871" s="169"/>
      <c r="O871" s="169"/>
      <c r="P871" s="169"/>
      <c r="Q871" s="169"/>
      <c r="R871" s="169"/>
      <c r="S871" s="169"/>
      <c r="T871" s="169"/>
      <c r="U871" s="169"/>
      <c r="V871" s="169"/>
      <c r="W871" s="169"/>
      <c r="X871" s="169"/>
      <c r="Y871" s="169"/>
      <c r="Z871" s="169"/>
    </row>
    <row r="872" spans="1:26" ht="15.75" customHeight="1" x14ac:dyDescent="0.25">
      <c r="A872" s="169"/>
      <c r="B872" s="169"/>
      <c r="C872" s="169"/>
      <c r="D872" s="169"/>
      <c r="E872" s="169"/>
      <c r="F872" s="169"/>
      <c r="G872" s="169"/>
      <c r="H872" s="169"/>
      <c r="I872" s="169"/>
      <c r="J872" s="169"/>
      <c r="K872" s="169"/>
      <c r="L872" s="169"/>
      <c r="M872" s="169"/>
      <c r="N872" s="169"/>
      <c r="O872" s="169"/>
      <c r="P872" s="169"/>
      <c r="Q872" s="169"/>
      <c r="R872" s="169"/>
      <c r="S872" s="169"/>
      <c r="T872" s="169"/>
      <c r="U872" s="169"/>
      <c r="V872" s="169"/>
      <c r="W872" s="169"/>
      <c r="X872" s="169"/>
      <c r="Y872" s="169"/>
      <c r="Z872" s="169"/>
    </row>
    <row r="873" spans="1:26" ht="15.75" customHeight="1" x14ac:dyDescent="0.25">
      <c r="A873" s="169"/>
      <c r="B873" s="169"/>
      <c r="C873" s="169"/>
      <c r="D873" s="169"/>
      <c r="E873" s="169"/>
      <c r="F873" s="169"/>
      <c r="G873" s="169"/>
      <c r="H873" s="169"/>
      <c r="I873" s="169"/>
      <c r="J873" s="169"/>
      <c r="K873" s="169"/>
      <c r="L873" s="169"/>
      <c r="M873" s="169"/>
      <c r="N873" s="169"/>
      <c r="O873" s="169"/>
      <c r="P873" s="169"/>
      <c r="Q873" s="169"/>
      <c r="R873" s="169"/>
      <c r="S873" s="169"/>
      <c r="T873" s="169"/>
      <c r="U873" s="169"/>
      <c r="V873" s="169"/>
      <c r="W873" s="169"/>
      <c r="X873" s="169"/>
      <c r="Y873" s="169"/>
      <c r="Z873" s="169"/>
    </row>
    <row r="874" spans="1:26" ht="15.75" customHeight="1" x14ac:dyDescent="0.25">
      <c r="A874" s="169"/>
      <c r="B874" s="169"/>
      <c r="C874" s="169"/>
      <c r="D874" s="169"/>
      <c r="E874" s="169"/>
      <c r="F874" s="169"/>
      <c r="G874" s="169"/>
      <c r="H874" s="169"/>
      <c r="I874" s="169"/>
      <c r="J874" s="169"/>
      <c r="K874" s="169"/>
      <c r="L874" s="169"/>
      <c r="M874" s="169"/>
      <c r="N874" s="169"/>
      <c r="O874" s="169"/>
      <c r="P874" s="169"/>
      <c r="Q874" s="169"/>
      <c r="R874" s="169"/>
      <c r="S874" s="169"/>
      <c r="T874" s="169"/>
      <c r="U874" s="169"/>
      <c r="V874" s="169"/>
      <c r="W874" s="169"/>
      <c r="X874" s="169"/>
      <c r="Y874" s="169"/>
      <c r="Z874" s="169"/>
    </row>
    <row r="875" spans="1:26" ht="15.75" customHeight="1" x14ac:dyDescent="0.25">
      <c r="A875" s="169"/>
      <c r="B875" s="169"/>
      <c r="C875" s="169"/>
      <c r="D875" s="169"/>
      <c r="E875" s="169"/>
      <c r="F875" s="169"/>
      <c r="G875" s="169"/>
      <c r="H875" s="169"/>
      <c r="I875" s="169"/>
      <c r="J875" s="169"/>
      <c r="K875" s="169"/>
      <c r="L875" s="169"/>
      <c r="M875" s="169"/>
      <c r="N875" s="169"/>
      <c r="O875" s="169"/>
      <c r="P875" s="169"/>
      <c r="Q875" s="169"/>
      <c r="R875" s="169"/>
      <c r="S875" s="169"/>
      <c r="T875" s="169"/>
      <c r="U875" s="169"/>
      <c r="V875" s="169"/>
      <c r="W875" s="169"/>
      <c r="X875" s="169"/>
      <c r="Y875" s="169"/>
      <c r="Z875" s="169"/>
    </row>
    <row r="876" spans="1:26" ht="15.75" customHeight="1" x14ac:dyDescent="0.25">
      <c r="A876" s="169"/>
      <c r="B876" s="169"/>
      <c r="C876" s="169"/>
      <c r="D876" s="169"/>
      <c r="E876" s="169"/>
      <c r="F876" s="169"/>
      <c r="G876" s="169"/>
      <c r="H876" s="169"/>
      <c r="I876" s="169"/>
      <c r="J876" s="169"/>
      <c r="K876" s="169"/>
      <c r="L876" s="169"/>
      <c r="M876" s="169"/>
      <c r="N876" s="169"/>
      <c r="O876" s="169"/>
      <c r="P876" s="169"/>
      <c r="Q876" s="169"/>
      <c r="R876" s="169"/>
      <c r="S876" s="169"/>
      <c r="T876" s="169"/>
      <c r="U876" s="169"/>
      <c r="V876" s="169"/>
      <c r="W876" s="169"/>
      <c r="X876" s="169"/>
      <c r="Y876" s="169"/>
      <c r="Z876" s="169"/>
    </row>
    <row r="877" spans="1:26" ht="15.75" customHeight="1" x14ac:dyDescent="0.25">
      <c r="A877" s="169"/>
      <c r="B877" s="169"/>
      <c r="C877" s="169"/>
      <c r="D877" s="169"/>
      <c r="E877" s="169"/>
      <c r="F877" s="169"/>
      <c r="G877" s="169"/>
      <c r="H877" s="169"/>
      <c r="I877" s="169"/>
      <c r="J877" s="169"/>
      <c r="K877" s="169"/>
      <c r="L877" s="169"/>
      <c r="M877" s="169"/>
      <c r="N877" s="169"/>
      <c r="O877" s="169"/>
      <c r="P877" s="169"/>
      <c r="Q877" s="169"/>
      <c r="R877" s="169"/>
      <c r="S877" s="169"/>
      <c r="T877" s="169"/>
      <c r="U877" s="169"/>
      <c r="V877" s="169"/>
      <c r="W877" s="169"/>
      <c r="X877" s="169"/>
      <c r="Y877" s="169"/>
      <c r="Z877" s="169"/>
    </row>
    <row r="878" spans="1:26" ht="15.75" customHeight="1" x14ac:dyDescent="0.25">
      <c r="A878" s="169"/>
      <c r="B878" s="169"/>
      <c r="C878" s="169"/>
      <c r="D878" s="169"/>
      <c r="E878" s="169"/>
      <c r="F878" s="169"/>
      <c r="G878" s="169"/>
      <c r="H878" s="169"/>
      <c r="I878" s="169"/>
      <c r="J878" s="169"/>
      <c r="K878" s="169"/>
      <c r="L878" s="169"/>
      <c r="M878" s="169"/>
      <c r="N878" s="169"/>
      <c r="O878" s="169"/>
      <c r="P878" s="169"/>
      <c r="Q878" s="169"/>
      <c r="R878" s="169"/>
      <c r="S878" s="169"/>
      <c r="T878" s="169"/>
      <c r="U878" s="169"/>
      <c r="V878" s="169"/>
      <c r="W878" s="169"/>
      <c r="X878" s="169"/>
      <c r="Y878" s="169"/>
      <c r="Z878" s="169"/>
    </row>
    <row r="879" spans="1:26" ht="15.75" customHeight="1" x14ac:dyDescent="0.25">
      <c r="A879" s="169"/>
      <c r="B879" s="169"/>
      <c r="C879" s="169"/>
      <c r="D879" s="169"/>
      <c r="E879" s="169"/>
      <c r="F879" s="169"/>
      <c r="G879" s="169"/>
      <c r="H879" s="169"/>
      <c r="I879" s="169"/>
      <c r="J879" s="169"/>
      <c r="K879" s="169"/>
      <c r="L879" s="169"/>
      <c r="M879" s="169"/>
      <c r="N879" s="169"/>
      <c r="O879" s="169"/>
      <c r="P879" s="169"/>
      <c r="Q879" s="169"/>
      <c r="R879" s="169"/>
      <c r="S879" s="169"/>
      <c r="T879" s="169"/>
      <c r="U879" s="169"/>
      <c r="V879" s="169"/>
      <c r="W879" s="169"/>
      <c r="X879" s="169"/>
      <c r="Y879" s="169"/>
      <c r="Z879" s="169"/>
    </row>
    <row r="880" spans="1:26" ht="15.75" customHeight="1" x14ac:dyDescent="0.25">
      <c r="A880" s="169"/>
      <c r="B880" s="169"/>
      <c r="C880" s="169"/>
      <c r="D880" s="169"/>
      <c r="E880" s="169"/>
      <c r="F880" s="169"/>
      <c r="G880" s="169"/>
      <c r="H880" s="169"/>
      <c r="I880" s="169"/>
      <c r="J880" s="169"/>
      <c r="K880" s="169"/>
      <c r="L880" s="169"/>
      <c r="M880" s="169"/>
      <c r="N880" s="169"/>
      <c r="O880" s="169"/>
      <c r="P880" s="169"/>
      <c r="Q880" s="169"/>
      <c r="R880" s="169"/>
      <c r="S880" s="169"/>
      <c r="T880" s="169"/>
      <c r="U880" s="169"/>
      <c r="V880" s="169"/>
      <c r="W880" s="169"/>
      <c r="X880" s="169"/>
      <c r="Y880" s="169"/>
      <c r="Z880" s="169"/>
    </row>
    <row r="881" spans="1:26" ht="15.75" customHeight="1" x14ac:dyDescent="0.25">
      <c r="A881" s="169"/>
      <c r="B881" s="169"/>
      <c r="C881" s="169"/>
      <c r="D881" s="169"/>
      <c r="E881" s="169"/>
      <c r="F881" s="169"/>
      <c r="G881" s="169"/>
      <c r="H881" s="169"/>
      <c r="I881" s="169"/>
      <c r="J881" s="169"/>
      <c r="K881" s="169"/>
      <c r="L881" s="169"/>
      <c r="M881" s="169"/>
      <c r="N881" s="169"/>
      <c r="O881" s="169"/>
      <c r="P881" s="169"/>
      <c r="Q881" s="169"/>
      <c r="R881" s="169"/>
      <c r="S881" s="169"/>
      <c r="T881" s="169"/>
      <c r="U881" s="169"/>
      <c r="V881" s="169"/>
      <c r="W881" s="169"/>
      <c r="X881" s="169"/>
      <c r="Y881" s="169"/>
      <c r="Z881" s="169"/>
    </row>
    <row r="882" spans="1:26" ht="15.75" customHeight="1" x14ac:dyDescent="0.25">
      <c r="A882" s="169"/>
      <c r="B882" s="169"/>
      <c r="C882" s="169"/>
      <c r="D882" s="169"/>
      <c r="E882" s="169"/>
      <c r="F882" s="169"/>
      <c r="G882" s="169"/>
      <c r="H882" s="169"/>
      <c r="I882" s="169"/>
      <c r="J882" s="169"/>
      <c r="K882" s="169"/>
      <c r="L882" s="169"/>
      <c r="M882" s="169"/>
      <c r="N882" s="169"/>
      <c r="O882" s="169"/>
      <c r="P882" s="169"/>
      <c r="Q882" s="169"/>
      <c r="R882" s="169"/>
      <c r="S882" s="169"/>
      <c r="T882" s="169"/>
      <c r="U882" s="169"/>
      <c r="V882" s="169"/>
      <c r="W882" s="169"/>
      <c r="X882" s="169"/>
      <c r="Y882" s="169"/>
      <c r="Z882" s="169"/>
    </row>
    <row r="883" spans="1:26" ht="15.75" customHeight="1" x14ac:dyDescent="0.25">
      <c r="A883" s="169"/>
      <c r="B883" s="169"/>
      <c r="C883" s="169"/>
      <c r="D883" s="169"/>
      <c r="E883" s="169"/>
      <c r="F883" s="169"/>
      <c r="G883" s="169"/>
      <c r="H883" s="169"/>
      <c r="I883" s="169"/>
      <c r="J883" s="169"/>
      <c r="K883" s="169"/>
      <c r="L883" s="169"/>
      <c r="M883" s="169"/>
      <c r="N883" s="169"/>
      <c r="O883" s="169"/>
      <c r="P883" s="169"/>
      <c r="Q883" s="169"/>
      <c r="R883" s="169"/>
      <c r="S883" s="169"/>
      <c r="T883" s="169"/>
      <c r="U883" s="169"/>
      <c r="V883" s="169"/>
      <c r="W883" s="169"/>
      <c r="X883" s="169"/>
      <c r="Y883" s="169"/>
      <c r="Z883" s="169"/>
    </row>
    <row r="884" spans="1:26" ht="15.75" customHeight="1" x14ac:dyDescent="0.25">
      <c r="A884" s="169"/>
      <c r="B884" s="169"/>
      <c r="C884" s="169"/>
      <c r="D884" s="169"/>
      <c r="E884" s="169"/>
      <c r="F884" s="169"/>
      <c r="G884" s="169"/>
      <c r="H884" s="169"/>
      <c r="I884" s="169"/>
      <c r="J884" s="169"/>
      <c r="K884" s="169"/>
      <c r="L884" s="169"/>
      <c r="M884" s="169"/>
      <c r="N884" s="169"/>
      <c r="O884" s="169"/>
      <c r="P884" s="169"/>
      <c r="Q884" s="169"/>
      <c r="R884" s="169"/>
      <c r="S884" s="169"/>
      <c r="T884" s="169"/>
      <c r="U884" s="169"/>
      <c r="V884" s="169"/>
      <c r="W884" s="169"/>
      <c r="X884" s="169"/>
      <c r="Y884" s="169"/>
      <c r="Z884" s="169"/>
    </row>
    <row r="885" spans="1:26" ht="15.75" customHeight="1" x14ac:dyDescent="0.25">
      <c r="A885" s="169"/>
      <c r="B885" s="169"/>
      <c r="C885" s="169"/>
      <c r="D885" s="169"/>
      <c r="E885" s="169"/>
      <c r="F885" s="169"/>
      <c r="G885" s="169"/>
      <c r="H885" s="169"/>
      <c r="I885" s="169"/>
      <c r="J885" s="169"/>
      <c r="K885" s="169"/>
      <c r="L885" s="169"/>
      <c r="M885" s="169"/>
      <c r="N885" s="169"/>
      <c r="O885" s="169"/>
      <c r="P885" s="169"/>
      <c r="Q885" s="169"/>
      <c r="R885" s="169"/>
      <c r="S885" s="169"/>
      <c r="T885" s="169"/>
      <c r="U885" s="169"/>
      <c r="V885" s="169"/>
      <c r="W885" s="169"/>
      <c r="X885" s="169"/>
      <c r="Y885" s="169"/>
      <c r="Z885" s="169"/>
    </row>
    <row r="886" spans="1:26" ht="15.75" customHeight="1" x14ac:dyDescent="0.25">
      <c r="A886" s="169"/>
      <c r="B886" s="169"/>
      <c r="C886" s="169"/>
      <c r="D886" s="169"/>
      <c r="E886" s="169"/>
      <c r="F886" s="169"/>
      <c r="G886" s="169"/>
      <c r="H886" s="169"/>
      <c r="I886" s="169"/>
      <c r="J886" s="169"/>
      <c r="K886" s="169"/>
      <c r="L886" s="169"/>
      <c r="M886" s="169"/>
      <c r="N886" s="169"/>
      <c r="O886" s="169"/>
      <c r="P886" s="169"/>
      <c r="Q886" s="169"/>
      <c r="R886" s="169"/>
      <c r="S886" s="169"/>
      <c r="T886" s="169"/>
      <c r="U886" s="169"/>
      <c r="V886" s="169"/>
      <c r="W886" s="169"/>
      <c r="X886" s="169"/>
      <c r="Y886" s="169"/>
      <c r="Z886" s="169"/>
    </row>
    <row r="887" spans="1:26" ht="15.75" customHeight="1" x14ac:dyDescent="0.25">
      <c r="A887" s="169"/>
      <c r="B887" s="169"/>
      <c r="C887" s="169"/>
      <c r="D887" s="169"/>
      <c r="E887" s="169"/>
      <c r="F887" s="169"/>
      <c r="G887" s="169"/>
      <c r="H887" s="169"/>
      <c r="I887" s="169"/>
      <c r="J887" s="169"/>
      <c r="K887" s="169"/>
      <c r="L887" s="169"/>
      <c r="M887" s="169"/>
      <c r="N887" s="169"/>
      <c r="O887" s="169"/>
      <c r="P887" s="169"/>
      <c r="Q887" s="169"/>
      <c r="R887" s="169"/>
      <c r="S887" s="169"/>
      <c r="T887" s="169"/>
      <c r="U887" s="169"/>
      <c r="V887" s="169"/>
      <c r="W887" s="169"/>
      <c r="X887" s="169"/>
      <c r="Y887" s="169"/>
      <c r="Z887" s="169"/>
    </row>
    <row r="888" spans="1:26" ht="15.75" customHeight="1" x14ac:dyDescent="0.25">
      <c r="A888" s="169"/>
      <c r="B888" s="169"/>
      <c r="C888" s="169"/>
      <c r="D888" s="169"/>
      <c r="E888" s="169"/>
      <c r="F888" s="169"/>
      <c r="G888" s="169"/>
      <c r="H888" s="169"/>
      <c r="I888" s="169"/>
      <c r="J888" s="169"/>
      <c r="K888" s="169"/>
      <c r="L888" s="169"/>
      <c r="M888" s="169"/>
      <c r="N888" s="169"/>
      <c r="O888" s="169"/>
      <c r="P888" s="169"/>
      <c r="Q888" s="169"/>
      <c r="R888" s="169"/>
      <c r="S888" s="169"/>
      <c r="T888" s="169"/>
      <c r="U888" s="169"/>
      <c r="V888" s="169"/>
      <c r="W888" s="169"/>
      <c r="X888" s="169"/>
      <c r="Y888" s="169"/>
      <c r="Z888" s="169"/>
    </row>
    <row r="889" spans="1:26" ht="15.75" customHeight="1" x14ac:dyDescent="0.25">
      <c r="A889" s="169"/>
      <c r="B889" s="169"/>
      <c r="C889" s="169"/>
      <c r="D889" s="169"/>
      <c r="E889" s="169"/>
      <c r="F889" s="169"/>
      <c r="G889" s="169"/>
      <c r="H889" s="169"/>
      <c r="I889" s="169"/>
      <c r="J889" s="169"/>
      <c r="K889" s="169"/>
      <c r="L889" s="169"/>
      <c r="M889" s="169"/>
      <c r="N889" s="169"/>
      <c r="O889" s="169"/>
      <c r="P889" s="169"/>
      <c r="Q889" s="169"/>
      <c r="R889" s="169"/>
      <c r="S889" s="169"/>
      <c r="T889" s="169"/>
      <c r="U889" s="169"/>
      <c r="V889" s="169"/>
      <c r="W889" s="169"/>
      <c r="X889" s="169"/>
      <c r="Y889" s="169"/>
      <c r="Z889" s="169"/>
    </row>
    <row r="890" spans="1:26" ht="15.75" customHeight="1" x14ac:dyDescent="0.25">
      <c r="A890" s="169"/>
      <c r="B890" s="169"/>
      <c r="C890" s="169"/>
      <c r="D890" s="169"/>
      <c r="E890" s="169"/>
      <c r="F890" s="169"/>
      <c r="G890" s="169"/>
      <c r="H890" s="169"/>
      <c r="I890" s="169"/>
      <c r="J890" s="169"/>
      <c r="K890" s="169"/>
      <c r="L890" s="169"/>
      <c r="M890" s="169"/>
      <c r="N890" s="169"/>
      <c r="O890" s="169"/>
      <c r="P890" s="169"/>
      <c r="Q890" s="169"/>
      <c r="R890" s="169"/>
      <c r="S890" s="169"/>
      <c r="T890" s="169"/>
      <c r="U890" s="169"/>
      <c r="V890" s="169"/>
      <c r="W890" s="169"/>
      <c r="X890" s="169"/>
      <c r="Y890" s="169"/>
      <c r="Z890" s="169"/>
    </row>
    <row r="891" spans="1:26" ht="15.75" customHeight="1" x14ac:dyDescent="0.25">
      <c r="A891" s="169"/>
      <c r="B891" s="169"/>
      <c r="C891" s="169"/>
      <c r="D891" s="169"/>
      <c r="E891" s="169"/>
      <c r="F891" s="169"/>
      <c r="G891" s="169"/>
      <c r="H891" s="169"/>
      <c r="I891" s="169"/>
      <c r="J891" s="169"/>
      <c r="K891" s="169"/>
      <c r="L891" s="169"/>
      <c r="M891" s="169"/>
      <c r="N891" s="169"/>
      <c r="O891" s="169"/>
      <c r="P891" s="169"/>
      <c r="Q891" s="169"/>
      <c r="R891" s="169"/>
      <c r="S891" s="169"/>
      <c r="T891" s="169"/>
      <c r="U891" s="169"/>
      <c r="V891" s="169"/>
      <c r="W891" s="169"/>
      <c r="X891" s="169"/>
      <c r="Y891" s="169"/>
      <c r="Z891" s="169"/>
    </row>
    <row r="892" spans="1:26" ht="15.75" customHeight="1" x14ac:dyDescent="0.25">
      <c r="A892" s="169"/>
      <c r="B892" s="169"/>
      <c r="C892" s="169"/>
      <c r="D892" s="169"/>
      <c r="E892" s="169"/>
      <c r="F892" s="169"/>
      <c r="G892" s="169"/>
      <c r="H892" s="169"/>
      <c r="I892" s="169"/>
      <c r="J892" s="169"/>
      <c r="K892" s="169"/>
      <c r="L892" s="169"/>
      <c r="M892" s="169"/>
      <c r="N892" s="169"/>
      <c r="O892" s="169"/>
      <c r="P892" s="169"/>
      <c r="Q892" s="169"/>
      <c r="R892" s="169"/>
      <c r="S892" s="169"/>
      <c r="T892" s="169"/>
      <c r="U892" s="169"/>
      <c r="V892" s="169"/>
      <c r="W892" s="169"/>
      <c r="X892" s="169"/>
      <c r="Y892" s="169"/>
      <c r="Z892" s="169"/>
    </row>
    <row r="893" spans="1:26" ht="15.75" customHeight="1" x14ac:dyDescent="0.25">
      <c r="A893" s="169"/>
      <c r="B893" s="169"/>
      <c r="C893" s="169"/>
      <c r="D893" s="169"/>
      <c r="E893" s="169"/>
      <c r="F893" s="169"/>
      <c r="G893" s="169"/>
      <c r="H893" s="169"/>
      <c r="I893" s="169"/>
      <c r="J893" s="169"/>
      <c r="K893" s="169"/>
      <c r="L893" s="169"/>
      <c r="M893" s="169"/>
      <c r="N893" s="169"/>
      <c r="O893" s="169"/>
      <c r="P893" s="169"/>
      <c r="Q893" s="169"/>
      <c r="R893" s="169"/>
      <c r="S893" s="169"/>
      <c r="T893" s="169"/>
      <c r="U893" s="169"/>
      <c r="V893" s="169"/>
      <c r="W893" s="169"/>
      <c r="X893" s="169"/>
      <c r="Y893" s="169"/>
      <c r="Z893" s="169"/>
    </row>
    <row r="894" spans="1:26" ht="15.75" customHeight="1" x14ac:dyDescent="0.25">
      <c r="A894" s="169"/>
      <c r="B894" s="169"/>
      <c r="C894" s="169"/>
      <c r="D894" s="169"/>
      <c r="E894" s="169"/>
      <c r="F894" s="169"/>
      <c r="G894" s="169"/>
      <c r="H894" s="169"/>
      <c r="I894" s="169"/>
      <c r="J894" s="169"/>
      <c r="K894" s="169"/>
      <c r="L894" s="169"/>
      <c r="M894" s="169"/>
      <c r="N894" s="169"/>
      <c r="O894" s="169"/>
      <c r="P894" s="169"/>
      <c r="Q894" s="169"/>
      <c r="R894" s="169"/>
      <c r="S894" s="169"/>
      <c r="T894" s="169"/>
      <c r="U894" s="169"/>
      <c r="V894" s="169"/>
      <c r="W894" s="169"/>
      <c r="X894" s="169"/>
      <c r="Y894" s="169"/>
      <c r="Z894" s="169"/>
    </row>
    <row r="895" spans="1:26" ht="15.75" customHeight="1" x14ac:dyDescent="0.25">
      <c r="A895" s="169"/>
      <c r="B895" s="169"/>
      <c r="C895" s="169"/>
      <c r="D895" s="169"/>
      <c r="E895" s="169"/>
      <c r="F895" s="169"/>
      <c r="G895" s="169"/>
      <c r="H895" s="169"/>
      <c r="I895" s="169"/>
      <c r="J895" s="169"/>
      <c r="K895" s="169"/>
      <c r="L895" s="169"/>
      <c r="M895" s="169"/>
      <c r="N895" s="169"/>
      <c r="O895" s="169"/>
      <c r="P895" s="169"/>
      <c r="Q895" s="169"/>
      <c r="R895" s="169"/>
      <c r="S895" s="169"/>
      <c r="T895" s="169"/>
      <c r="U895" s="169"/>
      <c r="V895" s="169"/>
      <c r="W895" s="169"/>
      <c r="X895" s="169"/>
      <c r="Y895" s="169"/>
      <c r="Z895" s="169"/>
    </row>
    <row r="896" spans="1:26" ht="15.75" customHeight="1" x14ac:dyDescent="0.25">
      <c r="A896" s="169"/>
      <c r="B896" s="169"/>
      <c r="C896" s="169"/>
      <c r="D896" s="169"/>
      <c r="E896" s="169"/>
      <c r="F896" s="169"/>
      <c r="G896" s="169"/>
      <c r="H896" s="169"/>
      <c r="I896" s="169"/>
      <c r="J896" s="169"/>
      <c r="K896" s="169"/>
      <c r="L896" s="169"/>
      <c r="M896" s="169"/>
      <c r="N896" s="169"/>
      <c r="O896" s="169"/>
      <c r="P896" s="169"/>
      <c r="Q896" s="169"/>
      <c r="R896" s="169"/>
      <c r="S896" s="169"/>
      <c r="T896" s="169"/>
      <c r="U896" s="169"/>
      <c r="V896" s="169"/>
      <c r="W896" s="169"/>
      <c r="X896" s="169"/>
      <c r="Y896" s="169"/>
      <c r="Z896" s="169"/>
    </row>
    <row r="897" spans="1:26" ht="15.75" customHeight="1" x14ac:dyDescent="0.25">
      <c r="A897" s="169"/>
      <c r="B897" s="169"/>
      <c r="C897" s="169"/>
      <c r="D897" s="169"/>
      <c r="E897" s="169"/>
      <c r="F897" s="169"/>
      <c r="G897" s="169"/>
      <c r="H897" s="169"/>
      <c r="I897" s="169"/>
      <c r="J897" s="169"/>
      <c r="K897" s="169"/>
      <c r="L897" s="169"/>
      <c r="M897" s="169"/>
      <c r="N897" s="169"/>
      <c r="O897" s="169"/>
      <c r="P897" s="169"/>
      <c r="Q897" s="169"/>
      <c r="R897" s="169"/>
      <c r="S897" s="169"/>
      <c r="T897" s="169"/>
      <c r="U897" s="169"/>
      <c r="V897" s="169"/>
      <c r="W897" s="169"/>
      <c r="X897" s="169"/>
      <c r="Y897" s="169"/>
      <c r="Z897" s="169"/>
    </row>
    <row r="898" spans="1:26" ht="15.75" customHeight="1" x14ac:dyDescent="0.25">
      <c r="A898" s="169"/>
      <c r="B898" s="169"/>
      <c r="C898" s="169"/>
      <c r="D898" s="169"/>
      <c r="E898" s="169"/>
      <c r="F898" s="169"/>
      <c r="G898" s="169"/>
      <c r="H898" s="169"/>
      <c r="I898" s="169"/>
      <c r="J898" s="169"/>
      <c r="K898" s="169"/>
      <c r="L898" s="169"/>
      <c r="M898" s="169"/>
      <c r="N898" s="169"/>
      <c r="O898" s="169"/>
      <c r="P898" s="169"/>
      <c r="Q898" s="169"/>
      <c r="R898" s="169"/>
      <c r="S898" s="169"/>
      <c r="T898" s="169"/>
      <c r="U898" s="169"/>
      <c r="V898" s="169"/>
      <c r="W898" s="169"/>
      <c r="X898" s="169"/>
      <c r="Y898" s="169"/>
      <c r="Z898" s="169"/>
    </row>
    <row r="899" spans="1:26" ht="15.75" customHeight="1" x14ac:dyDescent="0.25">
      <c r="A899" s="169"/>
      <c r="B899" s="169"/>
      <c r="C899" s="169"/>
      <c r="D899" s="169"/>
      <c r="E899" s="169"/>
      <c r="F899" s="169"/>
      <c r="G899" s="169"/>
      <c r="H899" s="169"/>
      <c r="I899" s="169"/>
      <c r="J899" s="169"/>
      <c r="K899" s="169"/>
      <c r="L899" s="169"/>
      <c r="M899" s="169"/>
      <c r="N899" s="169"/>
      <c r="O899" s="169"/>
      <c r="P899" s="169"/>
      <c r="Q899" s="169"/>
      <c r="R899" s="169"/>
      <c r="S899" s="169"/>
      <c r="T899" s="169"/>
      <c r="U899" s="169"/>
      <c r="V899" s="169"/>
      <c r="W899" s="169"/>
      <c r="X899" s="169"/>
      <c r="Y899" s="169"/>
      <c r="Z899" s="169"/>
    </row>
    <row r="900" spans="1:26" ht="15.75" customHeight="1" x14ac:dyDescent="0.25">
      <c r="A900" s="169"/>
      <c r="B900" s="169"/>
      <c r="C900" s="169"/>
      <c r="D900" s="169"/>
      <c r="E900" s="169"/>
      <c r="F900" s="169"/>
      <c r="G900" s="169"/>
      <c r="H900" s="169"/>
      <c r="I900" s="169"/>
      <c r="J900" s="169"/>
      <c r="K900" s="169"/>
      <c r="L900" s="169"/>
      <c r="M900" s="169"/>
      <c r="N900" s="169"/>
      <c r="O900" s="169"/>
      <c r="P900" s="169"/>
      <c r="Q900" s="169"/>
      <c r="R900" s="169"/>
      <c r="S900" s="169"/>
      <c r="T900" s="169"/>
      <c r="U900" s="169"/>
      <c r="V900" s="169"/>
      <c r="W900" s="169"/>
      <c r="X900" s="169"/>
      <c r="Y900" s="169"/>
      <c r="Z900" s="169"/>
    </row>
    <row r="901" spans="1:26" ht="15.75" customHeight="1" x14ac:dyDescent="0.25">
      <c r="A901" s="169"/>
      <c r="B901" s="169"/>
      <c r="C901" s="169"/>
      <c r="D901" s="169"/>
      <c r="E901" s="169"/>
      <c r="F901" s="169"/>
      <c r="G901" s="169"/>
      <c r="H901" s="169"/>
      <c r="I901" s="169"/>
      <c r="J901" s="169"/>
      <c r="K901" s="169"/>
      <c r="L901" s="169"/>
      <c r="M901" s="169"/>
      <c r="N901" s="169"/>
      <c r="O901" s="169"/>
      <c r="P901" s="169"/>
      <c r="Q901" s="169"/>
      <c r="R901" s="169"/>
      <c r="S901" s="169"/>
      <c r="T901" s="169"/>
      <c r="U901" s="169"/>
      <c r="V901" s="169"/>
      <c r="W901" s="169"/>
      <c r="X901" s="169"/>
      <c r="Y901" s="169"/>
      <c r="Z901" s="169"/>
    </row>
    <row r="902" spans="1:26" ht="15.75" customHeight="1" x14ac:dyDescent="0.25">
      <c r="A902" s="169"/>
      <c r="B902" s="169"/>
      <c r="C902" s="169"/>
      <c r="D902" s="169"/>
      <c r="E902" s="169"/>
      <c r="F902" s="169"/>
      <c r="G902" s="169"/>
      <c r="H902" s="169"/>
      <c r="I902" s="169"/>
      <c r="J902" s="169"/>
      <c r="K902" s="169"/>
      <c r="L902" s="169"/>
      <c r="M902" s="169"/>
      <c r="N902" s="169"/>
      <c r="O902" s="169"/>
      <c r="P902" s="169"/>
      <c r="Q902" s="169"/>
      <c r="R902" s="169"/>
      <c r="S902" s="169"/>
      <c r="T902" s="169"/>
      <c r="U902" s="169"/>
      <c r="V902" s="169"/>
      <c r="W902" s="169"/>
      <c r="X902" s="169"/>
      <c r="Y902" s="169"/>
      <c r="Z902" s="169"/>
    </row>
    <row r="903" spans="1:26" ht="15.75" customHeight="1" x14ac:dyDescent="0.25">
      <c r="A903" s="169"/>
      <c r="B903" s="169"/>
      <c r="C903" s="169"/>
      <c r="D903" s="169"/>
      <c r="E903" s="169"/>
      <c r="F903" s="169"/>
      <c r="G903" s="169"/>
      <c r="H903" s="169"/>
      <c r="I903" s="169"/>
      <c r="J903" s="169"/>
      <c r="K903" s="169"/>
      <c r="L903" s="169"/>
      <c r="M903" s="169"/>
      <c r="N903" s="169"/>
      <c r="O903" s="169"/>
      <c r="P903" s="169"/>
      <c r="Q903" s="169"/>
      <c r="R903" s="169"/>
      <c r="S903" s="169"/>
      <c r="T903" s="169"/>
      <c r="U903" s="169"/>
      <c r="V903" s="169"/>
      <c r="W903" s="169"/>
      <c r="X903" s="169"/>
      <c r="Y903" s="169"/>
      <c r="Z903" s="169"/>
    </row>
    <row r="904" spans="1:26" ht="15.75" customHeight="1" x14ac:dyDescent="0.25">
      <c r="A904" s="169"/>
      <c r="B904" s="169"/>
      <c r="C904" s="169"/>
      <c r="D904" s="169"/>
      <c r="E904" s="169"/>
      <c r="F904" s="169"/>
      <c r="G904" s="169"/>
      <c r="H904" s="169"/>
      <c r="I904" s="169"/>
      <c r="J904" s="169"/>
      <c r="K904" s="169"/>
      <c r="L904" s="169"/>
      <c r="M904" s="169"/>
      <c r="N904" s="169"/>
      <c r="O904" s="169"/>
      <c r="P904" s="169"/>
      <c r="Q904" s="169"/>
      <c r="R904" s="169"/>
      <c r="S904" s="169"/>
      <c r="T904" s="169"/>
      <c r="U904" s="169"/>
      <c r="V904" s="169"/>
      <c r="W904" s="169"/>
      <c r="X904" s="169"/>
      <c r="Y904" s="169"/>
      <c r="Z904" s="169"/>
    </row>
    <row r="905" spans="1:26" ht="15.75" customHeight="1" x14ac:dyDescent="0.25">
      <c r="A905" s="169"/>
      <c r="B905" s="169"/>
      <c r="C905" s="169"/>
      <c r="D905" s="169"/>
      <c r="E905" s="169"/>
      <c r="F905" s="169"/>
      <c r="G905" s="169"/>
      <c r="H905" s="169"/>
      <c r="I905" s="169"/>
      <c r="J905" s="169"/>
      <c r="K905" s="169"/>
      <c r="L905" s="169"/>
      <c r="M905" s="169"/>
      <c r="N905" s="169"/>
      <c r="O905" s="169"/>
      <c r="P905" s="169"/>
      <c r="Q905" s="169"/>
      <c r="R905" s="169"/>
      <c r="S905" s="169"/>
      <c r="T905" s="169"/>
      <c r="U905" s="169"/>
      <c r="V905" s="169"/>
      <c r="W905" s="169"/>
      <c r="X905" s="169"/>
      <c r="Y905" s="169"/>
      <c r="Z905" s="169"/>
    </row>
    <row r="906" spans="1:26" ht="15.75" customHeight="1" x14ac:dyDescent="0.25">
      <c r="A906" s="169"/>
      <c r="B906" s="169"/>
      <c r="C906" s="169"/>
      <c r="D906" s="169"/>
      <c r="E906" s="169"/>
      <c r="F906" s="169"/>
      <c r="G906" s="169"/>
      <c r="H906" s="169"/>
      <c r="I906" s="169"/>
      <c r="J906" s="169"/>
      <c r="K906" s="169"/>
      <c r="L906" s="169"/>
      <c r="M906" s="169"/>
      <c r="N906" s="169"/>
      <c r="O906" s="169"/>
      <c r="P906" s="169"/>
      <c r="Q906" s="169"/>
      <c r="R906" s="169"/>
      <c r="S906" s="169"/>
      <c r="T906" s="169"/>
      <c r="U906" s="169"/>
      <c r="V906" s="169"/>
      <c r="W906" s="169"/>
      <c r="X906" s="169"/>
      <c r="Y906" s="169"/>
      <c r="Z906" s="169"/>
    </row>
    <row r="907" spans="1:26" ht="15.75" customHeight="1" x14ac:dyDescent="0.25">
      <c r="A907" s="169"/>
      <c r="B907" s="169"/>
      <c r="C907" s="169"/>
      <c r="D907" s="169"/>
      <c r="E907" s="169"/>
      <c r="F907" s="169"/>
      <c r="G907" s="169"/>
      <c r="H907" s="169"/>
      <c r="I907" s="169"/>
      <c r="J907" s="169"/>
      <c r="K907" s="169"/>
      <c r="L907" s="169"/>
      <c r="M907" s="169"/>
      <c r="N907" s="169"/>
      <c r="O907" s="169"/>
      <c r="P907" s="169"/>
      <c r="Q907" s="169"/>
      <c r="R907" s="169"/>
      <c r="S907" s="169"/>
      <c r="T907" s="169"/>
      <c r="U907" s="169"/>
      <c r="V907" s="169"/>
      <c r="W907" s="169"/>
      <c r="X907" s="169"/>
      <c r="Y907" s="169"/>
      <c r="Z907" s="169"/>
    </row>
    <row r="908" spans="1:26" ht="15.75" customHeight="1" x14ac:dyDescent="0.25">
      <c r="A908" s="169"/>
      <c r="B908" s="169"/>
      <c r="C908" s="169"/>
      <c r="D908" s="169"/>
      <c r="E908" s="169"/>
      <c r="F908" s="169"/>
      <c r="G908" s="169"/>
      <c r="H908" s="169"/>
      <c r="I908" s="169"/>
      <c r="J908" s="169"/>
      <c r="K908" s="169"/>
      <c r="L908" s="169"/>
      <c r="M908" s="169"/>
      <c r="N908" s="169"/>
      <c r="O908" s="169"/>
      <c r="P908" s="169"/>
      <c r="Q908" s="169"/>
      <c r="R908" s="169"/>
      <c r="S908" s="169"/>
      <c r="T908" s="169"/>
      <c r="U908" s="169"/>
      <c r="V908" s="169"/>
      <c r="W908" s="169"/>
      <c r="X908" s="169"/>
      <c r="Y908" s="169"/>
      <c r="Z908" s="169"/>
    </row>
    <row r="909" spans="1:26" ht="15.75" customHeight="1" x14ac:dyDescent="0.25">
      <c r="A909" s="169"/>
      <c r="B909" s="169"/>
      <c r="C909" s="169"/>
      <c r="D909" s="169"/>
      <c r="E909" s="169"/>
      <c r="F909" s="169"/>
      <c r="G909" s="169"/>
      <c r="H909" s="169"/>
      <c r="I909" s="169"/>
      <c r="J909" s="169"/>
      <c r="K909" s="169"/>
      <c r="L909" s="169"/>
      <c r="M909" s="169"/>
      <c r="N909" s="169"/>
      <c r="O909" s="169"/>
      <c r="P909" s="169"/>
      <c r="Q909" s="169"/>
      <c r="R909" s="169"/>
      <c r="S909" s="169"/>
      <c r="T909" s="169"/>
      <c r="U909" s="169"/>
      <c r="V909" s="169"/>
      <c r="W909" s="169"/>
      <c r="X909" s="169"/>
      <c r="Y909" s="169"/>
      <c r="Z909" s="169"/>
    </row>
    <row r="910" spans="1:26" ht="15.75" customHeight="1" x14ac:dyDescent="0.25">
      <c r="A910" s="169"/>
      <c r="B910" s="169"/>
      <c r="C910" s="169"/>
      <c r="D910" s="169"/>
      <c r="E910" s="169"/>
      <c r="F910" s="169"/>
      <c r="G910" s="169"/>
      <c r="H910" s="169"/>
      <c r="I910" s="169"/>
      <c r="J910" s="169"/>
      <c r="K910" s="169"/>
      <c r="L910" s="169"/>
      <c r="M910" s="169"/>
      <c r="N910" s="169"/>
      <c r="O910" s="169"/>
      <c r="P910" s="169"/>
      <c r="Q910" s="169"/>
      <c r="R910" s="169"/>
      <c r="S910" s="169"/>
      <c r="T910" s="169"/>
      <c r="U910" s="169"/>
      <c r="V910" s="169"/>
      <c r="W910" s="169"/>
      <c r="X910" s="169"/>
      <c r="Y910" s="169"/>
      <c r="Z910" s="169"/>
    </row>
    <row r="911" spans="1:26" ht="15.75" customHeight="1" x14ac:dyDescent="0.25">
      <c r="A911" s="169"/>
      <c r="B911" s="169"/>
      <c r="C911" s="169"/>
      <c r="D911" s="169"/>
      <c r="E911" s="169"/>
      <c r="F911" s="169"/>
      <c r="G911" s="169"/>
      <c r="H911" s="169"/>
      <c r="I911" s="169"/>
      <c r="J911" s="169"/>
      <c r="K911" s="169"/>
      <c r="L911" s="169"/>
      <c r="M911" s="169"/>
      <c r="N911" s="169"/>
      <c r="O911" s="169"/>
      <c r="P911" s="169"/>
      <c r="Q911" s="169"/>
      <c r="R911" s="169"/>
      <c r="S911" s="169"/>
      <c r="T911" s="169"/>
      <c r="U911" s="169"/>
      <c r="V911" s="169"/>
      <c r="W911" s="169"/>
      <c r="X911" s="169"/>
      <c r="Y911" s="169"/>
      <c r="Z911" s="169"/>
    </row>
    <row r="912" spans="1:26" ht="15.75" customHeight="1" x14ac:dyDescent="0.25">
      <c r="A912" s="169"/>
      <c r="B912" s="169"/>
      <c r="C912" s="169"/>
      <c r="D912" s="169"/>
      <c r="E912" s="169"/>
      <c r="F912" s="169"/>
      <c r="G912" s="169"/>
      <c r="H912" s="169"/>
      <c r="I912" s="169"/>
      <c r="J912" s="169"/>
      <c r="K912" s="169"/>
      <c r="L912" s="169"/>
      <c r="M912" s="169"/>
      <c r="N912" s="169"/>
      <c r="O912" s="169"/>
      <c r="P912" s="169"/>
      <c r="Q912" s="169"/>
      <c r="R912" s="169"/>
      <c r="S912" s="169"/>
      <c r="T912" s="169"/>
      <c r="U912" s="169"/>
      <c r="V912" s="169"/>
      <c r="W912" s="169"/>
      <c r="X912" s="169"/>
      <c r="Y912" s="169"/>
      <c r="Z912" s="169"/>
    </row>
    <row r="913" spans="1:26" ht="15.75" customHeight="1" x14ac:dyDescent="0.25">
      <c r="A913" s="169"/>
      <c r="B913" s="169"/>
      <c r="C913" s="169"/>
      <c r="D913" s="169"/>
      <c r="E913" s="169"/>
      <c r="F913" s="169"/>
      <c r="G913" s="169"/>
      <c r="H913" s="169"/>
      <c r="I913" s="169"/>
      <c r="J913" s="169"/>
      <c r="K913" s="169"/>
      <c r="L913" s="169"/>
      <c r="M913" s="169"/>
      <c r="N913" s="169"/>
      <c r="O913" s="169"/>
      <c r="P913" s="169"/>
      <c r="Q913" s="169"/>
      <c r="R913" s="169"/>
      <c r="S913" s="169"/>
      <c r="T913" s="169"/>
      <c r="U913" s="169"/>
      <c r="V913" s="169"/>
      <c r="W913" s="169"/>
      <c r="X913" s="169"/>
      <c r="Y913" s="169"/>
      <c r="Z913" s="169"/>
    </row>
    <row r="914" spans="1:26" ht="15.75" customHeight="1" x14ac:dyDescent="0.25">
      <c r="A914" s="169"/>
      <c r="B914" s="169"/>
      <c r="C914" s="169"/>
      <c r="D914" s="169"/>
      <c r="E914" s="169"/>
      <c r="F914" s="169"/>
      <c r="G914" s="169"/>
      <c r="H914" s="169"/>
      <c r="I914" s="169"/>
      <c r="J914" s="169"/>
      <c r="K914" s="169"/>
      <c r="L914" s="169"/>
      <c r="M914" s="169"/>
      <c r="N914" s="169"/>
      <c r="O914" s="169"/>
      <c r="P914" s="169"/>
      <c r="Q914" s="169"/>
      <c r="R914" s="169"/>
      <c r="S914" s="169"/>
      <c r="T914" s="169"/>
      <c r="U914" s="169"/>
      <c r="V914" s="169"/>
      <c r="W914" s="169"/>
      <c r="X914" s="169"/>
      <c r="Y914" s="169"/>
      <c r="Z914" s="169"/>
    </row>
    <row r="915" spans="1:26" ht="15.75" customHeight="1" x14ac:dyDescent="0.25">
      <c r="A915" s="169"/>
      <c r="B915" s="169"/>
      <c r="C915" s="169"/>
      <c r="D915" s="169"/>
      <c r="E915" s="169"/>
      <c r="F915" s="169"/>
      <c r="G915" s="169"/>
      <c r="H915" s="169"/>
      <c r="I915" s="169"/>
      <c r="J915" s="169"/>
      <c r="K915" s="169"/>
      <c r="L915" s="169"/>
      <c r="M915" s="169"/>
      <c r="N915" s="169"/>
      <c r="O915" s="169"/>
      <c r="P915" s="169"/>
      <c r="Q915" s="169"/>
      <c r="R915" s="169"/>
      <c r="S915" s="169"/>
      <c r="T915" s="169"/>
      <c r="U915" s="169"/>
      <c r="V915" s="169"/>
      <c r="W915" s="169"/>
      <c r="X915" s="169"/>
      <c r="Y915" s="169"/>
      <c r="Z915" s="169"/>
    </row>
    <row r="916" spans="1:26" ht="15.75" customHeight="1" x14ac:dyDescent="0.25">
      <c r="A916" s="169"/>
      <c r="B916" s="169"/>
      <c r="C916" s="169"/>
      <c r="D916" s="169"/>
      <c r="E916" s="169"/>
      <c r="F916" s="169"/>
      <c r="G916" s="169"/>
      <c r="H916" s="169"/>
      <c r="I916" s="169"/>
      <c r="J916" s="169"/>
      <c r="K916" s="169"/>
      <c r="L916" s="169"/>
      <c r="M916" s="169"/>
      <c r="N916" s="169"/>
      <c r="O916" s="169"/>
      <c r="P916" s="169"/>
      <c r="Q916" s="169"/>
      <c r="R916" s="169"/>
      <c r="S916" s="169"/>
      <c r="T916" s="169"/>
      <c r="U916" s="169"/>
      <c r="V916" s="169"/>
      <c r="W916" s="169"/>
      <c r="X916" s="169"/>
      <c r="Y916" s="169"/>
      <c r="Z916" s="169"/>
    </row>
    <row r="917" spans="1:26" ht="15.75" customHeight="1" x14ac:dyDescent="0.25">
      <c r="A917" s="169"/>
      <c r="B917" s="169"/>
      <c r="C917" s="169"/>
      <c r="D917" s="169"/>
      <c r="E917" s="169"/>
      <c r="F917" s="169"/>
      <c r="G917" s="169"/>
      <c r="H917" s="169"/>
      <c r="I917" s="169"/>
      <c r="J917" s="169"/>
      <c r="K917" s="169"/>
      <c r="L917" s="169"/>
      <c r="M917" s="169"/>
      <c r="N917" s="169"/>
      <c r="O917" s="169"/>
      <c r="P917" s="169"/>
      <c r="Q917" s="169"/>
      <c r="R917" s="169"/>
      <c r="S917" s="169"/>
      <c r="T917" s="169"/>
      <c r="U917" s="169"/>
      <c r="V917" s="169"/>
      <c r="W917" s="169"/>
      <c r="X917" s="169"/>
      <c r="Y917" s="169"/>
      <c r="Z917" s="169"/>
    </row>
    <row r="918" spans="1:26" ht="15.75" customHeight="1" x14ac:dyDescent="0.25">
      <c r="A918" s="169"/>
      <c r="B918" s="169"/>
      <c r="C918" s="169"/>
      <c r="D918" s="169"/>
      <c r="E918" s="169"/>
      <c r="F918" s="169"/>
      <c r="G918" s="169"/>
      <c r="H918" s="169"/>
      <c r="I918" s="169"/>
      <c r="J918" s="169"/>
      <c r="K918" s="169"/>
      <c r="L918" s="169"/>
      <c r="M918" s="169"/>
      <c r="N918" s="169"/>
      <c r="O918" s="169"/>
      <c r="P918" s="169"/>
      <c r="Q918" s="169"/>
      <c r="R918" s="169"/>
      <c r="S918" s="169"/>
      <c r="T918" s="169"/>
      <c r="U918" s="169"/>
      <c r="V918" s="169"/>
      <c r="W918" s="169"/>
      <c r="X918" s="169"/>
      <c r="Y918" s="169"/>
      <c r="Z918" s="169"/>
    </row>
    <row r="919" spans="1:26" ht="15.75" customHeight="1" x14ac:dyDescent="0.25">
      <c r="A919" s="169"/>
      <c r="B919" s="169"/>
      <c r="C919" s="169"/>
      <c r="D919" s="169"/>
      <c r="E919" s="169"/>
      <c r="F919" s="169"/>
      <c r="G919" s="169"/>
      <c r="H919" s="169"/>
      <c r="I919" s="169"/>
      <c r="J919" s="169"/>
      <c r="K919" s="169"/>
      <c r="L919" s="169"/>
      <c r="M919" s="169"/>
      <c r="N919" s="169"/>
      <c r="O919" s="169"/>
      <c r="P919" s="169"/>
      <c r="Q919" s="169"/>
      <c r="R919" s="169"/>
      <c r="S919" s="169"/>
      <c r="T919" s="169"/>
      <c r="U919" s="169"/>
      <c r="V919" s="169"/>
      <c r="W919" s="169"/>
      <c r="X919" s="169"/>
      <c r="Y919" s="169"/>
      <c r="Z919" s="169"/>
    </row>
    <row r="920" spans="1:26" ht="15.75" customHeight="1" x14ac:dyDescent="0.25">
      <c r="A920" s="169"/>
      <c r="B920" s="169"/>
      <c r="C920" s="169"/>
      <c r="D920" s="169"/>
      <c r="E920" s="169"/>
      <c r="F920" s="169"/>
      <c r="G920" s="169"/>
      <c r="H920" s="169"/>
      <c r="I920" s="169"/>
      <c r="J920" s="169"/>
      <c r="K920" s="169"/>
      <c r="L920" s="169"/>
      <c r="M920" s="169"/>
      <c r="N920" s="169"/>
      <c r="O920" s="169"/>
      <c r="P920" s="169"/>
      <c r="Q920" s="169"/>
      <c r="R920" s="169"/>
      <c r="S920" s="169"/>
      <c r="T920" s="169"/>
      <c r="U920" s="169"/>
      <c r="V920" s="169"/>
      <c r="W920" s="169"/>
      <c r="X920" s="169"/>
      <c r="Y920" s="169"/>
      <c r="Z920" s="169"/>
    </row>
    <row r="921" spans="1:26" ht="15.75" customHeight="1" x14ac:dyDescent="0.25">
      <c r="A921" s="169"/>
      <c r="B921" s="169"/>
      <c r="C921" s="169"/>
      <c r="D921" s="169"/>
      <c r="E921" s="169"/>
      <c r="F921" s="169"/>
      <c r="G921" s="169"/>
      <c r="H921" s="169"/>
      <c r="I921" s="169"/>
      <c r="J921" s="169"/>
      <c r="K921" s="169"/>
      <c r="L921" s="169"/>
      <c r="M921" s="169"/>
      <c r="N921" s="169"/>
      <c r="O921" s="169"/>
      <c r="P921" s="169"/>
      <c r="Q921" s="169"/>
      <c r="R921" s="169"/>
      <c r="S921" s="169"/>
      <c r="T921" s="169"/>
      <c r="U921" s="169"/>
      <c r="V921" s="169"/>
      <c r="W921" s="169"/>
      <c r="X921" s="169"/>
      <c r="Y921" s="169"/>
      <c r="Z921" s="169"/>
    </row>
    <row r="922" spans="1:26" ht="15.75" customHeight="1" x14ac:dyDescent="0.25">
      <c r="A922" s="169"/>
      <c r="B922" s="169"/>
      <c r="C922" s="169"/>
      <c r="D922" s="169"/>
      <c r="E922" s="169"/>
      <c r="F922" s="169"/>
      <c r="G922" s="169"/>
      <c r="H922" s="169"/>
      <c r="I922" s="169"/>
      <c r="J922" s="169"/>
      <c r="K922" s="169"/>
      <c r="L922" s="169"/>
      <c r="M922" s="169"/>
      <c r="N922" s="169"/>
      <c r="O922" s="169"/>
      <c r="P922" s="169"/>
      <c r="Q922" s="169"/>
      <c r="R922" s="169"/>
      <c r="S922" s="169"/>
      <c r="T922" s="169"/>
      <c r="U922" s="169"/>
      <c r="V922" s="169"/>
      <c r="W922" s="169"/>
      <c r="X922" s="169"/>
      <c r="Y922" s="169"/>
      <c r="Z922" s="169"/>
    </row>
    <row r="923" spans="1:26" ht="15.75" customHeight="1" x14ac:dyDescent="0.25">
      <c r="A923" s="169"/>
      <c r="B923" s="169"/>
      <c r="C923" s="169"/>
      <c r="D923" s="169"/>
      <c r="E923" s="169"/>
      <c r="F923" s="169"/>
      <c r="G923" s="169"/>
      <c r="H923" s="169"/>
      <c r="I923" s="169"/>
      <c r="J923" s="169"/>
      <c r="K923" s="169"/>
      <c r="L923" s="169"/>
      <c r="M923" s="169"/>
      <c r="N923" s="169"/>
      <c r="O923" s="169"/>
      <c r="P923" s="169"/>
      <c r="Q923" s="169"/>
      <c r="R923" s="169"/>
      <c r="S923" s="169"/>
      <c r="T923" s="169"/>
      <c r="U923" s="169"/>
      <c r="V923" s="169"/>
      <c r="W923" s="169"/>
      <c r="X923" s="169"/>
      <c r="Y923" s="169"/>
      <c r="Z923" s="169"/>
    </row>
    <row r="924" spans="1:26" ht="15.75" customHeight="1" x14ac:dyDescent="0.25">
      <c r="A924" s="169"/>
      <c r="B924" s="169"/>
      <c r="C924" s="169"/>
      <c r="D924" s="169"/>
      <c r="E924" s="169"/>
      <c r="F924" s="169"/>
      <c r="G924" s="169"/>
      <c r="H924" s="169"/>
      <c r="I924" s="169"/>
      <c r="J924" s="169"/>
      <c r="K924" s="169"/>
      <c r="L924" s="169"/>
      <c r="M924" s="169"/>
      <c r="N924" s="169"/>
      <c r="O924" s="169"/>
      <c r="P924" s="169"/>
      <c r="Q924" s="169"/>
      <c r="R924" s="169"/>
      <c r="S924" s="169"/>
      <c r="T924" s="169"/>
      <c r="U924" s="169"/>
      <c r="V924" s="169"/>
      <c r="W924" s="169"/>
      <c r="X924" s="169"/>
      <c r="Y924" s="169"/>
      <c r="Z924" s="169"/>
    </row>
    <row r="925" spans="1:26" ht="15.75" customHeight="1" x14ac:dyDescent="0.25">
      <c r="A925" s="169"/>
      <c r="B925" s="169"/>
      <c r="C925" s="169"/>
      <c r="D925" s="169"/>
      <c r="E925" s="169"/>
      <c r="F925" s="169"/>
      <c r="G925" s="169"/>
      <c r="H925" s="169"/>
      <c r="I925" s="169"/>
      <c r="J925" s="169"/>
      <c r="K925" s="169"/>
      <c r="L925" s="169"/>
      <c r="M925" s="169"/>
      <c r="N925" s="169"/>
      <c r="O925" s="169"/>
      <c r="P925" s="169"/>
      <c r="Q925" s="169"/>
      <c r="R925" s="169"/>
      <c r="S925" s="169"/>
      <c r="T925" s="169"/>
      <c r="U925" s="169"/>
      <c r="V925" s="169"/>
      <c r="W925" s="169"/>
      <c r="X925" s="169"/>
      <c r="Y925" s="169"/>
      <c r="Z925" s="169"/>
    </row>
    <row r="926" spans="1:26" ht="15.75" customHeight="1" x14ac:dyDescent="0.25">
      <c r="A926" s="169"/>
      <c r="B926" s="169"/>
      <c r="C926" s="169"/>
      <c r="D926" s="169"/>
      <c r="E926" s="169"/>
      <c r="F926" s="169"/>
      <c r="G926" s="169"/>
      <c r="H926" s="169"/>
      <c r="I926" s="169"/>
      <c r="J926" s="169"/>
      <c r="K926" s="169"/>
      <c r="L926" s="169"/>
      <c r="M926" s="169"/>
      <c r="N926" s="169"/>
      <c r="O926" s="169"/>
      <c r="P926" s="169"/>
      <c r="Q926" s="169"/>
      <c r="R926" s="169"/>
      <c r="S926" s="169"/>
      <c r="T926" s="169"/>
      <c r="U926" s="169"/>
      <c r="V926" s="169"/>
      <c r="W926" s="169"/>
      <c r="X926" s="169"/>
      <c r="Y926" s="169"/>
      <c r="Z926" s="169"/>
    </row>
    <row r="927" spans="1:26" ht="15.75" customHeight="1" x14ac:dyDescent="0.25">
      <c r="A927" s="169"/>
      <c r="B927" s="169"/>
      <c r="C927" s="169"/>
      <c r="D927" s="169"/>
      <c r="E927" s="169"/>
      <c r="F927" s="169"/>
      <c r="G927" s="169"/>
      <c r="H927" s="169"/>
      <c r="I927" s="169"/>
      <c r="J927" s="169"/>
      <c r="K927" s="169"/>
      <c r="L927" s="169"/>
      <c r="M927" s="169"/>
      <c r="N927" s="169"/>
      <c r="O927" s="169"/>
      <c r="P927" s="169"/>
      <c r="Q927" s="169"/>
      <c r="R927" s="169"/>
      <c r="S927" s="169"/>
      <c r="T927" s="169"/>
      <c r="U927" s="169"/>
      <c r="V927" s="169"/>
      <c r="W927" s="169"/>
      <c r="X927" s="169"/>
      <c r="Y927" s="169"/>
      <c r="Z927" s="169"/>
    </row>
    <row r="928" spans="1:26" ht="15.75" customHeight="1" x14ac:dyDescent="0.25">
      <c r="A928" s="169"/>
      <c r="B928" s="169"/>
      <c r="C928" s="169"/>
      <c r="D928" s="169"/>
      <c r="E928" s="169"/>
      <c r="F928" s="169"/>
      <c r="G928" s="169"/>
      <c r="H928" s="169"/>
      <c r="I928" s="169"/>
      <c r="J928" s="169"/>
      <c r="K928" s="169"/>
      <c r="L928" s="169"/>
      <c r="M928" s="169"/>
      <c r="N928" s="169"/>
      <c r="O928" s="169"/>
      <c r="P928" s="169"/>
      <c r="Q928" s="169"/>
      <c r="R928" s="169"/>
      <c r="S928" s="169"/>
      <c r="T928" s="169"/>
      <c r="U928" s="169"/>
      <c r="V928" s="169"/>
      <c r="W928" s="169"/>
      <c r="X928" s="169"/>
      <c r="Y928" s="169"/>
      <c r="Z928" s="169"/>
    </row>
    <row r="929" spans="1:26" ht="15.75" customHeight="1" x14ac:dyDescent="0.25">
      <c r="A929" s="169"/>
      <c r="B929" s="169"/>
      <c r="C929" s="169"/>
      <c r="D929" s="169"/>
      <c r="E929" s="169"/>
      <c r="F929" s="169"/>
      <c r="G929" s="169"/>
      <c r="H929" s="169"/>
      <c r="I929" s="169"/>
      <c r="J929" s="169"/>
      <c r="K929" s="169"/>
      <c r="L929" s="169"/>
      <c r="M929" s="169"/>
      <c r="N929" s="169"/>
      <c r="O929" s="169"/>
      <c r="P929" s="169"/>
      <c r="Q929" s="169"/>
      <c r="R929" s="169"/>
      <c r="S929" s="169"/>
      <c r="T929" s="169"/>
      <c r="U929" s="169"/>
      <c r="V929" s="169"/>
      <c r="W929" s="169"/>
      <c r="X929" s="169"/>
      <c r="Y929" s="169"/>
      <c r="Z929" s="169"/>
    </row>
    <row r="930" spans="1:26" ht="15.75" customHeight="1" x14ac:dyDescent="0.25">
      <c r="A930" s="169"/>
      <c r="B930" s="169"/>
      <c r="C930" s="169"/>
      <c r="D930" s="169"/>
      <c r="E930" s="169"/>
      <c r="F930" s="169"/>
      <c r="G930" s="169"/>
      <c r="H930" s="169"/>
      <c r="I930" s="169"/>
      <c r="J930" s="169"/>
      <c r="K930" s="169"/>
      <c r="L930" s="169"/>
      <c r="M930" s="169"/>
      <c r="N930" s="169"/>
      <c r="O930" s="169"/>
      <c r="P930" s="169"/>
      <c r="Q930" s="169"/>
      <c r="R930" s="169"/>
      <c r="S930" s="169"/>
      <c r="T930" s="169"/>
      <c r="U930" s="169"/>
      <c r="V930" s="169"/>
      <c r="W930" s="169"/>
      <c r="X930" s="169"/>
      <c r="Y930" s="169"/>
      <c r="Z930" s="169"/>
    </row>
    <row r="931" spans="1:26" ht="15.75" customHeight="1" x14ac:dyDescent="0.25">
      <c r="A931" s="169"/>
      <c r="B931" s="169"/>
      <c r="C931" s="169"/>
      <c r="D931" s="169"/>
      <c r="E931" s="169"/>
      <c r="F931" s="169"/>
      <c r="G931" s="169"/>
      <c r="H931" s="169"/>
      <c r="I931" s="169"/>
      <c r="J931" s="169"/>
      <c r="K931" s="169"/>
      <c r="L931" s="169"/>
      <c r="M931" s="169"/>
      <c r="N931" s="169"/>
      <c r="O931" s="169"/>
      <c r="P931" s="169"/>
      <c r="Q931" s="169"/>
      <c r="R931" s="169"/>
      <c r="S931" s="169"/>
      <c r="T931" s="169"/>
      <c r="U931" s="169"/>
      <c r="V931" s="169"/>
      <c r="W931" s="169"/>
      <c r="X931" s="169"/>
      <c r="Y931" s="169"/>
      <c r="Z931" s="169"/>
    </row>
    <row r="932" spans="1:26" ht="15.75" customHeight="1" x14ac:dyDescent="0.25">
      <c r="A932" s="169"/>
      <c r="B932" s="169"/>
      <c r="C932" s="169"/>
      <c r="D932" s="169"/>
      <c r="E932" s="169"/>
      <c r="F932" s="169"/>
      <c r="G932" s="169"/>
      <c r="H932" s="169"/>
      <c r="I932" s="169"/>
      <c r="J932" s="169"/>
      <c r="K932" s="169"/>
      <c r="L932" s="169"/>
      <c r="M932" s="169"/>
      <c r="N932" s="169"/>
      <c r="O932" s="169"/>
      <c r="P932" s="169"/>
      <c r="Q932" s="169"/>
      <c r="R932" s="169"/>
      <c r="S932" s="169"/>
      <c r="T932" s="169"/>
      <c r="U932" s="169"/>
      <c r="V932" s="169"/>
      <c r="W932" s="169"/>
      <c r="X932" s="169"/>
      <c r="Y932" s="169"/>
      <c r="Z932" s="169"/>
    </row>
    <row r="933" spans="1:26" ht="15.75" customHeight="1" x14ac:dyDescent="0.25">
      <c r="A933" s="169"/>
      <c r="B933" s="169"/>
      <c r="C933" s="169"/>
      <c r="D933" s="169"/>
      <c r="E933" s="169"/>
      <c r="F933" s="169"/>
      <c r="G933" s="169"/>
      <c r="H933" s="169"/>
      <c r="I933" s="169"/>
      <c r="J933" s="169"/>
      <c r="K933" s="169"/>
      <c r="L933" s="169"/>
      <c r="M933" s="169"/>
      <c r="N933" s="169"/>
      <c r="O933" s="169"/>
      <c r="P933" s="169"/>
      <c r="Q933" s="169"/>
      <c r="R933" s="169"/>
      <c r="S933" s="169"/>
      <c r="T933" s="169"/>
      <c r="U933" s="169"/>
      <c r="V933" s="169"/>
      <c r="W933" s="169"/>
      <c r="X933" s="169"/>
      <c r="Y933" s="169"/>
      <c r="Z933" s="169"/>
    </row>
    <row r="934" spans="1:26" ht="15.75" customHeight="1" x14ac:dyDescent="0.25">
      <c r="A934" s="169"/>
      <c r="B934" s="169"/>
      <c r="C934" s="169"/>
      <c r="D934" s="169"/>
      <c r="E934" s="169"/>
      <c r="F934" s="169"/>
      <c r="G934" s="169"/>
      <c r="H934" s="169"/>
      <c r="I934" s="169"/>
      <c r="J934" s="169"/>
      <c r="K934" s="169"/>
      <c r="L934" s="169"/>
      <c r="M934" s="169"/>
      <c r="N934" s="169"/>
      <c r="O934" s="169"/>
      <c r="P934" s="169"/>
      <c r="Q934" s="169"/>
      <c r="R934" s="169"/>
      <c r="S934" s="169"/>
      <c r="T934" s="169"/>
      <c r="U934" s="169"/>
      <c r="V934" s="169"/>
      <c r="W934" s="169"/>
      <c r="X934" s="169"/>
      <c r="Y934" s="169"/>
      <c r="Z934" s="169"/>
    </row>
    <row r="935" spans="1:26" ht="15.75" customHeight="1" x14ac:dyDescent="0.25">
      <c r="A935" s="169"/>
      <c r="B935" s="169"/>
      <c r="C935" s="169"/>
      <c r="D935" s="169"/>
      <c r="E935" s="169"/>
      <c r="F935" s="169"/>
      <c r="G935" s="169"/>
      <c r="H935" s="169"/>
      <c r="I935" s="169"/>
      <c r="J935" s="169"/>
      <c r="K935" s="169"/>
      <c r="L935" s="169"/>
      <c r="M935" s="169"/>
      <c r="N935" s="169"/>
      <c r="O935" s="169"/>
      <c r="P935" s="169"/>
      <c r="Q935" s="169"/>
      <c r="R935" s="169"/>
      <c r="S935" s="169"/>
      <c r="T935" s="169"/>
      <c r="U935" s="169"/>
      <c r="V935" s="169"/>
      <c r="W935" s="169"/>
      <c r="X935" s="169"/>
      <c r="Y935" s="169"/>
      <c r="Z935" s="169"/>
    </row>
    <row r="936" spans="1:26" ht="15.75" customHeight="1" x14ac:dyDescent="0.25">
      <c r="A936" s="169"/>
      <c r="B936" s="169"/>
      <c r="C936" s="169"/>
      <c r="D936" s="169"/>
      <c r="E936" s="169"/>
      <c r="F936" s="169"/>
      <c r="G936" s="169"/>
      <c r="H936" s="169"/>
      <c r="I936" s="169"/>
      <c r="J936" s="169"/>
      <c r="K936" s="169"/>
      <c r="L936" s="169"/>
      <c r="M936" s="169"/>
      <c r="N936" s="169"/>
      <c r="O936" s="169"/>
      <c r="P936" s="169"/>
      <c r="Q936" s="169"/>
      <c r="R936" s="169"/>
      <c r="S936" s="169"/>
      <c r="T936" s="169"/>
      <c r="U936" s="169"/>
      <c r="V936" s="169"/>
      <c r="W936" s="169"/>
      <c r="X936" s="169"/>
      <c r="Y936" s="169"/>
      <c r="Z936" s="169"/>
    </row>
    <row r="937" spans="1:26" ht="15.75" customHeight="1" x14ac:dyDescent="0.25">
      <c r="A937" s="169"/>
      <c r="B937" s="169"/>
      <c r="C937" s="169"/>
      <c r="D937" s="169"/>
      <c r="E937" s="169"/>
      <c r="F937" s="169"/>
      <c r="G937" s="169"/>
      <c r="H937" s="169"/>
      <c r="I937" s="169"/>
      <c r="J937" s="169"/>
      <c r="K937" s="169"/>
      <c r="L937" s="169"/>
      <c r="M937" s="169"/>
      <c r="N937" s="169"/>
      <c r="O937" s="169"/>
      <c r="P937" s="169"/>
      <c r="Q937" s="169"/>
      <c r="R937" s="169"/>
      <c r="S937" s="169"/>
      <c r="T937" s="169"/>
      <c r="U937" s="169"/>
      <c r="V937" s="169"/>
      <c r="W937" s="169"/>
      <c r="X937" s="169"/>
      <c r="Y937" s="169"/>
      <c r="Z937" s="169"/>
    </row>
    <row r="938" spans="1:26" ht="15.75" customHeight="1" x14ac:dyDescent="0.25">
      <c r="A938" s="169"/>
      <c r="B938" s="169"/>
      <c r="C938" s="169"/>
      <c r="D938" s="169"/>
      <c r="E938" s="169"/>
      <c r="F938" s="169"/>
      <c r="G938" s="169"/>
      <c r="H938" s="169"/>
      <c r="I938" s="169"/>
      <c r="J938" s="169"/>
      <c r="K938" s="169"/>
      <c r="L938" s="169"/>
      <c r="M938" s="169"/>
      <c r="N938" s="169"/>
      <c r="O938" s="169"/>
      <c r="P938" s="169"/>
      <c r="Q938" s="169"/>
      <c r="R938" s="169"/>
      <c r="S938" s="169"/>
      <c r="T938" s="169"/>
      <c r="U938" s="169"/>
      <c r="V938" s="169"/>
      <c r="W938" s="169"/>
      <c r="X938" s="169"/>
      <c r="Y938" s="169"/>
      <c r="Z938" s="169"/>
    </row>
    <row r="939" spans="1:26" ht="15.75" customHeight="1" x14ac:dyDescent="0.25">
      <c r="A939" s="169"/>
      <c r="B939" s="169"/>
      <c r="C939" s="169"/>
      <c r="D939" s="169"/>
      <c r="E939" s="169"/>
      <c r="F939" s="169"/>
      <c r="G939" s="169"/>
      <c r="H939" s="169"/>
      <c r="I939" s="169"/>
      <c r="J939" s="169"/>
      <c r="K939" s="169"/>
      <c r="L939" s="169"/>
      <c r="M939" s="169"/>
      <c r="N939" s="169"/>
      <c r="O939" s="169"/>
      <c r="P939" s="169"/>
      <c r="Q939" s="169"/>
      <c r="R939" s="169"/>
      <c r="S939" s="169"/>
      <c r="T939" s="169"/>
      <c r="U939" s="169"/>
      <c r="V939" s="169"/>
      <c r="W939" s="169"/>
      <c r="X939" s="169"/>
      <c r="Y939" s="169"/>
      <c r="Z939" s="169"/>
    </row>
    <row r="940" spans="1:26" ht="15.75" customHeight="1" x14ac:dyDescent="0.25">
      <c r="A940" s="169"/>
      <c r="B940" s="169"/>
      <c r="C940" s="169"/>
      <c r="D940" s="169"/>
      <c r="E940" s="169"/>
      <c r="F940" s="169"/>
      <c r="G940" s="169"/>
      <c r="H940" s="169"/>
      <c r="I940" s="169"/>
      <c r="J940" s="169"/>
      <c r="K940" s="169"/>
      <c r="L940" s="169"/>
      <c r="M940" s="169"/>
      <c r="N940" s="169"/>
      <c r="O940" s="169"/>
      <c r="P940" s="169"/>
      <c r="Q940" s="169"/>
      <c r="R940" s="169"/>
      <c r="S940" s="169"/>
      <c r="T940" s="169"/>
      <c r="U940" s="169"/>
      <c r="V940" s="169"/>
      <c r="W940" s="169"/>
      <c r="X940" s="169"/>
      <c r="Y940" s="169"/>
      <c r="Z940" s="169"/>
    </row>
    <row r="941" spans="1:26" ht="15.75" customHeight="1" x14ac:dyDescent="0.25">
      <c r="A941" s="169"/>
      <c r="B941" s="169"/>
      <c r="C941" s="169"/>
      <c r="D941" s="169"/>
      <c r="E941" s="169"/>
      <c r="F941" s="169"/>
      <c r="G941" s="169"/>
      <c r="H941" s="169"/>
      <c r="I941" s="169"/>
      <c r="J941" s="169"/>
      <c r="K941" s="169"/>
      <c r="L941" s="169"/>
      <c r="M941" s="169"/>
      <c r="N941" s="169"/>
      <c r="O941" s="169"/>
      <c r="P941" s="169"/>
      <c r="Q941" s="169"/>
      <c r="R941" s="169"/>
      <c r="S941" s="169"/>
      <c r="T941" s="169"/>
      <c r="U941" s="169"/>
      <c r="V941" s="169"/>
      <c r="W941" s="169"/>
      <c r="X941" s="169"/>
      <c r="Y941" s="169"/>
      <c r="Z941" s="169"/>
    </row>
    <row r="942" spans="1:26" ht="15.75" customHeight="1" x14ac:dyDescent="0.25">
      <c r="A942" s="169"/>
      <c r="B942" s="169"/>
      <c r="C942" s="169"/>
      <c r="D942" s="169"/>
      <c r="E942" s="169"/>
      <c r="F942" s="169"/>
      <c r="G942" s="169"/>
      <c r="H942" s="169"/>
      <c r="I942" s="169"/>
      <c r="J942" s="169"/>
      <c r="K942" s="169"/>
      <c r="L942" s="169"/>
      <c r="M942" s="169"/>
      <c r="N942" s="169"/>
      <c r="O942" s="169"/>
      <c r="P942" s="169"/>
      <c r="Q942" s="169"/>
      <c r="R942" s="169"/>
      <c r="S942" s="169"/>
      <c r="T942" s="169"/>
      <c r="U942" s="169"/>
      <c r="V942" s="169"/>
      <c r="W942" s="169"/>
      <c r="X942" s="169"/>
      <c r="Y942" s="169"/>
      <c r="Z942" s="169"/>
    </row>
    <row r="943" spans="1:26" ht="15.75" customHeight="1" x14ac:dyDescent="0.25">
      <c r="A943" s="169"/>
      <c r="B943" s="169"/>
      <c r="C943" s="169"/>
      <c r="D943" s="169"/>
      <c r="E943" s="169"/>
      <c r="F943" s="169"/>
      <c r="G943" s="169"/>
      <c r="H943" s="169"/>
      <c r="I943" s="169"/>
      <c r="J943" s="169"/>
      <c r="K943" s="169"/>
      <c r="L943" s="169"/>
      <c r="M943" s="169"/>
      <c r="N943" s="169"/>
      <c r="O943" s="169"/>
      <c r="P943" s="169"/>
      <c r="Q943" s="169"/>
      <c r="R943" s="169"/>
      <c r="S943" s="169"/>
      <c r="T943" s="169"/>
      <c r="U943" s="169"/>
      <c r="V943" s="169"/>
      <c r="W943" s="169"/>
      <c r="X943" s="169"/>
      <c r="Y943" s="169"/>
      <c r="Z943" s="169"/>
    </row>
    <row r="944" spans="1:26" ht="15.75" customHeight="1" x14ac:dyDescent="0.25">
      <c r="A944" s="169"/>
      <c r="B944" s="169"/>
      <c r="C944" s="169"/>
      <c r="D944" s="169"/>
      <c r="E944" s="169"/>
      <c r="F944" s="169"/>
      <c r="G944" s="169"/>
      <c r="H944" s="169"/>
      <c r="I944" s="169"/>
      <c r="J944" s="169"/>
      <c r="K944" s="169"/>
      <c r="L944" s="169"/>
      <c r="M944" s="169"/>
      <c r="N944" s="169"/>
      <c r="O944" s="169"/>
      <c r="P944" s="169"/>
      <c r="Q944" s="169"/>
      <c r="R944" s="169"/>
      <c r="S944" s="169"/>
      <c r="T944" s="169"/>
      <c r="U944" s="169"/>
      <c r="V944" s="169"/>
      <c r="W944" s="169"/>
      <c r="X944" s="169"/>
      <c r="Y944" s="169"/>
      <c r="Z944" s="169"/>
    </row>
    <row r="945" spans="1:26" ht="15.75" customHeight="1" x14ac:dyDescent="0.25">
      <c r="A945" s="169"/>
      <c r="B945" s="169"/>
      <c r="C945" s="169"/>
      <c r="D945" s="169"/>
      <c r="E945" s="169"/>
      <c r="F945" s="169"/>
      <c r="G945" s="169"/>
      <c r="H945" s="169"/>
      <c r="I945" s="169"/>
      <c r="J945" s="169"/>
      <c r="K945" s="169"/>
      <c r="L945" s="169"/>
      <c r="M945" s="169"/>
      <c r="N945" s="169"/>
      <c r="O945" s="169"/>
      <c r="P945" s="169"/>
      <c r="Q945" s="169"/>
      <c r="R945" s="169"/>
      <c r="S945" s="169"/>
      <c r="T945" s="169"/>
      <c r="U945" s="169"/>
      <c r="V945" s="169"/>
      <c r="W945" s="169"/>
      <c r="X945" s="169"/>
      <c r="Y945" s="169"/>
      <c r="Z945" s="169"/>
    </row>
    <row r="946" spans="1:26" ht="15.75" customHeight="1" x14ac:dyDescent="0.25">
      <c r="A946" s="169"/>
      <c r="B946" s="169"/>
      <c r="C946" s="169"/>
      <c r="D946" s="169"/>
      <c r="E946" s="169"/>
      <c r="F946" s="169"/>
      <c r="G946" s="169"/>
      <c r="H946" s="169"/>
      <c r="I946" s="169"/>
      <c r="J946" s="169"/>
      <c r="K946" s="169"/>
      <c r="L946" s="169"/>
      <c r="M946" s="169"/>
      <c r="N946" s="169"/>
      <c r="O946" s="169"/>
      <c r="P946" s="169"/>
      <c r="Q946" s="169"/>
      <c r="R946" s="169"/>
      <c r="S946" s="169"/>
      <c r="T946" s="169"/>
      <c r="U946" s="169"/>
      <c r="V946" s="169"/>
      <c r="W946" s="169"/>
      <c r="X946" s="169"/>
      <c r="Y946" s="169"/>
      <c r="Z946" s="169"/>
    </row>
    <row r="947" spans="1:26" ht="15.75" customHeight="1" x14ac:dyDescent="0.25">
      <c r="A947" s="169"/>
      <c r="B947" s="169"/>
      <c r="C947" s="169"/>
      <c r="D947" s="169"/>
      <c r="E947" s="169"/>
      <c r="F947" s="169"/>
      <c r="G947" s="169"/>
      <c r="H947" s="169"/>
      <c r="I947" s="169"/>
      <c r="J947" s="169"/>
      <c r="K947" s="169"/>
      <c r="L947" s="169"/>
      <c r="M947" s="169"/>
      <c r="N947" s="169"/>
      <c r="O947" s="169"/>
      <c r="P947" s="169"/>
      <c r="Q947" s="169"/>
      <c r="R947" s="169"/>
      <c r="S947" s="169"/>
      <c r="T947" s="169"/>
      <c r="U947" s="169"/>
      <c r="V947" s="169"/>
      <c r="W947" s="169"/>
      <c r="X947" s="169"/>
      <c r="Y947" s="169"/>
      <c r="Z947" s="169"/>
    </row>
    <row r="948" spans="1:26" ht="15.75" customHeight="1" x14ac:dyDescent="0.25">
      <c r="A948" s="169"/>
      <c r="B948" s="169"/>
      <c r="C948" s="169"/>
      <c r="D948" s="169"/>
      <c r="E948" s="169"/>
      <c r="F948" s="169"/>
      <c r="G948" s="169"/>
      <c r="H948" s="169"/>
      <c r="I948" s="169"/>
      <c r="J948" s="169"/>
      <c r="K948" s="169"/>
      <c r="L948" s="169"/>
      <c r="M948" s="169"/>
      <c r="N948" s="169"/>
      <c r="O948" s="169"/>
      <c r="P948" s="169"/>
      <c r="Q948" s="169"/>
      <c r="R948" s="169"/>
      <c r="S948" s="169"/>
      <c r="T948" s="169"/>
      <c r="U948" s="169"/>
      <c r="V948" s="169"/>
      <c r="W948" s="169"/>
      <c r="X948" s="169"/>
      <c r="Y948" s="169"/>
      <c r="Z948" s="169"/>
    </row>
    <row r="949" spans="1:26" ht="15.75" customHeight="1" x14ac:dyDescent="0.25">
      <c r="A949" s="169"/>
      <c r="B949" s="169"/>
      <c r="C949" s="169"/>
      <c r="D949" s="169"/>
      <c r="E949" s="169"/>
      <c r="F949" s="169"/>
      <c r="G949" s="169"/>
      <c r="H949" s="169"/>
      <c r="I949" s="169"/>
      <c r="J949" s="169"/>
      <c r="K949" s="169"/>
      <c r="L949" s="169"/>
      <c r="M949" s="169"/>
      <c r="N949" s="169"/>
      <c r="O949" s="169"/>
      <c r="P949" s="169"/>
      <c r="Q949" s="169"/>
      <c r="R949" s="169"/>
      <c r="S949" s="169"/>
      <c r="T949" s="169"/>
      <c r="U949" s="169"/>
      <c r="V949" s="169"/>
      <c r="W949" s="169"/>
      <c r="X949" s="169"/>
      <c r="Y949" s="169"/>
      <c r="Z949" s="169"/>
    </row>
    <row r="950" spans="1:26" ht="15.75" customHeight="1" x14ac:dyDescent="0.25">
      <c r="A950" s="169"/>
      <c r="B950" s="169"/>
      <c r="C950" s="169"/>
      <c r="D950" s="169"/>
      <c r="E950" s="169"/>
      <c r="F950" s="169"/>
      <c r="G950" s="169"/>
      <c r="H950" s="169"/>
      <c r="I950" s="169"/>
      <c r="J950" s="169"/>
      <c r="K950" s="169"/>
      <c r="L950" s="169"/>
      <c r="M950" s="169"/>
      <c r="N950" s="169"/>
      <c r="O950" s="169"/>
      <c r="P950" s="169"/>
      <c r="Q950" s="169"/>
      <c r="R950" s="169"/>
      <c r="S950" s="169"/>
      <c r="T950" s="169"/>
      <c r="U950" s="169"/>
      <c r="V950" s="169"/>
      <c r="W950" s="169"/>
      <c r="X950" s="169"/>
      <c r="Y950" s="169"/>
      <c r="Z950" s="169"/>
    </row>
    <row r="951" spans="1:26" ht="15.75" customHeight="1" x14ac:dyDescent="0.25">
      <c r="A951" s="169"/>
      <c r="B951" s="169"/>
      <c r="C951" s="169"/>
      <c r="D951" s="169"/>
      <c r="E951" s="169"/>
      <c r="F951" s="169"/>
      <c r="G951" s="169"/>
      <c r="H951" s="169"/>
      <c r="I951" s="169"/>
      <c r="J951" s="169"/>
      <c r="K951" s="169"/>
      <c r="L951" s="169"/>
      <c r="M951" s="169"/>
      <c r="N951" s="169"/>
      <c r="O951" s="169"/>
      <c r="P951" s="169"/>
      <c r="Q951" s="169"/>
      <c r="R951" s="169"/>
      <c r="S951" s="169"/>
      <c r="T951" s="169"/>
      <c r="U951" s="169"/>
      <c r="V951" s="169"/>
      <c r="W951" s="169"/>
      <c r="X951" s="169"/>
      <c r="Y951" s="169"/>
      <c r="Z951" s="169"/>
    </row>
    <row r="952" spans="1:26" ht="15.75" customHeight="1" x14ac:dyDescent="0.25">
      <c r="A952" s="169"/>
      <c r="B952" s="169"/>
      <c r="C952" s="169"/>
      <c r="D952" s="169"/>
      <c r="E952" s="169"/>
      <c r="F952" s="169"/>
      <c r="G952" s="169"/>
      <c r="H952" s="169"/>
      <c r="I952" s="169"/>
      <c r="J952" s="169"/>
      <c r="K952" s="169"/>
      <c r="L952" s="169"/>
      <c r="M952" s="169"/>
      <c r="N952" s="169"/>
      <c r="O952" s="169"/>
      <c r="P952" s="169"/>
      <c r="Q952" s="169"/>
      <c r="R952" s="169"/>
      <c r="S952" s="169"/>
      <c r="T952" s="169"/>
      <c r="U952" s="169"/>
      <c r="V952" s="169"/>
      <c r="W952" s="169"/>
      <c r="X952" s="169"/>
      <c r="Y952" s="169"/>
      <c r="Z952" s="169"/>
    </row>
    <row r="953" spans="1:26" ht="15.75" customHeight="1" x14ac:dyDescent="0.25">
      <c r="A953" s="169"/>
      <c r="B953" s="169"/>
      <c r="C953" s="169"/>
      <c r="D953" s="169"/>
      <c r="E953" s="169"/>
      <c r="F953" s="169"/>
      <c r="G953" s="169"/>
      <c r="H953" s="169"/>
      <c r="I953" s="169"/>
      <c r="J953" s="169"/>
      <c r="K953" s="169"/>
      <c r="L953" s="169"/>
      <c r="M953" s="169"/>
      <c r="N953" s="169"/>
      <c r="O953" s="169"/>
      <c r="P953" s="169"/>
      <c r="Q953" s="169"/>
      <c r="R953" s="169"/>
      <c r="S953" s="169"/>
      <c r="T953" s="169"/>
      <c r="U953" s="169"/>
      <c r="V953" s="169"/>
      <c r="W953" s="169"/>
      <c r="X953" s="169"/>
      <c r="Y953" s="169"/>
      <c r="Z953" s="169"/>
    </row>
    <row r="954" spans="1:26" ht="15.75" customHeight="1" x14ac:dyDescent="0.25">
      <c r="A954" s="169"/>
      <c r="B954" s="169"/>
      <c r="C954" s="169"/>
      <c r="D954" s="169"/>
      <c r="E954" s="169"/>
      <c r="F954" s="169"/>
      <c r="G954" s="169"/>
      <c r="H954" s="169"/>
      <c r="I954" s="169"/>
      <c r="J954" s="169"/>
      <c r="K954" s="169"/>
      <c r="L954" s="169"/>
      <c r="M954" s="169"/>
      <c r="N954" s="169"/>
      <c r="O954" s="169"/>
      <c r="P954" s="169"/>
      <c r="Q954" s="169"/>
      <c r="R954" s="169"/>
      <c r="S954" s="169"/>
      <c r="T954" s="169"/>
      <c r="U954" s="169"/>
      <c r="V954" s="169"/>
      <c r="W954" s="169"/>
      <c r="X954" s="169"/>
      <c r="Y954" s="169"/>
      <c r="Z954" s="169"/>
    </row>
    <row r="955" spans="1:26" ht="15.75" customHeight="1" x14ac:dyDescent="0.25">
      <c r="A955" s="169"/>
      <c r="B955" s="169"/>
      <c r="C955" s="169"/>
      <c r="D955" s="169"/>
      <c r="E955" s="169"/>
      <c r="F955" s="169"/>
      <c r="G955" s="169"/>
      <c r="H955" s="169"/>
      <c r="I955" s="169"/>
      <c r="J955" s="169"/>
      <c r="K955" s="169"/>
      <c r="L955" s="169"/>
      <c r="M955" s="169"/>
      <c r="N955" s="169"/>
      <c r="O955" s="169"/>
      <c r="P955" s="169"/>
      <c r="Q955" s="169"/>
      <c r="R955" s="169"/>
      <c r="S955" s="169"/>
      <c r="T955" s="169"/>
      <c r="U955" s="169"/>
      <c r="V955" s="169"/>
      <c r="W955" s="169"/>
      <c r="X955" s="169"/>
      <c r="Y955" s="169"/>
      <c r="Z955" s="169"/>
    </row>
    <row r="956" spans="1:26" ht="15.75" customHeight="1" x14ac:dyDescent="0.25">
      <c r="A956" s="169"/>
      <c r="B956" s="169"/>
      <c r="C956" s="169"/>
      <c r="D956" s="169"/>
      <c r="E956" s="169"/>
      <c r="F956" s="169"/>
      <c r="G956" s="169"/>
      <c r="H956" s="169"/>
      <c r="I956" s="169"/>
      <c r="J956" s="169"/>
      <c r="K956" s="169"/>
      <c r="L956" s="169"/>
      <c r="M956" s="169"/>
      <c r="N956" s="169"/>
      <c r="O956" s="169"/>
      <c r="P956" s="169"/>
      <c r="Q956" s="169"/>
      <c r="R956" s="169"/>
      <c r="S956" s="169"/>
      <c r="T956" s="169"/>
      <c r="U956" s="169"/>
      <c r="V956" s="169"/>
      <c r="W956" s="169"/>
      <c r="X956" s="169"/>
      <c r="Y956" s="169"/>
      <c r="Z956" s="169"/>
    </row>
    <row r="957" spans="1:26" ht="15.75" customHeight="1" x14ac:dyDescent="0.25">
      <c r="A957" s="169"/>
      <c r="B957" s="169"/>
      <c r="C957" s="169"/>
      <c r="D957" s="169"/>
      <c r="E957" s="169"/>
      <c r="F957" s="169"/>
      <c r="G957" s="169"/>
      <c r="H957" s="169"/>
      <c r="I957" s="169"/>
      <c r="J957" s="169"/>
      <c r="K957" s="169"/>
      <c r="L957" s="169"/>
      <c r="M957" s="169"/>
      <c r="N957" s="169"/>
      <c r="O957" s="169"/>
      <c r="P957" s="169"/>
      <c r="Q957" s="169"/>
      <c r="R957" s="169"/>
      <c r="S957" s="169"/>
      <c r="T957" s="169"/>
      <c r="U957" s="169"/>
      <c r="V957" s="169"/>
      <c r="W957" s="169"/>
      <c r="X957" s="169"/>
      <c r="Y957" s="169"/>
      <c r="Z957" s="169"/>
    </row>
    <row r="958" spans="1:26" ht="15.75" customHeight="1" x14ac:dyDescent="0.25">
      <c r="A958" s="169"/>
      <c r="B958" s="169"/>
      <c r="C958" s="169"/>
      <c r="D958" s="169"/>
      <c r="E958" s="169"/>
      <c r="F958" s="169"/>
      <c r="G958" s="169"/>
      <c r="H958" s="169"/>
      <c r="I958" s="169"/>
      <c r="J958" s="169"/>
      <c r="K958" s="169"/>
      <c r="L958" s="169"/>
      <c r="M958" s="169"/>
      <c r="N958" s="169"/>
      <c r="O958" s="169"/>
      <c r="P958" s="169"/>
      <c r="Q958" s="169"/>
      <c r="R958" s="169"/>
      <c r="S958" s="169"/>
      <c r="T958" s="169"/>
      <c r="U958" s="169"/>
      <c r="V958" s="169"/>
      <c r="W958" s="169"/>
      <c r="X958" s="169"/>
      <c r="Y958" s="169"/>
      <c r="Z958" s="169"/>
    </row>
    <row r="959" spans="1:26" ht="15.75" customHeight="1" x14ac:dyDescent="0.25">
      <c r="A959" s="169"/>
      <c r="B959" s="169"/>
      <c r="C959" s="169"/>
      <c r="D959" s="169"/>
      <c r="E959" s="169"/>
      <c r="F959" s="169"/>
      <c r="G959" s="169"/>
      <c r="H959" s="169"/>
      <c r="I959" s="169"/>
      <c r="J959" s="169"/>
      <c r="K959" s="169"/>
      <c r="L959" s="169"/>
      <c r="M959" s="169"/>
      <c r="N959" s="169"/>
      <c r="O959" s="169"/>
      <c r="P959" s="169"/>
      <c r="Q959" s="169"/>
      <c r="R959" s="169"/>
      <c r="S959" s="169"/>
      <c r="T959" s="169"/>
      <c r="U959" s="169"/>
      <c r="V959" s="169"/>
      <c r="W959" s="169"/>
      <c r="X959" s="169"/>
      <c r="Y959" s="169"/>
      <c r="Z959" s="169"/>
    </row>
    <row r="960" spans="1:26" ht="15.75" customHeight="1" x14ac:dyDescent="0.25">
      <c r="A960" s="169"/>
      <c r="B960" s="169"/>
      <c r="C960" s="169"/>
      <c r="D960" s="169"/>
      <c r="E960" s="169"/>
      <c r="F960" s="169"/>
      <c r="G960" s="169"/>
      <c r="H960" s="169"/>
      <c r="I960" s="169"/>
      <c r="J960" s="169"/>
      <c r="K960" s="169"/>
      <c r="L960" s="169"/>
      <c r="M960" s="169"/>
      <c r="N960" s="169"/>
      <c r="O960" s="169"/>
      <c r="P960" s="169"/>
      <c r="Q960" s="169"/>
      <c r="R960" s="169"/>
      <c r="S960" s="169"/>
      <c r="T960" s="169"/>
      <c r="U960" s="169"/>
      <c r="V960" s="169"/>
      <c r="W960" s="169"/>
      <c r="X960" s="169"/>
      <c r="Y960" s="169"/>
      <c r="Z960" s="169"/>
    </row>
    <row r="961" spans="1:26" ht="15.75" customHeight="1" x14ac:dyDescent="0.25">
      <c r="A961" s="169"/>
      <c r="B961" s="169"/>
      <c r="C961" s="169"/>
      <c r="D961" s="169"/>
      <c r="E961" s="169"/>
      <c r="F961" s="169"/>
      <c r="G961" s="169"/>
      <c r="H961" s="169"/>
      <c r="I961" s="169"/>
      <c r="J961" s="169"/>
      <c r="K961" s="169"/>
      <c r="L961" s="169"/>
      <c r="M961" s="169"/>
      <c r="N961" s="169"/>
      <c r="O961" s="169"/>
      <c r="P961" s="169"/>
      <c r="Q961" s="169"/>
      <c r="R961" s="169"/>
      <c r="S961" s="169"/>
      <c r="T961" s="169"/>
      <c r="U961" s="169"/>
      <c r="V961" s="169"/>
      <c r="W961" s="169"/>
      <c r="X961" s="169"/>
      <c r="Y961" s="169"/>
      <c r="Z961" s="169"/>
    </row>
    <row r="962" spans="1:26" ht="15.75" customHeight="1" x14ac:dyDescent="0.25">
      <c r="A962" s="169"/>
      <c r="B962" s="169"/>
      <c r="C962" s="169"/>
      <c r="D962" s="169"/>
      <c r="E962" s="169"/>
      <c r="F962" s="169"/>
      <c r="G962" s="169"/>
      <c r="H962" s="169"/>
      <c r="I962" s="169"/>
      <c r="J962" s="169"/>
      <c r="K962" s="169"/>
      <c r="L962" s="169"/>
      <c r="M962" s="169"/>
      <c r="N962" s="169"/>
      <c r="O962" s="169"/>
      <c r="P962" s="169"/>
      <c r="Q962" s="169"/>
      <c r="R962" s="169"/>
      <c r="S962" s="169"/>
      <c r="T962" s="169"/>
      <c r="U962" s="169"/>
      <c r="V962" s="169"/>
      <c r="W962" s="169"/>
      <c r="X962" s="169"/>
      <c r="Y962" s="169"/>
      <c r="Z962" s="169"/>
    </row>
    <row r="963" spans="1:26" ht="15.75" customHeight="1" x14ac:dyDescent="0.25">
      <c r="A963" s="169"/>
      <c r="B963" s="169"/>
      <c r="C963" s="169"/>
      <c r="D963" s="169"/>
      <c r="E963" s="169"/>
      <c r="F963" s="169"/>
      <c r="G963" s="169"/>
      <c r="H963" s="169"/>
      <c r="I963" s="169"/>
      <c r="J963" s="169"/>
      <c r="K963" s="169"/>
      <c r="L963" s="169"/>
      <c r="M963" s="169"/>
      <c r="N963" s="169"/>
      <c r="O963" s="169"/>
      <c r="P963" s="169"/>
      <c r="Q963" s="169"/>
      <c r="R963" s="169"/>
      <c r="S963" s="169"/>
      <c r="T963" s="169"/>
      <c r="U963" s="169"/>
      <c r="V963" s="169"/>
      <c r="W963" s="169"/>
      <c r="X963" s="169"/>
      <c r="Y963" s="169"/>
      <c r="Z963" s="169"/>
    </row>
    <row r="964" spans="1:26" ht="15.75" customHeight="1" x14ac:dyDescent="0.25">
      <c r="A964" s="169"/>
      <c r="B964" s="169"/>
      <c r="C964" s="169"/>
      <c r="D964" s="169"/>
      <c r="E964" s="169"/>
      <c r="F964" s="169"/>
      <c r="G964" s="169"/>
      <c r="H964" s="169"/>
      <c r="I964" s="169"/>
      <c r="J964" s="169"/>
      <c r="K964" s="169"/>
      <c r="L964" s="169"/>
      <c r="M964" s="169"/>
      <c r="N964" s="169"/>
      <c r="O964" s="169"/>
      <c r="P964" s="169"/>
      <c r="Q964" s="169"/>
      <c r="R964" s="169"/>
      <c r="S964" s="169"/>
      <c r="T964" s="169"/>
      <c r="U964" s="169"/>
      <c r="V964" s="169"/>
      <c r="W964" s="169"/>
      <c r="X964" s="169"/>
      <c r="Y964" s="169"/>
      <c r="Z964" s="169"/>
    </row>
    <row r="965" spans="1:26" ht="15.75" customHeight="1" x14ac:dyDescent="0.25">
      <c r="A965" s="169"/>
      <c r="B965" s="169"/>
      <c r="C965" s="169"/>
      <c r="D965" s="169"/>
      <c r="E965" s="169"/>
      <c r="F965" s="169"/>
      <c r="G965" s="169"/>
      <c r="H965" s="169"/>
      <c r="I965" s="169"/>
      <c r="J965" s="169"/>
      <c r="K965" s="169"/>
      <c r="L965" s="169"/>
      <c r="M965" s="169"/>
      <c r="N965" s="169"/>
      <c r="O965" s="169"/>
      <c r="P965" s="169"/>
      <c r="Q965" s="169"/>
      <c r="R965" s="169"/>
      <c r="S965" s="169"/>
      <c r="T965" s="169"/>
      <c r="U965" s="169"/>
      <c r="V965" s="169"/>
      <c r="W965" s="169"/>
      <c r="X965" s="169"/>
      <c r="Y965" s="169"/>
      <c r="Z965" s="169"/>
    </row>
    <row r="966" spans="1:26" ht="15.75" customHeight="1" x14ac:dyDescent="0.25">
      <c r="A966" s="169"/>
      <c r="B966" s="169"/>
      <c r="C966" s="169"/>
      <c r="D966" s="169"/>
      <c r="E966" s="169"/>
      <c r="F966" s="169"/>
      <c r="G966" s="169"/>
      <c r="H966" s="169"/>
      <c r="I966" s="169"/>
      <c r="J966" s="169"/>
      <c r="K966" s="169"/>
      <c r="L966" s="169"/>
      <c r="M966" s="169"/>
      <c r="N966" s="169"/>
      <c r="O966" s="169"/>
      <c r="P966" s="169"/>
      <c r="Q966" s="169"/>
      <c r="R966" s="169"/>
      <c r="S966" s="169"/>
      <c r="T966" s="169"/>
      <c r="U966" s="169"/>
      <c r="V966" s="169"/>
      <c r="W966" s="169"/>
      <c r="X966" s="169"/>
      <c r="Y966" s="169"/>
      <c r="Z966" s="169"/>
    </row>
    <row r="967" spans="1:26" ht="15.75" customHeight="1" x14ac:dyDescent="0.25">
      <c r="A967" s="169"/>
      <c r="B967" s="169"/>
      <c r="C967" s="169"/>
      <c r="D967" s="169"/>
      <c r="E967" s="169"/>
      <c r="F967" s="169"/>
      <c r="G967" s="169"/>
      <c r="H967" s="169"/>
      <c r="I967" s="169"/>
      <c r="J967" s="169"/>
      <c r="K967" s="169"/>
      <c r="L967" s="169"/>
      <c r="M967" s="169"/>
      <c r="N967" s="169"/>
      <c r="O967" s="169"/>
      <c r="P967" s="169"/>
      <c r="Q967" s="169"/>
      <c r="R967" s="169"/>
      <c r="S967" s="169"/>
      <c r="T967" s="169"/>
      <c r="U967" s="169"/>
      <c r="V967" s="169"/>
      <c r="W967" s="169"/>
      <c r="X967" s="169"/>
      <c r="Y967" s="169"/>
      <c r="Z967" s="169"/>
    </row>
    <row r="968" spans="1:26" ht="15.75" customHeight="1" x14ac:dyDescent="0.25">
      <c r="A968" s="169"/>
      <c r="B968" s="169"/>
      <c r="C968" s="169"/>
      <c r="D968" s="169"/>
      <c r="E968" s="169"/>
      <c r="F968" s="169"/>
      <c r="G968" s="169"/>
      <c r="H968" s="169"/>
      <c r="I968" s="169"/>
      <c r="J968" s="169"/>
      <c r="K968" s="169"/>
      <c r="L968" s="169"/>
      <c r="M968" s="169"/>
      <c r="N968" s="169"/>
      <c r="O968" s="169"/>
      <c r="P968" s="169"/>
      <c r="Q968" s="169"/>
      <c r="R968" s="169"/>
      <c r="S968" s="169"/>
      <c r="T968" s="169"/>
      <c r="U968" s="169"/>
      <c r="V968" s="169"/>
      <c r="W968" s="169"/>
      <c r="X968" s="169"/>
      <c r="Y968" s="169"/>
      <c r="Z968" s="169"/>
    </row>
    <row r="969" spans="1:26" ht="15.75" customHeight="1" x14ac:dyDescent="0.25">
      <c r="A969" s="169"/>
      <c r="B969" s="169"/>
      <c r="C969" s="169"/>
      <c r="D969" s="169"/>
      <c r="E969" s="169"/>
      <c r="F969" s="169"/>
      <c r="G969" s="169"/>
      <c r="H969" s="169"/>
      <c r="I969" s="169"/>
      <c r="J969" s="169"/>
      <c r="K969" s="169"/>
      <c r="L969" s="169"/>
      <c r="M969" s="169"/>
      <c r="N969" s="169"/>
      <c r="O969" s="169"/>
      <c r="P969" s="169"/>
      <c r="Q969" s="169"/>
      <c r="R969" s="169"/>
      <c r="S969" s="169"/>
      <c r="T969" s="169"/>
      <c r="U969" s="169"/>
      <c r="V969" s="169"/>
      <c r="W969" s="169"/>
      <c r="X969" s="169"/>
      <c r="Y969" s="169"/>
      <c r="Z969" s="169"/>
    </row>
    <row r="970" spans="1:26" ht="15.75" customHeight="1" x14ac:dyDescent="0.25">
      <c r="A970" s="169"/>
      <c r="B970" s="169"/>
      <c r="C970" s="169"/>
      <c r="D970" s="169"/>
      <c r="E970" s="169"/>
      <c r="F970" s="169"/>
      <c r="G970" s="169"/>
      <c r="H970" s="169"/>
      <c r="I970" s="169"/>
      <c r="J970" s="169"/>
      <c r="K970" s="169"/>
      <c r="L970" s="169"/>
      <c r="M970" s="169"/>
      <c r="N970" s="169"/>
      <c r="O970" s="169"/>
      <c r="P970" s="169"/>
      <c r="Q970" s="169"/>
      <c r="R970" s="169"/>
      <c r="S970" s="169"/>
      <c r="T970" s="169"/>
      <c r="U970" s="169"/>
      <c r="V970" s="169"/>
      <c r="W970" s="169"/>
      <c r="X970" s="169"/>
      <c r="Y970" s="169"/>
      <c r="Z970" s="169"/>
    </row>
    <row r="971" spans="1:26" ht="15.75" customHeight="1" x14ac:dyDescent="0.25">
      <c r="A971" s="169"/>
      <c r="B971" s="169"/>
      <c r="C971" s="169"/>
      <c r="D971" s="169"/>
      <c r="E971" s="169"/>
      <c r="F971" s="169"/>
      <c r="G971" s="169"/>
      <c r="H971" s="169"/>
      <c r="I971" s="169"/>
      <c r="J971" s="169"/>
      <c r="K971" s="169"/>
      <c r="L971" s="169"/>
      <c r="M971" s="169"/>
      <c r="N971" s="169"/>
      <c r="O971" s="169"/>
      <c r="P971" s="169"/>
      <c r="Q971" s="169"/>
      <c r="R971" s="169"/>
      <c r="S971" s="169"/>
      <c r="T971" s="169"/>
      <c r="U971" s="169"/>
      <c r="V971" s="169"/>
      <c r="W971" s="169"/>
      <c r="X971" s="169"/>
      <c r="Y971" s="169"/>
      <c r="Z971" s="169"/>
    </row>
    <row r="972" spans="1:26" ht="15.75" customHeight="1" x14ac:dyDescent="0.25">
      <c r="A972" s="169"/>
      <c r="B972" s="169"/>
      <c r="C972" s="169"/>
      <c r="D972" s="169"/>
      <c r="E972" s="169"/>
      <c r="F972" s="169"/>
      <c r="G972" s="169"/>
      <c r="H972" s="169"/>
      <c r="I972" s="169"/>
      <c r="J972" s="169"/>
      <c r="K972" s="169"/>
      <c r="L972" s="169"/>
      <c r="M972" s="169"/>
      <c r="N972" s="169"/>
      <c r="O972" s="169"/>
      <c r="P972" s="169"/>
      <c r="Q972" s="169"/>
      <c r="R972" s="169"/>
      <c r="S972" s="169"/>
      <c r="T972" s="169"/>
      <c r="U972" s="169"/>
      <c r="V972" s="169"/>
      <c r="W972" s="169"/>
      <c r="X972" s="169"/>
      <c r="Y972" s="169"/>
      <c r="Z972" s="169"/>
    </row>
    <row r="973" spans="1:26" ht="15.75" customHeight="1" x14ac:dyDescent="0.25">
      <c r="A973" s="169"/>
      <c r="B973" s="169"/>
      <c r="C973" s="169"/>
      <c r="D973" s="169"/>
      <c r="E973" s="169"/>
      <c r="F973" s="169"/>
      <c r="G973" s="169"/>
      <c r="H973" s="169"/>
      <c r="I973" s="169"/>
      <c r="J973" s="169"/>
      <c r="K973" s="169"/>
      <c r="L973" s="169"/>
      <c r="M973" s="169"/>
      <c r="N973" s="169"/>
      <c r="O973" s="169"/>
      <c r="P973" s="169"/>
      <c r="Q973" s="169"/>
      <c r="R973" s="169"/>
      <c r="S973" s="169"/>
      <c r="T973" s="169"/>
      <c r="U973" s="169"/>
      <c r="V973" s="169"/>
      <c r="W973" s="169"/>
      <c r="X973" s="169"/>
      <c r="Y973" s="169"/>
      <c r="Z973" s="169"/>
    </row>
    <row r="974" spans="1:26" ht="15.75" customHeight="1" x14ac:dyDescent="0.25">
      <c r="A974" s="169"/>
      <c r="B974" s="169"/>
      <c r="C974" s="169"/>
      <c r="D974" s="169"/>
      <c r="E974" s="169"/>
      <c r="F974" s="169"/>
      <c r="G974" s="169"/>
      <c r="H974" s="169"/>
      <c r="I974" s="169"/>
      <c r="J974" s="169"/>
      <c r="K974" s="169"/>
      <c r="L974" s="169"/>
      <c r="M974" s="169"/>
      <c r="N974" s="169"/>
      <c r="O974" s="169"/>
      <c r="P974" s="169"/>
      <c r="Q974" s="169"/>
      <c r="R974" s="169"/>
      <c r="S974" s="169"/>
      <c r="T974" s="169"/>
      <c r="U974" s="169"/>
      <c r="V974" s="169"/>
      <c r="W974" s="169"/>
      <c r="X974" s="169"/>
      <c r="Y974" s="169"/>
      <c r="Z974" s="169"/>
    </row>
    <row r="975" spans="1:26" ht="15.75" customHeight="1" x14ac:dyDescent="0.25">
      <c r="A975" s="169"/>
      <c r="B975" s="169"/>
      <c r="C975" s="169"/>
      <c r="D975" s="169"/>
      <c r="E975" s="169"/>
      <c r="F975" s="169"/>
      <c r="G975" s="169"/>
      <c r="H975" s="169"/>
      <c r="I975" s="169"/>
      <c r="J975" s="169"/>
      <c r="K975" s="169"/>
      <c r="L975" s="169"/>
      <c r="M975" s="169"/>
      <c r="N975" s="169"/>
      <c r="O975" s="169"/>
      <c r="P975" s="169"/>
      <c r="Q975" s="169"/>
      <c r="R975" s="169"/>
      <c r="S975" s="169"/>
      <c r="T975" s="169"/>
      <c r="U975" s="169"/>
      <c r="V975" s="169"/>
      <c r="W975" s="169"/>
      <c r="X975" s="169"/>
      <c r="Y975" s="169"/>
      <c r="Z975" s="169"/>
    </row>
    <row r="976" spans="1:26" ht="15.75" customHeight="1" x14ac:dyDescent="0.25">
      <c r="A976" s="169"/>
      <c r="B976" s="169"/>
      <c r="C976" s="169"/>
      <c r="D976" s="169"/>
      <c r="E976" s="169"/>
      <c r="F976" s="169"/>
      <c r="G976" s="169"/>
      <c r="H976" s="169"/>
      <c r="I976" s="169"/>
      <c r="J976" s="169"/>
      <c r="K976" s="169"/>
      <c r="L976" s="169"/>
      <c r="M976" s="169"/>
      <c r="N976" s="169"/>
      <c r="O976" s="169"/>
      <c r="P976" s="169"/>
      <c r="Q976" s="169"/>
      <c r="R976" s="169"/>
      <c r="S976" s="169"/>
      <c r="T976" s="169"/>
      <c r="U976" s="169"/>
      <c r="V976" s="169"/>
      <c r="W976" s="169"/>
      <c r="X976" s="169"/>
      <c r="Y976" s="169"/>
      <c r="Z976" s="169"/>
    </row>
    <row r="977" spans="1:26" ht="15.75" customHeight="1" x14ac:dyDescent="0.25">
      <c r="A977" s="169"/>
      <c r="B977" s="169"/>
      <c r="C977" s="169"/>
      <c r="D977" s="169"/>
      <c r="E977" s="169"/>
      <c r="F977" s="169"/>
      <c r="G977" s="169"/>
      <c r="H977" s="169"/>
      <c r="I977" s="169"/>
      <c r="J977" s="169"/>
      <c r="K977" s="169"/>
      <c r="L977" s="169"/>
      <c r="M977" s="169"/>
      <c r="N977" s="169"/>
      <c r="O977" s="169"/>
      <c r="P977" s="169"/>
      <c r="Q977" s="169"/>
      <c r="R977" s="169"/>
      <c r="S977" s="169"/>
      <c r="T977" s="169"/>
      <c r="U977" s="169"/>
      <c r="V977" s="169"/>
      <c r="W977" s="169"/>
      <c r="X977" s="169"/>
      <c r="Y977" s="169"/>
      <c r="Z977" s="169"/>
    </row>
    <row r="978" spans="1:26" ht="15.75" customHeight="1" x14ac:dyDescent="0.25">
      <c r="A978" s="169"/>
      <c r="B978" s="169"/>
      <c r="C978" s="169"/>
      <c r="D978" s="169"/>
      <c r="E978" s="169"/>
      <c r="F978" s="169"/>
      <c r="G978" s="169"/>
      <c r="H978" s="169"/>
      <c r="I978" s="169"/>
      <c r="J978" s="169"/>
      <c r="K978" s="169"/>
      <c r="L978" s="169"/>
      <c r="M978" s="169"/>
      <c r="N978" s="169"/>
      <c r="O978" s="169"/>
      <c r="P978" s="169"/>
      <c r="Q978" s="169"/>
      <c r="R978" s="169"/>
      <c r="S978" s="169"/>
      <c r="T978" s="169"/>
      <c r="U978" s="169"/>
      <c r="V978" s="169"/>
      <c r="W978" s="169"/>
      <c r="X978" s="169"/>
      <c r="Y978" s="169"/>
      <c r="Z978" s="169"/>
    </row>
    <row r="979" spans="1:26" ht="15.75" customHeight="1" x14ac:dyDescent="0.25">
      <c r="A979" s="169"/>
      <c r="B979" s="169"/>
      <c r="C979" s="169"/>
      <c r="D979" s="169"/>
      <c r="E979" s="169"/>
      <c r="F979" s="169"/>
      <c r="G979" s="169"/>
      <c r="H979" s="169"/>
      <c r="I979" s="169"/>
      <c r="J979" s="169"/>
      <c r="K979" s="169"/>
      <c r="L979" s="169"/>
      <c r="M979" s="169"/>
      <c r="N979" s="169"/>
      <c r="O979" s="169"/>
      <c r="P979" s="169"/>
      <c r="Q979" s="169"/>
      <c r="R979" s="169"/>
      <c r="S979" s="169"/>
      <c r="T979" s="169"/>
      <c r="U979" s="169"/>
      <c r="V979" s="169"/>
      <c r="W979" s="169"/>
      <c r="X979" s="169"/>
      <c r="Y979" s="169"/>
      <c r="Z979" s="169"/>
    </row>
    <row r="980" spans="1:26" ht="15.75" customHeight="1" x14ac:dyDescent="0.25">
      <c r="A980" s="169"/>
      <c r="B980" s="169"/>
      <c r="C980" s="169"/>
      <c r="D980" s="169"/>
      <c r="E980" s="169"/>
      <c r="F980" s="169"/>
      <c r="G980" s="169"/>
      <c r="H980" s="169"/>
      <c r="I980" s="169"/>
      <c r="J980" s="169"/>
      <c r="K980" s="169"/>
      <c r="L980" s="169"/>
      <c r="M980" s="169"/>
      <c r="N980" s="169"/>
      <c r="O980" s="169"/>
      <c r="P980" s="169"/>
      <c r="Q980" s="169"/>
      <c r="R980" s="169"/>
      <c r="S980" s="169"/>
      <c r="T980" s="169"/>
      <c r="U980" s="169"/>
      <c r="V980" s="169"/>
      <c r="W980" s="169"/>
      <c r="X980" s="169"/>
      <c r="Y980" s="169"/>
      <c r="Z980" s="169"/>
    </row>
    <row r="981" spans="1:26" ht="15.75" customHeight="1" x14ac:dyDescent="0.25">
      <c r="A981" s="169"/>
      <c r="B981" s="169"/>
      <c r="C981" s="169"/>
      <c r="D981" s="169"/>
      <c r="E981" s="169"/>
      <c r="F981" s="169"/>
      <c r="G981" s="169"/>
      <c r="H981" s="169"/>
      <c r="I981" s="169"/>
      <c r="J981" s="169"/>
      <c r="K981" s="169"/>
      <c r="L981" s="169"/>
      <c r="M981" s="169"/>
      <c r="N981" s="169"/>
      <c r="O981" s="169"/>
      <c r="P981" s="169"/>
      <c r="Q981" s="169"/>
      <c r="R981" s="169"/>
      <c r="S981" s="169"/>
      <c r="T981" s="169"/>
      <c r="U981" s="169"/>
      <c r="V981" s="169"/>
      <c r="W981" s="169"/>
      <c r="X981" s="169"/>
      <c r="Y981" s="169"/>
      <c r="Z981" s="169"/>
    </row>
    <row r="982" spans="1:26" ht="15.75" customHeight="1" x14ac:dyDescent="0.25">
      <c r="A982" s="169"/>
      <c r="B982" s="169"/>
      <c r="C982" s="169"/>
      <c r="D982" s="169"/>
      <c r="E982" s="169"/>
      <c r="F982" s="169"/>
      <c r="G982" s="169"/>
      <c r="H982" s="169"/>
      <c r="I982" s="169"/>
      <c r="J982" s="169"/>
      <c r="K982" s="169"/>
      <c r="L982" s="169"/>
      <c r="M982" s="169"/>
      <c r="N982" s="169"/>
      <c r="O982" s="169"/>
      <c r="P982" s="169"/>
      <c r="Q982" s="169"/>
      <c r="R982" s="169"/>
      <c r="S982" s="169"/>
      <c r="T982" s="169"/>
      <c r="U982" s="169"/>
      <c r="V982" s="169"/>
      <c r="W982" s="169"/>
      <c r="X982" s="169"/>
      <c r="Y982" s="169"/>
      <c r="Z982" s="169"/>
    </row>
    <row r="983" spans="1:26" ht="15.75" customHeight="1" x14ac:dyDescent="0.25">
      <c r="A983" s="169"/>
      <c r="B983" s="169"/>
      <c r="C983" s="169"/>
      <c r="D983" s="169"/>
      <c r="E983" s="169"/>
      <c r="F983" s="169"/>
      <c r="G983" s="169"/>
      <c r="H983" s="169"/>
      <c r="I983" s="169"/>
      <c r="J983" s="169"/>
      <c r="K983" s="169"/>
      <c r="L983" s="169"/>
      <c r="M983" s="169"/>
      <c r="N983" s="169"/>
      <c r="O983" s="169"/>
      <c r="P983" s="169"/>
      <c r="Q983" s="169"/>
      <c r="R983" s="169"/>
      <c r="S983" s="169"/>
      <c r="T983" s="169"/>
      <c r="U983" s="169"/>
      <c r="V983" s="169"/>
      <c r="W983" s="169"/>
      <c r="X983" s="169"/>
      <c r="Y983" s="169"/>
      <c r="Z983" s="169"/>
    </row>
    <row r="984" spans="1:26" ht="15.75" customHeight="1" x14ac:dyDescent="0.25">
      <c r="A984" s="169"/>
      <c r="B984" s="169"/>
      <c r="C984" s="169"/>
      <c r="D984" s="169"/>
      <c r="E984" s="169"/>
      <c r="F984" s="169"/>
      <c r="G984" s="169"/>
      <c r="H984" s="169"/>
      <c r="I984" s="169"/>
      <c r="J984" s="169"/>
      <c r="K984" s="169"/>
      <c r="L984" s="169"/>
      <c r="M984" s="169"/>
      <c r="N984" s="169"/>
      <c r="O984" s="169"/>
      <c r="P984" s="169"/>
      <c r="Q984" s="169"/>
      <c r="R984" s="169"/>
      <c r="S984" s="169"/>
      <c r="T984" s="169"/>
      <c r="U984" s="169"/>
      <c r="V984" s="169"/>
      <c r="W984" s="169"/>
      <c r="X984" s="169"/>
      <c r="Y984" s="169"/>
      <c r="Z984" s="169"/>
    </row>
    <row r="985" spans="1:26" ht="15.75" customHeight="1" x14ac:dyDescent="0.25">
      <c r="A985" s="169"/>
      <c r="B985" s="169"/>
      <c r="C985" s="169"/>
      <c r="D985" s="169"/>
      <c r="E985" s="169"/>
      <c r="F985" s="169"/>
      <c r="G985" s="169"/>
      <c r="H985" s="169"/>
      <c r="I985" s="169"/>
      <c r="J985" s="169"/>
      <c r="K985" s="169"/>
      <c r="L985" s="169"/>
      <c r="M985" s="169"/>
      <c r="N985" s="169"/>
      <c r="O985" s="169"/>
      <c r="P985" s="169"/>
      <c r="Q985" s="169"/>
      <c r="R985" s="169"/>
      <c r="S985" s="169"/>
      <c r="T985" s="169"/>
      <c r="U985" s="169"/>
      <c r="V985" s="169"/>
      <c r="W985" s="169"/>
      <c r="X985" s="169"/>
      <c r="Y985" s="169"/>
      <c r="Z985" s="169"/>
    </row>
    <row r="986" spans="1:26" ht="15.75" customHeight="1" x14ac:dyDescent="0.25">
      <c r="A986" s="169"/>
      <c r="B986" s="169"/>
      <c r="C986" s="169"/>
      <c r="D986" s="169"/>
      <c r="E986" s="169"/>
      <c r="F986" s="169"/>
      <c r="G986" s="169"/>
      <c r="H986" s="169"/>
      <c r="I986" s="169"/>
      <c r="J986" s="169"/>
      <c r="K986" s="169"/>
      <c r="L986" s="169"/>
      <c r="M986" s="169"/>
      <c r="N986" s="169"/>
      <c r="O986" s="169"/>
      <c r="P986" s="169"/>
      <c r="Q986" s="169"/>
      <c r="R986" s="169"/>
      <c r="S986" s="169"/>
      <c r="T986" s="169"/>
      <c r="U986" s="169"/>
      <c r="V986" s="169"/>
      <c r="W986" s="169"/>
      <c r="X986" s="169"/>
      <c r="Y986" s="169"/>
      <c r="Z986" s="169"/>
    </row>
    <row r="987" spans="1:26" ht="15.75" customHeight="1" x14ac:dyDescent="0.25">
      <c r="A987" s="169"/>
      <c r="B987" s="169"/>
      <c r="C987" s="169"/>
      <c r="D987" s="169"/>
      <c r="E987" s="169"/>
      <c r="F987" s="169"/>
      <c r="G987" s="169"/>
      <c r="H987" s="169"/>
      <c r="I987" s="169"/>
      <c r="J987" s="169"/>
      <c r="K987" s="169"/>
      <c r="L987" s="169"/>
      <c r="M987" s="169"/>
      <c r="N987" s="169"/>
      <c r="O987" s="169"/>
      <c r="P987" s="169"/>
      <c r="Q987" s="169"/>
      <c r="R987" s="169"/>
      <c r="S987" s="169"/>
      <c r="T987" s="169"/>
      <c r="U987" s="169"/>
      <c r="V987" s="169"/>
      <c r="W987" s="169"/>
      <c r="X987" s="169"/>
      <c r="Y987" s="169"/>
      <c r="Z987" s="169"/>
    </row>
    <row r="988" spans="1:26" ht="15.75" customHeight="1" x14ac:dyDescent="0.25">
      <c r="A988" s="169"/>
      <c r="B988" s="169"/>
      <c r="C988" s="169"/>
      <c r="D988" s="169"/>
      <c r="E988" s="169"/>
      <c r="F988" s="169"/>
      <c r="G988" s="169"/>
      <c r="H988" s="169"/>
      <c r="I988" s="169"/>
      <c r="J988" s="169"/>
      <c r="K988" s="169"/>
      <c r="L988" s="169"/>
      <c r="M988" s="169"/>
      <c r="N988" s="169"/>
      <c r="O988" s="169"/>
      <c r="P988" s="169"/>
      <c r="Q988" s="169"/>
      <c r="R988" s="169"/>
      <c r="S988" s="169"/>
      <c r="T988" s="169"/>
      <c r="U988" s="169"/>
      <c r="V988" s="169"/>
      <c r="W988" s="169"/>
      <c r="X988" s="169"/>
      <c r="Y988" s="169"/>
      <c r="Z988" s="169"/>
    </row>
    <row r="989" spans="1:26" ht="15.75" customHeight="1" x14ac:dyDescent="0.25">
      <c r="A989" s="169"/>
      <c r="B989" s="169"/>
      <c r="C989" s="169"/>
      <c r="D989" s="169"/>
      <c r="E989" s="169"/>
      <c r="F989" s="169"/>
      <c r="G989" s="169"/>
      <c r="H989" s="169"/>
      <c r="I989" s="169"/>
      <c r="J989" s="169"/>
      <c r="K989" s="169"/>
      <c r="L989" s="169"/>
      <c r="M989" s="169"/>
      <c r="N989" s="169"/>
      <c r="O989" s="169"/>
      <c r="P989" s="169"/>
      <c r="Q989" s="169"/>
      <c r="R989" s="169"/>
      <c r="S989" s="169"/>
      <c r="T989" s="169"/>
      <c r="U989" s="169"/>
      <c r="V989" s="169"/>
      <c r="W989" s="169"/>
      <c r="X989" s="169"/>
      <c r="Y989" s="169"/>
      <c r="Z989" s="169"/>
    </row>
    <row r="990" spans="1:26" ht="15.75" customHeight="1" x14ac:dyDescent="0.25">
      <c r="A990" s="169"/>
      <c r="B990" s="169"/>
      <c r="C990" s="169"/>
      <c r="D990" s="169"/>
      <c r="E990" s="169"/>
      <c r="F990" s="169"/>
      <c r="G990" s="169"/>
      <c r="H990" s="169"/>
      <c r="I990" s="169"/>
      <c r="J990" s="169"/>
      <c r="K990" s="169"/>
      <c r="L990" s="169"/>
      <c r="M990" s="169"/>
      <c r="N990" s="169"/>
      <c r="O990" s="169"/>
      <c r="P990" s="169"/>
      <c r="Q990" s="169"/>
      <c r="R990" s="169"/>
      <c r="S990" s="169"/>
      <c r="T990" s="169"/>
      <c r="U990" s="169"/>
      <c r="V990" s="169"/>
      <c r="W990" s="169"/>
      <c r="X990" s="169"/>
      <c r="Y990" s="169"/>
      <c r="Z990" s="169"/>
    </row>
    <row r="991" spans="1:26" ht="15.75" customHeight="1" x14ac:dyDescent="0.25">
      <c r="A991" s="169"/>
      <c r="B991" s="169"/>
      <c r="C991" s="169"/>
      <c r="D991" s="169"/>
      <c r="E991" s="169"/>
      <c r="F991" s="169"/>
      <c r="G991" s="169"/>
      <c r="H991" s="169"/>
      <c r="I991" s="169"/>
      <c r="J991" s="169"/>
      <c r="K991" s="169"/>
      <c r="L991" s="169"/>
      <c r="M991" s="169"/>
      <c r="N991" s="169"/>
      <c r="O991" s="169"/>
      <c r="P991" s="169"/>
      <c r="Q991" s="169"/>
      <c r="R991" s="169"/>
      <c r="S991" s="169"/>
      <c r="T991" s="169"/>
      <c r="U991" s="169"/>
      <c r="V991" s="169"/>
      <c r="W991" s="169"/>
      <c r="X991" s="169"/>
      <c r="Y991" s="169"/>
      <c r="Z991" s="169"/>
    </row>
    <row r="992" spans="1:26" ht="15.75" customHeight="1" x14ac:dyDescent="0.25">
      <c r="A992" s="169"/>
      <c r="B992" s="169"/>
      <c r="C992" s="169"/>
      <c r="D992" s="169"/>
      <c r="E992" s="169"/>
      <c r="F992" s="169"/>
      <c r="G992" s="169"/>
      <c r="H992" s="169"/>
      <c r="I992" s="169"/>
      <c r="J992" s="169"/>
      <c r="K992" s="169"/>
      <c r="L992" s="169"/>
      <c r="M992" s="169"/>
      <c r="N992" s="169"/>
      <c r="O992" s="169"/>
      <c r="P992" s="169"/>
      <c r="Q992" s="169"/>
      <c r="R992" s="169"/>
      <c r="S992" s="169"/>
      <c r="T992" s="169"/>
      <c r="U992" s="169"/>
      <c r="V992" s="169"/>
      <c r="W992" s="169"/>
      <c r="X992" s="169"/>
      <c r="Y992" s="169"/>
      <c r="Z992" s="169"/>
    </row>
    <row r="993" spans="1:26" ht="15.75" customHeight="1" x14ac:dyDescent="0.25">
      <c r="A993" s="169"/>
      <c r="B993" s="169"/>
      <c r="C993" s="169"/>
      <c r="D993" s="169"/>
      <c r="E993" s="169"/>
      <c r="F993" s="169"/>
      <c r="G993" s="169"/>
      <c r="H993" s="169"/>
      <c r="I993" s="169"/>
      <c r="J993" s="169"/>
      <c r="K993" s="169"/>
      <c r="L993" s="169"/>
      <c r="M993" s="169"/>
      <c r="N993" s="169"/>
      <c r="O993" s="169"/>
      <c r="P993" s="169"/>
      <c r="Q993" s="169"/>
      <c r="R993" s="169"/>
      <c r="S993" s="169"/>
      <c r="T993" s="169"/>
      <c r="U993" s="169"/>
      <c r="V993" s="169"/>
      <c r="W993" s="169"/>
      <c r="X993" s="169"/>
      <c r="Y993" s="169"/>
      <c r="Z993" s="169"/>
    </row>
    <row r="994" spans="1:26" ht="15.75" customHeight="1" x14ac:dyDescent="0.25">
      <c r="A994" s="169"/>
      <c r="B994" s="169"/>
      <c r="C994" s="169"/>
      <c r="D994" s="169"/>
      <c r="E994" s="169"/>
      <c r="F994" s="169"/>
      <c r="G994" s="169"/>
      <c r="H994" s="169"/>
      <c r="I994" s="169"/>
      <c r="J994" s="169"/>
      <c r="K994" s="169"/>
      <c r="L994" s="169"/>
      <c r="M994" s="169"/>
      <c r="N994" s="169"/>
      <c r="O994" s="169"/>
      <c r="P994" s="169"/>
      <c r="Q994" s="169"/>
      <c r="R994" s="169"/>
      <c r="S994" s="169"/>
      <c r="T994" s="169"/>
      <c r="U994" s="169"/>
      <c r="V994" s="169"/>
      <c r="W994" s="169"/>
      <c r="X994" s="169"/>
      <c r="Y994" s="169"/>
      <c r="Z994" s="169"/>
    </row>
    <row r="995" spans="1:26" ht="15.75" customHeight="1" x14ac:dyDescent="0.25">
      <c r="A995" s="169"/>
      <c r="B995" s="169"/>
      <c r="C995" s="169"/>
      <c r="D995" s="169"/>
      <c r="E995" s="169"/>
      <c r="F995" s="169"/>
      <c r="G995" s="169"/>
      <c r="H995" s="169"/>
      <c r="I995" s="169"/>
      <c r="J995" s="169"/>
      <c r="K995" s="169"/>
      <c r="L995" s="169"/>
      <c r="M995" s="169"/>
      <c r="N995" s="169"/>
      <c r="O995" s="169"/>
      <c r="P995" s="169"/>
      <c r="Q995" s="169"/>
      <c r="R995" s="169"/>
      <c r="S995" s="169"/>
      <c r="T995" s="169"/>
      <c r="U995" s="169"/>
      <c r="V995" s="169"/>
      <c r="W995" s="169"/>
      <c r="X995" s="169"/>
      <c r="Y995" s="169"/>
      <c r="Z995" s="169"/>
    </row>
    <row r="996" spans="1:26" ht="15.75" customHeight="1" x14ac:dyDescent="0.25">
      <c r="A996" s="169"/>
      <c r="B996" s="169"/>
      <c r="C996" s="169"/>
      <c r="D996" s="169"/>
      <c r="E996" s="169"/>
      <c r="F996" s="169"/>
      <c r="G996" s="169"/>
      <c r="H996" s="169"/>
      <c r="I996" s="169"/>
      <c r="J996" s="169"/>
      <c r="K996" s="169"/>
      <c r="L996" s="169"/>
      <c r="M996" s="169"/>
      <c r="N996" s="169"/>
      <c r="O996" s="169"/>
      <c r="P996" s="169"/>
      <c r="Q996" s="169"/>
      <c r="R996" s="169"/>
      <c r="S996" s="169"/>
      <c r="T996" s="169"/>
      <c r="U996" s="169"/>
      <c r="V996" s="169"/>
      <c r="W996" s="169"/>
      <c r="X996" s="169"/>
      <c r="Y996" s="169"/>
      <c r="Z996" s="169"/>
    </row>
    <row r="997" spans="1:26" ht="15.75" customHeight="1" x14ac:dyDescent="0.25">
      <c r="A997" s="169"/>
      <c r="B997" s="169"/>
      <c r="C997" s="169"/>
      <c r="D997" s="169"/>
      <c r="E997" s="169"/>
      <c r="F997" s="169"/>
      <c r="G997" s="169"/>
      <c r="H997" s="169"/>
      <c r="I997" s="169"/>
      <c r="J997" s="169"/>
      <c r="K997" s="169"/>
      <c r="L997" s="169"/>
      <c r="M997" s="169"/>
      <c r="N997" s="169"/>
      <c r="O997" s="169"/>
      <c r="P997" s="169"/>
      <c r="Q997" s="169"/>
      <c r="R997" s="169"/>
      <c r="S997" s="169"/>
      <c r="T997" s="169"/>
      <c r="U997" s="169"/>
      <c r="V997" s="169"/>
      <c r="W997" s="169"/>
      <c r="X997" s="169"/>
      <c r="Y997" s="169"/>
      <c r="Z997" s="169"/>
    </row>
    <row r="998" spans="1:26" ht="15.75" customHeight="1" x14ac:dyDescent="0.25">
      <c r="A998" s="169"/>
      <c r="B998" s="169"/>
      <c r="C998" s="169"/>
      <c r="D998" s="169"/>
      <c r="E998" s="169"/>
      <c r="F998" s="169"/>
      <c r="G998" s="169"/>
      <c r="H998" s="169"/>
      <c r="I998" s="169"/>
      <c r="J998" s="169"/>
      <c r="K998" s="169"/>
      <c r="L998" s="169"/>
      <c r="M998" s="169"/>
      <c r="N998" s="169"/>
      <c r="O998" s="169"/>
      <c r="P998" s="169"/>
      <c r="Q998" s="169"/>
      <c r="R998" s="169"/>
      <c r="S998" s="169"/>
      <c r="T998" s="169"/>
      <c r="U998" s="169"/>
      <c r="V998" s="169"/>
      <c r="W998" s="169"/>
      <c r="X998" s="169"/>
      <c r="Y998" s="169"/>
      <c r="Z998" s="169"/>
    </row>
    <row r="999" spans="1:26" ht="15.75" customHeight="1" x14ac:dyDescent="0.25">
      <c r="A999" s="169"/>
      <c r="B999" s="169"/>
      <c r="C999" s="169"/>
      <c r="D999" s="169"/>
      <c r="E999" s="169"/>
      <c r="F999" s="169"/>
      <c r="G999" s="169"/>
      <c r="H999" s="169"/>
      <c r="I999" s="169"/>
      <c r="J999" s="169"/>
      <c r="K999" s="169"/>
      <c r="L999" s="169"/>
      <c r="M999" s="169"/>
      <c r="N999" s="169"/>
      <c r="O999" s="169"/>
      <c r="P999" s="169"/>
      <c r="Q999" s="169"/>
      <c r="R999" s="169"/>
      <c r="S999" s="169"/>
      <c r="T999" s="169"/>
      <c r="U999" s="169"/>
      <c r="V999" s="169"/>
      <c r="W999" s="169"/>
      <c r="X999" s="169"/>
      <c r="Y999" s="169"/>
      <c r="Z999" s="169"/>
    </row>
    <row r="1000" spans="1:26" ht="15.75" customHeight="1" x14ac:dyDescent="0.25">
      <c r="A1000" s="169"/>
      <c r="B1000" s="169"/>
      <c r="C1000" s="169"/>
      <c r="D1000" s="169"/>
      <c r="E1000" s="169"/>
      <c r="F1000" s="169"/>
      <c r="G1000" s="169"/>
      <c r="H1000" s="169"/>
      <c r="I1000" s="169"/>
      <c r="J1000" s="169"/>
      <c r="K1000" s="169"/>
      <c r="L1000" s="169"/>
      <c r="M1000" s="169"/>
      <c r="N1000" s="169"/>
      <c r="O1000" s="169"/>
      <c r="P1000" s="169"/>
      <c r="Q1000" s="169"/>
      <c r="R1000" s="169"/>
      <c r="S1000" s="169"/>
      <c r="T1000" s="169"/>
      <c r="U1000" s="169"/>
      <c r="V1000" s="169"/>
      <c r="W1000" s="169"/>
      <c r="X1000" s="169"/>
      <c r="Y1000" s="169"/>
      <c r="Z1000" s="169"/>
    </row>
  </sheetData>
  <mergeCells count="48">
    <mergeCell ref="D137:E137"/>
    <mergeCell ref="B51:D51"/>
    <mergeCell ref="B52:D52"/>
    <mergeCell ref="B53:D53"/>
    <mergeCell ref="A68:D68"/>
    <mergeCell ref="A73:F73"/>
    <mergeCell ref="A91:F91"/>
    <mergeCell ref="A96:F96"/>
    <mergeCell ref="A108:F108"/>
    <mergeCell ref="A115:F115"/>
    <mergeCell ref="A126:E126"/>
    <mergeCell ref="A128:E128"/>
    <mergeCell ref="D132:E132"/>
    <mergeCell ref="B46:D46"/>
    <mergeCell ref="B47:D47"/>
    <mergeCell ref="B48:D48"/>
    <mergeCell ref="B49:D49"/>
    <mergeCell ref="B50:D50"/>
    <mergeCell ref="B41:D41"/>
    <mergeCell ref="B42:D42"/>
    <mergeCell ref="B43:D43"/>
    <mergeCell ref="B44:D44"/>
    <mergeCell ref="B45:D45"/>
    <mergeCell ref="B36:D36"/>
    <mergeCell ref="B37:D37"/>
    <mergeCell ref="B38:D38"/>
    <mergeCell ref="B39:D39"/>
    <mergeCell ref="B40:D40"/>
    <mergeCell ref="B31:D31"/>
    <mergeCell ref="B32:D32"/>
    <mergeCell ref="B33:D33"/>
    <mergeCell ref="B34:D34"/>
    <mergeCell ref="B35:D35"/>
    <mergeCell ref="B26:D26"/>
    <mergeCell ref="B27:D27"/>
    <mergeCell ref="B28:D28"/>
    <mergeCell ref="B29:D29"/>
    <mergeCell ref="B30:D30"/>
    <mergeCell ref="B21:D21"/>
    <mergeCell ref="B22:D22"/>
    <mergeCell ref="B23:D23"/>
    <mergeCell ref="B24:D24"/>
    <mergeCell ref="B25:D25"/>
    <mergeCell ref="B2:E3"/>
    <mergeCell ref="B7:C7"/>
    <mergeCell ref="B15:E16"/>
    <mergeCell ref="A18:F18"/>
    <mergeCell ref="B20:D20"/>
  </mergeCells>
  <pageMargins left="0.7" right="0.7" top="0.75" bottom="0.75" header="0" footer="0"/>
  <pageSetup paperSize="14" orientation="portrait"/>
  <rowBreaks count="1" manualBreakCount="1">
    <brk id="72" man="1"/>
  </rowBreaks>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e74a8a9c-290b-4b32-844c-a04f24fa40db"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EB947113BF81A4DBED144AF26B037C3" ma:contentTypeVersion="18" ma:contentTypeDescription="Crear nuevo documento." ma:contentTypeScope="" ma:versionID="e012af7b4f64eef87d79db93431cee2a">
  <xsd:schema xmlns:xsd="http://www.w3.org/2001/XMLSchema" xmlns:xs="http://www.w3.org/2001/XMLSchema" xmlns:p="http://schemas.microsoft.com/office/2006/metadata/properties" xmlns:ns3="e74a8a9c-290b-4b32-844c-a04f24fa40db" xmlns:ns4="ff9e9658-3ff9-4ea3-a783-e89e40813621" targetNamespace="http://schemas.microsoft.com/office/2006/metadata/properties" ma:root="true" ma:fieldsID="3d52bd5308d8978870bf312620d70ba9" ns3:_="" ns4:_="">
    <xsd:import namespace="e74a8a9c-290b-4b32-844c-a04f24fa40db"/>
    <xsd:import namespace="ff9e9658-3ff9-4ea3-a783-e89e40813621"/>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4:SharedWithUsers" minOccurs="0"/>
                <xsd:element ref="ns4:SharedWithDetails" minOccurs="0"/>
                <xsd:element ref="ns4:SharingHintHash" minOccurs="0"/>
                <xsd:element ref="ns3:MediaServiceAutoTags" minOccurs="0"/>
                <xsd:element ref="ns3:MediaServiceGenerationTime" minOccurs="0"/>
                <xsd:element ref="ns3:MediaServiceEventHashCode" minOccurs="0"/>
                <xsd:element ref="ns3:MediaServiceOCR" minOccurs="0"/>
                <xsd:element ref="ns3:MediaServiceDateTaken" minOccurs="0"/>
                <xsd:element ref="ns3:MediaLengthInSeconds" minOccurs="0"/>
                <xsd:element ref="ns3:MediaServiceLocation"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74a8a9c-290b-4b32-844c-a04f24fa40d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MediaServiceLocation" ma:index="21" nillable="true" ma:displayName="Location"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f9e9658-3ff9-4ea3-a783-e89e40813621"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SharingHintHash" ma:index="14"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35C794A-43B0-4233-9BA6-369C4AA5175A}">
  <ds:schemaRefs>
    <ds:schemaRef ds:uri="http://schemas.microsoft.com/office/2006/metadata/properties"/>
    <ds:schemaRef ds:uri="http://schemas.microsoft.com/office/infopath/2007/PartnerControls"/>
    <ds:schemaRef ds:uri="e74a8a9c-290b-4b32-844c-a04f24fa40db"/>
  </ds:schemaRefs>
</ds:datastoreItem>
</file>

<file path=customXml/itemProps2.xml><?xml version="1.0" encoding="utf-8"?>
<ds:datastoreItem xmlns:ds="http://schemas.openxmlformats.org/officeDocument/2006/customXml" ds:itemID="{420288BD-AD02-426C-A380-69578E361213}">
  <ds:schemaRefs>
    <ds:schemaRef ds:uri="http://schemas.microsoft.com/sharepoint/v3/contenttype/forms"/>
  </ds:schemaRefs>
</ds:datastoreItem>
</file>

<file path=customXml/itemProps3.xml><?xml version="1.0" encoding="utf-8"?>
<ds:datastoreItem xmlns:ds="http://schemas.openxmlformats.org/officeDocument/2006/customXml" ds:itemID="{6B6CAC92-0CB8-4955-9C61-5CAA439537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74a8a9c-290b-4b32-844c-a04f24fa40db"/>
    <ds:schemaRef ds:uri="ff9e9658-3ff9-4ea3-a783-e89e4081362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Buenaventura</vt:lpstr>
      <vt:lpstr>Memorias</vt:lpstr>
      <vt:lpstr>ACTA DE AJUSTE</vt:lpstr>
      <vt:lpstr>Buenaventura!Área_de_impresión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Piedad Lorena Hernandez Fernandez</dc:creator>
  <cp:keywords/>
  <dc:description/>
  <cp:lastModifiedBy>Natalia Jimenez Orozco</cp:lastModifiedBy>
  <cp:revision/>
  <dcterms:created xsi:type="dcterms:W3CDTF">2025-12-18T15:41:05Z</dcterms:created>
  <dcterms:modified xsi:type="dcterms:W3CDTF">2026-10-14T22:06:23Z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0x010100EEB947113BF81A4DBED144AF26B037C3</vt:lpwstr>
  </property>
</Properties>
</file>