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8_{0829DFD1-6D93-4EEC-A098-A57EAC6DD3D0}" xr6:coauthVersionLast="47" xr6:coauthVersionMax="47" xr10:uidLastSave="{00000000-0000-0000-0000-000000000000}"/>
  <bookViews>
    <workbookView xWindow="-120" yWindow="-120" windowWidth="20730" windowHeight="10740" firstSheet="1" activeTab="2" xr2:uid="{00000000-000D-0000-FFFF-FFFF00000000}"/>
  </bookViews>
  <sheets>
    <sheet name="Separación en la Fuente" sheetId="1" state="hidden" r:id="rId1"/>
    <sheet name="INICIO (2)" sheetId="11" r:id="rId2"/>
    <sheet name="AMBIENTE" sheetId="9" r:id="rId3"/>
    <sheet name="Hoja1" sheetId="12" r:id="rId4"/>
  </sheets>
  <definedNames>
    <definedName name="_xlnm._FilterDatabase" localSheetId="2" hidden="1">AMBIENTE!$A$1:$X$124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78" i="9" l="1"/>
  <c r="N141" i="9" l="1"/>
  <c r="N142" i="9"/>
  <c r="N143" i="9"/>
  <c r="N144" i="9"/>
  <c r="N145" i="9"/>
  <c r="N146" i="9"/>
  <c r="N147" i="9"/>
  <c r="M147" i="9"/>
  <c r="Y98" i="9" l="1"/>
  <c r="Y32" i="9"/>
  <c r="Z135" i="9"/>
  <c r="A6" i="12"/>
  <c r="Y135" i="9"/>
  <c r="Y41" i="9"/>
  <c r="Y127" i="9"/>
  <c r="M93" i="9"/>
  <c r="N93" i="9" s="1"/>
  <c r="K93" i="9"/>
  <c r="L93" i="9" s="1"/>
  <c r="I93" i="9"/>
  <c r="M92" i="9"/>
  <c r="N92" i="9" s="1"/>
  <c r="K92" i="9"/>
  <c r="J92" i="9"/>
  <c r="S97" i="9"/>
  <c r="T97" i="9" s="1"/>
  <c r="O97" i="9"/>
  <c r="P97" i="9" s="1"/>
  <c r="J97" i="9"/>
  <c r="S96" i="9"/>
  <c r="T96" i="9" s="1"/>
  <c r="O96" i="9"/>
  <c r="P96" i="9" s="1"/>
  <c r="J96" i="9"/>
  <c r="J48" i="9"/>
  <c r="O48" i="9"/>
  <c r="P48" i="9" s="1"/>
  <c r="S48" i="9"/>
  <c r="T48" i="9" s="1"/>
  <c r="S34" i="9"/>
  <c r="T34" i="9" s="1"/>
  <c r="O34" i="9"/>
  <c r="P34" i="9" s="1"/>
  <c r="J34" i="9"/>
  <c r="T123" i="9"/>
  <c r="M121" i="9"/>
  <c r="N121" i="9" s="1"/>
  <c r="K121" i="9"/>
  <c r="J121" i="9"/>
  <c r="M83" i="9"/>
  <c r="N83" i="9" s="1"/>
  <c r="K83" i="9"/>
  <c r="J83" i="9"/>
  <c r="M82" i="9"/>
  <c r="K82" i="9"/>
  <c r="L82" i="9" s="1"/>
  <c r="I82" i="9"/>
  <c r="J82" i="9" s="1"/>
  <c r="M81" i="9"/>
  <c r="N81" i="9" s="1"/>
  <c r="K81" i="9"/>
  <c r="L81" i="9" s="1"/>
  <c r="I81" i="9"/>
  <c r="M80" i="9"/>
  <c r="N80" i="9" s="1"/>
  <c r="K80" i="9"/>
  <c r="J80" i="9"/>
  <c r="N79" i="9"/>
  <c r="L79" i="9"/>
  <c r="I79" i="9"/>
  <c r="M75" i="9"/>
  <c r="K75" i="9"/>
  <c r="J75" i="9"/>
  <c r="J49" i="9"/>
  <c r="O49" i="9"/>
  <c r="P49" i="9" s="1"/>
  <c r="S49" i="9"/>
  <c r="T49" i="9" s="1"/>
  <c r="S50" i="9"/>
  <c r="T50" i="9" s="1"/>
  <c r="J50" i="9"/>
  <c r="O50" i="9"/>
  <c r="P50" i="9" s="1"/>
  <c r="J36" i="9"/>
  <c r="O36" i="9"/>
  <c r="P36" i="9" s="1"/>
  <c r="S36" i="9"/>
  <c r="T36" i="9" s="1"/>
  <c r="S129" i="9"/>
  <c r="T129" i="9" s="1"/>
  <c r="O129" i="9"/>
  <c r="P129" i="9" s="1"/>
  <c r="J129" i="9"/>
  <c r="S128" i="9"/>
  <c r="T128" i="9" s="1"/>
  <c r="O128" i="9"/>
  <c r="P128" i="9" s="1"/>
  <c r="J128" i="9"/>
  <c r="S127" i="9"/>
  <c r="T127" i="9" s="1"/>
  <c r="O127" i="9"/>
  <c r="P127" i="9" s="1"/>
  <c r="J127" i="9"/>
  <c r="S126" i="9"/>
  <c r="T126" i="9" s="1"/>
  <c r="O126" i="9"/>
  <c r="P126" i="9" s="1"/>
  <c r="J126" i="9"/>
  <c r="S100" i="9"/>
  <c r="T100" i="9" s="1"/>
  <c r="O100" i="9"/>
  <c r="P100" i="9" s="1"/>
  <c r="J100" i="9"/>
  <c r="S99" i="9"/>
  <c r="T99" i="9" s="1"/>
  <c r="O99" i="9"/>
  <c r="P99" i="9" s="1"/>
  <c r="J99" i="9"/>
  <c r="S98" i="9"/>
  <c r="T98" i="9" s="1"/>
  <c r="O98" i="9"/>
  <c r="P98" i="9" s="1"/>
  <c r="J98" i="9"/>
  <c r="S35" i="9"/>
  <c r="T35" i="9" s="1"/>
  <c r="O35" i="9"/>
  <c r="P35" i="9" s="1"/>
  <c r="J35" i="9"/>
  <c r="S32" i="9"/>
  <c r="T32" i="9" s="1"/>
  <c r="Q32" i="9"/>
  <c r="O32" i="9"/>
  <c r="P32" i="9" s="1"/>
  <c r="S31" i="9"/>
  <c r="T31" i="9" s="1"/>
  <c r="Q31" i="9"/>
  <c r="O31" i="9"/>
  <c r="P31" i="9" s="1"/>
  <c r="N32" i="9"/>
  <c r="N31" i="9"/>
  <c r="S23" i="9"/>
  <c r="T23" i="9" s="1"/>
  <c r="Q23" i="9"/>
  <c r="O23" i="9"/>
  <c r="P23" i="9" s="1"/>
  <c r="N23" i="9"/>
  <c r="S17" i="9"/>
  <c r="T17" i="9" s="1"/>
  <c r="Q17" i="9"/>
  <c r="O17" i="9"/>
  <c r="P17" i="9" s="1"/>
  <c r="N17" i="9"/>
  <c r="S16" i="9"/>
  <c r="T16" i="9" s="1"/>
  <c r="Q16" i="9"/>
  <c r="O16" i="9"/>
  <c r="P16" i="9" s="1"/>
  <c r="N16" i="9"/>
  <c r="S12" i="9"/>
  <c r="T12" i="9" s="1"/>
  <c r="Q12" i="9"/>
  <c r="O12" i="9"/>
  <c r="P12" i="9" s="1"/>
  <c r="N12" i="9"/>
  <c r="S10" i="9"/>
  <c r="T10" i="9" s="1"/>
  <c r="Q10" i="9"/>
  <c r="O10" i="9"/>
  <c r="P10" i="9" s="1"/>
  <c r="N10" i="9"/>
  <c r="S6" i="9"/>
  <c r="T6" i="9" s="1"/>
  <c r="Q6" i="9"/>
  <c r="O6" i="9"/>
  <c r="P6" i="9" s="1"/>
  <c r="N6" i="9"/>
  <c r="S121" i="9" l="1"/>
  <c r="T121" i="9" s="1"/>
  <c r="S93" i="9"/>
  <c r="T93" i="9" s="1"/>
  <c r="Q93" i="9"/>
  <c r="O93" i="9"/>
  <c r="P93" i="9" s="1"/>
  <c r="J93" i="9"/>
  <c r="S92" i="9"/>
  <c r="T92" i="9" s="1"/>
  <c r="Q92" i="9"/>
  <c r="O92" i="9"/>
  <c r="P92" i="9" s="1"/>
  <c r="L92" i="9"/>
  <c r="N75" i="9"/>
  <c r="O75" i="9"/>
  <c r="P75" i="9" s="1"/>
  <c r="O121" i="9"/>
  <c r="P121" i="9" s="1"/>
  <c r="Q121" i="9"/>
  <c r="L121" i="9"/>
  <c r="S80" i="9"/>
  <c r="Q80" i="9"/>
  <c r="S83" i="9"/>
  <c r="T83" i="9" s="1"/>
  <c r="Q83" i="9"/>
  <c r="O83" i="9"/>
  <c r="P83" i="9" s="1"/>
  <c r="L83" i="9"/>
  <c r="S82" i="9"/>
  <c r="T82" i="9" s="1"/>
  <c r="Q82" i="9"/>
  <c r="O82" i="9"/>
  <c r="P82" i="9" s="1"/>
  <c r="N82" i="9"/>
  <c r="J81" i="9"/>
  <c r="S81" i="9"/>
  <c r="T81" i="9" s="1"/>
  <c r="Q81" i="9"/>
  <c r="O81" i="9"/>
  <c r="P81" i="9" s="1"/>
  <c r="O80" i="9"/>
  <c r="L80" i="9"/>
  <c r="S79" i="9"/>
  <c r="T79" i="9" s="1"/>
  <c r="Q79" i="9"/>
  <c r="O79" i="9"/>
  <c r="P79" i="9" s="1"/>
  <c r="J79" i="9"/>
  <c r="S75" i="9"/>
  <c r="T75" i="9" s="1"/>
  <c r="Q75" i="9"/>
  <c r="L75" i="9"/>
  <c r="R31" i="9"/>
  <c r="U23" i="9"/>
  <c r="U17" i="9"/>
  <c r="U16" i="9"/>
  <c r="U12" i="9"/>
  <c r="U10" i="9"/>
  <c r="U6" i="9"/>
  <c r="R32" i="9"/>
  <c r="U31" i="9"/>
  <c r="U32" i="9"/>
  <c r="R23" i="9"/>
  <c r="R17" i="9"/>
  <c r="R16" i="9"/>
  <c r="R12" i="9"/>
  <c r="R10" i="9"/>
  <c r="R6" i="9"/>
  <c r="R93" i="9" l="1"/>
  <c r="U93" i="9"/>
  <c r="R92" i="9"/>
  <c r="U92" i="9"/>
  <c r="R121" i="9"/>
  <c r="U121" i="9"/>
  <c r="T80" i="9"/>
  <c r="U80" i="9"/>
  <c r="R83" i="9"/>
  <c r="U83" i="9"/>
  <c r="R82" i="9"/>
  <c r="U82" i="9"/>
  <c r="R81" i="9"/>
  <c r="U81" i="9"/>
  <c r="R79" i="9"/>
  <c r="U79" i="9"/>
  <c r="P80" i="9"/>
  <c r="R80" i="9"/>
  <c r="U75" i="9"/>
  <c r="R75" i="9"/>
  <c r="L32" i="9"/>
  <c r="L31" i="9"/>
  <c r="J32" i="9"/>
  <c r="J31" i="9"/>
  <c r="L23" i="9"/>
  <c r="J23" i="9"/>
  <c r="L17" i="9"/>
  <c r="J17" i="9"/>
  <c r="J16" i="9"/>
  <c r="L16" i="9"/>
  <c r="L12" i="9"/>
  <c r="J12" i="9"/>
  <c r="J10" i="9"/>
  <c r="L10" i="9"/>
  <c r="L6" i="9"/>
  <c r="J6" i="9"/>
  <c r="K25" i="9" l="1"/>
  <c r="O131" i="9" l="1"/>
  <c r="P131" i="9" s="1"/>
  <c r="Q131" i="9"/>
  <c r="S131" i="9"/>
  <c r="T131" i="9" s="1"/>
  <c r="I122" i="9"/>
  <c r="U131" i="9" l="1"/>
  <c r="S124" i="9"/>
  <c r="T124" i="9" s="1"/>
  <c r="O124" i="9"/>
  <c r="P124" i="9" s="1"/>
  <c r="S105" i="9"/>
  <c r="T105" i="9" s="1"/>
  <c r="O105" i="9"/>
  <c r="P105" i="9" s="1"/>
  <c r="S103" i="9"/>
  <c r="T103" i="9" s="1"/>
  <c r="O103" i="9"/>
  <c r="P103" i="9" s="1"/>
  <c r="K119" i="9" l="1"/>
  <c r="I120" i="9"/>
  <c r="J120" i="9" l="1"/>
  <c r="J119" i="9"/>
  <c r="J78" i="9"/>
  <c r="J84" i="9"/>
  <c r="I114" i="9" l="1"/>
  <c r="I113" i="9"/>
  <c r="K120" i="9"/>
  <c r="M120" i="9"/>
  <c r="N120" i="9" s="1"/>
  <c r="J94" i="9"/>
  <c r="J87" i="9"/>
  <c r="L120" i="9" l="1"/>
  <c r="S120" i="9"/>
  <c r="T120" i="9" s="1"/>
  <c r="O120" i="9"/>
  <c r="P120" i="9" s="1"/>
  <c r="Q120" i="9"/>
  <c r="I66" i="9"/>
  <c r="J66" i="9" s="1"/>
  <c r="I72" i="9"/>
  <c r="J72" i="9" s="1"/>
  <c r="I67" i="9"/>
  <c r="I73" i="9"/>
  <c r="J73" i="9" s="1"/>
  <c r="J74" i="9"/>
  <c r="J71" i="9"/>
  <c r="J68" i="9"/>
  <c r="J65" i="9"/>
  <c r="I53" i="9"/>
  <c r="K53" i="9"/>
  <c r="L53" i="9" s="1"/>
  <c r="M53" i="9"/>
  <c r="N53" i="9" s="1"/>
  <c r="I54" i="9"/>
  <c r="J54" i="9" s="1"/>
  <c r="K54" i="9"/>
  <c r="L54" i="9" s="1"/>
  <c r="M54" i="9"/>
  <c r="N54" i="9" s="1"/>
  <c r="I55" i="9"/>
  <c r="K55" i="9"/>
  <c r="L55" i="9" s="1"/>
  <c r="M55" i="9"/>
  <c r="N55" i="9" s="1"/>
  <c r="I56" i="9"/>
  <c r="K56" i="9"/>
  <c r="L56" i="9" s="1"/>
  <c r="M56" i="9"/>
  <c r="N56" i="9" s="1"/>
  <c r="I57" i="9"/>
  <c r="J57" i="9" s="1"/>
  <c r="K57" i="9"/>
  <c r="L57" i="9" s="1"/>
  <c r="M57" i="9"/>
  <c r="I58" i="9"/>
  <c r="J58" i="9" s="1"/>
  <c r="K58" i="9"/>
  <c r="L58" i="9" s="1"/>
  <c r="M58" i="9"/>
  <c r="N58" i="9" s="1"/>
  <c r="I59" i="9"/>
  <c r="J59" i="9" s="1"/>
  <c r="K59" i="9"/>
  <c r="L59" i="9" s="1"/>
  <c r="M59" i="9"/>
  <c r="N59" i="9" s="1"/>
  <c r="I60" i="9"/>
  <c r="J60" i="9" s="1"/>
  <c r="K60" i="9"/>
  <c r="L60" i="9" s="1"/>
  <c r="M60" i="9"/>
  <c r="N60" i="9" s="1"/>
  <c r="I61" i="9"/>
  <c r="K61" i="9"/>
  <c r="L61" i="9" s="1"/>
  <c r="M61" i="9"/>
  <c r="N61" i="9" s="1"/>
  <c r="I62" i="9"/>
  <c r="K62" i="9"/>
  <c r="L62" i="9" s="1"/>
  <c r="M62" i="9"/>
  <c r="N62" i="9" s="1"/>
  <c r="I63" i="9"/>
  <c r="J63" i="9" s="1"/>
  <c r="K63" i="9"/>
  <c r="L63" i="9" s="1"/>
  <c r="M63" i="9"/>
  <c r="N63" i="9" s="1"/>
  <c r="I64" i="9"/>
  <c r="J64" i="9" s="1"/>
  <c r="L64" i="9"/>
  <c r="N64" i="9"/>
  <c r="K65" i="9"/>
  <c r="L65" i="9" s="1"/>
  <c r="M65" i="9"/>
  <c r="N65" i="9" s="1"/>
  <c r="K66" i="9"/>
  <c r="M66" i="9"/>
  <c r="K67" i="9"/>
  <c r="M67" i="9"/>
  <c r="N67" i="9" s="1"/>
  <c r="K68" i="9"/>
  <c r="M68" i="9"/>
  <c r="I70" i="9"/>
  <c r="J70" i="9" s="1"/>
  <c r="L70" i="9"/>
  <c r="N70" i="9"/>
  <c r="K71" i="9"/>
  <c r="L71" i="9" s="1"/>
  <c r="M71" i="9"/>
  <c r="N71" i="9" s="1"/>
  <c r="K72" i="9"/>
  <c r="L72" i="9" s="1"/>
  <c r="M72" i="9"/>
  <c r="N72" i="9" s="1"/>
  <c r="K73" i="9"/>
  <c r="L73" i="9" s="1"/>
  <c r="M73" i="9"/>
  <c r="N73" i="9" s="1"/>
  <c r="K74" i="9"/>
  <c r="M74" i="9"/>
  <c r="I76" i="9"/>
  <c r="J76" i="9" s="1"/>
  <c r="K76" i="9"/>
  <c r="L76" i="9" s="1"/>
  <c r="M76" i="9"/>
  <c r="J29" i="9"/>
  <c r="J40" i="9"/>
  <c r="J41" i="9"/>
  <c r="J42" i="9"/>
  <c r="J43" i="9"/>
  <c r="J44" i="9"/>
  <c r="J45" i="9"/>
  <c r="J46" i="9"/>
  <c r="J39" i="9"/>
  <c r="I47" i="9"/>
  <c r="I89" i="9"/>
  <c r="S66" i="9" l="1"/>
  <c r="T66" i="9" s="1"/>
  <c r="S74" i="9"/>
  <c r="T74" i="9" s="1"/>
  <c r="U120" i="9"/>
  <c r="R120" i="9"/>
  <c r="Q68" i="9"/>
  <c r="Q57" i="9"/>
  <c r="O68" i="9"/>
  <c r="P68" i="9" s="1"/>
  <c r="L68" i="9"/>
  <c r="S59" i="9"/>
  <c r="T59" i="9" s="1"/>
  <c r="Q73" i="9"/>
  <c r="O53" i="9"/>
  <c r="P53" i="9" s="1"/>
  <c r="S73" i="9"/>
  <c r="O67" i="9"/>
  <c r="P67" i="9" s="1"/>
  <c r="N68" i="9"/>
  <c r="J67" i="9"/>
  <c r="S68" i="9"/>
  <c r="T68" i="9" s="1"/>
  <c r="Q66" i="9"/>
  <c r="S55" i="9"/>
  <c r="T55" i="9" s="1"/>
  <c r="L66" i="9"/>
  <c r="S57" i="9"/>
  <c r="T57" i="9" s="1"/>
  <c r="O73" i="9"/>
  <c r="O74" i="9"/>
  <c r="P74" i="9" s="1"/>
  <c r="Q60" i="9"/>
  <c r="S65" i="9"/>
  <c r="T65" i="9" s="1"/>
  <c r="Q54" i="9"/>
  <c r="O65" i="9"/>
  <c r="P65" i="9" s="1"/>
  <c r="Q65" i="9"/>
  <c r="S62" i="9"/>
  <c r="T62" i="9" s="1"/>
  <c r="J55" i="9"/>
  <c r="Q62" i="9"/>
  <c r="O54" i="9"/>
  <c r="P54" i="9" s="1"/>
  <c r="N74" i="9"/>
  <c r="S76" i="9"/>
  <c r="T76" i="9" s="1"/>
  <c r="O56" i="9"/>
  <c r="P56" i="9" s="1"/>
  <c r="O72" i="9"/>
  <c r="P72" i="9" s="1"/>
  <c r="O62" i="9"/>
  <c r="P62" i="9" s="1"/>
  <c r="S67" i="9"/>
  <c r="T67" i="9" s="1"/>
  <c r="Q61" i="9"/>
  <c r="J53" i="9"/>
  <c r="O60" i="9"/>
  <c r="P60" i="9" s="1"/>
  <c r="S71" i="9"/>
  <c r="T71" i="9" s="1"/>
  <c r="N76" i="9"/>
  <c r="L67" i="9"/>
  <c r="S53" i="9"/>
  <c r="T53" i="9" s="1"/>
  <c r="Q76" i="9"/>
  <c r="N66" i="9"/>
  <c r="O64" i="9"/>
  <c r="P64" i="9" s="1"/>
  <c r="S58" i="9"/>
  <c r="T58" i="9" s="1"/>
  <c r="Q56" i="9"/>
  <c r="O76" i="9"/>
  <c r="P76" i="9" s="1"/>
  <c r="S72" i="9"/>
  <c r="T72" i="9" s="1"/>
  <c r="Q71" i="9"/>
  <c r="Q64" i="9"/>
  <c r="O61" i="9"/>
  <c r="P61" i="9" s="1"/>
  <c r="Q55" i="9"/>
  <c r="J56" i="9"/>
  <c r="N57" i="9"/>
  <c r="S56" i="9"/>
  <c r="T56" i="9" s="1"/>
  <c r="S63" i="9"/>
  <c r="T63" i="9" s="1"/>
  <c r="Q53" i="9"/>
  <c r="S64" i="9"/>
  <c r="T64" i="9" s="1"/>
  <c r="Q63" i="9"/>
  <c r="S60" i="9"/>
  <c r="T60" i="9" s="1"/>
  <c r="Q58" i="9"/>
  <c r="L74" i="9"/>
  <c r="Q74" i="9"/>
  <c r="Q72" i="9"/>
  <c r="O71" i="9"/>
  <c r="P71" i="9" s="1"/>
  <c r="J89" i="9"/>
  <c r="J62" i="9"/>
  <c r="Q67" i="9"/>
  <c r="S61" i="9"/>
  <c r="T61" i="9" s="1"/>
  <c r="Q59" i="9"/>
  <c r="O57" i="9"/>
  <c r="P57" i="9" s="1"/>
  <c r="O70" i="9"/>
  <c r="P70" i="9" s="1"/>
  <c r="O63" i="9"/>
  <c r="P63" i="9" s="1"/>
  <c r="O58" i="9"/>
  <c r="P58" i="9" s="1"/>
  <c r="S54" i="9"/>
  <c r="T54" i="9" s="1"/>
  <c r="Q70" i="9"/>
  <c r="O55" i="9"/>
  <c r="P55" i="9" s="1"/>
  <c r="J61" i="9"/>
  <c r="O66" i="9"/>
  <c r="P66" i="9" s="1"/>
  <c r="O59" i="9"/>
  <c r="P59" i="9" s="1"/>
  <c r="S70" i="9"/>
  <c r="T70" i="9" s="1"/>
  <c r="J47" i="9"/>
  <c r="U66" i="9" l="1"/>
  <c r="R73" i="9"/>
  <c r="U73" i="9"/>
  <c r="R68" i="9"/>
  <c r="R65" i="9"/>
  <c r="U70" i="9"/>
  <c r="R57" i="9"/>
  <c r="R53" i="9"/>
  <c r="U76" i="9"/>
  <c r="R62" i="9"/>
  <c r="P73" i="9"/>
  <c r="U57" i="9"/>
  <c r="R72" i="9"/>
  <c r="U68" i="9"/>
  <c r="R60" i="9"/>
  <c r="R64" i="9"/>
  <c r="T73" i="9"/>
  <c r="U62" i="9"/>
  <c r="R74" i="9"/>
  <c r="U65" i="9"/>
  <c r="R54" i="9"/>
  <c r="U55" i="9"/>
  <c r="R55" i="9"/>
  <c r="U61" i="9"/>
  <c r="R66" i="9"/>
  <c r="R70" i="9"/>
  <c r="U53" i="9"/>
  <c r="U56" i="9"/>
  <c r="R56" i="9"/>
  <c r="R63" i="9"/>
  <c r="R61" i="9"/>
  <c r="U74" i="9"/>
  <c r="R59" i="9"/>
  <c r="U59" i="9"/>
  <c r="U64" i="9"/>
  <c r="U60" i="9"/>
  <c r="R67" i="9"/>
  <c r="U67" i="9"/>
  <c r="U72" i="9"/>
  <c r="U54" i="9"/>
  <c r="R58" i="9"/>
  <c r="U58" i="9"/>
  <c r="U63" i="9"/>
  <c r="U71" i="9"/>
  <c r="R71" i="9"/>
  <c r="R76" i="9"/>
  <c r="J122" i="9"/>
  <c r="I117" i="9"/>
  <c r="I116" i="9"/>
  <c r="I115" i="9"/>
  <c r="J114" i="9"/>
  <c r="J113" i="9"/>
  <c r="I112" i="9"/>
  <c r="I111" i="9"/>
  <c r="I110" i="9"/>
  <c r="I109" i="9"/>
  <c r="J117" i="9" l="1"/>
  <c r="J112" i="9"/>
  <c r="J115" i="9"/>
  <c r="J116" i="9"/>
  <c r="J109" i="9"/>
  <c r="J110" i="9"/>
  <c r="J111" i="9"/>
  <c r="I108" i="9"/>
  <c r="I91" i="9"/>
  <c r="I90" i="9"/>
  <c r="I88" i="9"/>
  <c r="I86" i="9"/>
  <c r="I22" i="9"/>
  <c r="J108" i="9" l="1"/>
  <c r="J88" i="9"/>
  <c r="J91" i="9"/>
  <c r="J86" i="9"/>
  <c r="J90" i="9"/>
  <c r="J22" i="9"/>
  <c r="M29" i="9"/>
  <c r="N29" i="9" s="1"/>
  <c r="I28" i="9"/>
  <c r="I27" i="9"/>
  <c r="I26" i="9"/>
  <c r="I25" i="9"/>
  <c r="L25" i="9"/>
  <c r="I13" i="9"/>
  <c r="J13" i="9" s="1"/>
  <c r="I19" i="9"/>
  <c r="J19" i="9" s="1"/>
  <c r="I18" i="9"/>
  <c r="J18" i="9" s="1"/>
  <c r="I15" i="9"/>
  <c r="J15" i="9" s="1"/>
  <c r="I8" i="9"/>
  <c r="J28" i="9" l="1"/>
  <c r="J27" i="9"/>
  <c r="J26" i="9"/>
  <c r="J25" i="9"/>
  <c r="J8" i="9"/>
  <c r="M122" i="9" l="1"/>
  <c r="N122" i="9" s="1"/>
  <c r="M119" i="9"/>
  <c r="M117" i="9"/>
  <c r="N117" i="9" s="1"/>
  <c r="M116" i="9"/>
  <c r="N116" i="9" s="1"/>
  <c r="M115" i="9"/>
  <c r="N115" i="9" s="1"/>
  <c r="M114" i="9"/>
  <c r="N114" i="9" s="1"/>
  <c r="M113" i="9"/>
  <c r="N113" i="9" s="1"/>
  <c r="M112" i="9"/>
  <c r="N112" i="9" s="1"/>
  <c r="M111" i="9"/>
  <c r="N111" i="9" s="1"/>
  <c r="M110" i="9"/>
  <c r="N110" i="9" s="1"/>
  <c r="M109" i="9"/>
  <c r="N109" i="9" s="1"/>
  <c r="M108" i="9"/>
  <c r="N108" i="9" s="1"/>
  <c r="M94" i="9"/>
  <c r="N94" i="9" s="1"/>
  <c r="M91" i="9"/>
  <c r="N91" i="9" s="1"/>
  <c r="M90" i="9"/>
  <c r="N90" i="9" s="1"/>
  <c r="M89" i="9"/>
  <c r="N89" i="9" s="1"/>
  <c r="M88" i="9"/>
  <c r="N88" i="9" s="1"/>
  <c r="M87" i="9"/>
  <c r="N87" i="9" s="1"/>
  <c r="M86" i="9"/>
  <c r="N86" i="9" s="1"/>
  <c r="M84" i="9"/>
  <c r="K122" i="9"/>
  <c r="L119" i="9"/>
  <c r="K117" i="9"/>
  <c r="K116" i="9"/>
  <c r="K115" i="9"/>
  <c r="K114" i="9"/>
  <c r="K113" i="9"/>
  <c r="K112" i="9"/>
  <c r="K111" i="9"/>
  <c r="K110" i="9"/>
  <c r="K109" i="9"/>
  <c r="K108" i="9"/>
  <c r="K94" i="9"/>
  <c r="K91" i="9"/>
  <c r="K90" i="9"/>
  <c r="K89" i="9"/>
  <c r="K88" i="9"/>
  <c r="K87" i="9"/>
  <c r="K86" i="9"/>
  <c r="K84" i="9"/>
  <c r="K78" i="9"/>
  <c r="K47" i="9"/>
  <c r="K46" i="9"/>
  <c r="K45" i="9"/>
  <c r="K44" i="9"/>
  <c r="K43" i="9"/>
  <c r="K42" i="9"/>
  <c r="K41" i="9"/>
  <c r="K40" i="9"/>
  <c r="K39" i="9"/>
  <c r="K29" i="9"/>
  <c r="M47" i="9"/>
  <c r="N47" i="9" s="1"/>
  <c r="M46" i="9"/>
  <c r="N46" i="9" s="1"/>
  <c r="M45" i="9"/>
  <c r="N45" i="9" s="1"/>
  <c r="M44" i="9"/>
  <c r="N44" i="9" s="1"/>
  <c r="M43" i="9"/>
  <c r="N43" i="9" s="1"/>
  <c r="M42" i="9"/>
  <c r="N42" i="9" s="1"/>
  <c r="M41" i="9"/>
  <c r="N41" i="9" s="1"/>
  <c r="M40" i="9"/>
  <c r="N40" i="9" s="1"/>
  <c r="M39" i="9"/>
  <c r="N39" i="9" s="1"/>
  <c r="M28" i="9"/>
  <c r="N28" i="9" s="1"/>
  <c r="M27" i="9"/>
  <c r="N27" i="9" s="1"/>
  <c r="M26" i="9"/>
  <c r="N26" i="9" s="1"/>
  <c r="M25" i="9"/>
  <c r="M22" i="9"/>
  <c r="N22" i="9" s="1"/>
  <c r="M19" i="9"/>
  <c r="N19" i="9" s="1"/>
  <c r="M13" i="9"/>
  <c r="N13" i="9" s="1"/>
  <c r="M18" i="9"/>
  <c r="N18" i="9" s="1"/>
  <c r="M15" i="9"/>
  <c r="N15" i="9" s="1"/>
  <c r="M8" i="9"/>
  <c r="N8" i="9" s="1"/>
  <c r="K28" i="9"/>
  <c r="K27" i="9"/>
  <c r="K26" i="9"/>
  <c r="K22" i="9"/>
  <c r="K19" i="9"/>
  <c r="K8" i="9"/>
  <c r="K13" i="9"/>
  <c r="K18" i="9"/>
  <c r="K15" i="9"/>
  <c r="F16" i="1"/>
  <c r="G6" i="1"/>
  <c r="G5" i="1"/>
  <c r="G4" i="1"/>
  <c r="G16" i="1" s="1"/>
  <c r="G3" i="1"/>
  <c r="G2" i="1"/>
  <c r="L122" i="9" l="1"/>
  <c r="S122" i="9"/>
  <c r="T122" i="9" s="1"/>
  <c r="Q122" i="9"/>
  <c r="O122" i="9"/>
  <c r="P122" i="9" s="1"/>
  <c r="N119" i="9"/>
  <c r="O119" i="9"/>
  <c r="P119" i="9" s="1"/>
  <c r="Q119" i="9"/>
  <c r="S119" i="9"/>
  <c r="T119" i="9" s="1"/>
  <c r="L110" i="9"/>
  <c r="S110" i="9"/>
  <c r="T110" i="9" s="1"/>
  <c r="Q110" i="9"/>
  <c r="O110" i="9"/>
  <c r="P110" i="9" s="1"/>
  <c r="L113" i="9"/>
  <c r="O113" i="9"/>
  <c r="P113" i="9" s="1"/>
  <c r="Q113" i="9"/>
  <c r="S113" i="9"/>
  <c r="T113" i="9" s="1"/>
  <c r="L114" i="9"/>
  <c r="S114" i="9"/>
  <c r="T114" i="9" s="1"/>
  <c r="Q114" i="9"/>
  <c r="O114" i="9"/>
  <c r="P114" i="9" s="1"/>
  <c r="L111" i="9"/>
  <c r="Q111" i="9"/>
  <c r="O111" i="9"/>
  <c r="P111" i="9" s="1"/>
  <c r="S111" i="9"/>
  <c r="T111" i="9" s="1"/>
  <c r="L112" i="9"/>
  <c r="O112" i="9"/>
  <c r="P112" i="9" s="1"/>
  <c r="S112" i="9"/>
  <c r="T112" i="9" s="1"/>
  <c r="Q112" i="9"/>
  <c r="O78" i="9"/>
  <c r="P78" i="9" s="1"/>
  <c r="Q78" i="9"/>
  <c r="S78" i="9"/>
  <c r="T78" i="9" s="1"/>
  <c r="L115" i="9"/>
  <c r="Q115" i="9"/>
  <c r="O115" i="9"/>
  <c r="P115" i="9" s="1"/>
  <c r="S115" i="9"/>
  <c r="T115" i="9" s="1"/>
  <c r="O84" i="9"/>
  <c r="P84" i="9" s="1"/>
  <c r="S84" i="9"/>
  <c r="T84" i="9" s="1"/>
  <c r="Q84" i="9"/>
  <c r="L108" i="9"/>
  <c r="O108" i="9"/>
  <c r="P108" i="9" s="1"/>
  <c r="Y124" i="9" s="1"/>
  <c r="Z127" i="9" s="1"/>
  <c r="Q108" i="9"/>
  <c r="S108" i="9"/>
  <c r="T108" i="9" s="1"/>
  <c r="L116" i="9"/>
  <c r="O116" i="9"/>
  <c r="P116" i="9" s="1"/>
  <c r="Q116" i="9"/>
  <c r="S116" i="9"/>
  <c r="T116" i="9" s="1"/>
  <c r="L109" i="9"/>
  <c r="Q109" i="9"/>
  <c r="S109" i="9"/>
  <c r="T109" i="9" s="1"/>
  <c r="O109" i="9"/>
  <c r="P109" i="9" s="1"/>
  <c r="L117" i="9"/>
  <c r="S117" i="9"/>
  <c r="T117" i="9" s="1"/>
  <c r="Q117" i="9"/>
  <c r="O117" i="9"/>
  <c r="P117" i="9" s="1"/>
  <c r="L91" i="9"/>
  <c r="S91" i="9"/>
  <c r="T91" i="9" s="1"/>
  <c r="Q91" i="9"/>
  <c r="O91" i="9"/>
  <c r="P91" i="9" s="1"/>
  <c r="L88" i="9"/>
  <c r="O88" i="9"/>
  <c r="P88" i="9" s="1"/>
  <c r="S88" i="9"/>
  <c r="Q88" i="9"/>
  <c r="L86" i="9"/>
  <c r="Q86" i="9"/>
  <c r="S86" i="9"/>
  <c r="T86" i="9" s="1"/>
  <c r="O86" i="9"/>
  <c r="P86" i="9" s="1"/>
  <c r="L89" i="9"/>
  <c r="O89" i="9"/>
  <c r="P89" i="9" s="1"/>
  <c r="S89" i="9"/>
  <c r="T89" i="9" s="1"/>
  <c r="Q89" i="9"/>
  <c r="S94" i="9"/>
  <c r="T94" i="9" s="1"/>
  <c r="Q94" i="9"/>
  <c r="O94" i="9"/>
  <c r="P94" i="9" s="1"/>
  <c r="L94" i="9"/>
  <c r="L87" i="9"/>
  <c r="S87" i="9"/>
  <c r="T87" i="9" s="1"/>
  <c r="O87" i="9"/>
  <c r="P87" i="9" s="1"/>
  <c r="Q87" i="9"/>
  <c r="L90" i="9"/>
  <c r="Q90" i="9"/>
  <c r="O90" i="9"/>
  <c r="P90" i="9" s="1"/>
  <c r="S90" i="9"/>
  <c r="T90" i="9" s="1"/>
  <c r="Q29" i="9"/>
  <c r="L29" i="9"/>
  <c r="O29" i="9"/>
  <c r="P29" i="9" s="1"/>
  <c r="S29" i="9"/>
  <c r="T29" i="9" s="1"/>
  <c r="N25" i="9"/>
  <c r="O25" i="9"/>
  <c r="P25" i="9" s="1"/>
  <c r="S25" i="9"/>
  <c r="T25" i="9" s="1"/>
  <c r="Q25" i="9"/>
  <c r="L28" i="9"/>
  <c r="S28" i="9"/>
  <c r="T28" i="9" s="1"/>
  <c r="Q28" i="9"/>
  <c r="O28" i="9"/>
  <c r="P28" i="9" s="1"/>
  <c r="L27" i="9"/>
  <c r="S27" i="9"/>
  <c r="T27" i="9" s="1"/>
  <c r="Q27" i="9"/>
  <c r="O27" i="9"/>
  <c r="P27" i="9" s="1"/>
  <c r="L26" i="9"/>
  <c r="S26" i="9"/>
  <c r="T26" i="9" s="1"/>
  <c r="Q26" i="9"/>
  <c r="O26" i="9"/>
  <c r="P26" i="9" s="1"/>
  <c r="L22" i="9"/>
  <c r="Q22" i="9"/>
  <c r="O22" i="9"/>
  <c r="P22" i="9" s="1"/>
  <c r="S22" i="9"/>
  <c r="T22" i="9" s="1"/>
  <c r="S47" i="9"/>
  <c r="T47" i="9" s="1"/>
  <c r="L47" i="9"/>
  <c r="O47" i="9"/>
  <c r="P47" i="9" s="1"/>
  <c r="Q47" i="9"/>
  <c r="O46" i="9"/>
  <c r="P46" i="9" s="1"/>
  <c r="L46" i="9"/>
  <c r="Q46" i="9"/>
  <c r="S46" i="9"/>
  <c r="T46" i="9" s="1"/>
  <c r="L45" i="9"/>
  <c r="Q45" i="9"/>
  <c r="O45" i="9"/>
  <c r="P45" i="9" s="1"/>
  <c r="S45" i="9"/>
  <c r="T45" i="9" s="1"/>
  <c r="L44" i="9"/>
  <c r="S44" i="9"/>
  <c r="T44" i="9" s="1"/>
  <c r="Q44" i="9"/>
  <c r="O44" i="9"/>
  <c r="P44" i="9" s="1"/>
  <c r="S43" i="9"/>
  <c r="T43" i="9" s="1"/>
  <c r="Q43" i="9"/>
  <c r="L43" i="9"/>
  <c r="O43" i="9"/>
  <c r="P43" i="9" s="1"/>
  <c r="Q42" i="9"/>
  <c r="S42" i="9"/>
  <c r="T42" i="9" s="1"/>
  <c r="L42" i="9"/>
  <c r="O42" i="9"/>
  <c r="P42" i="9" s="1"/>
  <c r="Q41" i="9"/>
  <c r="L41" i="9"/>
  <c r="O41" i="9"/>
  <c r="P41" i="9" s="1"/>
  <c r="S41" i="9"/>
  <c r="T41" i="9" s="1"/>
  <c r="L40" i="9"/>
  <c r="Q40" i="9"/>
  <c r="S40" i="9"/>
  <c r="T40" i="9" s="1"/>
  <c r="O40" i="9"/>
  <c r="P40" i="9" s="1"/>
  <c r="L39" i="9"/>
  <c r="S39" i="9"/>
  <c r="T39" i="9" s="1"/>
  <c r="Q39" i="9"/>
  <c r="O39" i="9"/>
  <c r="P39" i="9" s="1"/>
  <c r="L19" i="9"/>
  <c r="S19" i="9"/>
  <c r="T19" i="9" s="1"/>
  <c r="Q19" i="9"/>
  <c r="O19" i="9"/>
  <c r="P19" i="9" s="1"/>
  <c r="O13" i="9"/>
  <c r="P13" i="9" s="1"/>
  <c r="L13" i="9"/>
  <c r="S13" i="9"/>
  <c r="T13" i="9" s="1"/>
  <c r="Q13" i="9"/>
  <c r="L18" i="9"/>
  <c r="S18" i="9"/>
  <c r="T18" i="9" s="1"/>
  <c r="Q18" i="9"/>
  <c r="O18" i="9"/>
  <c r="P18" i="9" s="1"/>
  <c r="L15" i="9"/>
  <c r="S15" i="9"/>
  <c r="T15" i="9" s="1"/>
  <c r="Q15" i="9"/>
  <c r="O15" i="9"/>
  <c r="P15" i="9" s="1"/>
  <c r="L8" i="9"/>
  <c r="S8" i="9"/>
  <c r="T8" i="9" s="1"/>
  <c r="O8" i="9"/>
  <c r="P8" i="9" s="1"/>
  <c r="Q8" i="9"/>
  <c r="Y47" i="9" l="1"/>
  <c r="Z41" i="9" s="1"/>
  <c r="Y29" i="9"/>
  <c r="Z32" i="9" s="1"/>
  <c r="Y94" i="9"/>
  <c r="Z98" i="9" s="1"/>
  <c r="P132" i="9"/>
  <c r="P135" i="9"/>
  <c r="P136" i="9" s="1"/>
  <c r="P137" i="9" s="1"/>
  <c r="P138" i="9" s="1"/>
  <c r="Z47" i="9"/>
  <c r="Z29" i="9"/>
  <c r="Z124" i="9"/>
  <c r="R119" i="9"/>
  <c r="U119" i="9"/>
  <c r="R122" i="9"/>
  <c r="U122" i="9"/>
  <c r="R88" i="9"/>
  <c r="U113" i="9"/>
  <c r="R113" i="9"/>
  <c r="U84" i="9"/>
  <c r="R84" i="9"/>
  <c r="R78" i="9"/>
  <c r="U78" i="9"/>
  <c r="U111" i="9"/>
  <c r="R111" i="9"/>
  <c r="U117" i="9"/>
  <c r="R117" i="9"/>
  <c r="R116" i="9"/>
  <c r="U116" i="9"/>
  <c r="U112" i="9"/>
  <c r="R112" i="9"/>
  <c r="R109" i="9"/>
  <c r="U109" i="9"/>
  <c r="R114" i="9"/>
  <c r="U114" i="9"/>
  <c r="R110" i="9"/>
  <c r="U110" i="9"/>
  <c r="U108" i="9"/>
  <c r="R108" i="9"/>
  <c r="R115" i="9"/>
  <c r="U115" i="9"/>
  <c r="R89" i="9"/>
  <c r="U89" i="9"/>
  <c r="R91" i="9"/>
  <c r="U91" i="9"/>
  <c r="U88" i="9"/>
  <c r="T88" i="9"/>
  <c r="R90" i="9"/>
  <c r="U90" i="9"/>
  <c r="U94" i="9"/>
  <c r="R94" i="9"/>
  <c r="U86" i="9"/>
  <c r="R86" i="9"/>
  <c r="U87" i="9"/>
  <c r="R87" i="9"/>
  <c r="R29" i="9"/>
  <c r="U29" i="9"/>
  <c r="U25" i="9"/>
  <c r="R25" i="9"/>
  <c r="R28" i="9"/>
  <c r="U28" i="9"/>
  <c r="U27" i="9"/>
  <c r="R27" i="9"/>
  <c r="R26" i="9"/>
  <c r="U26" i="9"/>
  <c r="U22" i="9"/>
  <c r="R22" i="9"/>
  <c r="U47" i="9"/>
  <c r="R47" i="9"/>
  <c r="U46" i="9"/>
  <c r="R46" i="9"/>
  <c r="R45" i="9"/>
  <c r="U45" i="9"/>
  <c r="R44" i="9"/>
  <c r="U44" i="9"/>
  <c r="U43" i="9"/>
  <c r="R43" i="9"/>
  <c r="U42" i="9"/>
  <c r="R42" i="9"/>
  <c r="U41" i="9"/>
  <c r="R41" i="9"/>
  <c r="U40" i="9"/>
  <c r="R40" i="9"/>
  <c r="R39" i="9"/>
  <c r="U39" i="9"/>
  <c r="R19" i="9"/>
  <c r="U19" i="9"/>
  <c r="R13" i="9"/>
  <c r="U13" i="9"/>
  <c r="U18" i="9"/>
  <c r="R18" i="9"/>
  <c r="U15" i="9"/>
  <c r="R15" i="9"/>
  <c r="R8" i="9"/>
  <c r="U8" i="9"/>
  <c r="T135" i="9" l="1"/>
  <c r="T136" i="9" s="1"/>
  <c r="T137" i="9" s="1"/>
  <c r="T141" i="9" s="1"/>
  <c r="Z94" i="9"/>
</calcChain>
</file>

<file path=xl/sharedStrings.xml><?xml version="1.0" encoding="utf-8"?>
<sst xmlns="http://schemas.openxmlformats.org/spreadsheetml/2006/main" count="780" uniqueCount="396">
  <si>
    <t>OBJETO</t>
  </si>
  <si>
    <t>Especificaciones</t>
  </si>
  <si>
    <t>Link de la cotización</t>
  </si>
  <si>
    <t>Foto</t>
  </si>
  <si>
    <t>CANTIDAD</t>
  </si>
  <si>
    <t>Costo U</t>
  </si>
  <si>
    <t>Costo total</t>
  </si>
  <si>
    <t>https://www.jumbocolombia.com/bolsa-task-basura-3-colores-50x70-x30und/p?idsku=142748&amp;srsltid=AfmBOop1ijoc74_aM-G1Hl6o-9-GyTAGKFN5xlydltWXdUsHeHwJ_6lGMIk</t>
  </si>
  <si>
    <t>tula de tela mediana que sirva para guardar el kit que se entrega</t>
  </si>
  <si>
    <t>Tula ecologica en Tela de Algodon tamaño 32 x 36</t>
  </si>
  <si>
    <t>https://www.mercadolibre.com.co/tula-ecologica-en-tela-de-algodon-32-x-36/up/MCOU2432066715#polycard_client=search-desktop&amp;search_layout=grid&amp;position=1&amp;type=product&amp;tracking_id=bec193f4-bfbf-4e3e-b364-47d6c86776b2&amp;wid=MCO878377492&amp;sid=search</t>
  </si>
  <si>
    <t>Refrigerios que contienen. Jugo en caja - fruta -paste ojaldrado</t>
  </si>
  <si>
    <t>Pastel de pollo o palito de queso fundido jugo hit + fruta y cajita</t>
  </si>
  <si>
    <t>https://amoradulce.com/producto/refrigerio-pastel-o-palito-2-fruta%F0%9F%8D%8E/</t>
  </si>
  <si>
    <t>Tarjeta imantada</t>
  </si>
  <si>
    <t>Frascos de tinte concentrado </t>
  </si>
  <si>
    <t>Colores para detalles/bordes </t>
  </si>
  <si>
    <t>Kit de felpa de 9" con bandeja </t>
  </si>
  <si>
    <t>Juego de 2", 3" y artísticas </t>
  </si>
  <si>
    <t>Bolsas de colores seún lo indicado en la resolución 2184 de 2019 (Blanco, Verde, negro)</t>
  </si>
  <si>
    <t>Bolsa Task Basura 3 colores 50 x 70 x 30 und</t>
  </si>
  <si>
    <t>Cajas de guantes de Nitrilo</t>
  </si>
  <si>
    <t>Guantes Fornax NItrilo de trabajo pesado Marca: KIM
Línea / Modelo: Fornax
Material: Nitrilo
Recubrimiento: Total en nitrilo
Color: Azul
Puño: Cerrado
Talla: Única
Tipo de guante: Trabajo pesado / industrial</t>
  </si>
  <si>
    <t>https://www.comaderas.com/guante-fornax-nitrilo-trabajo-pesado</t>
  </si>
  <si>
    <t>Caneca de tres compartimientos</t>
  </si>
  <si>
    <t>Canecas Acero Inoxidable 3 compartimientos 45 litros Plateado con pedal Especificaciones principales
•Tipo : Canecas y contenedores domestico metálico
•Ancho : 60 cm
•Alto : 48.5 cm
•Largo : 37 cm
•Dimensiones : 60 x 48.5 x 37 cm</t>
  </si>
  <si>
    <t>https://www.homecenter.com.co/homecenter-co/product/878935/caneca-acero-inoxidable-3-compartimiento-45-litros-plateado-con-pedal/878935/</t>
  </si>
  <si>
    <t>Caja de marcadores para tablero. Especificar cuantos viene por caja</t>
  </si>
  <si>
    <t>Marcador Borrable Magistral Clasico x 8 unidades</t>
  </si>
  <si>
    <t>https://www.homecenter.com.co/homecenter-co/product/478487/marcador-borrable-magistral-clasico-x8-colores/478487/</t>
  </si>
  <si>
    <t>Caja de esferos de tinta negra - especificar cuantos viene por caja</t>
  </si>
  <si>
    <t>Mina de 0.7 mm. ; 6 cm x 15 cm x 2.3 cm en empaque X 12 UNIDADES</t>
  </si>
  <si>
    <t>https://www.panamericana.com.co/boligrafo-faber-castell-poly-caja-x-12-unidades-626793/p</t>
  </si>
  <si>
    <t>Imagen</t>
  </si>
  <si>
    <t>Tarjeta imantada con logo a definir</t>
  </si>
  <si>
    <t>Tamaño: 9 x 5 cm</t>
  </si>
  <si>
    <t>https://tarjetasdepresentacionbogota.co/tienda/tarjetas-imantadas/</t>
  </si>
  <si>
    <t>Cantidad: 500 uds | 1.000 uds</t>
  </si>
  <si>
    <t>Material: Propalcote 350 g, plastificado brillante, imán calibre 0.3 mm</t>
  </si>
  <si>
    <t>Impresión: Offset 4 x 0 tintas – full color</t>
  </si>
  <si>
    <t>Terminado: Refilado recto</t>
  </si>
  <si>
    <t>Borrador de tablero</t>
  </si>
  <si>
    <t>Borrador para tablero con mango de madera; Medidas en empaque: 13.5 cm x 3 cm x 5.5 cm</t>
  </si>
  <si>
    <t>https://www.panamericana.com.co/borrador-de-tablero-en-fieltro-27576/p?srsltid=AfmBOoodfTmoxG9wZXoatDmdx5WVb9TGKhzaEL9eDEo0ab5dsmAcK3VT</t>
  </si>
  <si>
    <t xml:space="preserve">Camisetas </t>
  </si>
  <si>
    <t>100 % algodón</t>
  </si>
  <si>
    <t>https://pontela.com.co/camisetas-estampadas/1-camiseta-gildan.html#/3-talla-m/1-color-blanco</t>
  </si>
  <si>
    <t>Unidad</t>
  </si>
  <si>
    <t>HOMECENTER</t>
  </si>
  <si>
    <t>ÍTEM</t>
  </si>
  <si>
    <t>MATERIALES E INSUMOS</t>
  </si>
  <si>
    <t>DESCRIPCIÓN</t>
  </si>
  <si>
    <t xml:space="preserve">CANTIDAD </t>
  </si>
  <si>
    <t>Unidad de medida</t>
  </si>
  <si>
    <t>Tiempo</t>
  </si>
  <si>
    <t>COTIZACION
AREA TECNICA</t>
  </si>
  <si>
    <t>COTIZACION 1</t>
  </si>
  <si>
    <t>COTIZACION 2</t>
  </si>
  <si>
    <t xml:space="preserve">Coordinador(a) General </t>
  </si>
  <si>
    <t xml:space="preserve">Ingeniero Forestal, Ingeniero Civil, Ingeniero Ambiental, Administrador Ambiental, Biología, Ecología o a fines con el área ambiental. Con posgrado en gestión ambiental, y/o en 
gerencia ambiental, y/o en saneamiento ambiental, y/o gerencia o gestión urbana y/o planificación territorial, y/o afines ambientales, con cinco (5) años de experiencia profesional (posterior a la expedición de tarjeta profesional) y que incluya dos (2) años de experiencia especifica relacionado con las actividades objeto de este proyecto </t>
  </si>
  <si>
    <t>Todos los componentes</t>
  </si>
  <si>
    <t>GRUPO PALMAJ SAS</t>
  </si>
  <si>
    <t>Componente 3</t>
  </si>
  <si>
    <t>meses</t>
  </si>
  <si>
    <t>AREAS VERDES SAS</t>
  </si>
  <si>
    <t>Ingeniero Civil</t>
  </si>
  <si>
    <t>Ingeniero Civil con tres (3) años de experiencia profesional (posterior a la expedición de tarjeta profesional) y que incluya un (1) año de experiencia específica relacionada con construcciones sostenibles.</t>
  </si>
  <si>
    <t>Muralista / Grafitero</t>
  </si>
  <si>
    <t>Bachiller con experiencia en artes visuales o muralismo con capacidad de gestión de obra y dominio de técnicas de escalado de imagen a gran formato.</t>
  </si>
  <si>
    <t xml:space="preserve">AREAS VERDES SAS </t>
  </si>
  <si>
    <t>Dinamizador</t>
  </si>
  <si>
    <t>Básica primaria con experiencia laboral de un año en temas relacionados con separación de materiales aprovechables. Certificado en RUOR o RURO, preferiblemente.</t>
  </si>
  <si>
    <t>Biólogo</t>
  </si>
  <si>
    <t>Un (1) profesional biólogo con tres (3) años de experiencia en temas relacionados con botánica, forestales y afines al presente componente.</t>
  </si>
  <si>
    <t>Componente 4</t>
  </si>
  <si>
    <t>Pedagogo ambiental</t>
  </si>
  <si>
    <t>Profesional en licenciatura en ciencias ambientales o naturales o afines con experiencia de 3 años en Educación Ambiental</t>
  </si>
  <si>
    <t>Agrónomo</t>
  </si>
  <si>
    <t>Un (1) profesional en Ingeniería Agrónoma, Agrícola, Agroecológcia o afines, con experiencia en 3 años en temas relacionados con jardinería, agricultura urbana y forestales.</t>
  </si>
  <si>
    <t>Profesional Ambiental</t>
  </si>
  <si>
    <t>Técnico de apoyo</t>
  </si>
  <si>
    <t>Un (1) técnico o tecnólogos en agronomía, operario agrícola, o afines, con experiencia de un (1) año en temas de jardinería o arbolado de bajo porte.</t>
  </si>
  <si>
    <t>Operarios</t>
  </si>
  <si>
    <t>Componente 1</t>
  </si>
  <si>
    <t xml:space="preserve">Gorra en dril </t>
  </si>
  <si>
    <t>Gorra De Béisbol Unisex De dril de color negra con logo de "Separa y recicla por la vida", Liso con cierre en Hebilla</t>
  </si>
  <si>
    <t xml:space="preserve">Chaleco en dril </t>
  </si>
  <si>
    <t>100% algodón textil, cuello sport, dos bolsillos frontales con tapa, cuatro bolcillos con cremallera (tipo periodista), con logos del Fondo de Desarrollo Local de Engativá y del contratista, sujetos a aprobación de la oficina de comunicaciones del Fondo</t>
  </si>
  <si>
    <t>Componente 1. Renaturalización y soluciones basadas en la naturaleza (SBN)</t>
  </si>
  <si>
    <t>DETALLE DE ACTIVIDADES, INSUMOS Y ESPECIFICACIONES (CONTENEDORES REABLITACIÓN Y/O CONSTRUCCION) PARA 20 METROS CUADRADOS</t>
  </si>
  <si>
    <t>Excavación manual para contenedores</t>
  </si>
  <si>
    <t>Profundidad 1.00 m, zanja rectangular de 1×2 m Retiro manual, evitar compactación en fondo</t>
  </si>
  <si>
    <t xml:space="preserve">m³
</t>
  </si>
  <si>
    <t>Mezcla: 40% arena, 30% compost, 30% tierra vegetal Profundidad útil: 50–60 cm sobre drenaje y 2 tutores de 2.00 m por árbol + amarre Protege estabilidad del individuo</t>
  </si>
  <si>
    <t xml:space="preserve">m³  </t>
  </si>
  <si>
    <t>Mulch orgánico o cobertura vegetal superficial</t>
  </si>
  <si>
    <t>Corteza o viruta vegetal, espesor 5 cm Evita evaporación y crecimiento de malezas</t>
  </si>
  <si>
    <t>m²</t>
  </si>
  <si>
    <t>Conexión de rebose a red pluvial / sumidero</t>
  </si>
  <si>
    <t>ud</t>
  </si>
  <si>
    <t>Riego inicial de establecimiento</t>
  </si>
  <si>
    <t>Riego profundo semanal x primer mes	20 litros por árbol por riego</t>
  </si>
  <si>
    <t>ciclo</t>
  </si>
  <si>
    <t>DETALLE DE ACTIVIDADES, INSUMOS Y ESPECIFICACIONES (PAVIMENTO PERMEABLE) PARA 105 MTS CUADRADOS</t>
  </si>
  <si>
    <t xml:space="preserve">Demolición de andenes, pasos peatonales o zonas endurecidas </t>
  </si>
  <si>
    <t>Profundidad 0.40 m, según nivel	Transporte de material a botadero autorizado</t>
  </si>
  <si>
    <t>m³</t>
  </si>
  <si>
    <t>Colocación de geotextil no tejido</t>
  </si>
  <si>
    <t>200 g/m², permeabilidad ≥ 10⁻² cm/s	Entre sub-base y suelo natural, y laterales</t>
  </si>
  <si>
    <t>Capa niveladora en arena lavada
Tubería drenaje PVC Ø4” perforada
Sub-base estructural en grava tipo ASTM #57</t>
  </si>
  <si>
    <t>Espesor de 3–5 cm, limpia y sin finos	No compactar, solo nivelar superficie
Espesor promedio 25 cm	Compactación ligera por capas sin saturación
Perforación ⅓ inferior, envuelta en geotextil	Disposición con pendiente suave al rebose</t>
  </si>
  <si>
    <t>Suministro e instalación de adoquín permeable</t>
  </si>
  <si>
    <t>Drenante, espesor ≥ 8 cm, sistema sin junta cementada	Instalar con martillo de goma y plantilla niveladora</t>
  </si>
  <si>
    <t>Confinamiento lateral con bordillos prefabricados</t>
  </si>
  <si>
    <t>Bordillo de concreto tipo andén o trapezoidal	Fijado sobre concreto pobre f'c=100 kg/cm²</t>
  </si>
  <si>
    <t>ml</t>
  </si>
  <si>
    <t>Nivelación y pendiente para escorrentía superficial</t>
  </si>
  <si>
    <t>Pendiente &lt; 2%, bombeo transversal	Evita estancamientos en superficie impermeable</t>
  </si>
  <si>
    <t>global</t>
  </si>
  <si>
    <t>COMPONENTE 2. MANTENIMIENTO ARBOLADO URBANO</t>
  </si>
  <si>
    <t xml:space="preserve"> 
MANTENIMIENTO TÉCNICO DE 500 ÁRBOLES URBANOS - META 2026 Plan de Desarrollo "Engativá Camina Segura" 2025-2028 Proyecto 2363: CAMINOS SOSTENIBLES DE ENGATIVÁ </t>
  </si>
  <si>
    <t>Plateo. (1 ciclo)</t>
  </si>
  <si>
    <t>Arbol</t>
  </si>
  <si>
    <t>Riego (mantenimiento )</t>
  </si>
  <si>
    <t>Aplicacion lentamente de 20 litros de agua por arbol en la base del tronco.</t>
  </si>
  <si>
    <t>Retoturado. 10 % del total de arbolado joven si se requiere</t>
  </si>
  <si>
    <t>Elemento de madera maciza, el cual tiene como función direccionar el desarrollo vertical del arbol</t>
  </si>
  <si>
    <t>Fertilización foliar arbolado joven menores a 2,0 metros de altura total</t>
  </si>
  <si>
    <t>Aplicación de  mezcla (3  litros/árbol)  de  fertilización foliar  Wuxal  (1   cc/litro).   (Se   realizará  entre  los  90 y 120 días después de la plantación.)</t>
  </si>
  <si>
    <t>Fertilización edáfica arbolado joven menores a 2,0 metros de altura total</t>
  </si>
  <si>
    <t>Incorporación    al    suelo    de    nutrientes    que    son requeridos  por  la  planta  para  sus procesos básicos.</t>
  </si>
  <si>
    <t>Fertilización foliar arbolado 2,0 a 5,0 metros de altura total</t>
  </si>
  <si>
    <t>Aplicación de  mezcla (3  litros/árbol)  de  fertilización foliar Wuxal (1  cc/litro)</t>
  </si>
  <si>
    <t>Fertilización edáfica arbolado 2,0 a 5,0 metros de altura total</t>
  </si>
  <si>
    <t>Replante arbolado. 2% de arbolado joven si se requiere.</t>
  </si>
  <si>
    <r>
      <rPr>
        <sz val="10"/>
        <rFont val="Arial"/>
        <family val="2"/>
      </rPr>
      <t>Realizar  un  hoyo  del  tamaño  del  pan  de  tierra  del ejemplar o de la bolsa que lo contenga, posteriormente aplicar  el  polimero  hidrorretenedor.  compactar manual
y moderadamente el suelo alrededor del tronco.</t>
    </r>
  </si>
  <si>
    <t>Actualización SIGAU</t>
  </si>
  <si>
    <t>Incluye levantamiento del arbol, creación, desaparición, actualización y/o modificación</t>
  </si>
  <si>
    <t>COMPONENTE 3 DE SEPARACION EN LA FUENTE Y RECICLAJE</t>
  </si>
  <si>
    <t xml:space="preserve"> SEPARACIÓN EN LA FUENTE            </t>
  </si>
  <si>
    <t xml:space="preserve"> Iniciativa 47376 “Arte, limpieza y cultura ciudadana; recuperando nuestros espacios.” </t>
  </si>
  <si>
    <t>Pintura Tipo 1 </t>
  </si>
  <si>
    <t>Galón Blancoy negro (Base y mezclas) </t>
  </si>
  <si>
    <t>Galón</t>
  </si>
  <si>
    <t>Vinilos/Acrílicos </t>
  </si>
  <si>
    <t>Cuñete colores primarios </t>
  </si>
  <si>
    <t>Cuñete</t>
  </si>
  <si>
    <t>Entonadores </t>
  </si>
  <si>
    <t>Frascos</t>
  </si>
  <si>
    <t>Aerosoles </t>
  </si>
  <si>
    <t>Latas</t>
  </si>
  <si>
    <t>Rodillos </t>
  </si>
  <si>
    <t>kit</t>
  </si>
  <si>
    <t>Brochas </t>
  </si>
  <si>
    <t>Cinta</t>
  </si>
  <si>
    <t>cinta de enmascarar para pintura (55m)</t>
  </si>
  <si>
    <t>rollo</t>
  </si>
  <si>
    <t>Plásticos </t>
  </si>
  <si>
    <t>Plástico transparente 4x4, protección para piso</t>
  </si>
  <si>
    <t xml:space="preserve">Respiradores </t>
  </si>
  <si>
    <t>Guantes nitrilo</t>
  </si>
  <si>
    <t xml:space="preserve">Protección contra salpicaduras </t>
  </si>
  <si>
    <t>Gafas</t>
  </si>
  <si>
    <t xml:space="preserve">unidad </t>
  </si>
  <si>
    <t>Tula ecologica en Tela de Algodon tamaño 32 x 36 cm con información asociada a la separación en la fuente.</t>
  </si>
  <si>
    <t>Tamaño: 9 x 5 cm. Material: Propalcote 350 g, plastificado brillante, imán calibre 0.3 mm. Impresión: Offset 4 x 0 tintas – full color.  Terminado: Refilado recto icon información asociada a la separación en la fuente.</t>
  </si>
  <si>
    <t>canecas plástica de pedal
rotuladas</t>
  </si>
  <si>
    <t>CAPACIDAD 15+15 LTS- DOBLE (BLANCO Y NEGRO), PLÁSTICO DE ALTA CALIDAD, SISTEMA
DE APERTURA PEDAL, DISEÑO COMPACTO Y DURADERO</t>
  </si>
  <si>
    <t>Refrigerio</t>
  </si>
  <si>
    <t>Contienen 1 Bebida a base de fruta natural (jugo/néctar) 200 ml - 1 Fruta entera de temporada en estado óptimo de madurez (ej: manzana, pera, banano, granadilla de aprox. 120 - 150 gramos).  - pastel de hojaldre con relleno de carne/pollo/queso, mínimo de 100 g.</t>
  </si>
  <si>
    <t xml:space="preserve"> Iniciativa 51367 “Venciendo la indiferencia” </t>
  </si>
  <si>
    <t>Gorra en dril</t>
  </si>
  <si>
    <t xml:space="preserve">Gorra De Béisbol Unisex De dril de color negra, con
cierre en Hebilla y eslogan </t>
  </si>
  <si>
    <t>Guantes de Nitrilo</t>
  </si>
  <si>
    <t xml:space="preserve"> Iniciativa 46567 “Aliados por el reciclaje: “Formación y materiales de apoyo para la gestión comunitaria de residuos”</t>
  </si>
  <si>
    <t>Cartillas pedagogicas</t>
  </si>
  <si>
    <t>Tamaño media carta A5, papel laminado resistente a la humedad y al rose. Brillante</t>
  </si>
  <si>
    <t>Cartillas pedagogicas digitales</t>
  </si>
  <si>
    <t>Formato de salida: PDF Interactivo optimizado para web y EPUB. Resolución: 72 a 150 dpi (balance entre calidad visual y peso de archivo).
Peso de archivo: Máximo 10 MB para garantizar distribución masiva vía WhatsApp y redes sociales. 
Interactividad: * Menú de navegación: Índice con hipervínculos internos a cada capítulo.
Hipervínculos externos: Enlaces activos a mapas, formularios de registro y recursos multimedia.
Accesibilidad: Estructura de texto compatible con lectores de pantalla y diseño de alto contraste.
Diseño: Responsive o adaptado para visualización vertical en dispositivos móviles.</t>
  </si>
  <si>
    <t>Señalética indicando Prohìbido botar basura</t>
  </si>
  <si>
    <t>VINILO IMPRESO LAMINADO Y AFICHADO SOBRE ACRILICO  ORIGINAL DE 3MM, 60 X 40 CM</t>
  </si>
  <si>
    <t>     Imán con mensaje de separación en la fuente</t>
  </si>
  <si>
    <t>Bolsa de mercado de lona-algodón</t>
  </si>
  <si>
    <t>Lona-algodón lavable, fibra natural, soporta 10-15 kg. Dim: 40x45 cm con mensajes ambientales.</t>
  </si>
  <si>
    <t>Camiseta de algodón</t>
  </si>
  <si>
    <t>Cuello redondo, color blanco, tallas S, M, L con mensajes de separación en la fuente.</t>
  </si>
  <si>
    <t>Estación de Café (Logística)</t>
  </si>
  <si>
    <t>Servicio de 2 grecas cap. 6 litros c/u (Total 120 tintos/sesión) para 10 talleres.</t>
  </si>
  <si>
    <t>Galletas integrales individuales</t>
  </si>
  <si>
    <t>Paquetes individuales de 30 gr (tipo Tosh o similar).</t>
  </si>
  <si>
    <t>Kit de Apoyo Pedagógico (Logística)</t>
  </si>
  <si>
    <t>Incluye: Video Beam, Tablero, Resma papel carta, Cinta y Cosedora.</t>
  </si>
  <si>
    <t xml:space="preserve">COMPONENTE 4. DE PROCEDAS                                                        </t>
  </si>
  <si>
    <r>
      <t>PROCEDA 1.</t>
    </r>
    <r>
      <rPr>
        <sz val="12"/>
        <color theme="1"/>
        <rFont val="Arial Narrow"/>
        <family val="2"/>
      </rPr>
      <t xml:space="preserve"> </t>
    </r>
    <r>
      <rPr>
        <b/>
        <sz val="12"/>
        <color theme="1"/>
        <rFont val="Arial Narrow"/>
        <family val="2"/>
      </rPr>
      <t>52185 -</t>
    </r>
    <r>
      <rPr>
        <sz val="12"/>
        <color theme="1"/>
        <rFont val="Arial Narrow"/>
        <family val="2"/>
      </rPr>
      <t xml:space="preserve"> </t>
    </r>
    <r>
      <rPr>
        <b/>
        <sz val="12"/>
        <color theme="1"/>
        <rFont val="Arial Narrow"/>
        <family val="2"/>
      </rPr>
      <t>ESCUELA AMBIENTAL Y AGROECOLÓGICA DE ENGATIVÁ: CONSERVACIÓN DE BIODIVERSIDAD EN BOSQUES Y HUERTAS</t>
    </r>
  </si>
  <si>
    <t xml:space="preserve">Bolsa para el fortalecimiento </t>
  </si>
  <si>
    <r>
      <t>PROCEDA 2. “</t>
    </r>
    <r>
      <rPr>
        <b/>
        <i/>
        <sz val="12"/>
        <color theme="1"/>
        <rFont val="Arial Narrow"/>
        <family val="2"/>
      </rPr>
      <t>Guardianas Engativá: Red comunitaria de mujeres intérpretes del patrimonio cultural y natural</t>
    </r>
    <r>
      <rPr>
        <b/>
        <sz val="12"/>
        <color theme="1"/>
        <rFont val="Arial Narrow"/>
        <family val="2"/>
      </rPr>
      <t>.”</t>
    </r>
    <r>
      <rPr>
        <sz val="12"/>
        <color theme="1"/>
        <rFont val="Arial Narrow"/>
        <family val="2"/>
      </rPr>
      <t xml:space="preserve"> </t>
    </r>
  </si>
  <si>
    <t>Bolsa para la adecuada ejecucion de los actividades propuestos, elementos necesarios y viables para el continuar con el proceso comunitario ambiental que lleva la comunidad, que no supere los $24,600,001 con iva incluido.</t>
  </si>
  <si>
    <t>PROCEDA 3. "45024 - Educación Verde para el cambio."</t>
  </si>
  <si>
    <t xml:space="preserve"> Insumos para el Sistema Demostrativo de Captación y Filtración</t>
  </si>
  <si>
    <t>Tanque de almacenamiento </t>
  </si>
  <si>
    <t>Polietileno de alta densidad (PEAD), capacidad mínima 1000 L, tapa hermética, salida inferior de 1” </t>
  </si>
  <si>
    <t>Unidad </t>
  </si>
  <si>
    <t>Recipiente para filtro </t>
  </si>
  <si>
    <t>Tambor plástico grado industrial, capacidad 200 L, espesor mínimo 3 mm </t>
  </si>
  <si>
    <t>Arena lavada </t>
  </si>
  <si>
    <t>Arena silícea lavada, libre de materia orgánica, granulometría fina 0.2–0.5 mm </t>
  </si>
  <si>
    <t>m³ </t>
  </si>
  <si>
    <t>Grava media </t>
  </si>
  <si>
    <t>Granulometría aproximada 10–20 mm, material limpio y lavado </t>
  </si>
  <si>
    <t>Grava gruesa </t>
  </si>
  <si>
    <t>Granulometría 20–40 mm, material limpio y lavado </t>
  </si>
  <si>
    <t>Tubería PVC </t>
  </si>
  <si>
    <t>PVC sanitario o hidráulico diámetro 2” y 1”, presión mínima RDE 26 o equivalente </t>
  </si>
  <si>
    <t>Metro lineal </t>
  </si>
  <si>
    <t>Accesorios PVC </t>
  </si>
  <si>
    <t>Codos, uniones, adaptadores macho/hembra, tees y reducciones </t>
  </si>
  <si>
    <t>Kit </t>
  </si>
  <si>
    <t>Válvula de purga </t>
  </si>
  <si>
    <t>Válvula esférica PVC 1” con registro inferior </t>
  </si>
  <si>
    <t>Sistema de rebose </t>
  </si>
  <si>
    <t>Tubería PVC 2” con salida controlada a drenaje </t>
  </si>
  <si>
    <t>Sistema </t>
  </si>
  <si>
    <t>Malla o geotextil separador </t>
  </si>
  <si>
    <t>Geotextil no tejido 150–200 g/m² </t>
  </si>
  <si>
    <t>m² </t>
  </si>
  <si>
    <t xml:space="preserve"> Insumos Pedagógicos y Logísticos</t>
  </si>
  <si>
    <t>Manual técnico ilustrado </t>
  </si>
  <si>
    <t>Impreso a color, mínimo 12 páginas, papel bond 75 g </t>
  </si>
  <si>
    <t>Cartillas didácticas </t>
  </si>
  <si>
    <t>Contenido práctico de captación y filtración </t>
  </si>
  <si>
    <t>Elementos de bioseguridad </t>
  </si>
  <si>
    <t>Guantes industriales y gafas de protección para práctica </t>
  </si>
  <si>
    <t>PROCEDA 4. Fortalecimiento a colectivos ambientales de la localidad de Engativá</t>
  </si>
  <si>
    <t>SISTEMA DE INFORMACION DE PRECIOS UNITARIOS DE REFERENCIA DEL IDU</t>
  </si>
  <si>
    <t>PUBLICITAR</t>
  </si>
  <si>
    <t>TIENDAS EPP</t>
  </si>
  <si>
    <t>SIEMBRA</t>
  </si>
  <si>
    <t>CONEXIÓN GEODRÉN VIAL 100MMX1.00M A POZO EXISTENTE (INC. EXCAVACION MANUAL, TRANSPORTE Y DISPOSICIÓN FINAL, RELLENOS EN BASE GRANULAR CLASE B,SUMINISTRO E INSTALACION TUBERIA SANITARIA PVC D=4" Y ACCESORIOS PVC SANITARIA.</t>
  </si>
  <si>
    <t>Protección contra salpicaduras, caja x 100</t>
  </si>
  <si>
    <t>caja</t>
  </si>
  <si>
    <t>PINTUCO</t>
  </si>
  <si>
    <t>GOTOOLSCOL</t>
  </si>
  <si>
    <t>EMPAQUETADURAS Y EMPAQUES</t>
  </si>
  <si>
    <t xml:space="preserve">Bolsas de colores </t>
  </si>
  <si>
    <t>MARKADOS</t>
  </si>
  <si>
    <t>unidad</t>
  </si>
  <si>
    <t>CENTRAL DE SUMINISTROS</t>
  </si>
  <si>
    <t>ZOOM CREATIVO</t>
  </si>
  <si>
    <t>MANUFACTURAS ALIMENTICIAS</t>
  </si>
  <si>
    <t>COMADERAS</t>
  </si>
  <si>
    <t>UNIDAD</t>
  </si>
  <si>
    <t>EVENTOS Y RECEPCIONES</t>
  </si>
  <si>
    <t>REGALOS QUE HABLAN</t>
  </si>
  <si>
    <t>ÉXITO/HOMECENTER/PANAMERICANA</t>
  </si>
  <si>
    <t>MONTO AGOTABLE</t>
  </si>
  <si>
    <t>COLEMPAQUES</t>
  </si>
  <si>
    <t>CJS CANECAS</t>
  </si>
  <si>
    <t>PLANNERP</t>
  </si>
  <si>
    <t>LO ENCUENTRAS</t>
  </si>
  <si>
    <t>AGROCOLOMBIA</t>
  </si>
  <si>
    <t>FERRETERIA Y ELECTRICOS PEÑA</t>
  </si>
  <si>
    <t>CORONA</t>
  </si>
  <si>
    <t>CREATIVOS</t>
  </si>
  <si>
    <t>VALOR UNITARIO SIN IVA</t>
  </si>
  <si>
    <t>VALOR TOTAL SIN IVA</t>
  </si>
  <si>
    <t>COTIZACIÓN 1</t>
  </si>
  <si>
    <t>COTIZACIÓN 2</t>
  </si>
  <si>
    <t>COTIZACIÓN 3</t>
  </si>
  <si>
    <t>PROMEDIO UNITARIO</t>
  </si>
  <si>
    <t>TOTAL PROMEDIO SIN IVA</t>
  </si>
  <si>
    <t>DESVIACIÓN ESTANDAR</t>
  </si>
  <si>
    <t>COEFICIENTE DE VARIACIÓN PROMEDIO</t>
  </si>
  <si>
    <t>MEDIANA UNITARIO</t>
  </si>
  <si>
    <t>TOTAL MEDIANA SIN IVA</t>
  </si>
  <si>
    <t>COEFICIENTE DE VARIACIÓN MEDIANA</t>
  </si>
  <si>
    <t>TOMA DE DECISIONES</t>
  </si>
  <si>
    <t xml:space="preserve"> TABLA DE HONORARIOS DE LA SECRETARIA DISTRITAL DE GOBIERNO </t>
  </si>
  <si>
    <t xml:space="preserve"> El proyecto 2314 “Restauración activa para los ecosistemas en Engativá” pretende generar 125 m2 de áreas renaturalizadas. Conforme a lo anterior, en el marco de la propuesta ganadora 53871, Renaturalización espacios públicos carrera 110 a entre calle 72 y calle 72 c barrio Villa Amalia.</t>
  </si>
  <si>
    <t>CAMISETAS EMIRS</t>
  </si>
  <si>
    <t>JARDIN BOTANICO</t>
  </si>
  <si>
    <t>FDLE-LP-885-2024</t>
  </si>
  <si>
    <t xml:space="preserve">Máscara para vapores orgánicos (N95/P100), </t>
  </si>
  <si>
    <t xml:space="preserve">   Iniciativa 47387 “Empresas verdes: gestión responsable de residuos en la localidad.”</t>
  </si>
  <si>
    <t>VALOR UNITARIO CON IVA</t>
  </si>
  <si>
    <t>BIOGAR</t>
  </si>
  <si>
    <t>GCUATRO</t>
  </si>
  <si>
    <t>Kits</t>
  </si>
  <si>
    <t>TOTAL PROMEDIO</t>
  </si>
  <si>
    <t>SubTotal</t>
  </si>
  <si>
    <t>Iva</t>
  </si>
  <si>
    <t>Total</t>
  </si>
  <si>
    <t>TOTAL MEDIANA</t>
  </si>
  <si>
    <t>FORMATO SOLICITUD DE COTIZACIÓN</t>
  </si>
  <si>
    <t>ALCALDÍA LOCAL DE ENGATIVA</t>
  </si>
  <si>
    <t>ADVERTENCIA</t>
  </si>
  <si>
    <t>La cotización recibida servira de base para la elaboración de un estudio de mercado, y por tanto, no constituye en si misma una oferta y consecuentemente NO obliga a ninguna de las partes.</t>
  </si>
  <si>
    <t>VALIDEZ DE LA CONTRATACIÓN</t>
  </si>
  <si>
    <t>Se solicita que la cotización tenga validez minimo 3 Meses a partir de su expedición.</t>
  </si>
  <si>
    <t>ESPECIFICACIONES TECNICAS</t>
  </si>
  <si>
    <t>Para visualizar las especificaciones tecnicas dirijase a la pestaña Especificaciones Tecnicas</t>
  </si>
  <si>
    <t>CONDICIONES DE CONTRATACIÓN</t>
  </si>
  <si>
    <t>PLAZO</t>
  </si>
  <si>
    <t>8 meses</t>
  </si>
  <si>
    <t>CODIGOS UNSPSC</t>
  </si>
  <si>
    <t xml:space="preserve">SEGMENTO </t>
  </si>
  <si>
    <t>FAMILIA</t>
  </si>
  <si>
    <t>CLASE</t>
  </si>
  <si>
    <t xml:space="preserve">NOMBRE </t>
  </si>
  <si>
    <t>Servicios de jardinería y paisajismo</t>
  </si>
  <si>
    <t>Servicios de educación ambiental</t>
  </si>
  <si>
    <t>Servicios de reciclaje</t>
  </si>
  <si>
    <t>Solicita y elabora:</t>
  </si>
  <si>
    <t>Profesional de Planeación FDLE</t>
  </si>
  <si>
    <t>Revisó:</t>
  </si>
  <si>
    <t>PERFECT WORK</t>
  </si>
  <si>
    <t>Bolsas de 20 litros. Medidas 0.50 x 0.70 m Pack de 30 bolsas según lo indicado en la resolución 2184 de 2019  (Blanco, Verde, negro)</t>
  </si>
  <si>
    <t>Servicios de restauración ecológica y ambiental</t>
  </si>
  <si>
    <t>Servicios de mantenimiento y conservación de árboles</t>
  </si>
  <si>
    <t>Servicios de construcción de pavimentos y superficies</t>
  </si>
  <si>
    <t>Servicios de sistemas de información geográfica (SIG/GIS)</t>
  </si>
  <si>
    <t>FALABELLA</t>
  </si>
  <si>
    <t>JARDINERIA</t>
  </si>
  <si>
    <t>PRELIMINARES Y ALISTANIENTO</t>
  </si>
  <si>
    <t>Localización y replanteo</t>
  </si>
  <si>
    <t>Incluye demarcación, niveles y ejes</t>
  </si>
  <si>
    <t xml:space="preserve">m2
</t>
  </si>
  <si>
    <t>Sistema estructural del contenedor</t>
  </si>
  <si>
    <t>Contenedor</t>
  </si>
  <si>
    <t>CONTENEDOR DE RAÍCES TIPO B21 (TIPO B) (1.40M X 1.40M X 1.40M)INCLUYE MUROS EN CONCRETO GRAVA COMÚN 3000 PSI (210 KG/CM2), SUMINISTRO CONSTRUCCIÓN Y FILTRO EN GRAVILLA 1/2", FORMALETA Y REFUERZO. NO INCLUYE TIERRA NEGRA.</t>
  </si>
  <si>
    <t>UN</t>
  </si>
  <si>
    <t>Sistema hidráulico (SUDS)</t>
  </si>
  <si>
    <t xml:space="preserve">Subdren </t>
  </si>
  <si>
    <t>SUBDREN EN GRAVILLA 1/2", 0.5X1M. (INC. SUMIN. Y COMPACT. INC. GEOTEXTIL NO TEJIDO CON RESISTENCIA A LA TENSION GRAB: ENTRE 720 N Y 780 N Y TUBERÍA PVC CORRUG.-FILTRO D=6").</t>
  </si>
  <si>
    <t xml:space="preserve">ml
</t>
  </si>
  <si>
    <t>Componente vegetal</t>
  </si>
  <si>
    <t>Sustrato vegetal enriquecido</t>
  </si>
  <si>
    <t>Árboles nativos</t>
  </si>
  <si>
    <t>Altura 0.8–2.0 m</t>
  </si>
  <si>
    <t>Tutorado</t>
  </si>
  <si>
    <t>2 soportes por árbol</t>
  </si>
  <si>
    <t>Demolición y preparación</t>
  </si>
  <si>
    <t>Retiro escombros</t>
  </si>
  <si>
    <t>Transporte autorizado</t>
  </si>
  <si>
    <t>m3</t>
  </si>
  <si>
    <t>Sistema estructural (capas)</t>
  </si>
  <si>
    <t>Ensayos</t>
  </si>
  <si>
    <t>Ensayo infiltración inicial</t>
  </si>
  <si>
    <t>≥ 7 mm/h</t>
  </si>
  <si>
    <t>Ensayo infiltración final y Control espesores</t>
  </si>
  <si>
    <t>Validación SUDS, Verificación capas</t>
  </si>
  <si>
    <t>Bolsa para jardinería</t>
  </si>
  <si>
    <t>JARDINERÍA</t>
  </si>
  <si>
    <t>RECURSO HUMANO REQUERIDO</t>
  </si>
  <si>
    <t xml:space="preserve"> </t>
  </si>
  <si>
    <t xml:space="preserve">Por gastar </t>
  </si>
  <si>
    <t xml:space="preserve">Presupuesto </t>
  </si>
  <si>
    <t xml:space="preserve"> TABLA DE HONORARIOS DE LA SECRETARIA DISTRITAL DE GOBIERNO  PROFESIONAL
ESPECIALIZADO
PROFESIONAL
ESPECIALIZADO I</t>
  </si>
  <si>
    <t xml:space="preserve">Residente de obra </t>
  </si>
  <si>
    <t>Un (1) técnico o tecnólogos en civil, construcciones ecologicas, o afines, con experiencia de un (3) año en temas de construcción de unidaes ecologicas.</t>
  </si>
  <si>
    <t>ciclos</t>
  </si>
  <si>
    <t xml:space="preserve">Profesional Silvicultural </t>
  </si>
  <si>
    <t>Un (1) profesional en ciencias forestales, o afines al presente componente, con experiencia en 3 años profesional y conocimientos en temas arboreos e infraestructura sostenible a pequeña escala.</t>
  </si>
  <si>
    <r>
      <t xml:space="preserve">Bolsa para la adecuada ejecucion de los talleres propuestos, elementos necesarios y viables para el continuar con el proceso comunitario ambiental que lleva en el Bosque Urbano de Granada, que no supere los </t>
    </r>
    <r>
      <rPr>
        <b/>
        <sz val="12"/>
        <rFont val="Arial"/>
        <family val="2"/>
      </rPr>
      <t>$10,000,001</t>
    </r>
    <r>
      <rPr>
        <sz val="12"/>
        <rFont val="Arial"/>
        <family val="2"/>
      </rPr>
      <t xml:space="preserve"> con iva incluido.</t>
    </r>
  </si>
  <si>
    <t>0.8</t>
  </si>
  <si>
    <t>Profesional SST</t>
  </si>
  <si>
    <t>Un (1) profesional en  sistema de gestion en seguridad  y salud en el trabajo con licencia vigente  con experiencia en 3 años profesional y conocimientos en temas arboreos e infraestructura sostenible a pequeña escala.</t>
  </si>
  <si>
    <t>Componente 2</t>
  </si>
  <si>
    <t xml:space="preserve">Bachiller con experiencia de un (1) año en construcciones </t>
  </si>
  <si>
    <t xml:space="preserve">Nueve (9) bachilleres con experiencia de un (1) año en sistemas de filtracion, recruso hidíico y jardineria </t>
  </si>
  <si>
    <t>Ocho (8) bachilleres con experiencia de un (1) año en jardinería, manejo ornamental o afín</t>
  </si>
  <si>
    <t>Un (1) profesional en ciencias ambientales y áreas afines al objeto del proyecto con habilidades en herramientas de georreferenciación (ARCGIS, QGIS, u otras plataformas de Sistemas de Información Geográfica - SIG), o afines al presente componente, con experiencia en 3 años profesional y conocimientos en temas del recurso hídrico e infraestructura sostenible a pequeña escala.</t>
  </si>
  <si>
    <r>
      <t xml:space="preserve">Bolsa para el fortalecimiento de colectivos ambientales que desmuestren trabajo en acciones ambientales en la localidad de Engativá con mínimo 3 años de experiencia, que no supere los </t>
    </r>
    <r>
      <rPr>
        <b/>
        <sz val="14"/>
        <rFont val="Arial"/>
        <family val="2"/>
      </rPr>
      <t>$10,000,001</t>
    </r>
    <r>
      <rPr>
        <sz val="14"/>
        <rFont val="Arial"/>
        <family val="2"/>
      </rPr>
      <t xml:space="preserve"> con iva incluido.</t>
    </r>
  </si>
  <si>
    <t>“PRESTAR LOS SERVICIOS PARA LA IMPLEMENTACIÓN DE ACCIONES INTEGRALES DE EDUCACIÓN AMBIENTAL COMUNITARIA, RESTAURACIÓN Y CONSERVACIÓN DE ECOSISTEMAS, MANTENIMIENTO DE ZONAS VERDES Y ARBOLADO URBANO, Y FORTALECIMIENTO DE PRÁCTICAS DE SOSTENIBILIDAD AMBIENTAL, EN LA LOCALIDAD DE ENGATIVÁ”</t>
  </si>
  <si>
    <t>70111500 – Plantas y árboles ornamentales</t>
  </si>
  <si>
    <t>70111700 – Parques, jardines y huertos</t>
  </si>
  <si>
    <t>70151800 – Servicios de conservación forestal</t>
  </si>
  <si>
    <t>70151900 – Recursos forestales</t>
  </si>
  <si>
    <t>70161600 – Flora</t>
  </si>
  <si>
    <t>70161700 – Ecosistemas</t>
  </si>
  <si>
    <t>70171500 – Desarrollo</t>
  </si>
  <si>
    <t>70171600 – Vigilancia</t>
  </si>
  <si>
    <t>72141100 – Servicios de pavimentación y superficies de edificios de infraestructura</t>
  </si>
  <si>
    <t>72141200 – Servicios construcción marina</t>
  </si>
  <si>
    <t>de</t>
  </si>
  <si>
    <t>72141500 – Servicios preparación de tierras</t>
  </si>
  <si>
    <t>–</t>
  </si>
  <si>
    <t>Servicios</t>
  </si>
  <si>
    <t>Planeación</t>
  </si>
  <si>
    <t>77101700 – Servicios asesoría ambiental</t>
  </si>
  <si>
    <t>80141600 – Actividades de ventas y promoción de negocios</t>
  </si>
  <si>
    <t>86101500 – Servicios de entrenamiento en agricultura, silvicultura y otros recursos naturales</t>
  </si>
  <si>
    <t>86101700 – Servicios de Capacitación vocacional no científica</t>
  </si>
  <si>
    <t xml:space="preserve">76122300 -reciclables </t>
  </si>
  <si>
    <t>77101600-ambiental</t>
  </si>
  <si>
    <t>&lt;&lt;&lt;&lt;&lt;&lt;&lt;</t>
  </si>
  <si>
    <r>
      <t xml:space="preserve">Esta bolsa se destinará a la adquisición de los elementos e insumos necesarios para el mantenimiento de áreas de jardinería, de acuerdo con los requerimientos técnicos establecidos en los anexo. Los recursos cubrirán, entre otros, la compra de sustratos, abonos y fertilizantes, herramientas menores de jardinería, sistemas de riego, y demás materiales requeridos para garantizar el adecuado mantenimiento, conservación y renovación de las zonas verdes, conforme a las especificaciones técnicas definidas.Bolsa para jardinería </t>
    </r>
    <r>
      <rPr>
        <b/>
        <sz val="14"/>
        <rFont val="Arial"/>
        <family val="2"/>
      </rPr>
      <t>119.000</t>
    </r>
    <r>
      <rPr>
        <sz val="14"/>
        <rFont val="Arial"/>
        <family val="2"/>
      </rPr>
      <t xml:space="preserve"> con iva incluido.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</si>
</sst>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\ &quot;€&quot;_-;\-* #,##0\ &quot;€&quot;_-;_-* &quot;-&quot;\ &quot;€&quot;_-;_-@_-"/>
    <numFmt numFmtId="165" formatCode="_-[$$-409]* #,##0.00_ ;_-[$$-409]* \-#,##0.00\ ;_-[$$-409]* &quot;-&quot;??_ ;_-@_ "/>
    <numFmt numFmtId="166" formatCode="_-[$$-240A]\ * #,##0_-;\-[$$-240A]\ * #,##0_-;_-[$$-240A]\ * &quot;-&quot;_-;_-@_-"/>
    <numFmt numFmtId="167" formatCode="_-[$$-409]* #,##0_ ;_-[$$-409]* \-#,##0\ ;_-[$$-409]* &quot;-&quot;??_ ;_-@_ "/>
    <numFmt numFmtId="168" formatCode="_-&quot;$&quot;\ * #,##0_-;\-&quot;$&quot;\ * #,##0_-;_-&quot;$&quot;\ * &quot;-&quot;??_-;_-@_-"/>
  </numFmts>
  <fonts count="5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8"/>
      <color rgb="FF000000"/>
      <name val="Calibri"/>
      <family val="2"/>
      <scheme val="minor"/>
    </font>
    <font>
      <u/>
      <sz val="18"/>
      <color theme="1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12"/>
      <color rgb="FFFF0000"/>
      <name val="Calibri"/>
      <family val="2"/>
      <scheme val="minor"/>
    </font>
    <font>
      <sz val="12"/>
      <name val="Arial"/>
      <family val="2"/>
    </font>
    <font>
      <b/>
      <sz val="14"/>
      <color theme="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20"/>
      <color theme="1"/>
      <name val="Arial"/>
      <family val="2"/>
    </font>
    <font>
      <b/>
      <i/>
      <sz val="12"/>
      <color theme="1"/>
      <name val="Arial Narrow"/>
      <family val="2"/>
    </font>
    <font>
      <sz val="14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 Narrow"/>
      <family val="2"/>
    </font>
    <font>
      <b/>
      <sz val="18"/>
      <color theme="1"/>
      <name val="Arial Narrow"/>
      <family val="2"/>
    </font>
    <font>
      <sz val="12"/>
      <color theme="1"/>
      <name val="Calibri"/>
      <family val="2"/>
      <scheme val="minor"/>
    </font>
    <font>
      <b/>
      <sz val="18"/>
      <color theme="9" tint="-0.249977111117893"/>
      <name val="Arial Narrow"/>
      <family val="2"/>
    </font>
    <font>
      <sz val="10"/>
      <color theme="1"/>
      <name val="Calibri"/>
      <family val="2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b/>
      <sz val="10"/>
      <color rgb="FFFF0000"/>
      <name val="Arial"/>
      <family val="2"/>
    </font>
    <font>
      <sz val="12"/>
      <color rgb="FFFF0000"/>
      <name val="Arial"/>
      <family val="2"/>
    </font>
    <font>
      <sz val="11"/>
      <color rgb="FFFF0000"/>
      <name val="Arial"/>
      <family val="2"/>
    </font>
    <font>
      <b/>
      <sz val="13"/>
      <color rgb="FF000000"/>
      <name val="Arial"/>
      <family val="2"/>
    </font>
    <font>
      <b/>
      <sz val="14"/>
      <color rgb="FF000000"/>
      <name val="Arial"/>
      <family val="2"/>
    </font>
    <font>
      <b/>
      <sz val="13"/>
      <name val="Arial"/>
      <family val="2"/>
    </font>
    <font>
      <sz val="11"/>
      <name val="Arial"/>
      <family val="2"/>
    </font>
    <font>
      <b/>
      <sz val="12"/>
      <color rgb="FFFF0000"/>
      <name val="Arial"/>
      <family val="2"/>
    </font>
    <font>
      <b/>
      <sz val="16"/>
      <color theme="1"/>
      <name val="Calibri"/>
      <family val="2"/>
      <scheme val="minor"/>
    </font>
    <font>
      <b/>
      <sz val="11"/>
      <color rgb="FFFF0000"/>
      <name val="Arial"/>
      <family val="2"/>
    </font>
    <font>
      <sz val="10"/>
      <color rgb="FFFF0000"/>
      <name val="Calibri"/>
      <family val="2"/>
    </font>
    <font>
      <sz val="10"/>
      <color rgb="FFFF0000"/>
      <name val="Arial Narrow"/>
      <family val="2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AE9F8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rgb="FF000000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34" fillId="0" borderId="0"/>
    <xf numFmtId="0" fontId="37" fillId="0" borderId="0" applyNumberFormat="0" applyFill="0" applyBorder="0" applyAlignment="0" applyProtection="0"/>
    <xf numFmtId="44" fontId="34" fillId="0" borderId="0" applyFont="0" applyFill="0" applyBorder="0" applyAlignment="0" applyProtection="0"/>
    <xf numFmtId="0" fontId="11" fillId="0" borderId="0"/>
    <xf numFmtId="42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43" fontId="34" fillId="0" borderId="0" applyFont="0" applyFill="0" applyBorder="0" applyAlignment="0" applyProtection="0"/>
  </cellStyleXfs>
  <cellXfs count="574">
    <xf numFmtId="0" fontId="0" fillId="0" borderId="0" xfId="0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" xfId="0" applyFont="1" applyBorder="1"/>
    <xf numFmtId="0" fontId="4" fillId="0" borderId="6" xfId="0" applyFont="1" applyBorder="1"/>
    <xf numFmtId="0" fontId="5" fillId="0" borderId="1" xfId="2" applyFont="1" applyBorder="1"/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5" fillId="0" borderId="5" xfId="2" applyFont="1" applyBorder="1"/>
    <xf numFmtId="0" fontId="4" fillId="0" borderId="5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4" fillId="0" borderId="3" xfId="0" applyFont="1" applyBorder="1"/>
    <xf numFmtId="0" fontId="5" fillId="0" borderId="2" xfId="1" applyFont="1" applyBorder="1"/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5" fillId="0" borderId="1" xfId="1" applyFont="1" applyBorder="1"/>
    <xf numFmtId="3" fontId="4" fillId="0" borderId="1" xfId="0" applyNumberFormat="1" applyFont="1" applyBorder="1" applyAlignment="1">
      <alignment horizontal="center"/>
    </xf>
    <xf numFmtId="0" fontId="6" fillId="0" borderId="0" xfId="0" applyFont="1"/>
    <xf numFmtId="165" fontId="6" fillId="0" borderId="0" xfId="0" applyNumberFormat="1" applyFont="1"/>
    <xf numFmtId="0" fontId="2" fillId="0" borderId="1" xfId="2" applyBorder="1"/>
    <xf numFmtId="0" fontId="15" fillId="3" borderId="0" xfId="0" applyFont="1" applyFill="1" applyAlignment="1">
      <alignment vertical="center"/>
    </xf>
    <xf numFmtId="0" fontId="14" fillId="0" borderId="0" xfId="0" applyFont="1"/>
    <xf numFmtId="1" fontId="10" fillId="6" borderId="8" xfId="0" applyNumberFormat="1" applyFont="1" applyFill="1" applyBorder="1" applyAlignment="1">
      <alignment horizontal="center" vertical="top" shrinkToFit="1"/>
    </xf>
    <xf numFmtId="0" fontId="11" fillId="6" borderId="8" xfId="0" applyFont="1" applyFill="1" applyBorder="1" applyAlignment="1">
      <alignment horizontal="left" vertical="top" wrapText="1"/>
    </xf>
    <xf numFmtId="1" fontId="12" fillId="6" borderId="8" xfId="0" applyNumberFormat="1" applyFont="1" applyFill="1" applyBorder="1" applyAlignment="1">
      <alignment horizontal="center" vertical="center" shrinkToFit="1"/>
    </xf>
    <xf numFmtId="0" fontId="12" fillId="6" borderId="8" xfId="0" applyFont="1" applyFill="1" applyBorder="1" applyAlignment="1">
      <alignment horizontal="left" vertical="top" wrapText="1"/>
    </xf>
    <xf numFmtId="1" fontId="10" fillId="7" borderId="8" xfId="0" applyNumberFormat="1" applyFont="1" applyFill="1" applyBorder="1" applyAlignment="1">
      <alignment horizontal="center" vertical="top" shrinkToFit="1"/>
    </xf>
    <xf numFmtId="0" fontId="16" fillId="7" borderId="8" xfId="0" applyFont="1" applyFill="1" applyBorder="1" applyAlignment="1">
      <alignment horizontal="center" vertical="center" wrapText="1"/>
    </xf>
    <xf numFmtId="1" fontId="16" fillId="7" borderId="8" xfId="0" applyNumberFormat="1" applyFont="1" applyFill="1" applyBorder="1" applyAlignment="1">
      <alignment horizontal="center" vertical="center" shrinkToFit="1"/>
    </xf>
    <xf numFmtId="0" fontId="14" fillId="7" borderId="8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16" fillId="9" borderId="8" xfId="0" applyFont="1" applyFill="1" applyBorder="1" applyAlignment="1">
      <alignment horizontal="left" vertical="top" wrapText="1"/>
    </xf>
    <xf numFmtId="1" fontId="19" fillId="9" borderId="8" xfId="0" applyNumberFormat="1" applyFont="1" applyFill="1" applyBorder="1" applyAlignment="1">
      <alignment horizontal="center" vertical="top" shrinkToFit="1"/>
    </xf>
    <xf numFmtId="0" fontId="13" fillId="9" borderId="8" xfId="0" applyFont="1" applyFill="1" applyBorder="1"/>
    <xf numFmtId="1" fontId="19" fillId="9" borderId="8" xfId="0" applyNumberFormat="1" applyFont="1" applyFill="1" applyBorder="1" applyAlignment="1">
      <alignment horizontal="center" vertical="center" shrinkToFit="1"/>
    </xf>
    <xf numFmtId="0" fontId="16" fillId="9" borderId="8" xfId="0" applyFont="1" applyFill="1" applyBorder="1" applyAlignment="1">
      <alignment horizontal="center" vertical="center" wrapText="1"/>
    </xf>
    <xf numFmtId="0" fontId="13" fillId="9" borderId="8" xfId="0" applyFont="1" applyFill="1" applyBorder="1" applyAlignment="1">
      <alignment horizontal="center" vertical="center"/>
    </xf>
    <xf numFmtId="1" fontId="18" fillId="9" borderId="9" xfId="0" applyNumberFormat="1" applyFont="1" applyFill="1" applyBorder="1" applyAlignment="1">
      <alignment horizontal="center" vertical="top" shrinkToFit="1"/>
    </xf>
    <xf numFmtId="1" fontId="10" fillId="6" borderId="13" xfId="0" applyNumberFormat="1" applyFont="1" applyFill="1" applyBorder="1" applyAlignment="1">
      <alignment horizontal="center" vertical="top" shrinkToFit="1"/>
    </xf>
    <xf numFmtId="0" fontId="11" fillId="6" borderId="13" xfId="0" applyFont="1" applyFill="1" applyBorder="1" applyAlignment="1">
      <alignment horizontal="left" vertical="top" wrapText="1"/>
    </xf>
    <xf numFmtId="0" fontId="17" fillId="9" borderId="8" xfId="0" applyFont="1" applyFill="1" applyBorder="1" applyAlignment="1">
      <alignment horizontal="center" vertical="center" wrapText="1"/>
    </xf>
    <xf numFmtId="0" fontId="23" fillId="9" borderId="9" xfId="0" applyFont="1" applyFill="1" applyBorder="1" applyAlignment="1">
      <alignment horizontal="center" vertical="center" wrapText="1"/>
    </xf>
    <xf numFmtId="0" fontId="0" fillId="12" borderId="8" xfId="0" applyFill="1" applyBorder="1"/>
    <xf numFmtId="0" fontId="16" fillId="4" borderId="8" xfId="0" applyFont="1" applyFill="1" applyBorder="1" applyAlignment="1">
      <alignment wrapText="1"/>
    </xf>
    <xf numFmtId="0" fontId="16" fillId="14" borderId="8" xfId="0" applyFont="1" applyFill="1" applyBorder="1" applyAlignment="1">
      <alignment wrapText="1"/>
    </xf>
    <xf numFmtId="0" fontId="19" fillId="14" borderId="8" xfId="0" applyFont="1" applyFill="1" applyBorder="1" applyAlignment="1">
      <alignment horizontal="center" vertical="center"/>
    </xf>
    <xf numFmtId="0" fontId="19" fillId="14" borderId="8" xfId="0" applyFont="1" applyFill="1" applyBorder="1"/>
    <xf numFmtId="0" fontId="19" fillId="14" borderId="8" xfId="0" applyFont="1" applyFill="1" applyBorder="1" applyAlignment="1">
      <alignment wrapText="1"/>
    </xf>
    <xf numFmtId="0" fontId="0" fillId="12" borderId="8" xfId="0" applyFill="1" applyBorder="1" applyAlignment="1">
      <alignment horizontal="center"/>
    </xf>
    <xf numFmtId="164" fontId="13" fillId="9" borderId="1" xfId="3" applyFont="1" applyFill="1" applyBorder="1" applyAlignment="1">
      <alignment horizontal="left" vertical="center" wrapText="1"/>
    </xf>
    <xf numFmtId="167" fontId="0" fillId="0" borderId="0" xfId="0" applyNumberFormat="1"/>
    <xf numFmtId="168" fontId="14" fillId="7" borderId="8" xfId="4" applyNumberFormat="1" applyFont="1" applyFill="1" applyBorder="1" applyAlignment="1">
      <alignment horizontal="left" vertical="center" wrapText="1"/>
    </xf>
    <xf numFmtId="168" fontId="14" fillId="7" borderId="12" xfId="4" applyNumberFormat="1" applyFont="1" applyFill="1" applyBorder="1" applyAlignment="1">
      <alignment horizontal="left" vertical="center" wrapText="1"/>
    </xf>
    <xf numFmtId="168" fontId="30" fillId="16" borderId="13" xfId="4" applyNumberFormat="1" applyFont="1" applyFill="1" applyBorder="1" applyAlignment="1">
      <alignment horizontal="center" vertical="center" wrapText="1"/>
    </xf>
    <xf numFmtId="168" fontId="30" fillId="17" borderId="13" xfId="4" applyNumberFormat="1" applyFont="1" applyFill="1" applyBorder="1" applyAlignment="1">
      <alignment horizontal="center" vertical="center" wrapText="1"/>
    </xf>
    <xf numFmtId="168" fontId="30" fillId="16" borderId="13" xfId="4" applyNumberFormat="1" applyFont="1" applyFill="1" applyBorder="1" applyAlignment="1">
      <alignment vertical="center" wrapText="1"/>
    </xf>
    <xf numFmtId="1" fontId="10" fillId="7" borderId="15" xfId="0" applyNumberFormat="1" applyFont="1" applyFill="1" applyBorder="1" applyAlignment="1">
      <alignment horizontal="center" vertical="top" shrinkToFit="1"/>
    </xf>
    <xf numFmtId="0" fontId="16" fillId="7" borderId="15" xfId="0" applyFont="1" applyFill="1" applyBorder="1" applyAlignment="1">
      <alignment horizontal="center" vertical="center" wrapText="1"/>
    </xf>
    <xf numFmtId="1" fontId="16" fillId="7" borderId="15" xfId="0" applyNumberFormat="1" applyFont="1" applyFill="1" applyBorder="1" applyAlignment="1">
      <alignment horizontal="center" vertical="center" shrinkToFit="1"/>
    </xf>
    <xf numFmtId="0" fontId="14" fillId="7" borderId="15" xfId="0" applyFont="1" applyFill="1" applyBorder="1" applyAlignment="1">
      <alignment horizontal="center" vertical="center" wrapText="1"/>
    </xf>
    <xf numFmtId="0" fontId="8" fillId="15" borderId="0" xfId="0" applyFont="1" applyFill="1" applyAlignment="1">
      <alignment horizontal="center"/>
    </xf>
    <xf numFmtId="0" fontId="30" fillId="9" borderId="4" xfId="0" applyFont="1" applyFill="1" applyBorder="1" applyAlignment="1">
      <alignment horizontal="center" vertical="center" wrapText="1"/>
    </xf>
    <xf numFmtId="0" fontId="25" fillId="9" borderId="3" xfId="0" applyFont="1" applyFill="1" applyBorder="1" applyAlignment="1">
      <alignment horizontal="center" vertical="center" wrapText="1"/>
    </xf>
    <xf numFmtId="166" fontId="25" fillId="9" borderId="3" xfId="3" applyNumberFormat="1" applyFont="1" applyFill="1" applyBorder="1" applyAlignment="1">
      <alignment horizontal="center" vertical="center" wrapText="1"/>
    </xf>
    <xf numFmtId="164" fontId="25" fillId="9" borderId="3" xfId="3" applyFont="1" applyFill="1" applyBorder="1" applyAlignment="1">
      <alignment horizontal="center" vertical="center" wrapText="1"/>
    </xf>
    <xf numFmtId="0" fontId="30" fillId="9" borderId="21" xfId="0" applyFont="1" applyFill="1" applyBorder="1" applyAlignment="1">
      <alignment horizontal="center" vertical="center" wrapText="1"/>
    </xf>
    <xf numFmtId="0" fontId="30" fillId="9" borderId="8" xfId="0" applyFont="1" applyFill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 wrapText="1"/>
    </xf>
    <xf numFmtId="0" fontId="16" fillId="7" borderId="13" xfId="0" applyFont="1" applyFill="1" applyBorder="1" applyAlignment="1">
      <alignment horizontal="center" vertical="center" wrapText="1"/>
    </xf>
    <xf numFmtId="1" fontId="16" fillId="7" borderId="13" xfId="0" applyNumberFormat="1" applyFont="1" applyFill="1" applyBorder="1" applyAlignment="1">
      <alignment horizontal="center" vertical="center" shrinkToFit="1"/>
    </xf>
    <xf numFmtId="0" fontId="14" fillId="7" borderId="13" xfId="0" applyFont="1" applyFill="1" applyBorder="1" applyAlignment="1">
      <alignment horizontal="center" vertical="center" wrapText="1"/>
    </xf>
    <xf numFmtId="168" fontId="14" fillId="7" borderId="13" xfId="4" applyNumberFormat="1" applyFont="1" applyFill="1" applyBorder="1" applyAlignment="1">
      <alignment horizontal="left" vertical="center" wrapText="1"/>
    </xf>
    <xf numFmtId="168" fontId="14" fillId="19" borderId="7" xfId="4" applyNumberFormat="1" applyFont="1" applyFill="1" applyBorder="1" applyAlignment="1">
      <alignment horizontal="left" vertical="center" wrapText="1"/>
    </xf>
    <xf numFmtId="168" fontId="14" fillId="19" borderId="9" xfId="4" applyNumberFormat="1" applyFont="1" applyFill="1" applyBorder="1" applyAlignment="1">
      <alignment horizontal="left" vertical="center" wrapText="1"/>
    </xf>
    <xf numFmtId="168" fontId="14" fillId="7" borderId="17" xfId="4" applyNumberFormat="1" applyFont="1" applyFill="1" applyBorder="1" applyAlignment="1">
      <alignment horizontal="left" vertical="center" wrapText="1"/>
    </xf>
    <xf numFmtId="1" fontId="10" fillId="6" borderId="15" xfId="0" applyNumberFormat="1" applyFont="1" applyFill="1" applyBorder="1" applyAlignment="1">
      <alignment horizontal="center" vertical="top" shrinkToFit="1"/>
    </xf>
    <xf numFmtId="0" fontId="11" fillId="6" borderId="15" xfId="0" applyFont="1" applyFill="1" applyBorder="1" applyAlignment="1">
      <alignment horizontal="left" vertical="top" wrapText="1"/>
    </xf>
    <xf numFmtId="0" fontId="9" fillId="5" borderId="7" xfId="0" applyFont="1" applyFill="1" applyBorder="1" applyAlignment="1">
      <alignment horizontal="center" vertical="center" wrapText="1"/>
    </xf>
    <xf numFmtId="168" fontId="8" fillId="5" borderId="7" xfId="4" applyNumberFormat="1" applyFont="1" applyFill="1" applyBorder="1" applyAlignment="1">
      <alignment horizontal="center" vertical="center" wrapText="1"/>
    </xf>
    <xf numFmtId="167" fontId="29" fillId="5" borderId="7" xfId="3" applyNumberFormat="1" applyFont="1" applyFill="1" applyBorder="1" applyAlignment="1">
      <alignment horizontal="center" vertical="center" wrapText="1"/>
    </xf>
    <xf numFmtId="1" fontId="12" fillId="6" borderId="8" xfId="0" applyNumberFormat="1" applyFont="1" applyFill="1" applyBorder="1" applyAlignment="1">
      <alignment horizontal="center" vertical="center" wrapText="1" shrinkToFit="1"/>
    </xf>
    <xf numFmtId="1" fontId="12" fillId="6" borderId="13" xfId="0" applyNumberFormat="1" applyFont="1" applyFill="1" applyBorder="1" applyAlignment="1">
      <alignment horizontal="center" vertical="center" wrapText="1" shrinkToFit="1"/>
    </xf>
    <xf numFmtId="168" fontId="8" fillId="8" borderId="0" xfId="4" applyNumberFormat="1" applyFont="1" applyFill="1" applyBorder="1" applyAlignment="1">
      <alignment horizontal="center" vertical="center" wrapText="1"/>
    </xf>
    <xf numFmtId="167" fontId="29" fillId="8" borderId="0" xfId="3" applyNumberFormat="1" applyFont="1" applyFill="1" applyBorder="1" applyAlignment="1">
      <alignment horizontal="center" vertical="center" wrapText="1"/>
    </xf>
    <xf numFmtId="0" fontId="17" fillId="8" borderId="10" xfId="0" applyFont="1" applyFill="1" applyBorder="1" applyAlignment="1">
      <alignment horizontal="center" vertical="center" wrapText="1"/>
    </xf>
    <xf numFmtId="167" fontId="29" fillId="8" borderId="10" xfId="3" applyNumberFormat="1" applyFont="1" applyFill="1" applyBorder="1" applyAlignment="1">
      <alignment horizontal="center" vertical="center" wrapText="1"/>
    </xf>
    <xf numFmtId="164" fontId="14" fillId="8" borderId="10" xfId="3" applyFont="1" applyFill="1" applyBorder="1" applyAlignment="1">
      <alignment horizontal="left" vertical="center" wrapText="1"/>
    </xf>
    <xf numFmtId="0" fontId="17" fillId="8" borderId="11" xfId="0" applyFont="1" applyFill="1" applyBorder="1" applyAlignment="1">
      <alignment horizontal="center" vertical="center" wrapText="1"/>
    </xf>
    <xf numFmtId="167" fontId="29" fillId="8" borderId="11" xfId="3" applyNumberFormat="1" applyFont="1" applyFill="1" applyBorder="1" applyAlignment="1">
      <alignment horizontal="center" vertical="center" wrapText="1"/>
    </xf>
    <xf numFmtId="164" fontId="14" fillId="8" borderId="11" xfId="3" applyFont="1" applyFill="1" applyBorder="1" applyAlignment="1">
      <alignment horizontal="left" vertical="center" wrapText="1"/>
    </xf>
    <xf numFmtId="168" fontId="12" fillId="6" borderId="8" xfId="4" applyNumberFormat="1" applyFont="1" applyFill="1" applyBorder="1" applyAlignment="1">
      <alignment horizontal="center" vertical="center" shrinkToFit="1"/>
    </xf>
    <xf numFmtId="167" fontId="14" fillId="6" borderId="1" xfId="3" applyNumberFormat="1" applyFont="1" applyFill="1" applyBorder="1" applyAlignment="1">
      <alignment horizontal="center" vertical="center" wrapText="1"/>
    </xf>
    <xf numFmtId="9" fontId="14" fillId="6" borderId="1" xfId="5" applyFont="1" applyFill="1" applyBorder="1" applyAlignment="1">
      <alignment horizontal="center" vertical="center" wrapText="1"/>
    </xf>
    <xf numFmtId="168" fontId="14" fillId="10" borderId="17" xfId="4" applyNumberFormat="1" applyFont="1" applyFill="1" applyBorder="1" applyAlignment="1">
      <alignment horizontal="center" vertical="center" wrapText="1"/>
    </xf>
    <xf numFmtId="168" fontId="14" fillId="10" borderId="13" xfId="4" applyNumberFormat="1" applyFont="1" applyFill="1" applyBorder="1" applyAlignment="1">
      <alignment horizontal="center" vertical="center" wrapText="1"/>
    </xf>
    <xf numFmtId="167" fontId="14" fillId="10" borderId="3" xfId="3" applyNumberFormat="1" applyFont="1" applyFill="1" applyBorder="1" applyAlignment="1">
      <alignment horizontal="center" vertical="center" wrapText="1"/>
    </xf>
    <xf numFmtId="9" fontId="14" fillId="10" borderId="3" xfId="5" applyFont="1" applyFill="1" applyBorder="1" applyAlignment="1">
      <alignment horizontal="center" vertical="center" wrapText="1"/>
    </xf>
    <xf numFmtId="164" fontId="14" fillId="10" borderId="3" xfId="3" applyFont="1" applyFill="1" applyBorder="1" applyAlignment="1">
      <alignment horizontal="center" vertical="center" wrapText="1"/>
    </xf>
    <xf numFmtId="168" fontId="14" fillId="7" borderId="8" xfId="4" applyNumberFormat="1" applyFont="1" applyFill="1" applyBorder="1" applyAlignment="1">
      <alignment horizontal="center" vertical="center" wrapText="1"/>
    </xf>
    <xf numFmtId="9" fontId="14" fillId="7" borderId="8" xfId="5" applyFont="1" applyFill="1" applyBorder="1" applyAlignment="1">
      <alignment horizontal="center" vertical="center" wrapText="1"/>
    </xf>
    <xf numFmtId="168" fontId="14" fillId="7" borderId="13" xfId="4" applyNumberFormat="1" applyFont="1" applyFill="1" applyBorder="1" applyAlignment="1">
      <alignment horizontal="center" vertical="center" wrapText="1"/>
    </xf>
    <xf numFmtId="168" fontId="12" fillId="6" borderId="13" xfId="4" applyNumberFormat="1" applyFont="1" applyFill="1" applyBorder="1" applyAlignment="1">
      <alignment horizontal="center" vertical="center" shrinkToFit="1"/>
    </xf>
    <xf numFmtId="167" fontId="14" fillId="6" borderId="3" xfId="3" applyNumberFormat="1" applyFont="1" applyFill="1" applyBorder="1" applyAlignment="1">
      <alignment horizontal="center" vertical="center" wrapText="1"/>
    </xf>
    <xf numFmtId="9" fontId="14" fillId="6" borderId="3" xfId="5" applyFont="1" applyFill="1" applyBorder="1" applyAlignment="1">
      <alignment horizontal="center" vertical="center" wrapText="1"/>
    </xf>
    <xf numFmtId="167" fontId="29" fillId="8" borderId="17" xfId="3" applyNumberFormat="1" applyFont="1" applyFill="1" applyBorder="1" applyAlignment="1">
      <alignment horizontal="center" vertical="center" wrapText="1"/>
    </xf>
    <xf numFmtId="167" fontId="29" fillId="8" borderId="16" xfId="3" applyNumberFormat="1" applyFont="1" applyFill="1" applyBorder="1" applyAlignment="1">
      <alignment horizontal="center" vertical="center" wrapText="1"/>
    </xf>
    <xf numFmtId="168" fontId="14" fillId="9" borderId="12" xfId="4" applyNumberFormat="1" applyFont="1" applyFill="1" applyBorder="1" applyAlignment="1">
      <alignment horizontal="center" vertical="center" wrapText="1"/>
    </xf>
    <xf numFmtId="168" fontId="14" fillId="9" borderId="8" xfId="4" applyNumberFormat="1" applyFont="1" applyFill="1" applyBorder="1" applyAlignment="1">
      <alignment horizontal="center" vertical="center" wrapText="1"/>
    </xf>
    <xf numFmtId="167" fontId="14" fillId="9" borderId="2" xfId="3" applyNumberFormat="1" applyFont="1" applyFill="1" applyBorder="1" applyAlignment="1">
      <alignment horizontal="center" vertical="center" wrapText="1"/>
    </xf>
    <xf numFmtId="167" fontId="14" fillId="9" borderId="1" xfId="3" applyNumberFormat="1" applyFont="1" applyFill="1" applyBorder="1" applyAlignment="1">
      <alignment horizontal="center" vertical="center" wrapText="1"/>
    </xf>
    <xf numFmtId="168" fontId="14" fillId="9" borderId="12" xfId="4" applyNumberFormat="1" applyFont="1" applyFill="1" applyBorder="1" applyAlignment="1">
      <alignment horizontal="left" vertical="center" wrapText="1"/>
    </xf>
    <xf numFmtId="167" fontId="14" fillId="9" borderId="6" xfId="3" applyNumberFormat="1" applyFont="1" applyFill="1" applyBorder="1" applyAlignment="1">
      <alignment horizontal="center" vertical="center" wrapText="1"/>
    </xf>
    <xf numFmtId="167" fontId="14" fillId="9" borderId="3" xfId="3" applyNumberFormat="1" applyFont="1" applyFill="1" applyBorder="1" applyAlignment="1">
      <alignment horizontal="center" vertical="center" wrapText="1"/>
    </xf>
    <xf numFmtId="9" fontId="14" fillId="9" borderId="3" xfId="5" applyFont="1" applyFill="1" applyBorder="1" applyAlignment="1">
      <alignment horizontal="center" vertical="center" wrapText="1"/>
    </xf>
    <xf numFmtId="0" fontId="17" fillId="20" borderId="7" xfId="0" applyFont="1" applyFill="1" applyBorder="1" applyAlignment="1">
      <alignment horizontal="center" vertical="center" wrapText="1"/>
    </xf>
    <xf numFmtId="1" fontId="18" fillId="9" borderId="20" xfId="0" applyNumberFormat="1" applyFont="1" applyFill="1" applyBorder="1" applyAlignment="1">
      <alignment horizontal="center" vertical="top" shrinkToFit="1"/>
    </xf>
    <xf numFmtId="0" fontId="16" fillId="9" borderId="13" xfId="0" applyFont="1" applyFill="1" applyBorder="1" applyAlignment="1">
      <alignment horizontal="center" vertical="center" wrapText="1"/>
    </xf>
    <xf numFmtId="0" fontId="16" fillId="9" borderId="13" xfId="0" applyFont="1" applyFill="1" applyBorder="1" applyAlignment="1">
      <alignment horizontal="left" vertical="top" wrapText="1"/>
    </xf>
    <xf numFmtId="1" fontId="19" fillId="9" borderId="13" xfId="0" applyNumberFormat="1" applyFont="1" applyFill="1" applyBorder="1" applyAlignment="1">
      <alignment horizontal="center" vertical="center" shrinkToFit="1"/>
    </xf>
    <xf numFmtId="0" fontId="13" fillId="9" borderId="13" xfId="0" applyFont="1" applyFill="1" applyBorder="1" applyAlignment="1">
      <alignment horizontal="center" vertical="center"/>
    </xf>
    <xf numFmtId="0" fontId="13" fillId="9" borderId="13" xfId="0" applyFont="1" applyFill="1" applyBorder="1"/>
    <xf numFmtId="168" fontId="14" fillId="9" borderId="17" xfId="4" applyNumberFormat="1" applyFont="1" applyFill="1" applyBorder="1" applyAlignment="1">
      <alignment horizontal="center" vertical="center" wrapText="1"/>
    </xf>
    <xf numFmtId="168" fontId="14" fillId="9" borderId="13" xfId="4" applyNumberFormat="1" applyFont="1" applyFill="1" applyBorder="1" applyAlignment="1">
      <alignment horizontal="center" vertical="center" wrapText="1"/>
    </xf>
    <xf numFmtId="167" fontId="14" fillId="9" borderId="18" xfId="3" applyNumberFormat="1" applyFont="1" applyFill="1" applyBorder="1" applyAlignment="1">
      <alignment horizontal="center" vertical="center" wrapText="1"/>
    </xf>
    <xf numFmtId="164" fontId="13" fillId="9" borderId="3" xfId="3" applyFont="1" applyFill="1" applyBorder="1" applyAlignment="1">
      <alignment horizontal="left" vertical="center" wrapText="1"/>
    </xf>
    <xf numFmtId="1" fontId="18" fillId="9" borderId="23" xfId="0" applyNumberFormat="1" applyFont="1" applyFill="1" applyBorder="1" applyAlignment="1">
      <alignment horizontal="center" vertical="top" shrinkToFit="1"/>
    </xf>
    <xf numFmtId="1" fontId="19" fillId="9" borderId="15" xfId="0" applyNumberFormat="1" applyFont="1" applyFill="1" applyBorder="1" applyAlignment="1">
      <alignment horizontal="center" vertical="top" shrinkToFit="1"/>
    </xf>
    <xf numFmtId="0" fontId="13" fillId="9" borderId="15" xfId="0" applyFont="1" applyFill="1" applyBorder="1"/>
    <xf numFmtId="168" fontId="14" fillId="20" borderId="7" xfId="4" applyNumberFormat="1" applyFont="1" applyFill="1" applyBorder="1" applyAlignment="1">
      <alignment horizontal="center" vertical="center" wrapText="1"/>
    </xf>
    <xf numFmtId="167" fontId="14" fillId="20" borderId="7" xfId="3" applyNumberFormat="1" applyFont="1" applyFill="1" applyBorder="1" applyAlignment="1">
      <alignment horizontal="center" vertical="center" wrapText="1"/>
    </xf>
    <xf numFmtId="164" fontId="14" fillId="20" borderId="7" xfId="3" applyFont="1" applyFill="1" applyBorder="1" applyAlignment="1">
      <alignment horizontal="left" vertical="center" wrapText="1"/>
    </xf>
    <xf numFmtId="164" fontId="13" fillId="9" borderId="1" xfId="3" applyFont="1" applyFill="1" applyBorder="1" applyAlignment="1">
      <alignment horizontal="center" vertical="center" wrapText="1"/>
    </xf>
    <xf numFmtId="1" fontId="19" fillId="9" borderId="15" xfId="0" applyNumberFormat="1" applyFont="1" applyFill="1" applyBorder="1" applyAlignment="1">
      <alignment horizontal="center" vertical="center" shrinkToFit="1"/>
    </xf>
    <xf numFmtId="167" fontId="14" fillId="9" borderId="25" xfId="3" applyNumberFormat="1" applyFont="1" applyFill="1" applyBorder="1" applyAlignment="1">
      <alignment horizontal="center" vertical="center" wrapText="1"/>
    </xf>
    <xf numFmtId="168" fontId="14" fillId="9" borderId="15" xfId="4" applyNumberFormat="1" applyFont="1" applyFill="1" applyBorder="1" applyAlignment="1">
      <alignment horizontal="center" vertical="center" wrapText="1"/>
    </xf>
    <xf numFmtId="167" fontId="14" fillId="9" borderId="19" xfId="3" applyNumberFormat="1" applyFont="1" applyFill="1" applyBorder="1" applyAlignment="1">
      <alignment horizontal="center" vertical="center" wrapText="1"/>
    </xf>
    <xf numFmtId="167" fontId="14" fillId="9" borderId="5" xfId="3" applyNumberFormat="1" applyFont="1" applyFill="1" applyBorder="1" applyAlignment="1">
      <alignment horizontal="center" vertical="center" wrapText="1"/>
    </xf>
    <xf numFmtId="0" fontId="8" fillId="9" borderId="13" xfId="0" applyFont="1" applyFill="1" applyBorder="1" applyAlignment="1">
      <alignment horizontal="center" vertical="center" wrapText="1"/>
    </xf>
    <xf numFmtId="167" fontId="14" fillId="9" borderId="14" xfId="3" applyNumberFormat="1" applyFont="1" applyFill="1" applyBorder="1" applyAlignment="1">
      <alignment horizontal="center" vertical="center" wrapText="1"/>
    </xf>
    <xf numFmtId="167" fontId="14" fillId="9" borderId="4" xfId="3" applyNumberFormat="1" applyFont="1" applyFill="1" applyBorder="1" applyAlignment="1">
      <alignment horizontal="center" vertical="center" wrapText="1"/>
    </xf>
    <xf numFmtId="164" fontId="13" fillId="9" borderId="3" xfId="3" applyFont="1" applyFill="1" applyBorder="1" applyAlignment="1">
      <alignment horizontal="center" vertical="center" wrapText="1"/>
    </xf>
    <xf numFmtId="0" fontId="13" fillId="9" borderId="15" xfId="0" applyFont="1" applyFill="1" applyBorder="1" applyAlignment="1">
      <alignment horizontal="center" vertical="center"/>
    </xf>
    <xf numFmtId="168" fontId="8" fillId="20" borderId="7" xfId="4" applyNumberFormat="1" applyFont="1" applyFill="1" applyBorder="1" applyAlignment="1">
      <alignment horizontal="center" vertical="center" wrapText="1"/>
    </xf>
    <xf numFmtId="167" fontId="29" fillId="20" borderId="7" xfId="3" applyNumberFormat="1" applyFont="1" applyFill="1" applyBorder="1" applyAlignment="1">
      <alignment horizontal="center" vertical="center" wrapText="1"/>
    </xf>
    <xf numFmtId="0" fontId="16" fillId="9" borderId="15" xfId="0" applyFont="1" applyFill="1" applyBorder="1" applyAlignment="1">
      <alignment horizontal="center" vertical="center" wrapText="1"/>
    </xf>
    <xf numFmtId="1" fontId="12" fillId="6" borderId="13" xfId="0" applyNumberFormat="1" applyFont="1" applyFill="1" applyBorder="1" applyAlignment="1">
      <alignment horizontal="center" vertical="center" shrinkToFit="1"/>
    </xf>
    <xf numFmtId="0" fontId="13" fillId="6" borderId="8" xfId="0" applyFont="1" applyFill="1" applyBorder="1" applyAlignment="1">
      <alignment horizontal="center" vertical="center"/>
    </xf>
    <xf numFmtId="0" fontId="13" fillId="6" borderId="13" xfId="0" applyFont="1" applyFill="1" applyBorder="1" applyAlignment="1">
      <alignment horizontal="center" vertical="center"/>
    </xf>
    <xf numFmtId="0" fontId="23" fillId="9" borderId="23" xfId="0" applyFont="1" applyFill="1" applyBorder="1" applyAlignment="1">
      <alignment horizontal="center" vertical="center" wrapText="1"/>
    </xf>
    <xf numFmtId="0" fontId="17" fillId="9" borderId="15" xfId="0" applyFont="1" applyFill="1" applyBorder="1" applyAlignment="1">
      <alignment horizontal="center" vertical="center" wrapText="1"/>
    </xf>
    <xf numFmtId="0" fontId="17" fillId="9" borderId="13" xfId="0" applyFont="1" applyFill="1" applyBorder="1" applyAlignment="1">
      <alignment horizontal="center" vertical="center" wrapText="1"/>
    </xf>
    <xf numFmtId="167" fontId="14" fillId="9" borderId="26" xfId="3" applyNumberFormat="1" applyFont="1" applyFill="1" applyBorder="1" applyAlignment="1">
      <alignment horizontal="center" vertical="center" wrapText="1"/>
    </xf>
    <xf numFmtId="0" fontId="0" fillId="12" borderId="15" xfId="0" applyFill="1" applyBorder="1"/>
    <xf numFmtId="168" fontId="8" fillId="18" borderId="7" xfId="4" applyNumberFormat="1" applyFont="1" applyFill="1" applyBorder="1" applyAlignment="1">
      <alignment horizontal="center" vertical="center" wrapText="1"/>
    </xf>
    <xf numFmtId="167" fontId="29" fillId="18" borderId="7" xfId="3" applyNumberFormat="1" applyFont="1" applyFill="1" applyBorder="1" applyAlignment="1">
      <alignment horizontal="center" vertical="center" wrapText="1"/>
    </xf>
    <xf numFmtId="0" fontId="25" fillId="18" borderId="7" xfId="0" applyFont="1" applyFill="1" applyBorder="1" applyAlignment="1">
      <alignment horizontal="center"/>
    </xf>
    <xf numFmtId="164" fontId="14" fillId="18" borderId="7" xfId="3" applyFont="1" applyFill="1" applyBorder="1" applyAlignment="1">
      <alignment horizontal="left" vertical="center" wrapText="1"/>
    </xf>
    <xf numFmtId="0" fontId="0" fillId="12" borderId="15" xfId="0" applyFill="1" applyBorder="1" applyAlignment="1">
      <alignment horizontal="center"/>
    </xf>
    <xf numFmtId="0" fontId="1" fillId="12" borderId="22" xfId="0" applyFont="1" applyFill="1" applyBorder="1" applyAlignment="1">
      <alignment horizontal="center" vertical="center"/>
    </xf>
    <xf numFmtId="0" fontId="0" fillId="12" borderId="22" xfId="0" applyFill="1" applyBorder="1" applyAlignment="1">
      <alignment horizontal="center" vertical="center" wrapText="1"/>
    </xf>
    <xf numFmtId="0" fontId="16" fillId="12" borderId="22" xfId="0" applyFont="1" applyFill="1" applyBorder="1" applyAlignment="1">
      <alignment horizontal="center" vertical="center" wrapText="1"/>
    </xf>
    <xf numFmtId="0" fontId="0" fillId="12" borderId="22" xfId="0" applyFill="1" applyBorder="1" applyAlignment="1">
      <alignment horizontal="center" vertical="center"/>
    </xf>
    <xf numFmtId="0" fontId="0" fillId="12" borderId="22" xfId="0" applyFill="1" applyBorder="1"/>
    <xf numFmtId="0" fontId="25" fillId="18" borderId="7" xfId="0" applyFont="1" applyFill="1" applyBorder="1" applyAlignment="1">
      <alignment horizontal="center" vertical="center"/>
    </xf>
    <xf numFmtId="164" fontId="14" fillId="18" borderId="9" xfId="3" applyFont="1" applyFill="1" applyBorder="1" applyAlignment="1">
      <alignment horizontal="left" vertical="center" wrapText="1"/>
    </xf>
    <xf numFmtId="167" fontId="29" fillId="12" borderId="26" xfId="3" applyNumberFormat="1" applyFont="1" applyFill="1" applyBorder="1" applyAlignment="1">
      <alignment horizontal="center" vertical="center" wrapText="1"/>
    </xf>
    <xf numFmtId="167" fontId="29" fillId="12" borderId="22" xfId="3" applyNumberFormat="1" applyFont="1" applyFill="1" applyBorder="1" applyAlignment="1">
      <alignment horizontal="center" vertical="center" wrapText="1"/>
    </xf>
    <xf numFmtId="167" fontId="29" fillId="12" borderId="21" xfId="3" applyNumberFormat="1" applyFont="1" applyFill="1" applyBorder="1" applyAlignment="1">
      <alignment horizontal="center" vertical="center" wrapText="1"/>
    </xf>
    <xf numFmtId="167" fontId="29" fillId="12" borderId="4" xfId="3" applyNumberFormat="1" applyFont="1" applyFill="1" applyBorder="1" applyAlignment="1">
      <alignment horizontal="center" vertical="center" wrapText="1"/>
    </xf>
    <xf numFmtId="0" fontId="28" fillId="12" borderId="4" xfId="0" applyFont="1" applyFill="1" applyBorder="1" applyAlignment="1">
      <alignment horizontal="center" vertical="center" wrapText="1"/>
    </xf>
    <xf numFmtId="164" fontId="14" fillId="12" borderId="4" xfId="3" applyFont="1" applyFill="1" applyBorder="1" applyAlignment="1">
      <alignment horizontal="left" vertical="center" wrapText="1"/>
    </xf>
    <xf numFmtId="167" fontId="29" fillId="12" borderId="25" xfId="3" applyNumberFormat="1" applyFont="1" applyFill="1" applyBorder="1" applyAlignment="1">
      <alignment horizontal="center" vertical="center" wrapText="1"/>
    </xf>
    <xf numFmtId="167" fontId="29" fillId="12" borderId="15" xfId="3" applyNumberFormat="1" applyFont="1" applyFill="1" applyBorder="1" applyAlignment="1">
      <alignment horizontal="center" vertical="center" wrapText="1"/>
    </xf>
    <xf numFmtId="167" fontId="29" fillId="12" borderId="19" xfId="3" applyNumberFormat="1" applyFont="1" applyFill="1" applyBorder="1" applyAlignment="1">
      <alignment horizontal="center" vertical="center" wrapText="1"/>
    </xf>
    <xf numFmtId="167" fontId="29" fillId="12" borderId="5" xfId="3" applyNumberFormat="1" applyFont="1" applyFill="1" applyBorder="1" applyAlignment="1">
      <alignment horizontal="center" vertical="center" wrapText="1"/>
    </xf>
    <xf numFmtId="0" fontId="25" fillId="13" borderId="7" xfId="0" applyFont="1" applyFill="1" applyBorder="1" applyAlignment="1">
      <alignment horizontal="center" vertical="center"/>
    </xf>
    <xf numFmtId="168" fontId="8" fillId="13" borderId="7" xfId="4" applyNumberFormat="1" applyFont="1" applyFill="1" applyBorder="1" applyAlignment="1">
      <alignment horizontal="center" vertical="center" wrapText="1"/>
    </xf>
    <xf numFmtId="167" fontId="29" fillId="13" borderId="7" xfId="3" applyNumberFormat="1" applyFont="1" applyFill="1" applyBorder="1" applyAlignment="1">
      <alignment horizontal="center" vertical="center" wrapText="1"/>
    </xf>
    <xf numFmtId="164" fontId="14" fillId="13" borderId="7" xfId="3" applyFont="1" applyFill="1" applyBorder="1" applyAlignment="1">
      <alignment horizontal="left" vertical="center" wrapText="1"/>
    </xf>
    <xf numFmtId="164" fontId="14" fillId="13" borderId="9" xfId="3" applyFont="1" applyFill="1" applyBorder="1" applyAlignment="1">
      <alignment horizontal="left" vertical="center" wrapText="1"/>
    </xf>
    <xf numFmtId="0" fontId="25" fillId="13" borderId="10" xfId="0" applyFont="1" applyFill="1" applyBorder="1" applyAlignment="1">
      <alignment horizontal="center" vertical="center"/>
    </xf>
    <xf numFmtId="168" fontId="8" fillId="13" borderId="10" xfId="4" applyNumberFormat="1" applyFont="1" applyFill="1" applyBorder="1" applyAlignment="1">
      <alignment horizontal="center" vertical="center" wrapText="1"/>
    </xf>
    <xf numFmtId="167" fontId="29" fillId="13" borderId="10" xfId="3" applyNumberFormat="1" applyFont="1" applyFill="1" applyBorder="1" applyAlignment="1">
      <alignment horizontal="center" vertical="center" wrapText="1"/>
    </xf>
    <xf numFmtId="164" fontId="14" fillId="13" borderId="10" xfId="3" applyFont="1" applyFill="1" applyBorder="1" applyAlignment="1">
      <alignment horizontal="left" vertical="center" wrapText="1"/>
    </xf>
    <xf numFmtId="164" fontId="14" fillId="13" borderId="20" xfId="3" applyFont="1" applyFill="1" applyBorder="1" applyAlignment="1">
      <alignment horizontal="left" vertical="center" wrapText="1"/>
    </xf>
    <xf numFmtId="0" fontId="16" fillId="14" borderId="15" xfId="0" applyFont="1" applyFill="1" applyBorder="1" applyAlignment="1">
      <alignment wrapText="1"/>
    </xf>
    <xf numFmtId="0" fontId="19" fillId="14" borderId="15" xfId="0" applyFont="1" applyFill="1" applyBorder="1" applyAlignment="1">
      <alignment horizontal="center" vertical="center"/>
    </xf>
    <xf numFmtId="0" fontId="19" fillId="14" borderId="15" xfId="0" applyFont="1" applyFill="1" applyBorder="1"/>
    <xf numFmtId="0" fontId="19" fillId="18" borderId="7" xfId="0" applyFont="1" applyFill="1" applyBorder="1" applyAlignment="1">
      <alignment horizontal="center"/>
    </xf>
    <xf numFmtId="168" fontId="30" fillId="18" borderId="8" xfId="4" applyNumberFormat="1" applyFont="1" applyFill="1" applyBorder="1" applyAlignment="1">
      <alignment horizontal="center" vertical="center" wrapText="1"/>
    </xf>
    <xf numFmtId="164" fontId="13" fillId="9" borderId="18" xfId="3" applyFont="1" applyFill="1" applyBorder="1" applyAlignment="1">
      <alignment horizontal="left" vertical="center" wrapText="1"/>
    </xf>
    <xf numFmtId="167" fontId="14" fillId="9" borderId="8" xfId="3" applyNumberFormat="1" applyFont="1" applyFill="1" applyBorder="1" applyAlignment="1">
      <alignment horizontal="center" vertical="center" wrapText="1"/>
    </xf>
    <xf numFmtId="9" fontId="14" fillId="9" borderId="8" xfId="5" applyFont="1" applyFill="1" applyBorder="1" applyAlignment="1">
      <alignment horizontal="center" vertical="center" wrapText="1"/>
    </xf>
    <xf numFmtId="0" fontId="0" fillId="12" borderId="13" xfId="0" applyFill="1" applyBorder="1" applyAlignment="1">
      <alignment horizontal="center"/>
    </xf>
    <xf numFmtId="0" fontId="16" fillId="14" borderId="13" xfId="0" applyFont="1" applyFill="1" applyBorder="1" applyAlignment="1">
      <alignment wrapText="1"/>
    </xf>
    <xf numFmtId="0" fontId="19" fillId="14" borderId="13" xfId="0" applyFont="1" applyFill="1" applyBorder="1" applyAlignment="1">
      <alignment horizontal="center" vertical="center"/>
    </xf>
    <xf numFmtId="0" fontId="19" fillId="14" borderId="13" xfId="0" applyFont="1" applyFill="1" applyBorder="1"/>
    <xf numFmtId="0" fontId="0" fillId="12" borderId="13" xfId="0" applyFill="1" applyBorder="1"/>
    <xf numFmtId="0" fontId="19" fillId="18" borderId="7" xfId="0" applyFont="1" applyFill="1" applyBorder="1" applyAlignment="1">
      <alignment horizontal="center" vertical="center"/>
    </xf>
    <xf numFmtId="0" fontId="26" fillId="12" borderId="0" xfId="0" applyFont="1" applyFill="1" applyAlignment="1">
      <alignment vertical="center" textRotation="90"/>
    </xf>
    <xf numFmtId="0" fontId="18" fillId="21" borderId="7" xfId="0" applyFont="1" applyFill="1" applyBorder="1" applyAlignment="1">
      <alignment vertical="center"/>
    </xf>
    <xf numFmtId="1" fontId="12" fillId="6" borderId="15" xfId="0" applyNumberFormat="1" applyFont="1" applyFill="1" applyBorder="1" applyAlignment="1">
      <alignment horizontal="center" vertical="center" shrinkToFit="1"/>
    </xf>
    <xf numFmtId="0" fontId="13" fillId="6" borderId="15" xfId="0" applyFont="1" applyFill="1" applyBorder="1" applyAlignment="1">
      <alignment horizontal="center" vertical="center"/>
    </xf>
    <xf numFmtId="167" fontId="14" fillId="12" borderId="8" xfId="3" applyNumberFormat="1" applyFont="1" applyFill="1" applyBorder="1" applyAlignment="1">
      <alignment horizontal="center" vertical="center" wrapText="1"/>
    </xf>
    <xf numFmtId="9" fontId="14" fillId="12" borderId="8" xfId="5" applyFont="1" applyFill="1" applyBorder="1" applyAlignment="1">
      <alignment horizontal="center" vertical="center" wrapText="1"/>
    </xf>
    <xf numFmtId="167" fontId="29" fillId="12" borderId="6" xfId="3" applyNumberFormat="1" applyFont="1" applyFill="1" applyBorder="1" applyAlignment="1">
      <alignment horizontal="center" vertical="center" wrapText="1"/>
    </xf>
    <xf numFmtId="167" fontId="29" fillId="12" borderId="2" xfId="3" applyNumberFormat="1" applyFont="1" applyFill="1" applyBorder="1" applyAlignment="1">
      <alignment horizontal="center" vertical="center" wrapText="1"/>
    </xf>
    <xf numFmtId="167" fontId="29" fillId="12" borderId="1" xfId="3" applyNumberFormat="1" applyFont="1" applyFill="1" applyBorder="1" applyAlignment="1">
      <alignment horizontal="center" vertical="center" wrapText="1"/>
    </xf>
    <xf numFmtId="164" fontId="14" fillId="12" borderId="1" xfId="3" applyFont="1" applyFill="1" applyBorder="1" applyAlignment="1">
      <alignment horizontal="left" vertical="center" wrapText="1"/>
    </xf>
    <xf numFmtId="167" fontId="29" fillId="12" borderId="8" xfId="3" applyNumberFormat="1" applyFont="1" applyFill="1" applyBorder="1" applyAlignment="1">
      <alignment horizontal="center" vertical="center" wrapText="1"/>
    </xf>
    <xf numFmtId="167" fontId="29" fillId="12" borderId="14" xfId="3" applyNumberFormat="1" applyFont="1" applyFill="1" applyBorder="1" applyAlignment="1">
      <alignment horizontal="center" vertical="center" wrapText="1"/>
    </xf>
    <xf numFmtId="167" fontId="29" fillId="12" borderId="13" xfId="3" applyNumberFormat="1" applyFont="1" applyFill="1" applyBorder="1" applyAlignment="1">
      <alignment horizontal="center" vertical="center" wrapText="1"/>
    </xf>
    <xf numFmtId="167" fontId="29" fillId="12" borderId="18" xfId="3" applyNumberFormat="1" applyFont="1" applyFill="1" applyBorder="1" applyAlignment="1">
      <alignment horizontal="center" vertical="center" wrapText="1"/>
    </xf>
    <xf numFmtId="167" fontId="29" fillId="12" borderId="3" xfId="3" applyNumberFormat="1" applyFont="1" applyFill="1" applyBorder="1" applyAlignment="1">
      <alignment horizontal="center" vertical="center" wrapText="1"/>
    </xf>
    <xf numFmtId="164" fontId="14" fillId="12" borderId="3" xfId="3" applyFont="1" applyFill="1" applyBorder="1" applyAlignment="1">
      <alignment horizontal="left" vertical="center" wrapText="1"/>
    </xf>
    <xf numFmtId="0" fontId="19" fillId="12" borderId="1" xfId="0" applyFont="1" applyFill="1" applyBorder="1" applyAlignment="1">
      <alignment horizontal="center" vertical="center"/>
    </xf>
    <xf numFmtId="0" fontId="16" fillId="4" borderId="13" xfId="0" applyFont="1" applyFill="1" applyBorder="1" applyAlignment="1">
      <alignment wrapText="1"/>
    </xf>
    <xf numFmtId="0" fontId="8" fillId="9" borderId="9" xfId="0" applyFont="1" applyFill="1" applyBorder="1" applyAlignment="1">
      <alignment horizontal="center" vertical="center" wrapText="1"/>
    </xf>
    <xf numFmtId="168" fontId="33" fillId="3" borderId="30" xfId="4" applyNumberFormat="1" applyFont="1" applyFill="1" applyBorder="1" applyAlignment="1">
      <alignment horizontal="center" vertical="center"/>
    </xf>
    <xf numFmtId="168" fontId="33" fillId="3" borderId="33" xfId="4" applyNumberFormat="1" applyFont="1" applyFill="1" applyBorder="1" applyAlignment="1">
      <alignment horizontal="center" vertical="center"/>
    </xf>
    <xf numFmtId="168" fontId="33" fillId="23" borderId="29" xfId="0" applyNumberFormat="1" applyFont="1" applyFill="1" applyBorder="1" applyAlignment="1">
      <alignment vertical="center" wrapText="1"/>
    </xf>
    <xf numFmtId="168" fontId="33" fillId="23" borderId="31" xfId="0" applyNumberFormat="1" applyFont="1" applyFill="1" applyBorder="1" applyAlignment="1">
      <alignment vertical="center" wrapText="1"/>
    </xf>
    <xf numFmtId="168" fontId="33" fillId="23" borderId="32" xfId="0" applyNumberFormat="1" applyFont="1" applyFill="1" applyBorder="1" applyAlignment="1">
      <alignment vertical="center" wrapText="1"/>
    </xf>
    <xf numFmtId="168" fontId="36" fillId="0" borderId="8" xfId="6" applyNumberFormat="1" applyFont="1" applyBorder="1" applyAlignment="1">
      <alignment vertical="center"/>
    </xf>
    <xf numFmtId="168" fontId="32" fillId="0" borderId="15" xfId="4" applyNumberFormat="1" applyFont="1" applyBorder="1" applyAlignment="1">
      <alignment vertical="center" wrapText="1"/>
    </xf>
    <xf numFmtId="9" fontId="36" fillId="0" borderId="8" xfId="5" applyFont="1" applyBorder="1" applyAlignment="1">
      <alignment horizontal="center" vertical="center"/>
    </xf>
    <xf numFmtId="168" fontId="36" fillId="3" borderId="8" xfId="6" applyNumberFormat="1" applyFont="1" applyFill="1" applyBorder="1" applyAlignment="1">
      <alignment vertical="center"/>
    </xf>
    <xf numFmtId="0" fontId="16" fillId="4" borderId="15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19" fillId="4" borderId="13" xfId="0" applyFont="1" applyFill="1" applyBorder="1" applyAlignment="1">
      <alignment horizontal="center" vertical="center"/>
    </xf>
    <xf numFmtId="0" fontId="16" fillId="4" borderId="13" xfId="0" applyFont="1" applyFill="1" applyBorder="1" applyAlignment="1">
      <alignment horizontal="center" vertical="center" wrapText="1"/>
    </xf>
    <xf numFmtId="0" fontId="0" fillId="12" borderId="5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 wrapText="1"/>
    </xf>
    <xf numFmtId="0" fontId="0" fillId="12" borderId="3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 wrapText="1"/>
    </xf>
    <xf numFmtId="0" fontId="34" fillId="0" borderId="0" xfId="7" applyAlignment="1">
      <alignment horizontal="center" vertical="center"/>
    </xf>
    <xf numFmtId="0" fontId="34" fillId="0" borderId="44" xfId="7" applyBorder="1" applyAlignment="1">
      <alignment horizontal="center" vertical="center"/>
    </xf>
    <xf numFmtId="0" fontId="34" fillId="0" borderId="45" xfId="7" applyBorder="1" applyAlignment="1">
      <alignment horizontal="center" vertical="center"/>
    </xf>
    <xf numFmtId="0" fontId="34" fillId="0" borderId="7" xfId="7" applyBorder="1" applyAlignment="1">
      <alignment horizontal="center" vertical="center"/>
    </xf>
    <xf numFmtId="167" fontId="1" fillId="15" borderId="16" xfId="0" applyNumberFormat="1" applyFont="1" applyFill="1" applyBorder="1"/>
    <xf numFmtId="167" fontId="1" fillId="15" borderId="11" xfId="0" applyNumberFormat="1" applyFont="1" applyFill="1" applyBorder="1"/>
    <xf numFmtId="0" fontId="38" fillId="0" borderId="0" xfId="7" applyFont="1" applyAlignment="1">
      <alignment horizontal="center" vertical="center"/>
    </xf>
    <xf numFmtId="0" fontId="38" fillId="25" borderId="35" xfId="7" applyFont="1" applyFill="1" applyBorder="1" applyAlignment="1">
      <alignment horizontal="center" vertical="center"/>
    </xf>
    <xf numFmtId="0" fontId="38" fillId="25" borderId="39" xfId="7" applyFont="1" applyFill="1" applyBorder="1" applyAlignment="1">
      <alignment horizontal="center" vertical="center" wrapText="1"/>
    </xf>
    <xf numFmtId="0" fontId="38" fillId="25" borderId="40" xfId="7" applyFont="1" applyFill="1" applyBorder="1" applyAlignment="1">
      <alignment horizontal="center" vertical="center"/>
    </xf>
    <xf numFmtId="0" fontId="38" fillId="25" borderId="41" xfId="7" applyFont="1" applyFill="1" applyBorder="1" applyAlignment="1">
      <alignment horizontal="center" vertical="center"/>
    </xf>
    <xf numFmtId="0" fontId="38" fillId="25" borderId="42" xfId="7" applyFont="1" applyFill="1" applyBorder="1" applyAlignment="1">
      <alignment horizontal="center" vertical="center"/>
    </xf>
    <xf numFmtId="0" fontId="40" fillId="3" borderId="15" xfId="10" applyFont="1" applyFill="1" applyBorder="1" applyAlignment="1">
      <alignment horizontal="center" vertical="center" wrapText="1"/>
    </xf>
    <xf numFmtId="0" fontId="40" fillId="3" borderId="15" xfId="10" applyFont="1" applyFill="1" applyBorder="1" applyAlignment="1">
      <alignment horizontal="center" vertical="center"/>
    </xf>
    <xf numFmtId="168" fontId="24" fillId="0" borderId="48" xfId="9" applyNumberFormat="1" applyFont="1" applyFill="1" applyBorder="1" applyAlignment="1">
      <alignment horizontal="right" vertical="center" wrapText="1"/>
    </xf>
    <xf numFmtId="0" fontId="0" fillId="12" borderId="0" xfId="0" applyFill="1"/>
    <xf numFmtId="0" fontId="28" fillId="12" borderId="22" xfId="0" applyFont="1" applyFill="1" applyBorder="1" applyAlignment="1">
      <alignment horizontal="center" vertical="center" wrapText="1"/>
    </xf>
    <xf numFmtId="0" fontId="19" fillId="14" borderId="22" xfId="0" applyFont="1" applyFill="1" applyBorder="1" applyAlignment="1">
      <alignment vertical="center"/>
    </xf>
    <xf numFmtId="168" fontId="36" fillId="24" borderId="13" xfId="6" applyNumberFormat="1" applyFont="1" applyFill="1" applyBorder="1" applyAlignment="1">
      <alignment vertical="center"/>
    </xf>
    <xf numFmtId="168" fontId="32" fillId="24" borderId="22" xfId="4" applyNumberFormat="1" applyFont="1" applyFill="1" applyBorder="1" applyAlignment="1">
      <alignment vertical="center" wrapText="1"/>
    </xf>
    <xf numFmtId="9" fontId="36" fillId="24" borderId="13" xfId="5" applyFont="1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42" fontId="41" fillId="0" borderId="15" xfId="11" applyFont="1" applyBorder="1" applyAlignment="1">
      <alignment horizontal="left" vertical="center" wrapText="1"/>
    </xf>
    <xf numFmtId="167" fontId="14" fillId="12" borderId="15" xfId="3" applyNumberFormat="1" applyFont="1" applyFill="1" applyBorder="1" applyAlignment="1">
      <alignment horizontal="center" vertical="center" wrapText="1"/>
    </xf>
    <xf numFmtId="9" fontId="14" fillId="12" borderId="15" xfId="5" applyFont="1" applyFill="1" applyBorder="1" applyAlignment="1">
      <alignment horizontal="center" vertical="center" wrapText="1"/>
    </xf>
    <xf numFmtId="0" fontId="42" fillId="0" borderId="15" xfId="7" applyFont="1" applyBorder="1" applyAlignment="1">
      <alignment horizontal="center" vertical="center" wrapText="1"/>
    </xf>
    <xf numFmtId="0" fontId="42" fillId="0" borderId="49" xfId="7" applyFont="1" applyBorder="1" applyAlignment="1">
      <alignment horizontal="center" vertical="center" wrapText="1"/>
    </xf>
    <xf numFmtId="0" fontId="0" fillId="12" borderId="8" xfId="0" applyFill="1" applyBorder="1" applyAlignment="1">
      <alignment horizontal="center" vertical="center"/>
    </xf>
    <xf numFmtId="0" fontId="39" fillId="3" borderId="19" xfId="7" applyFont="1" applyFill="1" applyBorder="1" applyAlignment="1">
      <alignment horizontal="left" vertical="center" wrapText="1"/>
    </xf>
    <xf numFmtId="168" fontId="0" fillId="0" borderId="0" xfId="0" applyNumberFormat="1"/>
    <xf numFmtId="168" fontId="0" fillId="0" borderId="0" xfId="4" applyNumberFormat="1" applyFont="1"/>
    <xf numFmtId="168" fontId="14" fillId="7" borderId="22" xfId="4" applyNumberFormat="1" applyFont="1" applyFill="1" applyBorder="1" applyAlignment="1">
      <alignment horizontal="center" vertical="center" wrapText="1"/>
    </xf>
    <xf numFmtId="1" fontId="12" fillId="6" borderId="0" xfId="0" applyNumberFormat="1" applyFont="1" applyFill="1" applyAlignment="1">
      <alignment horizontal="center" vertical="center" wrapText="1" shrinkToFit="1"/>
    </xf>
    <xf numFmtId="164" fontId="13" fillId="9" borderId="0" xfId="3" applyFont="1" applyFill="1" applyBorder="1" applyAlignment="1">
      <alignment horizontal="left" vertical="center" wrapText="1"/>
    </xf>
    <xf numFmtId="0" fontId="42" fillId="0" borderId="50" xfId="7" applyFont="1" applyBorder="1" applyAlignment="1">
      <alignment horizontal="center" vertical="center" wrapText="1"/>
    </xf>
    <xf numFmtId="0" fontId="42" fillId="0" borderId="0" xfId="7" applyFont="1" applyAlignment="1">
      <alignment horizontal="center" vertical="center" wrapText="1"/>
    </xf>
    <xf numFmtId="1" fontId="43" fillId="7" borderId="8" xfId="0" applyNumberFormat="1" applyFont="1" applyFill="1" applyBorder="1" applyAlignment="1">
      <alignment horizontal="center" vertical="center" shrinkToFit="1"/>
    </xf>
    <xf numFmtId="0" fontId="44" fillId="7" borderId="8" xfId="0" applyFont="1" applyFill="1" applyBorder="1" applyAlignment="1">
      <alignment horizontal="center" vertical="center" wrapText="1"/>
    </xf>
    <xf numFmtId="1" fontId="44" fillId="7" borderId="8" xfId="0" applyNumberFormat="1" applyFont="1" applyFill="1" applyBorder="1" applyAlignment="1">
      <alignment horizontal="center" vertical="center" shrinkToFit="1"/>
    </xf>
    <xf numFmtId="0" fontId="45" fillId="7" borderId="8" xfId="0" applyFont="1" applyFill="1" applyBorder="1" applyAlignment="1">
      <alignment horizontal="center" vertical="center" wrapText="1"/>
    </xf>
    <xf numFmtId="42" fontId="44" fillId="7" borderId="8" xfId="11" applyFont="1" applyFill="1" applyBorder="1" applyAlignment="1">
      <alignment horizontal="center" vertical="center" wrapText="1"/>
    </xf>
    <xf numFmtId="1" fontId="10" fillId="7" borderId="8" xfId="0" applyNumberFormat="1" applyFont="1" applyFill="1" applyBorder="1" applyAlignment="1">
      <alignment horizontal="center" vertical="center" shrinkToFit="1"/>
    </xf>
    <xf numFmtId="1" fontId="10" fillId="7" borderId="13" xfId="0" applyNumberFormat="1" applyFont="1" applyFill="1" applyBorder="1" applyAlignment="1">
      <alignment horizontal="center" vertical="center" shrinkToFit="1"/>
    </xf>
    <xf numFmtId="0" fontId="49" fillId="7" borderId="8" xfId="0" applyFont="1" applyFill="1" applyBorder="1" applyAlignment="1">
      <alignment horizontal="center" vertical="center" wrapText="1"/>
    </xf>
    <xf numFmtId="168" fontId="14" fillId="7" borderId="7" xfId="4" applyNumberFormat="1" applyFont="1" applyFill="1" applyBorder="1" applyAlignment="1">
      <alignment horizontal="left" vertical="center" wrapText="1"/>
    </xf>
    <xf numFmtId="1" fontId="50" fillId="7" borderId="8" xfId="0" applyNumberFormat="1" applyFont="1" applyFill="1" applyBorder="1" applyAlignment="1">
      <alignment horizontal="center" vertical="center" shrinkToFit="1"/>
    </xf>
    <xf numFmtId="0" fontId="11" fillId="6" borderId="15" xfId="0" applyFont="1" applyFill="1" applyBorder="1" applyAlignment="1">
      <alignment horizontal="center" vertical="center" wrapText="1"/>
    </xf>
    <xf numFmtId="0" fontId="11" fillId="6" borderId="8" xfId="0" applyFont="1" applyFill="1" applyBorder="1" applyAlignment="1">
      <alignment horizontal="center" vertical="center" wrapText="1"/>
    </xf>
    <xf numFmtId="0" fontId="11" fillId="6" borderId="13" xfId="0" applyFont="1" applyFill="1" applyBorder="1" applyAlignment="1">
      <alignment horizontal="center" vertical="center" wrapText="1"/>
    </xf>
    <xf numFmtId="42" fontId="41" fillId="0" borderId="5" xfId="11" applyFont="1" applyBorder="1" applyAlignment="1">
      <alignment horizontal="left" vertical="center" wrapText="1"/>
    </xf>
    <xf numFmtId="168" fontId="44" fillId="7" borderId="8" xfId="9" applyNumberFormat="1" applyFont="1" applyFill="1" applyBorder="1" applyAlignment="1">
      <alignment horizontal="center" vertical="center" wrapText="1"/>
    </xf>
    <xf numFmtId="42" fontId="41" fillId="0" borderId="25" xfId="11" applyFont="1" applyBorder="1" applyAlignment="1">
      <alignment horizontal="left" vertical="center" wrapText="1"/>
    </xf>
    <xf numFmtId="0" fontId="26" fillId="12" borderId="24" xfId="0" applyFont="1" applyFill="1" applyBorder="1" applyAlignment="1">
      <alignment vertical="center" textRotation="90"/>
    </xf>
    <xf numFmtId="0" fontId="26" fillId="12" borderId="24" xfId="0" applyFont="1" applyFill="1" applyBorder="1" applyAlignment="1">
      <alignment horizontal="center" vertical="center" textRotation="90"/>
    </xf>
    <xf numFmtId="1" fontId="20" fillId="11" borderId="0" xfId="0" applyNumberFormat="1" applyFont="1" applyFill="1" applyAlignment="1">
      <alignment horizontal="center" vertical="center" textRotation="90" wrapText="1" shrinkToFit="1"/>
    </xf>
    <xf numFmtId="1" fontId="50" fillId="7" borderId="12" xfId="0" applyNumberFormat="1" applyFont="1" applyFill="1" applyBorder="1" applyAlignment="1">
      <alignment horizontal="center" vertical="center" shrinkToFit="1"/>
    </xf>
    <xf numFmtId="0" fontId="45" fillId="7" borderId="7" xfId="0" applyFont="1" applyFill="1" applyBorder="1" applyAlignment="1">
      <alignment horizontal="center" vertical="center" wrapText="1"/>
    </xf>
    <xf numFmtId="0" fontId="44" fillId="7" borderId="7" xfId="0" applyFont="1" applyFill="1" applyBorder="1" applyAlignment="1">
      <alignment horizontal="center" vertical="center" wrapText="1"/>
    </xf>
    <xf numFmtId="1" fontId="44" fillId="7" borderId="7" xfId="0" applyNumberFormat="1" applyFont="1" applyFill="1" applyBorder="1" applyAlignment="1">
      <alignment horizontal="center" vertical="center" shrinkToFit="1"/>
    </xf>
    <xf numFmtId="168" fontId="44" fillId="7" borderId="7" xfId="9" applyNumberFormat="1" applyFont="1" applyFill="1" applyBorder="1" applyAlignment="1">
      <alignment horizontal="center" vertical="center" wrapText="1"/>
    </xf>
    <xf numFmtId="42" fontId="41" fillId="0" borderId="0" xfId="11" applyFont="1" applyBorder="1" applyAlignment="1">
      <alignment horizontal="left" vertical="center" wrapText="1"/>
    </xf>
    <xf numFmtId="168" fontId="14" fillId="7" borderId="7" xfId="4" applyNumberFormat="1" applyFont="1" applyFill="1" applyBorder="1" applyAlignment="1">
      <alignment horizontal="center" vertical="center" wrapText="1"/>
    </xf>
    <xf numFmtId="9" fontId="14" fillId="7" borderId="7" xfId="5" applyFont="1" applyFill="1" applyBorder="1" applyAlignment="1">
      <alignment horizontal="center" vertical="center" wrapText="1"/>
    </xf>
    <xf numFmtId="168" fontId="14" fillId="7" borderId="10" xfId="4" applyNumberFormat="1" applyFont="1" applyFill="1" applyBorder="1" applyAlignment="1">
      <alignment horizontal="center" vertical="center" wrapText="1"/>
    </xf>
    <xf numFmtId="1" fontId="20" fillId="9" borderId="24" xfId="0" applyNumberFormat="1" applyFont="1" applyFill="1" applyBorder="1" applyAlignment="1">
      <alignment horizontal="center" vertical="center" textRotation="90" wrapText="1" shrinkToFit="1"/>
    </xf>
    <xf numFmtId="0" fontId="23" fillId="9" borderId="10" xfId="0" applyFont="1" applyFill="1" applyBorder="1" applyAlignment="1">
      <alignment horizontal="center" vertical="center" wrapText="1"/>
    </xf>
    <xf numFmtId="0" fontId="16" fillId="9" borderId="11" xfId="0" applyFont="1" applyFill="1" applyBorder="1" applyAlignment="1">
      <alignment horizontal="center" vertical="center" wrapText="1"/>
    </xf>
    <xf numFmtId="0" fontId="16" fillId="9" borderId="10" xfId="0" applyFont="1" applyFill="1" applyBorder="1" applyAlignment="1">
      <alignment horizontal="center" vertical="center" wrapText="1"/>
    </xf>
    <xf numFmtId="0" fontId="17" fillId="9" borderId="10" xfId="0" applyFont="1" applyFill="1" applyBorder="1" applyAlignment="1">
      <alignment horizontal="center" vertical="center" wrapText="1"/>
    </xf>
    <xf numFmtId="167" fontId="14" fillId="9" borderId="0" xfId="3" applyNumberFormat="1" applyFont="1" applyFill="1" applyBorder="1" applyAlignment="1">
      <alignment horizontal="center" vertical="center" wrapText="1"/>
    </xf>
    <xf numFmtId="167" fontId="14" fillId="9" borderId="7" xfId="3" applyNumberFormat="1" applyFont="1" applyFill="1" applyBorder="1" applyAlignment="1">
      <alignment horizontal="center" vertical="center" wrapText="1"/>
    </xf>
    <xf numFmtId="9" fontId="14" fillId="9" borderId="7" xfId="5" applyFont="1" applyFill="1" applyBorder="1" applyAlignment="1">
      <alignment horizontal="center" vertical="center" wrapText="1"/>
    </xf>
    <xf numFmtId="0" fontId="45" fillId="9" borderId="8" xfId="0" applyFont="1" applyFill="1" applyBorder="1" applyAlignment="1">
      <alignment horizontal="center" vertical="center" wrapText="1"/>
    </xf>
    <xf numFmtId="0" fontId="45" fillId="9" borderId="8" xfId="0" applyFont="1" applyFill="1" applyBorder="1" applyAlignment="1">
      <alignment horizontal="center" vertical="center"/>
    </xf>
    <xf numFmtId="168" fontId="45" fillId="9" borderId="16" xfId="4" applyNumberFormat="1" applyFont="1" applyFill="1" applyBorder="1" applyAlignment="1">
      <alignment horizontal="center" vertical="center" wrapText="1"/>
    </xf>
    <xf numFmtId="168" fontId="45" fillId="9" borderId="8" xfId="4" applyNumberFormat="1" applyFont="1" applyFill="1" applyBorder="1" applyAlignment="1">
      <alignment horizontal="center" vertical="center" wrapText="1"/>
    </xf>
    <xf numFmtId="167" fontId="52" fillId="9" borderId="2" xfId="3" applyNumberFormat="1" applyFont="1" applyFill="1" applyBorder="1" applyAlignment="1">
      <alignment horizontal="center" vertical="center" wrapText="1"/>
    </xf>
    <xf numFmtId="167" fontId="52" fillId="9" borderId="1" xfId="3" applyNumberFormat="1" applyFont="1" applyFill="1" applyBorder="1" applyAlignment="1">
      <alignment horizontal="center" vertical="center" wrapText="1"/>
    </xf>
    <xf numFmtId="168" fontId="53" fillId="9" borderId="8" xfId="6" applyNumberFormat="1" applyFont="1" applyFill="1" applyBorder="1" applyAlignment="1">
      <alignment vertical="center"/>
    </xf>
    <xf numFmtId="168" fontId="54" fillId="9" borderId="15" xfId="4" applyNumberFormat="1" applyFont="1" applyFill="1" applyBorder="1" applyAlignment="1">
      <alignment vertical="center" wrapText="1"/>
    </xf>
    <xf numFmtId="9" fontId="53" fillId="9" borderId="8" xfId="5" applyFont="1" applyFill="1" applyBorder="1" applyAlignment="1">
      <alignment horizontal="center" vertical="center"/>
    </xf>
    <xf numFmtId="164" fontId="45" fillId="9" borderId="1" xfId="3" applyFont="1" applyFill="1" applyBorder="1" applyAlignment="1">
      <alignment horizontal="center" vertical="center" wrapText="1"/>
    </xf>
    <xf numFmtId="164" fontId="52" fillId="9" borderId="1" xfId="3" applyFont="1" applyFill="1" applyBorder="1" applyAlignment="1">
      <alignment horizontal="center" vertical="center" wrapText="1"/>
    </xf>
    <xf numFmtId="168" fontId="45" fillId="9" borderId="12" xfId="4" applyNumberFormat="1" applyFont="1" applyFill="1" applyBorder="1" applyAlignment="1">
      <alignment horizontal="center" vertical="center" wrapText="1"/>
    </xf>
    <xf numFmtId="0" fontId="0" fillId="26" borderId="11" xfId="0" applyFill="1" applyBorder="1"/>
    <xf numFmtId="167" fontId="29" fillId="26" borderId="11" xfId="3" applyNumberFormat="1" applyFont="1" applyFill="1" applyBorder="1" applyAlignment="1">
      <alignment horizontal="center" vertical="center" wrapText="1"/>
    </xf>
    <xf numFmtId="168" fontId="36" fillId="26" borderId="11" xfId="6" applyNumberFormat="1" applyFont="1" applyFill="1" applyBorder="1" applyAlignment="1">
      <alignment vertical="center"/>
    </xf>
    <xf numFmtId="168" fontId="32" fillId="26" borderId="11" xfId="4" applyNumberFormat="1" applyFont="1" applyFill="1" applyBorder="1" applyAlignment="1">
      <alignment vertical="center" wrapText="1"/>
    </xf>
    <xf numFmtId="9" fontId="36" fillId="26" borderId="11" xfId="5" applyFont="1" applyFill="1" applyBorder="1" applyAlignment="1">
      <alignment horizontal="center" vertical="center"/>
    </xf>
    <xf numFmtId="0" fontId="0" fillId="26" borderId="11" xfId="0" applyFill="1" applyBorder="1" applyAlignment="1">
      <alignment horizontal="center" vertical="center"/>
    </xf>
    <xf numFmtId="164" fontId="14" fillId="26" borderId="11" xfId="3" applyFont="1" applyFill="1" applyBorder="1" applyAlignment="1">
      <alignment horizontal="left" vertical="center" wrapText="1"/>
    </xf>
    <xf numFmtId="164" fontId="14" fillId="26" borderId="23" xfId="3" applyFont="1" applyFill="1" applyBorder="1" applyAlignment="1">
      <alignment horizontal="left" vertical="center" wrapText="1"/>
    </xf>
    <xf numFmtId="0" fontId="26" fillId="12" borderId="8" xfId="0" applyFont="1" applyFill="1" applyBorder="1" applyAlignment="1">
      <alignment horizontal="center" vertical="center" textRotation="90"/>
    </xf>
    <xf numFmtId="0" fontId="45" fillId="24" borderId="8" xfId="0" applyFont="1" applyFill="1" applyBorder="1" applyAlignment="1">
      <alignment horizontal="center" vertical="center" wrapText="1"/>
    </xf>
    <xf numFmtId="0" fontId="45" fillId="24" borderId="8" xfId="0" applyFont="1" applyFill="1" applyBorder="1" applyAlignment="1">
      <alignment horizontal="center" vertical="center"/>
    </xf>
    <xf numFmtId="168" fontId="45" fillId="24" borderId="16" xfId="4" applyNumberFormat="1" applyFont="1" applyFill="1" applyBorder="1" applyAlignment="1">
      <alignment horizontal="center" vertical="center" wrapText="1"/>
    </xf>
    <xf numFmtId="168" fontId="45" fillId="24" borderId="8" xfId="4" applyNumberFormat="1" applyFont="1" applyFill="1" applyBorder="1" applyAlignment="1">
      <alignment horizontal="center" vertical="center" wrapText="1"/>
    </xf>
    <xf numFmtId="167" fontId="52" fillId="24" borderId="2" xfId="3" applyNumberFormat="1" applyFont="1" applyFill="1" applyBorder="1" applyAlignment="1">
      <alignment horizontal="center" vertical="center" wrapText="1"/>
    </xf>
    <xf numFmtId="167" fontId="52" fillId="24" borderId="1" xfId="3" applyNumberFormat="1" applyFont="1" applyFill="1" applyBorder="1" applyAlignment="1">
      <alignment horizontal="center" vertical="center" wrapText="1"/>
    </xf>
    <xf numFmtId="168" fontId="53" fillId="24" borderId="8" xfId="6" applyNumberFormat="1" applyFont="1" applyFill="1" applyBorder="1" applyAlignment="1">
      <alignment vertical="center"/>
    </xf>
    <xf numFmtId="168" fontId="54" fillId="24" borderId="15" xfId="4" applyNumberFormat="1" applyFont="1" applyFill="1" applyBorder="1" applyAlignment="1">
      <alignment vertical="center" wrapText="1"/>
    </xf>
    <xf numFmtId="9" fontId="53" fillId="24" borderId="8" xfId="5" applyFont="1" applyFill="1" applyBorder="1" applyAlignment="1">
      <alignment horizontal="center" vertical="center"/>
    </xf>
    <xf numFmtId="164" fontId="45" fillId="24" borderId="1" xfId="3" applyFont="1" applyFill="1" applyBorder="1" applyAlignment="1">
      <alignment horizontal="center" vertical="center" wrapText="1"/>
    </xf>
    <xf numFmtId="164" fontId="52" fillId="24" borderId="1" xfId="3" applyFont="1" applyFill="1" applyBorder="1" applyAlignment="1">
      <alignment horizontal="center" vertical="center" wrapText="1"/>
    </xf>
    <xf numFmtId="168" fontId="45" fillId="24" borderId="12" xfId="4" applyNumberFormat="1" applyFont="1" applyFill="1" applyBorder="1" applyAlignment="1">
      <alignment horizontal="center" vertical="center" wrapText="1"/>
    </xf>
    <xf numFmtId="167" fontId="52" fillId="24" borderId="3" xfId="3" applyNumberFormat="1" applyFont="1" applyFill="1" applyBorder="1" applyAlignment="1">
      <alignment horizontal="center" vertical="center" wrapText="1"/>
    </xf>
    <xf numFmtId="0" fontId="45" fillId="24" borderId="15" xfId="0" applyFont="1" applyFill="1" applyBorder="1" applyAlignment="1">
      <alignment horizontal="center" vertical="center" wrapText="1"/>
    </xf>
    <xf numFmtId="0" fontId="45" fillId="24" borderId="15" xfId="0" applyFont="1" applyFill="1" applyBorder="1" applyAlignment="1">
      <alignment horizontal="center" vertical="center"/>
    </xf>
    <xf numFmtId="168" fontId="45" fillId="24" borderId="15" xfId="4" applyNumberFormat="1" applyFont="1" applyFill="1" applyBorder="1" applyAlignment="1">
      <alignment horizontal="center" vertical="center" wrapText="1"/>
    </xf>
    <xf numFmtId="167" fontId="52" fillId="24" borderId="19" xfId="3" applyNumberFormat="1" applyFont="1" applyFill="1" applyBorder="1" applyAlignment="1">
      <alignment horizontal="center" vertical="center" wrapText="1"/>
    </xf>
    <xf numFmtId="167" fontId="52" fillId="24" borderId="5" xfId="3" applyNumberFormat="1" applyFont="1" applyFill="1" applyBorder="1" applyAlignment="1">
      <alignment horizontal="center" vertical="center" wrapText="1"/>
    </xf>
    <xf numFmtId="168" fontId="53" fillId="24" borderId="15" xfId="6" applyNumberFormat="1" applyFont="1" applyFill="1" applyBorder="1" applyAlignment="1">
      <alignment vertical="center"/>
    </xf>
    <xf numFmtId="9" fontId="53" fillId="24" borderId="15" xfId="5" applyFont="1" applyFill="1" applyBorder="1" applyAlignment="1">
      <alignment horizontal="center" vertical="center"/>
    </xf>
    <xf numFmtId="164" fontId="45" fillId="24" borderId="5" xfId="3" applyFont="1" applyFill="1" applyBorder="1" applyAlignment="1">
      <alignment horizontal="center" vertical="center" wrapText="1"/>
    </xf>
    <xf numFmtId="164" fontId="52" fillId="24" borderId="5" xfId="3" applyFont="1" applyFill="1" applyBorder="1" applyAlignment="1">
      <alignment horizontal="center" vertical="center" wrapText="1"/>
    </xf>
    <xf numFmtId="168" fontId="55" fillId="27" borderId="0" xfId="0" applyNumberFormat="1" applyFont="1" applyFill="1" applyAlignment="1">
      <alignment horizontal="center" vertical="center"/>
    </xf>
    <xf numFmtId="167" fontId="52" fillId="6" borderId="2" xfId="3" applyNumberFormat="1" applyFont="1" applyFill="1" applyBorder="1" applyAlignment="1">
      <alignment horizontal="center" vertical="center" wrapText="1"/>
    </xf>
    <xf numFmtId="167" fontId="52" fillId="6" borderId="1" xfId="3" applyNumberFormat="1" applyFont="1" applyFill="1" applyBorder="1" applyAlignment="1">
      <alignment horizontal="center" vertical="center" wrapText="1"/>
    </xf>
    <xf numFmtId="167" fontId="52" fillId="6" borderId="3" xfId="3" applyNumberFormat="1" applyFont="1" applyFill="1" applyBorder="1" applyAlignment="1">
      <alignment horizontal="center" vertical="center" wrapText="1"/>
    </xf>
    <xf numFmtId="168" fontId="53" fillId="6" borderId="8" xfId="6" applyNumberFormat="1" applyFont="1" applyFill="1" applyBorder="1" applyAlignment="1">
      <alignment vertical="center"/>
    </xf>
    <xf numFmtId="168" fontId="54" fillId="6" borderId="15" xfId="4" applyNumberFormat="1" applyFont="1" applyFill="1" applyBorder="1" applyAlignment="1">
      <alignment vertical="center" wrapText="1"/>
    </xf>
    <xf numFmtId="9" fontId="53" fillId="6" borderId="8" xfId="5" applyFont="1" applyFill="1" applyBorder="1" applyAlignment="1">
      <alignment horizontal="center" vertical="center"/>
    </xf>
    <xf numFmtId="164" fontId="45" fillId="6" borderId="1" xfId="3" applyFont="1" applyFill="1" applyBorder="1" applyAlignment="1">
      <alignment horizontal="center" vertical="center" wrapText="1"/>
    </xf>
    <xf numFmtId="164" fontId="52" fillId="6" borderId="1" xfId="3" applyFont="1" applyFill="1" applyBorder="1" applyAlignment="1">
      <alignment horizontal="center" vertical="center" wrapText="1"/>
    </xf>
    <xf numFmtId="0" fontId="13" fillId="6" borderId="15" xfId="0" applyFont="1" applyFill="1" applyBorder="1" applyAlignment="1">
      <alignment vertical="center"/>
    </xf>
    <xf numFmtId="1" fontId="18" fillId="27" borderId="20" xfId="0" applyNumberFormat="1" applyFont="1" applyFill="1" applyBorder="1" applyAlignment="1">
      <alignment horizontal="center" vertical="top" shrinkToFit="1"/>
    </xf>
    <xf numFmtId="0" fontId="16" fillId="27" borderId="13" xfId="0" applyFont="1" applyFill="1" applyBorder="1" applyAlignment="1">
      <alignment horizontal="center" vertical="center" wrapText="1"/>
    </xf>
    <xf numFmtId="1" fontId="19" fillId="27" borderId="13" xfId="0" applyNumberFormat="1" applyFont="1" applyFill="1" applyBorder="1" applyAlignment="1">
      <alignment horizontal="center" vertical="center" shrinkToFit="1"/>
    </xf>
    <xf numFmtId="0" fontId="13" fillId="27" borderId="13" xfId="0" applyFont="1" applyFill="1" applyBorder="1" applyAlignment="1">
      <alignment horizontal="center" vertical="center"/>
    </xf>
    <xf numFmtId="0" fontId="13" fillId="27" borderId="13" xfId="0" applyFont="1" applyFill="1" applyBorder="1"/>
    <xf numFmtId="168" fontId="14" fillId="27" borderId="17" xfId="4" applyNumberFormat="1" applyFont="1" applyFill="1" applyBorder="1" applyAlignment="1">
      <alignment horizontal="center" vertical="center" wrapText="1"/>
    </xf>
    <xf numFmtId="168" fontId="14" fillId="27" borderId="13" xfId="4" applyNumberFormat="1" applyFont="1" applyFill="1" applyBorder="1" applyAlignment="1">
      <alignment horizontal="center" vertical="center" wrapText="1"/>
    </xf>
    <xf numFmtId="167" fontId="14" fillId="27" borderId="18" xfId="3" applyNumberFormat="1" applyFont="1" applyFill="1" applyBorder="1" applyAlignment="1">
      <alignment horizontal="center" vertical="center" wrapText="1"/>
    </xf>
    <xf numFmtId="167" fontId="14" fillId="27" borderId="3" xfId="3" applyNumberFormat="1" applyFont="1" applyFill="1" applyBorder="1" applyAlignment="1">
      <alignment horizontal="center" vertical="center" wrapText="1"/>
    </xf>
    <xf numFmtId="9" fontId="14" fillId="27" borderId="3" xfId="5" applyFont="1" applyFill="1" applyBorder="1" applyAlignment="1">
      <alignment horizontal="center" vertical="center" wrapText="1"/>
    </xf>
    <xf numFmtId="164" fontId="13" fillId="27" borderId="3" xfId="3" applyFont="1" applyFill="1" applyBorder="1" applyAlignment="1">
      <alignment horizontal="left" vertical="center" wrapText="1"/>
    </xf>
    <xf numFmtId="164" fontId="13" fillId="27" borderId="1" xfId="3" applyFont="1" applyFill="1" applyBorder="1" applyAlignment="1">
      <alignment horizontal="center" vertical="center" wrapText="1"/>
    </xf>
    <xf numFmtId="0" fontId="0" fillId="27" borderId="0" xfId="0" applyFill="1"/>
    <xf numFmtId="1" fontId="18" fillId="27" borderId="9" xfId="0" applyNumberFormat="1" applyFont="1" applyFill="1" applyBorder="1" applyAlignment="1">
      <alignment horizontal="center" vertical="top" shrinkToFit="1"/>
    </xf>
    <xf numFmtId="0" fontId="16" fillId="27" borderId="8" xfId="0" applyFont="1" applyFill="1" applyBorder="1" applyAlignment="1">
      <alignment horizontal="center" vertical="center" wrapText="1"/>
    </xf>
    <xf numFmtId="1" fontId="19" fillId="27" borderId="8" xfId="0" applyNumberFormat="1" applyFont="1" applyFill="1" applyBorder="1" applyAlignment="1">
      <alignment horizontal="center" vertical="center" shrinkToFit="1"/>
    </xf>
    <xf numFmtId="0" fontId="13" fillId="27" borderId="8" xfId="0" applyFont="1" applyFill="1" applyBorder="1" applyAlignment="1">
      <alignment horizontal="center" vertical="center"/>
    </xf>
    <xf numFmtId="0" fontId="13" fillId="27" borderId="8" xfId="0" applyFont="1" applyFill="1" applyBorder="1"/>
    <xf numFmtId="167" fontId="14" fillId="27" borderId="6" xfId="3" applyNumberFormat="1" applyFont="1" applyFill="1" applyBorder="1" applyAlignment="1">
      <alignment horizontal="center" vertical="center" wrapText="1"/>
    </xf>
    <xf numFmtId="168" fontId="14" fillId="27" borderId="8" xfId="4" applyNumberFormat="1" applyFont="1" applyFill="1" applyBorder="1" applyAlignment="1">
      <alignment horizontal="center" vertical="center" wrapText="1"/>
    </xf>
    <xf numFmtId="167" fontId="14" fillId="27" borderId="19" xfId="3" applyNumberFormat="1" applyFont="1" applyFill="1" applyBorder="1" applyAlignment="1">
      <alignment horizontal="center" vertical="center" wrapText="1"/>
    </xf>
    <xf numFmtId="167" fontId="14" fillId="27" borderId="1" xfId="3" applyNumberFormat="1" applyFont="1" applyFill="1" applyBorder="1" applyAlignment="1">
      <alignment horizontal="center" vertical="center" wrapText="1"/>
    </xf>
    <xf numFmtId="164" fontId="13" fillId="27" borderId="1" xfId="3" applyFont="1" applyFill="1" applyBorder="1" applyAlignment="1">
      <alignment horizontal="left" vertical="center" wrapText="1"/>
    </xf>
    <xf numFmtId="168" fontId="14" fillId="27" borderId="12" xfId="4" applyNumberFormat="1" applyFont="1" applyFill="1" applyBorder="1" applyAlignment="1">
      <alignment horizontal="center" vertical="center" wrapText="1"/>
    </xf>
    <xf numFmtId="167" fontId="14" fillId="27" borderId="2" xfId="3" applyNumberFormat="1" applyFont="1" applyFill="1" applyBorder="1" applyAlignment="1">
      <alignment horizontal="center" vertical="center" wrapText="1"/>
    </xf>
    <xf numFmtId="167" fontId="52" fillId="10" borderId="2" xfId="3" applyNumberFormat="1" applyFont="1" applyFill="1" applyBorder="1" applyAlignment="1">
      <alignment horizontal="center" vertical="center" wrapText="1"/>
    </xf>
    <xf numFmtId="167" fontId="52" fillId="10" borderId="1" xfId="3" applyNumberFormat="1" applyFont="1" applyFill="1" applyBorder="1" applyAlignment="1">
      <alignment horizontal="center" vertical="center" wrapText="1"/>
    </xf>
    <xf numFmtId="168" fontId="53" fillId="10" borderId="8" xfId="6" applyNumberFormat="1" applyFont="1" applyFill="1" applyBorder="1" applyAlignment="1">
      <alignment vertical="center"/>
    </xf>
    <xf numFmtId="168" fontId="54" fillId="10" borderId="15" xfId="4" applyNumberFormat="1" applyFont="1" applyFill="1" applyBorder="1" applyAlignment="1">
      <alignment vertical="center" wrapText="1"/>
    </xf>
    <xf numFmtId="9" fontId="53" fillId="10" borderId="8" xfId="5" applyFont="1" applyFill="1" applyBorder="1" applyAlignment="1">
      <alignment horizontal="center" vertical="center"/>
    </xf>
    <xf numFmtId="164" fontId="45" fillId="10" borderId="1" xfId="3" applyFont="1" applyFill="1" applyBorder="1" applyAlignment="1">
      <alignment horizontal="center" vertical="center" wrapText="1"/>
    </xf>
    <xf numFmtId="164" fontId="52" fillId="10" borderId="1" xfId="3" applyFont="1" applyFill="1" applyBorder="1" applyAlignment="1">
      <alignment horizontal="center" vertical="center" wrapText="1"/>
    </xf>
    <xf numFmtId="0" fontId="45" fillId="9" borderId="15" xfId="0" applyFont="1" applyFill="1" applyBorder="1" applyAlignment="1">
      <alignment horizontal="center" vertical="center" wrapText="1"/>
    </xf>
    <xf numFmtId="0" fontId="45" fillId="9" borderId="15" xfId="0" applyFont="1" applyFill="1" applyBorder="1" applyAlignment="1">
      <alignment horizontal="center" vertical="center"/>
    </xf>
    <xf numFmtId="0" fontId="14" fillId="9" borderId="8" xfId="0" applyFont="1" applyFill="1" applyBorder="1" applyAlignment="1">
      <alignment horizontal="center" vertical="center" wrapText="1"/>
    </xf>
    <xf numFmtId="9" fontId="45" fillId="9" borderId="8" xfId="0" applyNumberFormat="1" applyFont="1" applyFill="1" applyBorder="1" applyAlignment="1">
      <alignment horizontal="center" vertical="center"/>
    </xf>
    <xf numFmtId="167" fontId="45" fillId="9" borderId="2" xfId="3" applyNumberFormat="1" applyFont="1" applyFill="1" applyBorder="1" applyAlignment="1">
      <alignment horizontal="center" vertical="center" wrapText="1"/>
    </xf>
    <xf numFmtId="167" fontId="45" fillId="9" borderId="1" xfId="3" applyNumberFormat="1" applyFont="1" applyFill="1" applyBorder="1" applyAlignment="1">
      <alignment horizontal="center" vertical="center" wrapText="1"/>
    </xf>
    <xf numFmtId="167" fontId="45" fillId="9" borderId="6" xfId="3" applyNumberFormat="1" applyFont="1" applyFill="1" applyBorder="1" applyAlignment="1">
      <alignment horizontal="center" vertical="center" wrapText="1"/>
    </xf>
    <xf numFmtId="167" fontId="45" fillId="9" borderId="8" xfId="3" applyNumberFormat="1" applyFont="1" applyFill="1" applyBorder="1" applyAlignment="1">
      <alignment horizontal="center" vertical="center" wrapText="1"/>
    </xf>
    <xf numFmtId="9" fontId="45" fillId="9" borderId="1" xfId="5" applyFont="1" applyFill="1" applyBorder="1" applyAlignment="1">
      <alignment horizontal="center" vertical="center" wrapText="1"/>
    </xf>
    <xf numFmtId="0" fontId="45" fillId="9" borderId="13" xfId="0" applyFont="1" applyFill="1" applyBorder="1" applyAlignment="1">
      <alignment horizontal="center" vertical="center" wrapText="1"/>
    </xf>
    <xf numFmtId="9" fontId="52" fillId="9" borderId="13" xfId="0" applyNumberFormat="1" applyFont="1" applyFill="1" applyBorder="1" applyAlignment="1">
      <alignment horizontal="center" vertical="center"/>
    </xf>
    <xf numFmtId="0" fontId="52" fillId="9" borderId="13" xfId="0" applyFont="1" applyFill="1" applyBorder="1" applyAlignment="1">
      <alignment horizontal="center" vertical="center" wrapText="1"/>
    </xf>
    <xf numFmtId="168" fontId="45" fillId="9" borderId="17" xfId="4" applyNumberFormat="1" applyFont="1" applyFill="1" applyBorder="1" applyAlignment="1">
      <alignment horizontal="center" vertical="center" wrapText="1"/>
    </xf>
    <xf numFmtId="168" fontId="45" fillId="9" borderId="13" xfId="4" applyNumberFormat="1" applyFont="1" applyFill="1" applyBorder="1" applyAlignment="1">
      <alignment horizontal="center" vertical="center" wrapText="1"/>
    </xf>
    <xf numFmtId="167" fontId="45" fillId="9" borderId="18" xfId="3" applyNumberFormat="1" applyFont="1" applyFill="1" applyBorder="1" applyAlignment="1">
      <alignment horizontal="center" vertical="center" wrapText="1"/>
    </xf>
    <xf numFmtId="167" fontId="45" fillId="9" borderId="3" xfId="3" applyNumberFormat="1" applyFont="1" applyFill="1" applyBorder="1" applyAlignment="1">
      <alignment horizontal="center" vertical="center" wrapText="1"/>
    </xf>
    <xf numFmtId="167" fontId="45" fillId="9" borderId="14" xfId="3" applyNumberFormat="1" applyFont="1" applyFill="1" applyBorder="1" applyAlignment="1">
      <alignment horizontal="center" vertical="center" wrapText="1"/>
    </xf>
    <xf numFmtId="167" fontId="45" fillId="9" borderId="13" xfId="3" applyNumberFormat="1" applyFont="1" applyFill="1" applyBorder="1" applyAlignment="1">
      <alignment horizontal="center" vertical="center" wrapText="1"/>
    </xf>
    <xf numFmtId="9" fontId="45" fillId="9" borderId="3" xfId="5" applyFont="1" applyFill="1" applyBorder="1" applyAlignment="1">
      <alignment horizontal="center" vertical="center" wrapText="1"/>
    </xf>
    <xf numFmtId="164" fontId="45" fillId="9" borderId="3" xfId="3" applyFont="1" applyFill="1" applyBorder="1" applyAlignment="1">
      <alignment horizontal="center" vertical="center" wrapText="1"/>
    </xf>
    <xf numFmtId="1" fontId="50" fillId="7" borderId="0" xfId="0" applyNumberFormat="1" applyFont="1" applyFill="1" applyAlignment="1">
      <alignment vertical="center" shrinkToFit="1"/>
    </xf>
    <xf numFmtId="0" fontId="22" fillId="7" borderId="11" xfId="0" applyFont="1" applyFill="1" applyBorder="1" applyAlignment="1">
      <alignment vertical="center" wrapText="1"/>
    </xf>
    <xf numFmtId="1" fontId="47" fillId="7" borderId="10" xfId="0" applyNumberFormat="1" applyFont="1" applyFill="1" applyBorder="1" applyAlignment="1">
      <alignment vertical="top" shrinkToFit="1"/>
    </xf>
    <xf numFmtId="1" fontId="47" fillId="7" borderId="20" xfId="0" applyNumberFormat="1" applyFont="1" applyFill="1" applyBorder="1" applyAlignment="1">
      <alignment vertical="top" shrinkToFit="1"/>
    </xf>
    <xf numFmtId="1" fontId="47" fillId="7" borderId="0" xfId="0" applyNumberFormat="1" applyFont="1" applyFill="1" applyAlignment="1">
      <alignment vertical="top" shrinkToFit="1"/>
    </xf>
    <xf numFmtId="1" fontId="47" fillId="7" borderId="24" xfId="0" applyNumberFormat="1" applyFont="1" applyFill="1" applyBorder="1" applyAlignment="1">
      <alignment vertical="top" shrinkToFit="1"/>
    </xf>
    <xf numFmtId="1" fontId="47" fillId="7" borderId="7" xfId="0" applyNumberFormat="1" applyFont="1" applyFill="1" applyBorder="1" applyAlignment="1">
      <alignment vertical="top" shrinkToFit="1"/>
    </xf>
    <xf numFmtId="1" fontId="47" fillId="7" borderId="9" xfId="0" applyNumberFormat="1" applyFont="1" applyFill="1" applyBorder="1" applyAlignment="1">
      <alignment vertical="top" shrinkToFit="1"/>
    </xf>
    <xf numFmtId="1" fontId="48" fillId="19" borderId="7" xfId="0" applyNumberFormat="1" applyFont="1" applyFill="1" applyBorder="1" applyAlignment="1">
      <alignment vertical="center" shrinkToFit="1"/>
    </xf>
    <xf numFmtId="1" fontId="48" fillId="19" borderId="9" xfId="0" applyNumberFormat="1" applyFont="1" applyFill="1" applyBorder="1" applyAlignment="1">
      <alignment vertical="center" shrinkToFit="1"/>
    </xf>
    <xf numFmtId="1" fontId="22" fillId="19" borderId="7" xfId="0" applyNumberFormat="1" applyFont="1" applyFill="1" applyBorder="1" applyAlignment="1">
      <alignment vertical="center" shrinkToFit="1"/>
    </xf>
    <xf numFmtId="1" fontId="46" fillId="7" borderId="7" xfId="0" applyNumberFormat="1" applyFont="1" applyFill="1" applyBorder="1" applyAlignment="1">
      <alignment vertical="center" shrinkToFit="1"/>
    </xf>
    <xf numFmtId="1" fontId="46" fillId="7" borderId="9" xfId="0" applyNumberFormat="1" applyFont="1" applyFill="1" applyBorder="1" applyAlignment="1">
      <alignment vertical="center" shrinkToFit="1"/>
    </xf>
    <xf numFmtId="1" fontId="18" fillId="7" borderId="7" xfId="0" applyNumberFormat="1" applyFont="1" applyFill="1" applyBorder="1" applyAlignment="1">
      <alignment vertical="center" shrinkToFit="1"/>
    </xf>
    <xf numFmtId="0" fontId="49" fillId="10" borderId="8" xfId="0" applyFont="1" applyFill="1" applyBorder="1" applyAlignment="1">
      <alignment horizontal="center" vertical="center" wrapText="1"/>
    </xf>
    <xf numFmtId="0" fontId="49" fillId="10" borderId="8" xfId="0" applyFont="1" applyFill="1" applyBorder="1" applyAlignment="1">
      <alignment horizontal="center" vertical="center"/>
    </xf>
    <xf numFmtId="168" fontId="49" fillId="10" borderId="16" xfId="4" applyNumberFormat="1" applyFont="1" applyFill="1" applyBorder="1" applyAlignment="1">
      <alignment horizontal="center" vertical="center" wrapText="1"/>
    </xf>
    <xf numFmtId="168" fontId="49" fillId="10" borderId="8" xfId="4" applyNumberFormat="1" applyFont="1" applyFill="1" applyBorder="1" applyAlignment="1">
      <alignment horizontal="center" vertical="center" wrapText="1"/>
    </xf>
    <xf numFmtId="168" fontId="49" fillId="10" borderId="12" xfId="4" applyNumberFormat="1" applyFont="1" applyFill="1" applyBorder="1" applyAlignment="1">
      <alignment horizontal="center" vertical="center" wrapText="1"/>
    </xf>
    <xf numFmtId="1" fontId="21" fillId="10" borderId="8" xfId="0" applyNumberFormat="1" applyFont="1" applyFill="1" applyBorder="1" applyAlignment="1">
      <alignment horizontal="center" vertical="center" shrinkToFit="1"/>
    </xf>
    <xf numFmtId="0" fontId="16" fillId="10" borderId="8" xfId="0" applyFont="1" applyFill="1" applyBorder="1" applyAlignment="1">
      <alignment horizontal="center" vertical="center" wrapText="1"/>
    </xf>
    <xf numFmtId="1" fontId="16" fillId="10" borderId="8" xfId="0" applyNumberFormat="1" applyFont="1" applyFill="1" applyBorder="1" applyAlignment="1">
      <alignment horizontal="center" vertical="center" shrinkToFit="1"/>
    </xf>
    <xf numFmtId="1" fontId="57" fillId="6" borderId="13" xfId="0" applyNumberFormat="1" applyFont="1" applyFill="1" applyBorder="1" applyAlignment="1">
      <alignment horizontal="center" vertical="top" shrinkToFit="1"/>
    </xf>
    <xf numFmtId="0" fontId="49" fillId="6" borderId="8" xfId="0" applyFont="1" applyFill="1" applyBorder="1" applyAlignment="1">
      <alignment horizontal="center" vertical="center" wrapText="1"/>
    </xf>
    <xf numFmtId="0" fontId="49" fillId="6" borderId="8" xfId="0" applyFont="1" applyFill="1" applyBorder="1" applyAlignment="1">
      <alignment horizontal="center" vertical="center"/>
    </xf>
    <xf numFmtId="168" fontId="49" fillId="6" borderId="8" xfId="4" applyNumberFormat="1" applyFont="1" applyFill="1" applyBorder="1" applyAlignment="1">
      <alignment horizontal="center" vertical="center" wrapText="1"/>
    </xf>
    <xf numFmtId="168" fontId="49" fillId="6" borderId="12" xfId="4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16" fillId="0" borderId="15" xfId="0" applyFont="1" applyBorder="1" applyAlignment="1">
      <alignment wrapText="1"/>
    </xf>
    <xf numFmtId="0" fontId="19" fillId="0" borderId="15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 wrapText="1"/>
    </xf>
    <xf numFmtId="0" fontId="0" fillId="0" borderId="15" xfId="0" applyBorder="1"/>
    <xf numFmtId="167" fontId="29" fillId="0" borderId="25" xfId="3" applyNumberFormat="1" applyFont="1" applyFill="1" applyBorder="1" applyAlignment="1">
      <alignment horizontal="center" vertical="center" wrapText="1"/>
    </xf>
    <xf numFmtId="167" fontId="29" fillId="0" borderId="15" xfId="3" applyNumberFormat="1" applyFont="1" applyFill="1" applyBorder="1" applyAlignment="1">
      <alignment horizontal="center" vertical="center" wrapText="1"/>
    </xf>
    <xf numFmtId="167" fontId="29" fillId="0" borderId="19" xfId="3" applyNumberFormat="1" applyFont="1" applyFill="1" applyBorder="1" applyAlignment="1">
      <alignment horizontal="center" vertical="center" wrapText="1"/>
    </xf>
    <xf numFmtId="167" fontId="29" fillId="0" borderId="5" xfId="3" applyNumberFormat="1" applyFont="1" applyFill="1" applyBorder="1" applyAlignment="1">
      <alignment horizontal="center" vertical="center" wrapText="1"/>
    </xf>
    <xf numFmtId="167" fontId="14" fillId="0" borderId="8" xfId="3" applyNumberFormat="1" applyFont="1" applyFill="1" applyBorder="1" applyAlignment="1">
      <alignment horizontal="center" vertical="center" wrapText="1"/>
    </xf>
    <xf numFmtId="9" fontId="14" fillId="0" borderId="8" xfId="5" applyFont="1" applyFill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/>
    </xf>
    <xf numFmtId="164" fontId="14" fillId="0" borderId="5" xfId="3" applyFont="1" applyFill="1" applyBorder="1" applyAlignment="1">
      <alignment horizontal="left" vertical="center" wrapText="1"/>
    </xf>
    <xf numFmtId="1" fontId="18" fillId="0" borderId="23" xfId="0" applyNumberFormat="1" applyFont="1" applyBorder="1" applyAlignment="1">
      <alignment horizontal="center" vertical="top" shrinkToFit="1"/>
    </xf>
    <xf numFmtId="0" fontId="16" fillId="0" borderId="13" xfId="0" applyFont="1" applyBorder="1" applyAlignment="1">
      <alignment horizontal="left" vertical="top" wrapText="1"/>
    </xf>
    <xf numFmtId="1" fontId="19" fillId="0" borderId="13" xfId="0" applyNumberFormat="1" applyFont="1" applyBorder="1" applyAlignment="1">
      <alignment horizontal="center" vertical="center" shrinkToFit="1"/>
    </xf>
    <xf numFmtId="0" fontId="13" fillId="0" borderId="13" xfId="0" applyFont="1" applyBorder="1" applyAlignment="1">
      <alignment horizontal="center" vertical="center"/>
    </xf>
    <xf numFmtId="1" fontId="19" fillId="0" borderId="13" xfId="0" applyNumberFormat="1" applyFont="1" applyBorder="1" applyAlignment="1">
      <alignment horizontal="center" vertical="top" shrinkToFit="1"/>
    </xf>
    <xf numFmtId="0" fontId="13" fillId="0" borderId="13" xfId="0" applyFont="1" applyBorder="1"/>
    <xf numFmtId="168" fontId="14" fillId="0" borderId="17" xfId="4" applyNumberFormat="1" applyFont="1" applyFill="1" applyBorder="1" applyAlignment="1">
      <alignment horizontal="center" vertical="center" wrapText="1"/>
    </xf>
    <xf numFmtId="168" fontId="14" fillId="0" borderId="13" xfId="4" applyNumberFormat="1" applyFont="1" applyFill="1" applyBorder="1" applyAlignment="1">
      <alignment horizontal="center" vertical="center" wrapText="1"/>
    </xf>
    <xf numFmtId="167" fontId="14" fillId="0" borderId="18" xfId="3" applyNumberFormat="1" applyFont="1" applyFill="1" applyBorder="1" applyAlignment="1">
      <alignment horizontal="center" vertical="center" wrapText="1"/>
    </xf>
    <xf numFmtId="167" fontId="14" fillId="0" borderId="3" xfId="3" applyNumberFormat="1" applyFont="1" applyFill="1" applyBorder="1" applyAlignment="1">
      <alignment horizontal="center" vertical="center" wrapText="1"/>
    </xf>
    <xf numFmtId="167" fontId="29" fillId="0" borderId="3" xfId="3" applyNumberFormat="1" applyFont="1" applyFill="1" applyBorder="1" applyAlignment="1">
      <alignment horizontal="center" vertical="center" wrapText="1"/>
    </xf>
    <xf numFmtId="9" fontId="14" fillId="0" borderId="3" xfId="5" applyFont="1" applyFill="1" applyBorder="1" applyAlignment="1">
      <alignment horizontal="center" vertical="center" wrapText="1"/>
    </xf>
    <xf numFmtId="164" fontId="13" fillId="0" borderId="5" xfId="3" applyFont="1" applyFill="1" applyBorder="1" applyAlignment="1">
      <alignment horizontal="center" vertical="center" wrapText="1"/>
    </xf>
    <xf numFmtId="164" fontId="14" fillId="0" borderId="3" xfId="3" applyFont="1" applyFill="1" applyBorder="1" applyAlignment="1">
      <alignment horizontal="left" vertical="center" wrapText="1"/>
    </xf>
    <xf numFmtId="0" fontId="23" fillId="9" borderId="0" xfId="0" applyFont="1" applyFill="1" applyAlignment="1">
      <alignment vertical="center" wrapText="1"/>
    </xf>
    <xf numFmtId="0" fontId="16" fillId="0" borderId="15" xfId="0" applyFont="1" applyBorder="1" applyAlignment="1">
      <alignment horizontal="left" vertical="top" wrapText="1"/>
    </xf>
    <xf numFmtId="1" fontId="19" fillId="0" borderId="15" xfId="0" applyNumberFormat="1" applyFont="1" applyBorder="1" applyAlignment="1">
      <alignment horizontal="center" vertical="center" shrinkToFit="1"/>
    </xf>
    <xf numFmtId="0" fontId="13" fillId="0" borderId="15" xfId="0" applyFont="1" applyBorder="1" applyAlignment="1">
      <alignment horizontal="center" vertical="center"/>
    </xf>
    <xf numFmtId="0" fontId="13" fillId="0" borderId="15" xfId="0" applyFont="1" applyBorder="1"/>
    <xf numFmtId="167" fontId="14" fillId="0" borderId="19" xfId="3" applyNumberFormat="1" applyFont="1" applyFill="1" applyBorder="1" applyAlignment="1">
      <alignment horizontal="center" vertical="center" wrapText="1"/>
    </xf>
    <xf numFmtId="168" fontId="14" fillId="0" borderId="15" xfId="4" applyNumberFormat="1" applyFont="1" applyFill="1" applyBorder="1" applyAlignment="1">
      <alignment horizontal="center" vertical="center" wrapText="1"/>
    </xf>
    <xf numFmtId="167" fontId="14" fillId="0" borderId="5" xfId="3" applyNumberFormat="1" applyFont="1" applyFill="1" applyBorder="1" applyAlignment="1">
      <alignment horizontal="center" vertical="center" wrapText="1"/>
    </xf>
    <xf numFmtId="0" fontId="34" fillId="0" borderId="51" xfId="7" applyBorder="1" applyAlignment="1">
      <alignment horizontal="center" vertical="center"/>
    </xf>
    <xf numFmtId="0" fontId="34" fillId="0" borderId="8" xfId="7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6" xfId="0" applyFont="1" applyBorder="1"/>
    <xf numFmtId="0" fontId="5" fillId="0" borderId="2" xfId="1" applyFont="1" applyBorder="1" applyAlignment="1"/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34" fillId="0" borderId="37" xfId="7" applyBorder="1" applyAlignment="1">
      <alignment horizontal="center" vertical="center"/>
    </xf>
    <xf numFmtId="0" fontId="34" fillId="0" borderId="38" xfId="7" applyBorder="1" applyAlignment="1">
      <alignment horizontal="center" vertical="center"/>
    </xf>
    <xf numFmtId="0" fontId="38" fillId="0" borderId="0" xfId="7" applyFont="1" applyAlignment="1">
      <alignment horizontal="center" vertical="center"/>
    </xf>
    <xf numFmtId="0" fontId="34" fillId="0" borderId="0" xfId="7" applyAlignment="1">
      <alignment horizontal="center" vertical="center"/>
    </xf>
    <xf numFmtId="0" fontId="34" fillId="0" borderId="34" xfId="7" applyBorder="1" applyAlignment="1">
      <alignment horizontal="center" vertical="center"/>
    </xf>
    <xf numFmtId="0" fontId="34" fillId="0" borderId="36" xfId="7" applyBorder="1" applyAlignment="1">
      <alignment horizontal="center" vertical="center" wrapText="1"/>
    </xf>
    <xf numFmtId="0" fontId="34" fillId="0" borderId="37" xfId="7" applyBorder="1" applyAlignment="1">
      <alignment horizontal="center" vertical="center" wrapText="1"/>
    </xf>
    <xf numFmtId="0" fontId="34" fillId="0" borderId="38" xfId="7" applyBorder="1" applyAlignment="1">
      <alignment horizontal="center" vertical="center" wrapText="1"/>
    </xf>
    <xf numFmtId="0" fontId="34" fillId="25" borderId="41" xfId="7" applyFill="1" applyBorder="1" applyAlignment="1">
      <alignment horizontal="center" vertical="center"/>
    </xf>
    <xf numFmtId="0" fontId="34" fillId="25" borderId="47" xfId="7" applyFill="1" applyBorder="1" applyAlignment="1">
      <alignment horizontal="center" vertical="center"/>
    </xf>
    <xf numFmtId="0" fontId="34" fillId="0" borderId="42" xfId="7" applyBorder="1" applyAlignment="1">
      <alignment horizontal="center" vertical="center"/>
    </xf>
    <xf numFmtId="0" fontId="34" fillId="0" borderId="46" xfId="7" applyBorder="1" applyAlignment="1">
      <alignment horizontal="center" vertical="center"/>
    </xf>
    <xf numFmtId="0" fontId="34" fillId="0" borderId="28" xfId="7" applyBorder="1" applyAlignment="1">
      <alignment horizontal="center" vertical="center"/>
    </xf>
    <xf numFmtId="0" fontId="37" fillId="0" borderId="37" xfId="8" applyBorder="1" applyAlignment="1">
      <alignment horizontal="center" vertical="center"/>
    </xf>
    <xf numFmtId="0" fontId="37" fillId="0" borderId="38" xfId="8" applyBorder="1" applyAlignment="1">
      <alignment horizontal="center" vertical="center"/>
    </xf>
    <xf numFmtId="0" fontId="38" fillId="25" borderId="36" xfId="7" applyFont="1" applyFill="1" applyBorder="1" applyAlignment="1">
      <alignment horizontal="center" vertical="center"/>
    </xf>
    <xf numFmtId="0" fontId="38" fillId="25" borderId="38" xfId="7" applyFont="1" applyFill="1" applyBorder="1" applyAlignment="1">
      <alignment horizontal="center" vertical="center"/>
    </xf>
    <xf numFmtId="0" fontId="34" fillId="0" borderId="36" xfId="7" applyBorder="1" applyAlignment="1">
      <alignment horizontal="center" vertical="center"/>
    </xf>
    <xf numFmtId="0" fontId="38" fillId="25" borderId="40" xfId="7" applyFont="1" applyFill="1" applyBorder="1" applyAlignment="1">
      <alignment horizontal="center" vertical="center"/>
    </xf>
    <xf numFmtId="0" fontId="38" fillId="25" borderId="43" xfId="7" applyFont="1" applyFill="1" applyBorder="1" applyAlignment="1">
      <alignment horizontal="center" vertical="center"/>
    </xf>
    <xf numFmtId="0" fontId="26" fillId="12" borderId="20" xfId="0" applyFont="1" applyFill="1" applyBorder="1" applyAlignment="1">
      <alignment horizontal="center" vertical="center" textRotation="90"/>
    </xf>
    <xf numFmtId="0" fontId="26" fillId="12" borderId="24" xfId="0" applyFont="1" applyFill="1" applyBorder="1" applyAlignment="1">
      <alignment horizontal="center" vertical="center" textRotation="90"/>
    </xf>
    <xf numFmtId="1" fontId="20" fillId="6" borderId="20" xfId="0" applyNumberFormat="1" applyFont="1" applyFill="1" applyBorder="1" applyAlignment="1">
      <alignment horizontal="center" vertical="center" textRotation="90" wrapText="1" shrinkToFit="1"/>
    </xf>
    <xf numFmtId="1" fontId="20" fillId="6" borderId="24" xfId="0" applyNumberFormat="1" applyFont="1" applyFill="1" applyBorder="1" applyAlignment="1">
      <alignment horizontal="center" vertical="center" textRotation="90" wrapText="1" shrinkToFit="1"/>
    </xf>
    <xf numFmtId="1" fontId="20" fillId="6" borderId="23" xfId="0" applyNumberFormat="1" applyFont="1" applyFill="1" applyBorder="1" applyAlignment="1">
      <alignment horizontal="center" vertical="center" textRotation="90" wrapText="1" shrinkToFit="1"/>
    </xf>
    <xf numFmtId="0" fontId="17" fillId="20" borderId="12" xfId="0" applyFont="1" applyFill="1" applyBorder="1" applyAlignment="1">
      <alignment horizontal="center" vertical="center" wrapText="1"/>
    </xf>
    <xf numFmtId="0" fontId="17" fillId="20" borderId="7" xfId="0" applyFont="1" applyFill="1" applyBorder="1" applyAlignment="1">
      <alignment horizontal="center" vertical="center" wrapText="1"/>
    </xf>
    <xf numFmtId="0" fontId="17" fillId="8" borderId="16" xfId="0" applyFont="1" applyFill="1" applyBorder="1" applyAlignment="1">
      <alignment horizontal="center" vertical="center" wrapText="1"/>
    </xf>
    <xf numFmtId="0" fontId="17" fillId="8" borderId="11" xfId="0" applyFont="1" applyFill="1" applyBorder="1" applyAlignment="1">
      <alignment horizontal="center" vertical="center" wrapText="1"/>
    </xf>
    <xf numFmtId="0" fontId="17" fillId="8" borderId="23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1" fontId="20" fillId="9" borderId="13" xfId="0" applyNumberFormat="1" applyFont="1" applyFill="1" applyBorder="1" applyAlignment="1">
      <alignment horizontal="center" vertical="center" textRotation="90" wrapText="1" shrinkToFit="1"/>
    </xf>
    <xf numFmtId="1" fontId="20" fillId="9" borderId="22" xfId="0" applyNumberFormat="1" applyFont="1" applyFill="1" applyBorder="1" applyAlignment="1">
      <alignment horizontal="center" vertical="center" textRotation="90" wrapText="1" shrinkToFit="1"/>
    </xf>
    <xf numFmtId="1" fontId="20" fillId="9" borderId="15" xfId="0" applyNumberFormat="1" applyFont="1" applyFill="1" applyBorder="1" applyAlignment="1">
      <alignment horizontal="center" vertical="center" textRotation="90" wrapText="1" shrinkToFit="1"/>
    </xf>
    <xf numFmtId="0" fontId="17" fillId="8" borderId="17" xfId="0" applyFont="1" applyFill="1" applyBorder="1" applyAlignment="1">
      <alignment horizontal="center" vertical="center" wrapText="1"/>
    </xf>
    <xf numFmtId="0" fontId="17" fillId="8" borderId="10" xfId="0" applyFont="1" applyFill="1" applyBorder="1" applyAlignment="1">
      <alignment horizontal="center" vertical="center" wrapText="1"/>
    </xf>
    <xf numFmtId="0" fontId="17" fillId="8" borderId="20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22" fillId="16" borderId="50" xfId="0" applyFont="1" applyFill="1" applyBorder="1" applyAlignment="1">
      <alignment horizontal="center" vertical="center" wrapText="1"/>
    </xf>
    <xf numFmtId="0" fontId="22" fillId="16" borderId="0" xfId="0" applyFont="1" applyFill="1" applyAlignment="1">
      <alignment horizontal="center" vertical="center" wrapText="1"/>
    </xf>
    <xf numFmtId="0" fontId="31" fillId="15" borderId="17" xfId="0" applyFont="1" applyFill="1" applyBorder="1" applyAlignment="1">
      <alignment horizontal="center"/>
    </xf>
    <xf numFmtId="0" fontId="31" fillId="15" borderId="9" xfId="0" applyFont="1" applyFill="1" applyBorder="1" applyAlignment="1">
      <alignment horizontal="center"/>
    </xf>
    <xf numFmtId="0" fontId="31" fillId="15" borderId="12" xfId="0" applyFont="1" applyFill="1" applyBorder="1" applyAlignment="1">
      <alignment horizontal="center"/>
    </xf>
    <xf numFmtId="0" fontId="8" fillId="9" borderId="8" xfId="0" applyFont="1" applyFill="1" applyBorder="1" applyAlignment="1">
      <alignment horizontal="center" vertical="center"/>
    </xf>
    <xf numFmtId="1" fontId="20" fillId="11" borderId="20" xfId="0" applyNumberFormat="1" applyFont="1" applyFill="1" applyBorder="1" applyAlignment="1">
      <alignment horizontal="center" vertical="center" textRotation="90" wrapText="1" shrinkToFit="1"/>
    </xf>
    <xf numFmtId="1" fontId="20" fillId="11" borderId="24" xfId="0" applyNumberFormat="1" applyFont="1" applyFill="1" applyBorder="1" applyAlignment="1">
      <alignment horizontal="center" vertical="center" textRotation="90" wrapText="1" shrinkToFit="1"/>
    </xf>
    <xf numFmtId="1" fontId="20" fillId="11" borderId="23" xfId="0" applyNumberFormat="1" applyFont="1" applyFill="1" applyBorder="1" applyAlignment="1">
      <alignment horizontal="center" vertical="center" textRotation="90" wrapText="1" shrinkToFit="1"/>
    </xf>
    <xf numFmtId="0" fontId="22" fillId="7" borderId="12" xfId="0" applyFont="1" applyFill="1" applyBorder="1" applyAlignment="1">
      <alignment horizontal="center" vertical="center" wrapText="1"/>
    </xf>
    <xf numFmtId="0" fontId="22" fillId="7" borderId="7" xfId="0" applyFont="1" applyFill="1" applyBorder="1" applyAlignment="1">
      <alignment horizontal="center" vertical="center" wrapText="1"/>
    </xf>
    <xf numFmtId="0" fontId="22" fillId="2" borderId="17" xfId="0" applyFont="1" applyFill="1" applyBorder="1" applyAlignment="1">
      <alignment horizontal="center" vertical="center" wrapText="1"/>
    </xf>
    <xf numFmtId="0" fontId="22" fillId="2" borderId="10" xfId="0" applyFont="1" applyFill="1" applyBorder="1" applyAlignment="1">
      <alignment horizontal="center" vertical="center" wrapText="1"/>
    </xf>
    <xf numFmtId="0" fontId="22" fillId="18" borderId="50" xfId="0" applyFont="1" applyFill="1" applyBorder="1" applyAlignment="1">
      <alignment horizontal="center" vertical="center" wrapText="1"/>
    </xf>
    <xf numFmtId="0" fontId="22" fillId="18" borderId="0" xfId="0" applyFont="1" applyFill="1" applyAlignment="1">
      <alignment horizontal="center" vertical="center" wrapText="1"/>
    </xf>
    <xf numFmtId="1" fontId="47" fillId="7" borderId="17" xfId="0" applyNumberFormat="1" applyFont="1" applyFill="1" applyBorder="1" applyAlignment="1">
      <alignment horizontal="center" vertical="top" shrinkToFit="1"/>
    </xf>
    <xf numFmtId="1" fontId="47" fillId="7" borderId="10" xfId="0" applyNumberFormat="1" applyFont="1" applyFill="1" applyBorder="1" applyAlignment="1">
      <alignment horizontal="center" vertical="top" shrinkToFit="1"/>
    </xf>
    <xf numFmtId="1" fontId="47" fillId="7" borderId="12" xfId="0" applyNumberFormat="1" applyFont="1" applyFill="1" applyBorder="1" applyAlignment="1">
      <alignment horizontal="center" vertical="top" shrinkToFit="1"/>
    </xf>
    <xf numFmtId="1" fontId="47" fillId="7" borderId="7" xfId="0" applyNumberFormat="1" applyFont="1" applyFill="1" applyBorder="1" applyAlignment="1">
      <alignment horizontal="center" vertical="top" shrinkToFit="1"/>
    </xf>
    <xf numFmtId="1" fontId="48" fillId="19" borderId="12" xfId="0" applyNumberFormat="1" applyFont="1" applyFill="1" applyBorder="1" applyAlignment="1">
      <alignment horizontal="center" vertical="center" shrinkToFit="1"/>
    </xf>
    <xf numFmtId="1" fontId="48" fillId="19" borderId="7" xfId="0" applyNumberFormat="1" applyFont="1" applyFill="1" applyBorder="1" applyAlignment="1">
      <alignment horizontal="center" vertical="center" shrinkToFit="1"/>
    </xf>
    <xf numFmtId="1" fontId="22" fillId="19" borderId="12" xfId="0" applyNumberFormat="1" applyFont="1" applyFill="1" applyBorder="1" applyAlignment="1">
      <alignment horizontal="center" vertical="center" shrinkToFit="1"/>
    </xf>
    <xf numFmtId="1" fontId="22" fillId="19" borderId="7" xfId="0" applyNumberFormat="1" applyFont="1" applyFill="1" applyBorder="1" applyAlignment="1">
      <alignment horizontal="center" vertical="center" shrinkToFit="1"/>
    </xf>
    <xf numFmtId="1" fontId="46" fillId="7" borderId="12" xfId="0" applyNumberFormat="1" applyFont="1" applyFill="1" applyBorder="1" applyAlignment="1">
      <alignment horizontal="center" vertical="center" shrinkToFit="1"/>
    </xf>
    <xf numFmtId="1" fontId="46" fillId="7" borderId="7" xfId="0" applyNumberFormat="1" applyFont="1" applyFill="1" applyBorder="1" applyAlignment="1">
      <alignment horizontal="center" vertical="center" shrinkToFit="1"/>
    </xf>
    <xf numFmtId="1" fontId="18" fillId="7" borderId="12" xfId="0" applyNumberFormat="1" applyFont="1" applyFill="1" applyBorder="1" applyAlignment="1">
      <alignment horizontal="center" vertical="center" shrinkToFit="1"/>
    </xf>
    <xf numFmtId="1" fontId="18" fillId="7" borderId="7" xfId="0" applyNumberFormat="1" applyFont="1" applyFill="1" applyBorder="1" applyAlignment="1">
      <alignment horizontal="center" vertical="center" shrinkToFit="1"/>
    </xf>
    <xf numFmtId="0" fontId="0" fillId="12" borderId="8" xfId="0" applyFill="1" applyBorder="1" applyAlignment="1">
      <alignment horizontal="center" vertical="center"/>
    </xf>
    <xf numFmtId="1" fontId="50" fillId="7" borderId="12" xfId="0" applyNumberFormat="1" applyFont="1" applyFill="1" applyBorder="1" applyAlignment="1">
      <alignment horizontal="center" vertical="center" shrinkToFit="1"/>
    </xf>
    <xf numFmtId="1" fontId="50" fillId="7" borderId="7" xfId="0" applyNumberFormat="1" applyFont="1" applyFill="1" applyBorder="1" applyAlignment="1">
      <alignment horizontal="center" vertical="center" shrinkToFit="1"/>
    </xf>
    <xf numFmtId="0" fontId="35" fillId="22" borderId="27" xfId="0" applyFont="1" applyFill="1" applyBorder="1" applyAlignment="1">
      <alignment horizontal="center" vertical="center"/>
    </xf>
    <xf numFmtId="0" fontId="35" fillId="22" borderId="28" xfId="0" applyFont="1" applyFill="1" applyBorder="1" applyAlignment="1">
      <alignment horizontal="center" vertical="center"/>
    </xf>
    <xf numFmtId="0" fontId="25" fillId="18" borderId="12" xfId="0" applyFont="1" applyFill="1" applyBorder="1" applyAlignment="1">
      <alignment horizontal="center" wrapText="1"/>
    </xf>
    <xf numFmtId="0" fontId="25" fillId="18" borderId="7" xfId="0" applyFont="1" applyFill="1" applyBorder="1" applyAlignment="1">
      <alignment horizontal="center" wrapText="1"/>
    </xf>
    <xf numFmtId="0" fontId="25" fillId="18" borderId="12" xfId="0" applyFont="1" applyFill="1" applyBorder="1" applyAlignment="1">
      <alignment horizontal="center" vertical="center"/>
    </xf>
    <xf numFmtId="0" fontId="25" fillId="18" borderId="7" xfId="0" applyFont="1" applyFill="1" applyBorder="1" applyAlignment="1">
      <alignment horizontal="center" vertical="center"/>
    </xf>
    <xf numFmtId="0" fontId="23" fillId="20" borderId="12" xfId="0" applyFont="1" applyFill="1" applyBorder="1" applyAlignment="1">
      <alignment horizontal="center" vertical="center" wrapText="1"/>
    </xf>
    <xf numFmtId="0" fontId="23" fillId="20" borderId="7" xfId="0" applyFont="1" applyFill="1" applyBorder="1" applyAlignment="1">
      <alignment horizontal="center" vertical="center" wrapText="1"/>
    </xf>
    <xf numFmtId="0" fontId="19" fillId="21" borderId="12" xfId="0" applyFont="1" applyFill="1" applyBorder="1" applyAlignment="1">
      <alignment horizontal="center"/>
    </xf>
    <xf numFmtId="0" fontId="19" fillId="21" borderId="7" xfId="0" applyFont="1" applyFill="1" applyBorder="1" applyAlignment="1">
      <alignment horizontal="center"/>
    </xf>
    <xf numFmtId="0" fontId="25" fillId="13" borderId="12" xfId="0" applyFont="1" applyFill="1" applyBorder="1" applyAlignment="1">
      <alignment horizontal="center" vertical="center"/>
    </xf>
    <xf numFmtId="0" fontId="25" fillId="13" borderId="7" xfId="0" applyFont="1" applyFill="1" applyBorder="1" applyAlignment="1">
      <alignment horizontal="center" vertical="center"/>
    </xf>
    <xf numFmtId="0" fontId="25" fillId="13" borderId="17" xfId="0" applyFont="1" applyFill="1" applyBorder="1" applyAlignment="1">
      <alignment horizontal="center" vertical="center"/>
    </xf>
    <xf numFmtId="0" fontId="25" fillId="13" borderId="10" xfId="0" applyFont="1" applyFill="1" applyBorder="1" applyAlignment="1">
      <alignment horizontal="center" vertical="center"/>
    </xf>
    <xf numFmtId="0" fontId="18" fillId="21" borderId="12" xfId="0" applyFont="1" applyFill="1" applyBorder="1" applyAlignment="1">
      <alignment horizontal="center" vertical="center"/>
    </xf>
    <xf numFmtId="0" fontId="18" fillId="21" borderId="7" xfId="0" applyFont="1" applyFill="1" applyBorder="1" applyAlignment="1">
      <alignment horizontal="center" vertical="center"/>
    </xf>
    <xf numFmtId="0" fontId="51" fillId="26" borderId="16" xfId="0" applyFont="1" applyFill="1" applyBorder="1" applyAlignment="1">
      <alignment horizontal="center" vertical="center"/>
    </xf>
    <xf numFmtId="0" fontId="51" fillId="26" borderId="11" xfId="0" applyFont="1" applyFill="1" applyBorder="1" applyAlignment="1">
      <alignment horizontal="center" vertical="center"/>
    </xf>
    <xf numFmtId="0" fontId="23" fillId="9" borderId="50" xfId="0" applyFont="1" applyFill="1" applyBorder="1" applyAlignment="1">
      <alignment horizontal="center" vertical="center" wrapText="1"/>
    </xf>
    <xf numFmtId="0" fontId="23" fillId="9" borderId="0" xfId="0" applyFont="1" applyFill="1" applyAlignment="1">
      <alignment horizontal="center" vertical="center" wrapText="1"/>
    </xf>
  </cellXfs>
  <cellStyles count="14">
    <cellStyle name="Hipervínculo" xfId="1" builtinId="8"/>
    <cellStyle name="Hipervínculo 2" xfId="8" xr:uid="{00000000-0005-0000-0000-000001000000}"/>
    <cellStyle name="Hyperlink" xfId="2" xr:uid="{00000000-0005-0000-0000-000002000000}"/>
    <cellStyle name="Millares 2" xfId="13" xr:uid="{00000000-0005-0000-0000-000003000000}"/>
    <cellStyle name="Moneda" xfId="4" builtinId="4"/>
    <cellStyle name="Moneda [0]" xfId="3" builtinId="7"/>
    <cellStyle name="Moneda [0] 2" xfId="11" xr:uid="{00000000-0005-0000-0000-000006000000}"/>
    <cellStyle name="Moneda 2" xfId="9" xr:uid="{00000000-0005-0000-0000-000007000000}"/>
    <cellStyle name="Normal" xfId="0" builtinId="0"/>
    <cellStyle name="Normal 2" xfId="6" xr:uid="{00000000-0005-0000-0000-000009000000}"/>
    <cellStyle name="Normal 2 2" xfId="7" xr:uid="{00000000-0005-0000-0000-00000A000000}"/>
    <cellStyle name="Normal 3" xfId="10" xr:uid="{00000000-0005-0000-0000-00000B000000}"/>
    <cellStyle name="Porcentaje" xfId="5" builtinId="5"/>
    <cellStyle name="Porcentaje 2" xfId="12" xr:uid="{00000000-0005-0000-0000-00000D00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23542</xdr:colOff>
      <xdr:row>7</xdr:row>
      <xdr:rowOff>99788</xdr:rowOff>
    </xdr:from>
    <xdr:to>
      <xdr:col>3</xdr:col>
      <xdr:colOff>1585913</xdr:colOff>
      <xdr:row>7</xdr:row>
      <xdr:rowOff>1019176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EC7DDDE-413B-82B6-3DCF-4F817B0B5C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8942" y="1728563"/>
          <a:ext cx="1676671" cy="919388"/>
        </a:xfrm>
        <a:prstGeom prst="rect">
          <a:avLst/>
        </a:prstGeom>
      </xdr:spPr>
    </xdr:pic>
    <xdr:clientData/>
  </xdr:twoCellAnchor>
  <xdr:twoCellAnchor editAs="oneCell">
    <xdr:from>
      <xdr:col>3</xdr:col>
      <xdr:colOff>33339</xdr:colOff>
      <xdr:row>8</xdr:row>
      <xdr:rowOff>5174</xdr:rowOff>
    </xdr:from>
    <xdr:to>
      <xdr:col>3</xdr:col>
      <xdr:colOff>1581151</xdr:colOff>
      <xdr:row>10</xdr:row>
      <xdr:rowOff>315733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2AC752-83E5-7B17-935C-F0049A9CB5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58739" y="2681699"/>
          <a:ext cx="1604962" cy="901109"/>
        </a:xfrm>
        <a:prstGeom prst="rect">
          <a:avLst/>
        </a:prstGeom>
      </xdr:spPr>
    </xdr:pic>
    <xdr:clientData/>
  </xdr:twoCellAnchor>
  <xdr:twoCellAnchor editAs="oneCell">
    <xdr:from>
      <xdr:col>3</xdr:col>
      <xdr:colOff>4764</xdr:colOff>
      <xdr:row>13</xdr:row>
      <xdr:rowOff>11543</xdr:rowOff>
    </xdr:from>
    <xdr:to>
      <xdr:col>3</xdr:col>
      <xdr:colOff>1581152</xdr:colOff>
      <xdr:row>13</xdr:row>
      <xdr:rowOff>1057275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98A9066-C22A-E3C5-6816-7642673B0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730164" y="3592943"/>
          <a:ext cx="1671638" cy="1045732"/>
        </a:xfrm>
        <a:prstGeom prst="rect">
          <a:avLst/>
        </a:prstGeom>
      </xdr:spPr>
    </xdr:pic>
    <xdr:clientData/>
  </xdr:twoCellAnchor>
  <xdr:twoCellAnchor editAs="oneCell">
    <xdr:from>
      <xdr:col>3</xdr:col>
      <xdr:colOff>33337</xdr:colOff>
      <xdr:row>14</xdr:row>
      <xdr:rowOff>0</xdr:rowOff>
    </xdr:from>
    <xdr:to>
      <xdr:col>3</xdr:col>
      <xdr:colOff>1619250</xdr:colOff>
      <xdr:row>15</xdr:row>
      <xdr:rowOff>6642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156CEB1-BC98-52F1-0F9A-3F296996E511}"/>
            </a:ext>
            <a:ext uri="{147F2762-F138-4A5C-976F-8EAC2B608ADB}">
              <a16:predDERef xmlns:a16="http://schemas.microsoft.com/office/drawing/2014/main" pred="{198A9066-C22A-E3C5-6816-7642673B0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654337" y="6462712"/>
          <a:ext cx="1585913" cy="940092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</xdr:row>
      <xdr:rowOff>971550</xdr:rowOff>
    </xdr:from>
    <xdr:to>
      <xdr:col>3</xdr:col>
      <xdr:colOff>1828800</xdr:colOff>
      <xdr:row>1</xdr:row>
      <xdr:rowOff>1809750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220DD220-5140-4FCD-97C5-2B66DBC3BA06}"/>
            </a:ext>
            <a:ext uri="{147F2762-F138-4A5C-976F-8EAC2B608ADB}">
              <a16:predDERef xmlns:a16="http://schemas.microsoft.com/office/drawing/2014/main" pred="{D156CEB1-BC98-52F1-0F9A-3F296996E5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6678275" y="1162050"/>
          <a:ext cx="1809750" cy="8382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</xdr:row>
      <xdr:rowOff>19050</xdr:rowOff>
    </xdr:from>
    <xdr:to>
      <xdr:col>3</xdr:col>
      <xdr:colOff>1485900</xdr:colOff>
      <xdr:row>2</xdr:row>
      <xdr:rowOff>1247775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2B733944-03E1-20D1-3198-D46AF039C319}"/>
            </a:ext>
            <a:ext uri="{147F2762-F138-4A5C-976F-8EAC2B608ADB}">
              <a16:predDERef xmlns:a16="http://schemas.microsoft.com/office/drawing/2014/main" pred="{220DD220-5140-4FCD-97C5-2B66DBC3BA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5630525" y="2038350"/>
          <a:ext cx="1476375" cy="1228725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3</xdr:row>
      <xdr:rowOff>152400</xdr:rowOff>
    </xdr:from>
    <xdr:to>
      <xdr:col>3</xdr:col>
      <xdr:colOff>1695450</xdr:colOff>
      <xdr:row>3</xdr:row>
      <xdr:rowOff>1285875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F3E912AD-6439-0CCB-618A-A44B25FD5018}"/>
            </a:ext>
            <a:ext uri="{147F2762-F138-4A5C-976F-8EAC2B608ADB}">
              <a16:predDERef xmlns:a16="http://schemas.microsoft.com/office/drawing/2014/main" pred="{2B733944-03E1-20D1-3198-D46AF039C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5640050" y="3495675"/>
          <a:ext cx="1676400" cy="1133475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</xdr:colOff>
      <xdr:row>4</xdr:row>
      <xdr:rowOff>304800</xdr:rowOff>
    </xdr:from>
    <xdr:to>
      <xdr:col>3</xdr:col>
      <xdr:colOff>1838325</xdr:colOff>
      <xdr:row>4</xdr:row>
      <xdr:rowOff>1181100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4611E18E-A8F5-F1E6-99B7-D2F7B7AAF013}"/>
            </a:ext>
            <a:ext uri="{147F2762-F138-4A5C-976F-8EAC2B608ADB}">
              <a16:predDERef xmlns:a16="http://schemas.microsoft.com/office/drawing/2014/main" pred="{F3E912AD-6439-0CCB-618A-A44B25FD50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5897225" y="4953000"/>
          <a:ext cx="1781175" cy="876300"/>
        </a:xfrm>
        <a:prstGeom prst="rect">
          <a:avLst/>
        </a:prstGeom>
      </xdr:spPr>
    </xdr:pic>
    <xdr:clientData/>
  </xdr:twoCellAnchor>
  <xdr:twoCellAnchor editAs="oneCell">
    <xdr:from>
      <xdr:col>2</xdr:col>
      <xdr:colOff>5686425</xdr:colOff>
      <xdr:row>6</xdr:row>
      <xdr:rowOff>28575</xdr:rowOff>
    </xdr:from>
    <xdr:to>
      <xdr:col>3</xdr:col>
      <xdr:colOff>1781175</xdr:colOff>
      <xdr:row>7</xdr:row>
      <xdr:rowOff>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7429AAD1-7992-8A1B-F0A6-3131845C7AC9}"/>
            </a:ext>
            <a:ext uri="{147F2762-F138-4A5C-976F-8EAC2B608ADB}">
              <a16:predDERef xmlns:a16="http://schemas.microsoft.com/office/drawing/2014/main" pred="{4611E18E-A8F5-F1E6-99B7-D2F7B7AAF0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6563975" y="8372475"/>
          <a:ext cx="1876425" cy="1295400"/>
        </a:xfrm>
        <a:prstGeom prst="rect">
          <a:avLst/>
        </a:prstGeom>
      </xdr:spPr>
    </xdr:pic>
    <xdr:clientData/>
  </xdr:twoCellAnchor>
  <xdr:twoCellAnchor editAs="oneCell">
    <xdr:from>
      <xdr:col>2</xdr:col>
      <xdr:colOff>5772150</xdr:colOff>
      <xdr:row>5</xdr:row>
      <xdr:rowOff>266700</xdr:rowOff>
    </xdr:from>
    <xdr:to>
      <xdr:col>3</xdr:col>
      <xdr:colOff>1819275</xdr:colOff>
      <xdr:row>5</xdr:row>
      <xdr:rowOff>2371725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783BD741-FBA8-4D36-4677-FA3CA2B17332}"/>
            </a:ext>
            <a:ext uri="{147F2762-F138-4A5C-976F-8EAC2B608ADB}">
              <a16:predDERef xmlns:a16="http://schemas.microsoft.com/office/drawing/2014/main" pred="{7429AAD1-7992-8A1B-F0A6-3131845C7A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6649700" y="6181725"/>
          <a:ext cx="1828800" cy="2105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2952093</xdr:colOff>
      <xdr:row>0</xdr:row>
      <xdr:rowOff>76624</xdr:rowOff>
    </xdr:from>
    <xdr:to>
      <xdr:col>5</xdr:col>
      <xdr:colOff>3634316</xdr:colOff>
      <xdr:row>3</xdr:row>
      <xdr:rowOff>172856</xdr:rowOff>
    </xdr:to>
    <xdr:pic>
      <xdr:nvPicPr>
        <xdr:cNvPr id="2" name="gráficos1">
          <a:extLst>
            <a:ext uri="{FF2B5EF4-FFF2-40B4-BE49-F238E27FC236}">
              <a16:creationId xmlns:a16="http://schemas.microsoft.com/office/drawing/2014/main" id="{61051E63-76E5-40F2-9C9F-EBEFEE4C15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0993" y="76624"/>
          <a:ext cx="720323" cy="686782"/>
        </a:xfrm>
        <a:prstGeom prst="rect">
          <a:avLst/>
        </a:prstGeom>
        <a:solidFill>
          <a:srgbClr val="FFFFFF"/>
        </a:solidFill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moradulce.com/producto/refrigerio-pastel-o-palito-2-fruta%F0%9F%8D%8E/" TargetMode="External"/><Relationship Id="rId3" Type="http://schemas.openxmlformats.org/officeDocument/2006/relationships/hyperlink" Target="https://www.panamericana.com.co/borrador-de-tablero-en-fieltro-27576/p?srsltid=AfmBOoodfTmoxG9wZXoatDmdx5WVb9TGKhzaEL9eDEo0ab5dsmAcK3VT" TargetMode="External"/><Relationship Id="rId7" Type="http://schemas.openxmlformats.org/officeDocument/2006/relationships/hyperlink" Target="https://www.mercadolibre.com.co/tula-ecologica-en-tela-de-algodon-32-x-36/up/MCOU2432066715" TargetMode="External"/><Relationship Id="rId2" Type="http://schemas.openxmlformats.org/officeDocument/2006/relationships/hyperlink" Target="https://tarjetasdepresentacionbogota.co/tienda/tarjetas-imantadas/" TargetMode="External"/><Relationship Id="rId1" Type="http://schemas.openxmlformats.org/officeDocument/2006/relationships/hyperlink" Target="https://www.panamericana.com.co/boligrafo-faber-castell-poly-caja-x-12-unidades-626793/p" TargetMode="External"/><Relationship Id="rId6" Type="http://schemas.openxmlformats.org/officeDocument/2006/relationships/hyperlink" Target="https://www.comaderas.com/guante-fornax-nitrilo-trabajo-pesado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https://www.jumbocolombia.com/bolsa-task-basura-3-colores-50x70-x30und/p?idsku=142748&amp;srsltid=AfmBOop1ijoc74_aM-G1Hl6o-9-GyTAGKFN5xlydltWXdUsHeHwJ_6lGMIk" TargetMode="External"/><Relationship Id="rId10" Type="http://schemas.openxmlformats.org/officeDocument/2006/relationships/hyperlink" Target="https://www.homecenter.com.co/homecenter-co/product/878935/caneca-acero-inoxidable-3-compartimiento-45-litros-plateado-con-pedal/878935/" TargetMode="External"/><Relationship Id="rId4" Type="http://schemas.openxmlformats.org/officeDocument/2006/relationships/hyperlink" Target="https://pontela.com.co/camisetas-estampadas/1-camiseta-gildan.html" TargetMode="External"/><Relationship Id="rId9" Type="http://schemas.openxmlformats.org/officeDocument/2006/relationships/hyperlink" Target="https://www.homecenter.com.co/homecenter-co/product/478487/marcador-borrable-magistral-clasico-x8-colores/478487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workbookViewId="0">
      <selection activeCell="A3" sqref="A3"/>
    </sheetView>
  </sheetViews>
  <sheetFormatPr baseColWidth="10" defaultColWidth="11.42578125" defaultRowHeight="15" x14ac:dyDescent="0.25"/>
  <cols>
    <col min="1" max="1" width="77.85546875" customWidth="1"/>
    <col min="2" max="2" width="85.28515625" customWidth="1"/>
    <col min="3" max="3" width="86.7109375" customWidth="1"/>
    <col min="4" max="4" width="28.140625" customWidth="1"/>
    <col min="6" max="7" width="15.85546875" customWidth="1"/>
  </cols>
  <sheetData>
    <row r="1" spans="1:7" ht="23.25" x14ac:dyDescent="0.35">
      <c r="A1" s="2" t="s">
        <v>0</v>
      </c>
      <c r="B1" s="2" t="s">
        <v>1</v>
      </c>
      <c r="C1" s="3" t="s">
        <v>2</v>
      </c>
      <c r="D1" s="3" t="s">
        <v>3</v>
      </c>
      <c r="E1" s="2" t="s">
        <v>4</v>
      </c>
      <c r="F1" s="4" t="s">
        <v>5</v>
      </c>
      <c r="G1" s="4" t="s">
        <v>6</v>
      </c>
    </row>
    <row r="2" spans="1:7" ht="144.75" customHeight="1" x14ac:dyDescent="0.35">
      <c r="A2" s="4" t="s">
        <v>19</v>
      </c>
      <c r="B2" s="5" t="s">
        <v>20</v>
      </c>
      <c r="C2" s="6" t="s">
        <v>7</v>
      </c>
      <c r="D2" s="4"/>
      <c r="E2" s="7">
        <v>2000</v>
      </c>
      <c r="F2" s="2">
        <v>15000</v>
      </c>
      <c r="G2" s="2">
        <f>F2*E2</f>
        <v>30000000</v>
      </c>
    </row>
    <row r="3" spans="1:7" ht="140.25" customHeight="1" x14ac:dyDescent="0.35">
      <c r="A3" s="4" t="s">
        <v>21</v>
      </c>
      <c r="B3" s="8" t="s">
        <v>22</v>
      </c>
      <c r="C3" s="22" t="s">
        <v>23</v>
      </c>
      <c r="D3" s="4"/>
      <c r="E3" s="7">
        <v>240</v>
      </c>
      <c r="F3" s="2">
        <v>13900</v>
      </c>
      <c r="G3" s="2">
        <f>F3*E3</f>
        <v>3336000</v>
      </c>
    </row>
    <row r="4" spans="1:7" ht="102.75" customHeight="1" x14ac:dyDescent="0.35">
      <c r="A4" s="4" t="s">
        <v>8</v>
      </c>
      <c r="B4" s="4" t="s">
        <v>9</v>
      </c>
      <c r="C4" s="9" t="s">
        <v>10</v>
      </c>
      <c r="D4" s="10"/>
      <c r="E4" s="11">
        <v>2000</v>
      </c>
      <c r="F4" s="2">
        <v>13000</v>
      </c>
      <c r="G4" s="2">
        <f>F4*E4</f>
        <v>26000000</v>
      </c>
    </row>
    <row r="5" spans="1:7" ht="99" customHeight="1" x14ac:dyDescent="0.35">
      <c r="A5" s="4" t="s">
        <v>11</v>
      </c>
      <c r="B5" s="4" t="s">
        <v>12</v>
      </c>
      <c r="C5" s="6" t="s">
        <v>13</v>
      </c>
      <c r="D5" s="4"/>
      <c r="E5" s="11">
        <v>2000</v>
      </c>
      <c r="F5" s="2">
        <v>14200</v>
      </c>
      <c r="G5" s="2">
        <f>F5*E5</f>
        <v>28400000</v>
      </c>
    </row>
    <row r="6" spans="1:7" ht="191.25" customHeight="1" x14ac:dyDescent="0.35">
      <c r="A6" s="4" t="s">
        <v>24</v>
      </c>
      <c r="B6" s="12" t="s">
        <v>25</v>
      </c>
      <c r="C6" s="6" t="s">
        <v>26</v>
      </c>
      <c r="D6" s="4"/>
      <c r="E6" s="11">
        <v>59900</v>
      </c>
      <c r="F6" s="2">
        <v>500</v>
      </c>
      <c r="G6" s="2">
        <f>F6*E6</f>
        <v>29950000</v>
      </c>
    </row>
    <row r="7" spans="1:7" ht="104.25" customHeight="1" x14ac:dyDescent="0.35">
      <c r="A7" s="4" t="s">
        <v>27</v>
      </c>
      <c r="B7" s="13" t="s">
        <v>28</v>
      </c>
      <c r="C7" s="6" t="s">
        <v>29</v>
      </c>
      <c r="D7" s="4"/>
      <c r="E7" s="11">
        <v>1</v>
      </c>
      <c r="F7" s="2">
        <v>34900</v>
      </c>
      <c r="G7" s="2">
        <v>34900</v>
      </c>
    </row>
    <row r="8" spans="1:7" ht="82.5" customHeight="1" x14ac:dyDescent="0.35">
      <c r="A8" s="5" t="s">
        <v>30</v>
      </c>
      <c r="B8" s="13" t="s">
        <v>31</v>
      </c>
      <c r="C8" s="14" t="s">
        <v>32</v>
      </c>
      <c r="D8" s="4" t="s">
        <v>33</v>
      </c>
      <c r="E8" s="11">
        <v>1</v>
      </c>
      <c r="F8" s="2">
        <v>13900</v>
      </c>
      <c r="G8" s="2">
        <v>13900</v>
      </c>
    </row>
    <row r="9" spans="1:7" ht="23.25" x14ac:dyDescent="0.35">
      <c r="A9" s="481" t="s">
        <v>34</v>
      </c>
      <c r="B9" s="15" t="s">
        <v>35</v>
      </c>
      <c r="C9" s="482" t="s">
        <v>36</v>
      </c>
      <c r="D9" s="483" t="s">
        <v>33</v>
      </c>
      <c r="E9" s="484">
        <v>2</v>
      </c>
      <c r="F9" s="480">
        <v>200000</v>
      </c>
      <c r="G9" s="480">
        <v>400000</v>
      </c>
    </row>
    <row r="10" spans="1:7" ht="23.25" x14ac:dyDescent="0.35">
      <c r="A10" s="481"/>
      <c r="B10" s="16" t="s">
        <v>37</v>
      </c>
      <c r="C10" s="482"/>
      <c r="D10" s="483"/>
      <c r="E10" s="484"/>
      <c r="F10" s="480"/>
      <c r="G10" s="480"/>
    </row>
    <row r="11" spans="1:7" ht="47.25" customHeight="1" x14ac:dyDescent="0.35">
      <c r="A11" s="481"/>
      <c r="B11" s="16" t="s">
        <v>38</v>
      </c>
      <c r="C11" s="482"/>
      <c r="D11" s="483"/>
      <c r="E11" s="484"/>
      <c r="F11" s="480"/>
      <c r="G11" s="480"/>
    </row>
    <row r="12" spans="1:7" ht="23.25" x14ac:dyDescent="0.35">
      <c r="A12" s="481"/>
      <c r="B12" s="16" t="s">
        <v>39</v>
      </c>
      <c r="C12" s="482"/>
      <c r="D12" s="483"/>
      <c r="E12" s="484"/>
      <c r="F12" s="480"/>
      <c r="G12" s="480"/>
    </row>
    <row r="13" spans="1:7" ht="23.25" x14ac:dyDescent="0.35">
      <c r="A13" s="481"/>
      <c r="B13" s="17" t="s">
        <v>40</v>
      </c>
      <c r="C13" s="482"/>
      <c r="D13" s="483"/>
      <c r="E13" s="484"/>
      <c r="F13" s="480"/>
      <c r="G13" s="480"/>
    </row>
    <row r="14" spans="1:7" ht="84.4" customHeight="1" x14ac:dyDescent="0.35">
      <c r="A14" s="5" t="s">
        <v>41</v>
      </c>
      <c r="B14" s="10" t="s">
        <v>42</v>
      </c>
      <c r="C14" s="14" t="s">
        <v>43</v>
      </c>
      <c r="D14" s="4" t="s">
        <v>33</v>
      </c>
      <c r="E14" s="11">
        <v>10</v>
      </c>
      <c r="F14" s="2">
        <v>7900</v>
      </c>
      <c r="G14" s="2">
        <v>79000</v>
      </c>
    </row>
    <row r="15" spans="1:7" ht="73.900000000000006" customHeight="1" x14ac:dyDescent="0.35">
      <c r="A15" s="4" t="s">
        <v>44</v>
      </c>
      <c r="B15" s="10" t="s">
        <v>45</v>
      </c>
      <c r="C15" s="18" t="s">
        <v>46</v>
      </c>
      <c r="D15" s="4" t="s">
        <v>33</v>
      </c>
      <c r="E15" s="2">
        <v>400</v>
      </c>
      <c r="F15" s="19">
        <v>17995</v>
      </c>
      <c r="G15" s="19">
        <v>7198000</v>
      </c>
    </row>
    <row r="16" spans="1:7" ht="23.25" x14ac:dyDescent="0.35">
      <c r="A16" s="20"/>
      <c r="B16" s="20"/>
      <c r="C16" s="20"/>
      <c r="D16" s="20"/>
      <c r="E16" s="20"/>
      <c r="F16" s="21">
        <f>SUM(F2:F15)</f>
        <v>331295</v>
      </c>
      <c r="G16" s="21">
        <f>SUM(G2:G15)</f>
        <v>125411800</v>
      </c>
    </row>
  </sheetData>
  <mergeCells count="6">
    <mergeCell ref="F9:F13"/>
    <mergeCell ref="G9:G13"/>
    <mergeCell ref="A9:A13"/>
    <mergeCell ref="C9:C13"/>
    <mergeCell ref="D9:D13"/>
    <mergeCell ref="E9:E13"/>
  </mergeCells>
  <hyperlinks>
    <hyperlink ref="C8" r:id="rId1" xr:uid="{00000000-0004-0000-0000-000000000000}"/>
    <hyperlink ref="C9" r:id="rId2" xr:uid="{00000000-0004-0000-0000-000001000000}"/>
    <hyperlink ref="C14" r:id="rId3" xr:uid="{00000000-0004-0000-0000-000002000000}"/>
    <hyperlink ref="C15" r:id="rId4" location="/3-talla-m/1-color-blanco" display="https://pontela.com.co/camisetas-estampadas/1-camiseta-gildan.html - /3-talla-m/1-color-blanco" xr:uid="{00000000-0004-0000-0000-000003000000}"/>
    <hyperlink ref="C2" r:id="rId5" xr:uid="{00000000-0004-0000-0000-000004000000}"/>
    <hyperlink ref="C3" r:id="rId6" xr:uid="{00000000-0004-0000-0000-000005000000}"/>
    <hyperlink ref="C4" r:id="rId7" location="polycard_client=search-desktop&amp;search_layout=grid&amp;position=1&amp;type=product&amp;tracking_id=bec193f4-bfbf-4e3e-b364-47d6c86776b2&amp;wid=MCO878377492&amp;sid=search" xr:uid="{00000000-0004-0000-0000-000006000000}"/>
    <hyperlink ref="C5" r:id="rId8" xr:uid="{00000000-0004-0000-0000-000007000000}"/>
    <hyperlink ref="C7" r:id="rId9" xr:uid="{00000000-0004-0000-0000-000008000000}"/>
    <hyperlink ref="C6" r:id="rId10" xr:uid="{00000000-0004-0000-0000-000009000000}"/>
  </hyperlinks>
  <pageMargins left="0.7" right="0.7" top="0.75" bottom="0.75" header="0.3" footer="0.3"/>
  <drawing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40"/>
  <sheetViews>
    <sheetView showGridLines="0" topLeftCell="B1" zoomScale="90" zoomScaleNormal="90" workbookViewId="0">
      <selection activeCell="G27" sqref="G27"/>
    </sheetView>
  </sheetViews>
  <sheetFormatPr baseColWidth="10" defaultColWidth="12" defaultRowHeight="15.75" x14ac:dyDescent="0.25"/>
  <cols>
    <col min="1" max="1" width="12" style="239"/>
    <col min="2" max="2" width="32.5703125" style="239" bestFit="1" customWidth="1"/>
    <col min="3" max="3" width="12.140625" style="239" bestFit="1" customWidth="1"/>
    <col min="4" max="4" width="9.140625" style="239" bestFit="1" customWidth="1"/>
    <col min="5" max="5" width="25.140625" style="239" customWidth="1"/>
    <col min="6" max="6" width="82.42578125" style="239" customWidth="1"/>
    <col min="7" max="7" width="41.7109375" style="239" customWidth="1"/>
    <col min="8" max="16384" width="12" style="239"/>
  </cols>
  <sheetData>
    <row r="1" spans="2:7" x14ac:dyDescent="0.25">
      <c r="B1" s="487" t="s">
        <v>292</v>
      </c>
      <c r="C1" s="487"/>
      <c r="D1" s="487"/>
      <c r="E1" s="487"/>
      <c r="F1" s="487"/>
      <c r="G1" s="245"/>
    </row>
    <row r="2" spans="2:7" x14ac:dyDescent="0.25">
      <c r="B2" s="487" t="s">
        <v>293</v>
      </c>
      <c r="C2" s="487"/>
      <c r="D2" s="487"/>
      <c r="E2" s="487"/>
      <c r="F2" s="487"/>
      <c r="G2" s="245"/>
    </row>
    <row r="3" spans="2:7" x14ac:dyDescent="0.25">
      <c r="B3" s="488"/>
      <c r="C3" s="488"/>
      <c r="D3" s="488"/>
      <c r="E3" s="488"/>
      <c r="F3" s="488"/>
    </row>
    <row r="4" spans="2:7" ht="16.5" thickBot="1" x14ac:dyDescent="0.3">
      <c r="B4" s="489"/>
      <c r="C4" s="489"/>
      <c r="D4" s="489"/>
      <c r="E4" s="489"/>
      <c r="F4" s="489"/>
    </row>
    <row r="5" spans="2:7" ht="48.75" customHeight="1" thickBot="1" x14ac:dyDescent="0.3">
      <c r="B5" s="246" t="s">
        <v>294</v>
      </c>
      <c r="C5" s="490" t="s">
        <v>295</v>
      </c>
      <c r="D5" s="491"/>
      <c r="E5" s="491"/>
      <c r="F5" s="492"/>
    </row>
    <row r="6" spans="2:7" ht="96.75" customHeight="1" thickBot="1" x14ac:dyDescent="0.3">
      <c r="B6" s="246" t="s">
        <v>0</v>
      </c>
      <c r="C6" s="491" t="s">
        <v>372</v>
      </c>
      <c r="D6" s="491"/>
      <c r="E6" s="491"/>
      <c r="F6" s="492"/>
    </row>
    <row r="7" spans="2:7" ht="16.5" thickBot="1" x14ac:dyDescent="0.3">
      <c r="B7" s="246" t="s">
        <v>296</v>
      </c>
      <c r="C7" s="485" t="s">
        <v>297</v>
      </c>
      <c r="D7" s="485"/>
      <c r="E7" s="485"/>
      <c r="F7" s="486"/>
    </row>
    <row r="8" spans="2:7" ht="33.75" customHeight="1" thickBot="1" x14ac:dyDescent="0.3">
      <c r="B8" s="246" t="s">
        <v>298</v>
      </c>
      <c r="C8" s="498" t="s">
        <v>299</v>
      </c>
      <c r="D8" s="498"/>
      <c r="E8" s="498"/>
      <c r="F8" s="499"/>
    </row>
    <row r="9" spans="2:7" ht="31.5" customHeight="1" thickBot="1" x14ac:dyDescent="0.3">
      <c r="B9" s="247" t="s">
        <v>300</v>
      </c>
      <c r="C9" s="500" t="s">
        <v>301</v>
      </c>
      <c r="D9" s="501"/>
      <c r="E9" s="502" t="s">
        <v>302</v>
      </c>
      <c r="F9" s="486"/>
    </row>
    <row r="10" spans="2:7" x14ac:dyDescent="0.25">
      <c r="B10" s="503" t="s">
        <v>303</v>
      </c>
      <c r="C10" s="248" t="s">
        <v>304</v>
      </c>
      <c r="D10" s="249" t="s">
        <v>305</v>
      </c>
      <c r="E10" s="250" t="s">
        <v>306</v>
      </c>
      <c r="F10" s="249" t="s">
        <v>307</v>
      </c>
    </row>
    <row r="11" spans="2:7" x14ac:dyDescent="0.25">
      <c r="B11" s="504"/>
      <c r="C11" s="240"/>
      <c r="D11" s="241"/>
      <c r="E11" s="242"/>
      <c r="F11" s="241" t="s">
        <v>316</v>
      </c>
    </row>
    <row r="12" spans="2:7" x14ac:dyDescent="0.25">
      <c r="B12" s="504"/>
      <c r="C12" s="240"/>
      <c r="D12" s="241"/>
      <c r="E12" s="242"/>
      <c r="F12" s="241" t="s">
        <v>309</v>
      </c>
    </row>
    <row r="13" spans="2:7" x14ac:dyDescent="0.25">
      <c r="B13" s="504"/>
      <c r="C13" s="240"/>
      <c r="D13" s="241"/>
      <c r="E13" s="242"/>
      <c r="F13" s="241" t="s">
        <v>310</v>
      </c>
    </row>
    <row r="14" spans="2:7" x14ac:dyDescent="0.25">
      <c r="B14" s="504"/>
      <c r="C14" s="240"/>
      <c r="D14" s="241"/>
      <c r="E14" s="242"/>
      <c r="F14" s="241" t="s">
        <v>317</v>
      </c>
    </row>
    <row r="15" spans="2:7" x14ac:dyDescent="0.25">
      <c r="B15" s="504"/>
      <c r="C15" s="240"/>
      <c r="D15" s="241"/>
      <c r="E15" s="242"/>
      <c r="F15" s="241" t="s">
        <v>308</v>
      </c>
    </row>
    <row r="16" spans="2:7" x14ac:dyDescent="0.25">
      <c r="B16" s="504"/>
      <c r="C16" s="240"/>
      <c r="D16" s="241"/>
      <c r="E16" s="242"/>
      <c r="F16" s="241" t="s">
        <v>318</v>
      </c>
    </row>
    <row r="17" spans="2:11" x14ac:dyDescent="0.25">
      <c r="B17" s="504"/>
      <c r="C17" s="240"/>
      <c r="D17" s="241"/>
      <c r="E17" s="242"/>
      <c r="F17" s="241" t="s">
        <v>319</v>
      </c>
    </row>
    <row r="18" spans="2:11" x14ac:dyDescent="0.25">
      <c r="B18" s="504"/>
      <c r="C18" s="240">
        <v>70</v>
      </c>
      <c r="D18" s="240">
        <v>7011</v>
      </c>
      <c r="E18" s="479">
        <v>70111500</v>
      </c>
      <c r="F18" s="479" t="s">
        <v>373</v>
      </c>
    </row>
    <row r="19" spans="2:11" x14ac:dyDescent="0.25">
      <c r="B19" s="504"/>
      <c r="C19" s="240">
        <v>70</v>
      </c>
      <c r="D19" s="240">
        <v>7011</v>
      </c>
      <c r="E19" s="479">
        <v>70111700</v>
      </c>
      <c r="F19" s="479" t="s">
        <v>374</v>
      </c>
      <c r="K19" s="239" t="s">
        <v>383</v>
      </c>
    </row>
    <row r="20" spans="2:11" x14ac:dyDescent="0.25">
      <c r="B20" s="504"/>
      <c r="C20" s="240">
        <v>70</v>
      </c>
      <c r="D20" s="240">
        <v>7915</v>
      </c>
      <c r="E20" s="479">
        <v>70151800</v>
      </c>
      <c r="F20" s="479" t="s">
        <v>375</v>
      </c>
      <c r="K20" s="239" t="s">
        <v>383</v>
      </c>
    </row>
    <row r="21" spans="2:11" x14ac:dyDescent="0.25">
      <c r="B21" s="504"/>
      <c r="C21" s="240">
        <v>70</v>
      </c>
      <c r="D21" s="240">
        <v>7015</v>
      </c>
      <c r="E21" s="479">
        <v>70151900</v>
      </c>
      <c r="F21" s="479" t="s">
        <v>376</v>
      </c>
      <c r="H21" s="239" t="s">
        <v>385</v>
      </c>
      <c r="J21" s="239" t="s">
        <v>386</v>
      </c>
      <c r="K21" s="239" t="s">
        <v>383</v>
      </c>
    </row>
    <row r="22" spans="2:11" x14ac:dyDescent="0.25">
      <c r="B22" s="504"/>
      <c r="C22" s="240">
        <v>70</v>
      </c>
      <c r="D22" s="240">
        <v>7016</v>
      </c>
      <c r="E22" s="479">
        <v>70161600</v>
      </c>
      <c r="F22" s="479" t="s">
        <v>377</v>
      </c>
    </row>
    <row r="23" spans="2:11" x14ac:dyDescent="0.25">
      <c r="B23" s="504"/>
      <c r="C23" s="240">
        <v>70</v>
      </c>
      <c r="D23" s="240">
        <v>7016</v>
      </c>
      <c r="E23" s="479">
        <v>70161700</v>
      </c>
      <c r="F23" s="479" t="s">
        <v>378</v>
      </c>
      <c r="I23" s="239" t="s">
        <v>385</v>
      </c>
      <c r="J23" s="239" t="s">
        <v>387</v>
      </c>
    </row>
    <row r="24" spans="2:11" x14ac:dyDescent="0.25">
      <c r="B24" s="504"/>
      <c r="C24" s="240">
        <v>70</v>
      </c>
      <c r="D24" s="240">
        <v>7017</v>
      </c>
      <c r="E24" s="479">
        <v>70171500</v>
      </c>
      <c r="F24" s="479" t="s">
        <v>379</v>
      </c>
    </row>
    <row r="25" spans="2:11" x14ac:dyDescent="0.25">
      <c r="B25" s="504"/>
      <c r="C25" s="240">
        <v>70</v>
      </c>
      <c r="D25" s="240">
        <v>7017</v>
      </c>
      <c r="E25" s="479">
        <v>70171600</v>
      </c>
      <c r="F25" s="479" t="s">
        <v>380</v>
      </c>
      <c r="K25" s="239" t="s">
        <v>383</v>
      </c>
    </row>
    <row r="26" spans="2:11" x14ac:dyDescent="0.25">
      <c r="B26" s="504"/>
      <c r="C26" s="240">
        <v>72</v>
      </c>
      <c r="D26" s="240">
        <v>7214</v>
      </c>
      <c r="E26" s="479">
        <v>72141100</v>
      </c>
      <c r="F26" s="479" t="s">
        <v>381</v>
      </c>
    </row>
    <row r="27" spans="2:11" x14ac:dyDescent="0.25">
      <c r="B27" s="504"/>
      <c r="C27" s="240">
        <v>72</v>
      </c>
      <c r="D27" s="240">
        <v>7214</v>
      </c>
      <c r="E27" s="479">
        <v>72141200</v>
      </c>
      <c r="F27" s="479" t="s">
        <v>382</v>
      </c>
    </row>
    <row r="28" spans="2:11" x14ac:dyDescent="0.25">
      <c r="B28" s="504"/>
      <c r="C28" s="240">
        <v>72</v>
      </c>
      <c r="D28" s="240">
        <v>7214</v>
      </c>
      <c r="E28" s="479">
        <v>72141500</v>
      </c>
      <c r="F28" s="479" t="s">
        <v>384</v>
      </c>
    </row>
    <row r="29" spans="2:11" x14ac:dyDescent="0.25">
      <c r="B29" s="504"/>
      <c r="C29" s="240">
        <v>76</v>
      </c>
      <c r="D29" s="240">
        <v>7612</v>
      </c>
      <c r="E29" s="479">
        <v>76122300</v>
      </c>
      <c r="F29" s="479" t="s">
        <v>392</v>
      </c>
    </row>
    <row r="30" spans="2:11" x14ac:dyDescent="0.25">
      <c r="B30" s="504"/>
      <c r="C30" s="240">
        <v>77</v>
      </c>
      <c r="D30" s="240">
        <v>7710</v>
      </c>
      <c r="E30" s="479">
        <v>77101600</v>
      </c>
      <c r="F30" s="479" t="s">
        <v>393</v>
      </c>
    </row>
    <row r="31" spans="2:11" x14ac:dyDescent="0.25">
      <c r="B31" s="504"/>
      <c r="C31" s="240">
        <v>77</v>
      </c>
      <c r="D31" s="240">
        <v>7710</v>
      </c>
      <c r="E31" s="479">
        <v>77101700</v>
      </c>
      <c r="F31" s="479" t="s">
        <v>388</v>
      </c>
    </row>
    <row r="32" spans="2:11" x14ac:dyDescent="0.25">
      <c r="B32" s="504"/>
      <c r="C32" s="240">
        <v>80</v>
      </c>
      <c r="D32" s="240">
        <v>8014</v>
      </c>
      <c r="E32" s="479">
        <v>80141600</v>
      </c>
      <c r="F32" s="479" t="s">
        <v>389</v>
      </c>
    </row>
    <row r="33" spans="2:6" x14ac:dyDescent="0.25">
      <c r="B33" s="504"/>
      <c r="C33" s="240">
        <v>86</v>
      </c>
      <c r="D33" s="240">
        <v>8610</v>
      </c>
      <c r="E33" s="479">
        <v>86101500</v>
      </c>
      <c r="F33" s="479" t="s">
        <v>390</v>
      </c>
    </row>
    <row r="34" spans="2:6" x14ac:dyDescent="0.25">
      <c r="B34" s="504"/>
      <c r="C34" s="240">
        <v>86</v>
      </c>
      <c r="D34" s="240">
        <v>8610</v>
      </c>
      <c r="E34" s="479">
        <v>86101700</v>
      </c>
      <c r="F34" s="479" t="s">
        <v>391</v>
      </c>
    </row>
    <row r="35" spans="2:6" x14ac:dyDescent="0.25">
      <c r="B35" s="504"/>
      <c r="C35" s="240"/>
      <c r="D35" s="240"/>
      <c r="E35" s="479"/>
      <c r="F35" s="478"/>
    </row>
    <row r="36" spans="2:6" ht="16.5" thickBot="1" x14ac:dyDescent="0.3"/>
    <row r="37" spans="2:6" x14ac:dyDescent="0.25">
      <c r="B37" s="493" t="s">
        <v>311</v>
      </c>
      <c r="C37" s="495"/>
      <c r="D37" s="495"/>
      <c r="E37" s="495"/>
      <c r="F37" s="496"/>
    </row>
    <row r="38" spans="2:6" ht="16.5" thickBot="1" x14ac:dyDescent="0.3">
      <c r="B38" s="494"/>
      <c r="C38" s="489" t="s">
        <v>312</v>
      </c>
      <c r="D38" s="489"/>
      <c r="E38" s="489"/>
      <c r="F38" s="497"/>
    </row>
    <row r="39" spans="2:6" x14ac:dyDescent="0.25">
      <c r="B39" s="493" t="s">
        <v>313</v>
      </c>
      <c r="C39" s="495"/>
      <c r="D39" s="495"/>
      <c r="E39" s="495"/>
      <c r="F39" s="496"/>
    </row>
    <row r="40" spans="2:6" ht="16.5" thickBot="1" x14ac:dyDescent="0.3">
      <c r="B40" s="494"/>
      <c r="C40" s="489" t="s">
        <v>312</v>
      </c>
      <c r="D40" s="489"/>
      <c r="E40" s="489"/>
      <c r="F40" s="497"/>
    </row>
  </sheetData>
  <mergeCells count="16">
    <mergeCell ref="B39:B40"/>
    <mergeCell ref="C39:F39"/>
    <mergeCell ref="C40:F40"/>
    <mergeCell ref="C8:F8"/>
    <mergeCell ref="C9:D9"/>
    <mergeCell ref="E9:F9"/>
    <mergeCell ref="B10:B35"/>
    <mergeCell ref="B37:B38"/>
    <mergeCell ref="C37:F37"/>
    <mergeCell ref="C38:F38"/>
    <mergeCell ref="C7:F7"/>
    <mergeCell ref="B1:F1"/>
    <mergeCell ref="B2:F2"/>
    <mergeCell ref="B3:F4"/>
    <mergeCell ref="C5:F5"/>
    <mergeCell ref="C6:F6"/>
  </mergeCells>
  <hyperlinks>
    <hyperlink ref="C8:F8" location="'Especificaciones Tecnicas'!A1" display="Para visualizar las especificaciones tecnicas dirijase a la pestaña Especificaciones Tecnicas" xr:uid="{00000000-0004-0000-0100-000000000000}"/>
  </hyperlink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47"/>
  <sheetViews>
    <sheetView tabSelected="1" topLeftCell="A129" zoomScale="85" zoomScaleNormal="85" workbookViewId="0">
      <selection activeCell="D131" sqref="D131"/>
    </sheetView>
  </sheetViews>
  <sheetFormatPr baseColWidth="10" defaultColWidth="13.140625" defaultRowHeight="15" x14ac:dyDescent="0.25"/>
  <cols>
    <col min="1" max="1" width="8.42578125" customWidth="1"/>
    <col min="2" max="2" width="8.28515625" customWidth="1"/>
    <col min="3" max="3" width="43.5703125" customWidth="1"/>
    <col min="4" max="4" width="51.140625" customWidth="1"/>
    <col min="5" max="5" width="13.140625" style="1"/>
    <col min="6" max="6" width="22.42578125" customWidth="1"/>
    <col min="7" max="7" width="9.85546875" customWidth="1"/>
    <col min="8" max="8" width="9.42578125" customWidth="1"/>
    <col min="9" max="9" width="16.85546875" bestFit="1" customWidth="1"/>
    <col min="10" max="10" width="45" customWidth="1"/>
    <col min="11" max="11" width="13.85546875" style="53" bestFit="1" customWidth="1"/>
    <col min="12" max="12" width="15.28515625" style="53" customWidth="1"/>
    <col min="13" max="13" width="18.28515625" style="53" customWidth="1"/>
    <col min="14" max="14" width="24.42578125" style="53" customWidth="1"/>
    <col min="15" max="15" width="23.42578125" style="53" customWidth="1"/>
    <col min="16" max="16" width="28.28515625" style="53" customWidth="1"/>
    <col min="17" max="17" width="15" style="53" bestFit="1" customWidth="1"/>
    <col min="18" max="18" width="13.140625" style="53"/>
    <col min="19" max="19" width="19.140625" style="53" customWidth="1"/>
    <col min="20" max="20" width="28.42578125" style="53" customWidth="1"/>
    <col min="21" max="21" width="13.140625" style="53"/>
    <col min="22" max="22" width="17.28515625" customWidth="1"/>
    <col min="23" max="23" width="15.28515625" customWidth="1"/>
    <col min="24" max="24" width="16.5703125" customWidth="1"/>
    <col min="25" max="25" width="28" customWidth="1"/>
    <col min="26" max="26" width="37.7109375" customWidth="1"/>
  </cols>
  <sheetData>
    <row r="1" spans="1:24" x14ac:dyDescent="0.25">
      <c r="A1" s="24"/>
      <c r="B1" s="523" t="s">
        <v>49</v>
      </c>
      <c r="C1" s="523" t="s">
        <v>50</v>
      </c>
      <c r="D1" s="523" t="s">
        <v>51</v>
      </c>
      <c r="E1" s="523" t="s">
        <v>52</v>
      </c>
      <c r="F1" s="523" t="s">
        <v>53</v>
      </c>
      <c r="G1" s="529" t="s">
        <v>54</v>
      </c>
      <c r="H1" s="63"/>
      <c r="I1" s="526" t="s">
        <v>265</v>
      </c>
      <c r="J1" s="527"/>
      <c r="K1" s="528" t="s">
        <v>266</v>
      </c>
      <c r="L1" s="527"/>
      <c r="M1" s="528" t="s">
        <v>267</v>
      </c>
      <c r="N1" s="527"/>
      <c r="O1" s="243" t="s">
        <v>275</v>
      </c>
      <c r="P1" s="244"/>
      <c r="Q1" s="244"/>
      <c r="R1" s="244"/>
      <c r="S1" s="244"/>
      <c r="T1" s="244"/>
      <c r="U1" s="244"/>
      <c r="V1" s="63"/>
      <c r="W1" s="63"/>
      <c r="X1" s="63"/>
    </row>
    <row r="2" spans="1:24" ht="45" x14ac:dyDescent="0.25">
      <c r="A2" s="24"/>
      <c r="B2" s="523"/>
      <c r="C2" s="523"/>
      <c r="D2" s="523"/>
      <c r="E2" s="523"/>
      <c r="F2" s="523"/>
      <c r="G2" s="529"/>
      <c r="H2" s="220" t="s">
        <v>53</v>
      </c>
      <c r="I2" s="69" t="s">
        <v>263</v>
      </c>
      <c r="J2" s="68" t="s">
        <v>264</v>
      </c>
      <c r="K2" s="64" t="s">
        <v>263</v>
      </c>
      <c r="L2" s="64" t="s">
        <v>264</v>
      </c>
      <c r="M2" s="64" t="s">
        <v>263</v>
      </c>
      <c r="N2" s="64" t="s">
        <v>264</v>
      </c>
      <c r="O2" s="56" t="s">
        <v>268</v>
      </c>
      <c r="P2" s="57" t="s">
        <v>269</v>
      </c>
      <c r="Q2" s="56" t="s">
        <v>270</v>
      </c>
      <c r="R2" s="56" t="s">
        <v>271</v>
      </c>
      <c r="S2" s="56" t="s">
        <v>272</v>
      </c>
      <c r="T2" s="57" t="s">
        <v>273</v>
      </c>
      <c r="U2" s="58" t="s">
        <v>274</v>
      </c>
      <c r="V2" s="65" t="s">
        <v>55</v>
      </c>
      <c r="W2" s="66" t="s">
        <v>56</v>
      </c>
      <c r="X2" s="67" t="s">
        <v>57</v>
      </c>
    </row>
    <row r="3" spans="1:24" ht="51" customHeight="1" x14ac:dyDescent="0.25">
      <c r="A3" s="530" t="s">
        <v>88</v>
      </c>
      <c r="B3" s="535" t="s">
        <v>277</v>
      </c>
      <c r="C3" s="536"/>
      <c r="D3" s="536"/>
      <c r="E3" s="536"/>
      <c r="F3" s="536"/>
      <c r="G3" s="536"/>
      <c r="H3" s="536"/>
      <c r="I3" s="536"/>
      <c r="J3" s="536"/>
      <c r="K3" s="536"/>
      <c r="L3" s="536"/>
      <c r="M3" s="536"/>
      <c r="N3" s="536"/>
      <c r="O3" s="536"/>
      <c r="P3" s="536"/>
      <c r="Q3" s="536"/>
      <c r="R3" s="536"/>
      <c r="S3" s="536"/>
      <c r="T3" s="536"/>
      <c r="U3" s="536"/>
      <c r="V3" s="536"/>
      <c r="W3" s="536"/>
      <c r="X3" s="536"/>
    </row>
    <row r="4" spans="1:24" s="23" customFormat="1" ht="35.25" customHeight="1" x14ac:dyDescent="0.25">
      <c r="A4" s="531"/>
      <c r="B4" s="537" t="s">
        <v>89</v>
      </c>
      <c r="C4" s="538"/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538"/>
      <c r="U4" s="538"/>
      <c r="V4" s="538"/>
      <c r="W4" s="538"/>
      <c r="X4" s="538"/>
    </row>
    <row r="5" spans="1:24" s="23" customFormat="1" ht="35.25" customHeight="1" x14ac:dyDescent="0.25">
      <c r="A5" s="531"/>
      <c r="B5" s="524" t="s">
        <v>322</v>
      </c>
      <c r="C5" s="525"/>
      <c r="D5" s="525"/>
      <c r="E5" s="525"/>
      <c r="F5" s="525"/>
      <c r="G5" s="525"/>
      <c r="H5" s="525"/>
      <c r="I5" s="525"/>
      <c r="J5" s="525"/>
      <c r="K5" s="525"/>
      <c r="L5" s="525"/>
      <c r="M5" s="525"/>
      <c r="N5" s="525"/>
      <c r="O5" s="525"/>
      <c r="P5" s="525"/>
      <c r="Q5" s="525"/>
      <c r="R5" s="525"/>
      <c r="S5" s="525"/>
      <c r="T5" s="525"/>
      <c r="U5" s="525"/>
      <c r="V5" s="525"/>
      <c r="W5" s="525"/>
      <c r="X5" s="525"/>
    </row>
    <row r="6" spans="1:24" s="23" customFormat="1" ht="85.5" x14ac:dyDescent="0.25">
      <c r="A6" s="531"/>
      <c r="B6" s="275">
        <v>1</v>
      </c>
      <c r="C6" s="276" t="s">
        <v>323</v>
      </c>
      <c r="D6" s="276" t="s">
        <v>324</v>
      </c>
      <c r="E6" s="277">
        <v>125</v>
      </c>
      <c r="F6" s="276" t="s">
        <v>325</v>
      </c>
      <c r="G6" s="278">
        <v>1</v>
      </c>
      <c r="H6" s="30" t="s">
        <v>325</v>
      </c>
      <c r="I6" s="96">
        <v>996</v>
      </c>
      <c r="J6" s="97">
        <f>+I6*G6*E6</f>
        <v>124500</v>
      </c>
      <c r="K6" s="96">
        <v>35000</v>
      </c>
      <c r="L6" s="96">
        <f>+K6*G6*E6</f>
        <v>4375000</v>
      </c>
      <c r="M6" s="96">
        <v>42000</v>
      </c>
      <c r="N6" s="96">
        <f>+M6*E6</f>
        <v>5250000</v>
      </c>
      <c r="O6" s="98">
        <f>+AVERAGE(I6,K6,M6)</f>
        <v>25998.666666666668</v>
      </c>
      <c r="P6" s="98">
        <f>+O6*E6</f>
        <v>3249833.3333333335</v>
      </c>
      <c r="Q6" s="98">
        <f>+_xlfn.STDEV.P(I6,K6,M6)</f>
        <v>17909.029479256795</v>
      </c>
      <c r="R6" s="99">
        <f t="shared" ref="R6" si="0">+Q6/O6</f>
        <v>0.68884415146636213</v>
      </c>
      <c r="S6" s="98">
        <f>+MEDIAN(I6,K6,M6)</f>
        <v>35000</v>
      </c>
      <c r="T6" s="98">
        <f>+S6*E6</f>
        <v>4375000</v>
      </c>
      <c r="U6" s="99">
        <f t="shared" ref="U6" si="1">+Q6/S6</f>
        <v>0.51168655655019413</v>
      </c>
      <c r="V6" s="101" t="s">
        <v>233</v>
      </c>
      <c r="W6" s="100" t="s">
        <v>64</v>
      </c>
      <c r="X6" s="100" t="s">
        <v>61</v>
      </c>
    </row>
    <row r="7" spans="1:24" s="23" customFormat="1" ht="35.25" customHeight="1" x14ac:dyDescent="0.25">
      <c r="A7" s="531"/>
      <c r="B7" s="533" t="s">
        <v>89</v>
      </c>
      <c r="C7" s="534"/>
      <c r="D7" s="534"/>
      <c r="E7" s="534"/>
      <c r="F7" s="534"/>
      <c r="G7" s="534"/>
      <c r="H7" s="534"/>
      <c r="I7" s="417"/>
      <c r="J7" s="417"/>
      <c r="K7" s="417"/>
      <c r="L7" s="417"/>
      <c r="M7" s="417"/>
      <c r="N7" s="417"/>
      <c r="O7" s="417"/>
      <c r="P7" s="417"/>
      <c r="Q7" s="417"/>
      <c r="R7" s="417"/>
      <c r="S7" s="417"/>
      <c r="T7" s="417"/>
      <c r="U7" s="417"/>
      <c r="V7" s="417"/>
      <c r="W7" s="417"/>
      <c r="X7" s="417"/>
    </row>
    <row r="8" spans="1:24" ht="85.5" x14ac:dyDescent="0.25">
      <c r="A8" s="531"/>
      <c r="B8" s="59">
        <v>2</v>
      </c>
      <c r="C8" s="60" t="s">
        <v>90</v>
      </c>
      <c r="D8" s="60" t="s">
        <v>91</v>
      </c>
      <c r="E8" s="61">
        <v>20</v>
      </c>
      <c r="F8" s="60" t="s">
        <v>92</v>
      </c>
      <c r="G8" s="62"/>
      <c r="H8" s="60"/>
      <c r="I8" s="54">
        <f>+(55856*100)/119</f>
        <v>46937.815126050424</v>
      </c>
      <c r="J8" s="54">
        <f>+I8*E8</f>
        <v>938756.30252100853</v>
      </c>
      <c r="K8" s="54">
        <f>+(67057*100)/119</f>
        <v>56350.420168067227</v>
      </c>
      <c r="L8" s="54">
        <f>+K8*E8</f>
        <v>1127008.4033613445</v>
      </c>
      <c r="M8" s="54">
        <f>+(67057*100)/119</f>
        <v>56350.420168067227</v>
      </c>
      <c r="N8" s="101">
        <f>+M8*E8</f>
        <v>1127008.4033613445</v>
      </c>
      <c r="O8" s="101">
        <f>+AVERAGE(I8,K8,M8)</f>
        <v>53212.885154061623</v>
      </c>
      <c r="P8" s="101">
        <f>+O8*E8</f>
        <v>1064257.7030812325</v>
      </c>
      <c r="Q8" s="101">
        <f>+_xlfn.STDEV.P(I8,K8,M8)</f>
        <v>4437.14456922718</v>
      </c>
      <c r="R8" s="102">
        <f t="shared" ref="R8" si="2">+Q8/O8</f>
        <v>8.3384777133973964E-2</v>
      </c>
      <c r="S8" s="101">
        <f>+MEDIAN(I8,K8,M8)</f>
        <v>56350.420168067227</v>
      </c>
      <c r="T8" s="101">
        <f>+S8*E8</f>
        <v>1127008.4033613445</v>
      </c>
      <c r="U8" s="102">
        <f t="shared" ref="U8" si="3">+Q8/S8</f>
        <v>7.8741996173111589E-2</v>
      </c>
      <c r="V8" s="101" t="s">
        <v>233</v>
      </c>
      <c r="W8" s="101" t="s">
        <v>69</v>
      </c>
      <c r="X8" s="101" t="s">
        <v>61</v>
      </c>
    </row>
    <row r="9" spans="1:24" ht="30.75" customHeight="1" x14ac:dyDescent="0.25">
      <c r="A9" s="531"/>
      <c r="B9" s="539" t="s">
        <v>326</v>
      </c>
      <c r="C9" s="540"/>
      <c r="D9" s="540"/>
      <c r="E9" s="540"/>
      <c r="F9" s="540"/>
      <c r="G9" s="540"/>
      <c r="H9" s="540"/>
      <c r="I9" s="418"/>
      <c r="J9" s="418"/>
      <c r="K9" s="418"/>
      <c r="L9" s="418"/>
      <c r="M9" s="418"/>
      <c r="N9" s="418"/>
      <c r="O9" s="418"/>
      <c r="P9" s="418"/>
      <c r="Q9" s="418"/>
      <c r="R9" s="418"/>
      <c r="S9" s="418"/>
      <c r="T9" s="418"/>
      <c r="U9" s="418"/>
      <c r="V9" s="418"/>
      <c r="W9" s="418"/>
      <c r="X9" s="419"/>
    </row>
    <row r="10" spans="1:24" ht="90" x14ac:dyDescent="0.25">
      <c r="A10" s="531"/>
      <c r="B10" s="59">
        <v>3</v>
      </c>
      <c r="C10" s="276" t="s">
        <v>327</v>
      </c>
      <c r="D10" s="276" t="s">
        <v>328</v>
      </c>
      <c r="E10" s="277">
        <v>10</v>
      </c>
      <c r="F10" s="279" t="s">
        <v>329</v>
      </c>
      <c r="G10" s="62"/>
      <c r="H10" s="60"/>
      <c r="I10" s="54">
        <v>1067389</v>
      </c>
      <c r="J10" s="54">
        <f>+I10*E10</f>
        <v>10673890</v>
      </c>
      <c r="K10" s="288">
        <v>1230000</v>
      </c>
      <c r="L10" s="54">
        <f>+K10*E10</f>
        <v>12300000</v>
      </c>
      <c r="M10" s="54">
        <v>1450000</v>
      </c>
      <c r="N10" s="101">
        <f>+M10*E10</f>
        <v>14500000</v>
      </c>
      <c r="O10" s="98">
        <f>+AVERAGE(I10,K10,M10)</f>
        <v>1249129.6666666667</v>
      </c>
      <c r="P10" s="98">
        <f>+O10*E10</f>
        <v>12491296.666666668</v>
      </c>
      <c r="Q10" s="98">
        <f>+_xlfn.STDEV.P(I10,K10,M10)</f>
        <v>156784.88966379664</v>
      </c>
      <c r="R10" s="99">
        <f t="shared" ref="R10" si="4">+Q10/O10</f>
        <v>0.12551530385326687</v>
      </c>
      <c r="S10" s="98">
        <f>+MEDIAN(I10,K10,M10)</f>
        <v>1230000</v>
      </c>
      <c r="T10" s="98">
        <f>+S10*E10</f>
        <v>12300000</v>
      </c>
      <c r="U10" s="99">
        <f t="shared" ref="U10" si="5">+Q10/S10</f>
        <v>0.12746738997056636</v>
      </c>
      <c r="V10" s="101" t="s">
        <v>233</v>
      </c>
      <c r="W10" s="101" t="s">
        <v>69</v>
      </c>
      <c r="X10" s="101" t="s">
        <v>61</v>
      </c>
    </row>
    <row r="11" spans="1:24" ht="39" customHeight="1" x14ac:dyDescent="0.25">
      <c r="A11" s="531"/>
      <c r="B11" s="539" t="s">
        <v>330</v>
      </c>
      <c r="C11" s="540"/>
      <c r="D11" s="540"/>
      <c r="E11" s="540"/>
      <c r="F11" s="540"/>
      <c r="G11" s="420"/>
      <c r="H11" s="420"/>
      <c r="I11" s="420"/>
      <c r="J11" s="420"/>
      <c r="K11" s="420"/>
      <c r="L11" s="420"/>
      <c r="M11" s="420"/>
      <c r="N11" s="420"/>
      <c r="O11" s="420"/>
      <c r="P11" s="420"/>
      <c r="Q11" s="420"/>
      <c r="R11" s="420"/>
      <c r="S11" s="420"/>
      <c r="T11" s="420"/>
      <c r="U11" s="420"/>
      <c r="V11" s="420"/>
      <c r="W11" s="420"/>
      <c r="X11" s="421"/>
    </row>
    <row r="12" spans="1:24" ht="85.5" x14ac:dyDescent="0.25">
      <c r="A12" s="531"/>
      <c r="B12" s="59">
        <v>4</v>
      </c>
      <c r="C12" s="276" t="s">
        <v>331</v>
      </c>
      <c r="D12" s="276" t="s">
        <v>332</v>
      </c>
      <c r="E12" s="277">
        <v>40</v>
      </c>
      <c r="F12" s="276" t="s">
        <v>333</v>
      </c>
      <c r="G12" s="62"/>
      <c r="H12" s="60"/>
      <c r="I12" s="54">
        <v>304477</v>
      </c>
      <c r="J12" s="54">
        <f>+I12*E12</f>
        <v>12179080</v>
      </c>
      <c r="K12" s="54">
        <v>650000</v>
      </c>
      <c r="L12" s="54">
        <f>+K12*E12</f>
        <v>26000000</v>
      </c>
      <c r="M12" s="54">
        <v>1000000</v>
      </c>
      <c r="N12" s="101">
        <f>+M12*E12</f>
        <v>40000000</v>
      </c>
      <c r="O12" s="98">
        <f>+AVERAGE(I12,K12,M12)</f>
        <v>651492.33333333337</v>
      </c>
      <c r="P12" s="98">
        <f>+O12*E12</f>
        <v>26059693.333333336</v>
      </c>
      <c r="Q12" s="98">
        <f>+_xlfn.STDEV.P(I12,K12,M12)</f>
        <v>283948.0365328996</v>
      </c>
      <c r="R12" s="99">
        <f t="shared" ref="R12" si="6">+Q12/O12</f>
        <v>0.4358424834872443</v>
      </c>
      <c r="S12" s="98">
        <f>+MEDIAN(I12,K12,M12)</f>
        <v>650000</v>
      </c>
      <c r="T12" s="98">
        <f>+S12*E12</f>
        <v>26000000</v>
      </c>
      <c r="U12" s="99">
        <f t="shared" ref="U12" si="7">+Q12/S12</f>
        <v>0.43684313312753786</v>
      </c>
      <c r="V12" s="101" t="s">
        <v>233</v>
      </c>
      <c r="W12" s="101" t="s">
        <v>69</v>
      </c>
      <c r="X12" s="101" t="s">
        <v>61</v>
      </c>
    </row>
    <row r="13" spans="1:24" ht="105" x14ac:dyDescent="0.25">
      <c r="A13" s="531"/>
      <c r="B13" s="29">
        <v>5</v>
      </c>
      <c r="C13" s="33" t="s">
        <v>98</v>
      </c>
      <c r="D13" s="30" t="s">
        <v>237</v>
      </c>
      <c r="E13" s="31">
        <v>10</v>
      </c>
      <c r="F13" s="30" t="s">
        <v>99</v>
      </c>
      <c r="G13" s="32"/>
      <c r="H13" s="30"/>
      <c r="I13" s="54">
        <f>+(546909*100)/119</f>
        <v>459587.39495798317</v>
      </c>
      <c r="J13" s="54">
        <f>+I13*E13</f>
        <v>4595873.9495798312</v>
      </c>
      <c r="K13" s="54">
        <f>+(726674*100)/119</f>
        <v>610650.42016806721</v>
      </c>
      <c r="L13" s="54">
        <f>+K13*E13</f>
        <v>6106504.2016806724</v>
      </c>
      <c r="M13" s="54">
        <f>+(726674*100)/119</f>
        <v>610650.42016806721</v>
      </c>
      <c r="N13" s="101">
        <f>+M13*E13</f>
        <v>6106504.2016806724</v>
      </c>
      <c r="O13" s="101">
        <f>+AVERAGE(I13,K13,M13)</f>
        <v>560296.07843137253</v>
      </c>
      <c r="P13" s="101">
        <f>+O13*E13</f>
        <v>5602960.7843137253</v>
      </c>
      <c r="Q13" s="101">
        <f>+_xlfn.STDEV.P(I13,K13,M13)</f>
        <v>71211.793008402936</v>
      </c>
      <c r="R13" s="102">
        <f>+Q13/O13</f>
        <v>0.12709671859166022</v>
      </c>
      <c r="S13" s="101">
        <f>+MEDIAN(I13,K13,M13)</f>
        <v>610650.42016806721</v>
      </c>
      <c r="T13" s="101">
        <f>+S13*E13</f>
        <v>6106504.2016806724</v>
      </c>
      <c r="U13" s="102">
        <f>+Q13/S13</f>
        <v>0.11661630067953373</v>
      </c>
      <c r="V13" s="103" t="s">
        <v>233</v>
      </c>
      <c r="W13" s="101" t="s">
        <v>69</v>
      </c>
      <c r="X13" s="101" t="s">
        <v>61</v>
      </c>
    </row>
    <row r="14" spans="1:24" ht="33.75" customHeight="1" x14ac:dyDescent="0.25">
      <c r="A14" s="531"/>
      <c r="B14" s="541" t="s">
        <v>334</v>
      </c>
      <c r="C14" s="542"/>
      <c r="D14" s="542"/>
      <c r="E14" s="542"/>
      <c r="F14" s="542"/>
      <c r="G14" s="422"/>
      <c r="H14" s="422"/>
      <c r="I14" s="422"/>
      <c r="J14" s="422"/>
      <c r="K14" s="422"/>
      <c r="L14" s="422"/>
      <c r="M14" s="422"/>
      <c r="N14" s="422"/>
      <c r="O14" s="422"/>
      <c r="P14" s="422"/>
      <c r="Q14" s="422"/>
      <c r="R14" s="422"/>
      <c r="S14" s="422"/>
      <c r="T14" s="422"/>
      <c r="U14" s="422"/>
      <c r="V14" s="422"/>
      <c r="W14" s="422"/>
      <c r="X14" s="423"/>
    </row>
    <row r="15" spans="1:24" ht="140.1" customHeight="1" x14ac:dyDescent="0.25">
      <c r="A15" s="531"/>
      <c r="B15" s="280">
        <v>6</v>
      </c>
      <c r="C15" s="33" t="s">
        <v>335</v>
      </c>
      <c r="D15" s="276" t="s">
        <v>93</v>
      </c>
      <c r="E15" s="31">
        <v>10</v>
      </c>
      <c r="F15" s="30" t="s">
        <v>94</v>
      </c>
      <c r="G15" s="32"/>
      <c r="H15" s="30"/>
      <c r="I15" s="54">
        <f>+(84232*100)/119</f>
        <v>70783.193277310929</v>
      </c>
      <c r="J15" s="54">
        <f t="shared" ref="J15:J29" si="8">+I15*E15</f>
        <v>707831.93277310929</v>
      </c>
      <c r="K15" s="54">
        <f>+(266858*100)/119</f>
        <v>224250.42016806724</v>
      </c>
      <c r="L15" s="54">
        <f t="shared" ref="L15:L29" si="9">+K15*E15</f>
        <v>2242504.2016806724</v>
      </c>
      <c r="M15" s="54">
        <f>+(266858*100)/119</f>
        <v>224250.42016806724</v>
      </c>
      <c r="N15" s="101">
        <f t="shared" ref="N15:N29" si="10">+M15*E15</f>
        <v>2242504.2016806724</v>
      </c>
      <c r="O15" s="101">
        <f t="shared" ref="O15:O19" si="11">+AVERAGE(I15,K15,M15)</f>
        <v>173094.67787114845</v>
      </c>
      <c r="P15" s="101">
        <f t="shared" ref="P15:P19" si="12">+O15*E15</f>
        <v>1730946.7787114845</v>
      </c>
      <c r="Q15" s="101">
        <f t="shared" ref="Q15:Q19" si="13">+_xlfn.STDEV.P(I15,K15,M15)</f>
        <v>72345.144549565506</v>
      </c>
      <c r="R15" s="102">
        <f t="shared" ref="R15:R19" si="14">+Q15/O15</f>
        <v>0.41795129370424189</v>
      </c>
      <c r="S15" s="101">
        <f t="shared" ref="S15:S19" si="15">+MEDIAN(I15,K15,M15)</f>
        <v>224250.42016806724</v>
      </c>
      <c r="T15" s="101">
        <f t="shared" ref="T15:T19" si="16">+S15*E15</f>
        <v>2242504.2016806724</v>
      </c>
      <c r="U15" s="102">
        <f t="shared" ref="U15:U19" si="17">+Q15/S15</f>
        <v>0.32260873578451066</v>
      </c>
      <c r="V15" s="101" t="s">
        <v>233</v>
      </c>
      <c r="W15" s="101" t="s">
        <v>69</v>
      </c>
      <c r="X15" s="101" t="s">
        <v>61</v>
      </c>
    </row>
    <row r="16" spans="1:24" ht="85.5" x14ac:dyDescent="0.25">
      <c r="A16" s="531"/>
      <c r="B16" s="280">
        <v>7</v>
      </c>
      <c r="C16" s="278" t="s">
        <v>336</v>
      </c>
      <c r="D16" s="276" t="s">
        <v>337</v>
      </c>
      <c r="E16" s="277">
        <v>10</v>
      </c>
      <c r="F16" s="276" t="s">
        <v>245</v>
      </c>
      <c r="G16" s="32"/>
      <c r="H16" s="54"/>
      <c r="I16" s="54">
        <v>79900</v>
      </c>
      <c r="J16" s="54">
        <f>+I16*E16</f>
        <v>799000</v>
      </c>
      <c r="K16" s="54">
        <v>150000</v>
      </c>
      <c r="L16" s="54">
        <f>+K16*E16</f>
        <v>1500000</v>
      </c>
      <c r="M16" s="54">
        <v>175000</v>
      </c>
      <c r="N16" s="54">
        <f>+M16*E16</f>
        <v>1750000</v>
      </c>
      <c r="O16" s="101">
        <f t="shared" ref="O16" si="18">+AVERAGE(I16,K16,M16)</f>
        <v>134966.66666666666</v>
      </c>
      <c r="P16" s="101">
        <f t="shared" ref="P16" si="19">+O16*E16</f>
        <v>1349666.6666666665</v>
      </c>
      <c r="Q16" s="101">
        <f t="shared" ref="Q16" si="20">+_xlfn.STDEV.P(I16,K16,M16)</f>
        <v>40253.39185156396</v>
      </c>
      <c r="R16" s="102">
        <f t="shared" ref="R16" si="21">+Q16/O16</f>
        <v>0.29824691418792759</v>
      </c>
      <c r="S16" s="101">
        <f t="shared" ref="S16" si="22">+MEDIAN(I16,K16,M16)</f>
        <v>150000</v>
      </c>
      <c r="T16" s="101">
        <f t="shared" ref="T16" si="23">+S16*E16</f>
        <v>1500000</v>
      </c>
      <c r="U16" s="102">
        <f t="shared" ref="U16" si="24">+Q16/S16</f>
        <v>0.26835594567709309</v>
      </c>
      <c r="V16" s="101" t="s">
        <v>233</v>
      </c>
      <c r="W16" s="101" t="s">
        <v>69</v>
      </c>
      <c r="X16" s="101" t="s">
        <v>61</v>
      </c>
    </row>
    <row r="17" spans="1:26" ht="85.5" x14ac:dyDescent="0.25">
      <c r="A17" s="531"/>
      <c r="B17" s="280">
        <v>8</v>
      </c>
      <c r="C17" s="278" t="s">
        <v>338</v>
      </c>
      <c r="D17" s="276" t="s">
        <v>339</v>
      </c>
      <c r="E17" s="277">
        <v>20</v>
      </c>
      <c r="F17" s="276" t="s">
        <v>245</v>
      </c>
      <c r="G17" s="32"/>
      <c r="H17" s="30"/>
      <c r="I17" s="54">
        <v>6000</v>
      </c>
      <c r="J17" s="54">
        <f>+I17*E17</f>
        <v>120000</v>
      </c>
      <c r="K17" s="54">
        <v>22000</v>
      </c>
      <c r="L17" s="54">
        <f>+K17*E17</f>
        <v>440000</v>
      </c>
      <c r="M17" s="54">
        <v>25000</v>
      </c>
      <c r="N17" s="101">
        <f>+M17*E17</f>
        <v>500000</v>
      </c>
      <c r="O17" s="101">
        <f t="shared" ref="O17" si="25">+AVERAGE(I17,K17,M17)</f>
        <v>17666.666666666668</v>
      </c>
      <c r="P17" s="101">
        <f t="shared" ref="P17" si="26">+O17*E17</f>
        <v>353333.33333333337</v>
      </c>
      <c r="Q17" s="101">
        <f t="shared" ref="Q17" si="27">+_xlfn.STDEV.P(I17,K17,M17)</f>
        <v>8339.9973354645354</v>
      </c>
      <c r="R17" s="102">
        <f t="shared" ref="R17" si="28">+Q17/O17</f>
        <v>0.47207532087535103</v>
      </c>
      <c r="S17" s="101">
        <f t="shared" ref="S17" si="29">+MEDIAN(I17,K17,M17)</f>
        <v>22000</v>
      </c>
      <c r="T17" s="101">
        <f t="shared" ref="T17" si="30">+S17*E17</f>
        <v>440000</v>
      </c>
      <c r="U17" s="102">
        <f t="shared" ref="U17" si="31">+Q17/S17</f>
        <v>0.3790907879756607</v>
      </c>
      <c r="V17" s="101" t="s">
        <v>233</v>
      </c>
      <c r="W17" s="101" t="s">
        <v>69</v>
      </c>
      <c r="X17" s="101" t="s">
        <v>61</v>
      </c>
    </row>
    <row r="18" spans="1:26" ht="56.1" customHeight="1" x14ac:dyDescent="0.25">
      <c r="A18" s="531"/>
      <c r="B18" s="280">
        <v>9</v>
      </c>
      <c r="C18" s="33" t="s">
        <v>95</v>
      </c>
      <c r="D18" s="30" t="s">
        <v>96</v>
      </c>
      <c r="E18" s="31">
        <v>20</v>
      </c>
      <c r="F18" s="30" t="s">
        <v>97</v>
      </c>
      <c r="G18" s="32"/>
      <c r="H18" s="30"/>
      <c r="I18" s="54">
        <f>+(3000*100)/119</f>
        <v>2521.0084033613443</v>
      </c>
      <c r="J18" s="54">
        <f t="shared" si="8"/>
        <v>50420.168067226885</v>
      </c>
      <c r="K18" s="54">
        <f>+(17791*100)/119</f>
        <v>14950.420168067227</v>
      </c>
      <c r="L18" s="54">
        <f t="shared" si="9"/>
        <v>299008.40336134454</v>
      </c>
      <c r="M18" s="54">
        <f>+(17791*100)/119</f>
        <v>14950.420168067227</v>
      </c>
      <c r="N18" s="101">
        <f t="shared" si="10"/>
        <v>299008.40336134454</v>
      </c>
      <c r="O18" s="101">
        <f t="shared" si="11"/>
        <v>10807.282913165267</v>
      </c>
      <c r="P18" s="101">
        <f t="shared" si="12"/>
        <v>216145.65826330535</v>
      </c>
      <c r="Q18" s="101">
        <f t="shared" si="13"/>
        <v>5859.2808966555858</v>
      </c>
      <c r="R18" s="102">
        <f t="shared" si="14"/>
        <v>0.54216040643461816</v>
      </c>
      <c r="S18" s="101">
        <f t="shared" si="15"/>
        <v>14950.420168067227</v>
      </c>
      <c r="T18" s="101">
        <f t="shared" si="16"/>
        <v>299008.40336134454</v>
      </c>
      <c r="U18" s="102">
        <f t="shared" si="17"/>
        <v>0.39191412888652394</v>
      </c>
      <c r="V18" s="101" t="s">
        <v>236</v>
      </c>
      <c r="W18" s="101" t="s">
        <v>69</v>
      </c>
      <c r="X18" s="101" t="s">
        <v>61</v>
      </c>
    </row>
    <row r="19" spans="1:26" ht="85.5" x14ac:dyDescent="0.25">
      <c r="A19" s="531"/>
      <c r="B19" s="281">
        <v>10</v>
      </c>
      <c r="C19" s="70" t="s">
        <v>100</v>
      </c>
      <c r="D19" s="71" t="s">
        <v>101</v>
      </c>
      <c r="E19" s="72">
        <v>4</v>
      </c>
      <c r="F19" s="71" t="s">
        <v>102</v>
      </c>
      <c r="G19" s="73"/>
      <c r="H19" s="71"/>
      <c r="I19" s="74">
        <f>+(8558*100)/119</f>
        <v>7191.5966386554619</v>
      </c>
      <c r="J19" s="54">
        <f t="shared" si="8"/>
        <v>28766.386554621848</v>
      </c>
      <c r="K19" s="74">
        <f>+(11632*100)/119</f>
        <v>9774.7899159663866</v>
      </c>
      <c r="L19" s="54">
        <f t="shared" si="9"/>
        <v>39099.159663865546</v>
      </c>
      <c r="M19" s="74">
        <f>+(11632*100)/119</f>
        <v>9774.7899159663866</v>
      </c>
      <c r="N19" s="101">
        <f t="shared" si="10"/>
        <v>39099.159663865546</v>
      </c>
      <c r="O19" s="101">
        <f t="shared" si="11"/>
        <v>8913.7254901960787</v>
      </c>
      <c r="P19" s="101">
        <f t="shared" si="12"/>
        <v>35654.901960784315</v>
      </c>
      <c r="Q19" s="101">
        <f t="shared" si="13"/>
        <v>1217.7289890013756</v>
      </c>
      <c r="R19" s="102">
        <f t="shared" si="14"/>
        <v>0.13661279903007073</v>
      </c>
      <c r="S19" s="101">
        <f t="shared" si="15"/>
        <v>9774.7899159663866</v>
      </c>
      <c r="T19" s="101">
        <f t="shared" si="16"/>
        <v>39099.159663865546</v>
      </c>
      <c r="U19" s="102">
        <f t="shared" si="17"/>
        <v>0.12457853309075283</v>
      </c>
      <c r="V19" s="103" t="s">
        <v>233</v>
      </c>
      <c r="W19" s="103" t="s">
        <v>69</v>
      </c>
      <c r="X19" s="103" t="s">
        <v>61</v>
      </c>
    </row>
    <row r="20" spans="1:26" x14ac:dyDescent="0.25">
      <c r="A20" s="531"/>
      <c r="B20" s="545" t="s">
        <v>103</v>
      </c>
      <c r="C20" s="546"/>
      <c r="D20" s="546"/>
      <c r="E20" s="546"/>
      <c r="F20" s="546"/>
      <c r="G20" s="426"/>
      <c r="H20" s="426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6"/>
    </row>
    <row r="21" spans="1:26" ht="16.5" x14ac:dyDescent="0.25">
      <c r="A21" s="531"/>
      <c r="B21" s="543" t="s">
        <v>340</v>
      </c>
      <c r="C21" s="544"/>
      <c r="D21" s="544"/>
      <c r="E21" s="544"/>
      <c r="F21" s="544"/>
      <c r="G21" s="424"/>
      <c r="H21" s="424"/>
      <c r="I21" s="424"/>
      <c r="J21" s="424"/>
      <c r="K21" s="424"/>
      <c r="L21" s="424"/>
      <c r="M21" s="424"/>
      <c r="N21" s="424"/>
      <c r="O21" s="424"/>
      <c r="P21" s="424"/>
      <c r="Q21" s="424"/>
      <c r="R21" s="424"/>
      <c r="S21" s="424"/>
      <c r="T21" s="424"/>
      <c r="U21" s="424"/>
      <c r="V21" s="424"/>
      <c r="W21" s="424"/>
      <c r="X21" s="425"/>
    </row>
    <row r="22" spans="1:26" ht="77.25" customHeight="1" x14ac:dyDescent="0.25">
      <c r="A22" s="531"/>
      <c r="B22" s="280">
        <v>11</v>
      </c>
      <c r="C22" s="33" t="s">
        <v>104</v>
      </c>
      <c r="D22" s="282" t="s">
        <v>105</v>
      </c>
      <c r="E22" s="31">
        <v>42</v>
      </c>
      <c r="F22" s="30" t="s">
        <v>106</v>
      </c>
      <c r="G22" s="32"/>
      <c r="H22" s="30"/>
      <c r="I22" s="55">
        <f>+(68205*100)/119</f>
        <v>57315.126050420171</v>
      </c>
      <c r="J22" s="54">
        <f t="shared" si="8"/>
        <v>2407235.2941176472</v>
      </c>
      <c r="K22" s="54">
        <f>+(335283*100)/119</f>
        <v>281750.42016806721</v>
      </c>
      <c r="L22" s="54">
        <f t="shared" si="9"/>
        <v>11833517.647058822</v>
      </c>
      <c r="M22" s="54">
        <f>+(335283*100)/119</f>
        <v>281750.42016806721</v>
      </c>
      <c r="N22" s="101">
        <f t="shared" si="10"/>
        <v>11833517.647058822</v>
      </c>
      <c r="O22" s="101">
        <f t="shared" ref="O22" si="32">+AVERAGE(I22,K22,M22)</f>
        <v>206938.65546218483</v>
      </c>
      <c r="P22" s="101">
        <f t="shared" ref="P22" si="33">+O22*E22</f>
        <v>8691423.529411763</v>
      </c>
      <c r="Q22" s="101">
        <f t="shared" ref="Q22" si="34">+_xlfn.STDEV.P(I22,K22,M22)</f>
        <v>105799.81227212367</v>
      </c>
      <c r="R22" s="102">
        <f t="shared" ref="R22" si="35">+Q22/O22</f>
        <v>0.51126171683983479</v>
      </c>
      <c r="S22" s="101">
        <f t="shared" ref="S22" si="36">+MEDIAN(I22,K22,M22)</f>
        <v>281750.42016806721</v>
      </c>
      <c r="T22" s="101">
        <f t="shared" ref="T22" si="37">+S22*E22</f>
        <v>11833517.647058822</v>
      </c>
      <c r="U22" s="102">
        <f t="shared" ref="U22" si="38">+Q22/S22</f>
        <v>0.37550897780032744</v>
      </c>
      <c r="V22" s="101" t="s">
        <v>233</v>
      </c>
      <c r="W22" s="101" t="s">
        <v>69</v>
      </c>
      <c r="X22" s="101" t="s">
        <v>61</v>
      </c>
    </row>
    <row r="23" spans="1:26" ht="85.5" x14ac:dyDescent="0.25">
      <c r="A23" s="531"/>
      <c r="B23" s="280">
        <v>12</v>
      </c>
      <c r="C23" s="278" t="s">
        <v>341</v>
      </c>
      <c r="D23" s="276" t="s">
        <v>342</v>
      </c>
      <c r="E23" s="277">
        <v>42</v>
      </c>
      <c r="F23" s="276" t="s">
        <v>343</v>
      </c>
      <c r="G23" s="32"/>
      <c r="H23" s="30"/>
      <c r="I23" s="55">
        <v>120000</v>
      </c>
      <c r="J23" s="54">
        <f>+I23*E23</f>
        <v>5040000</v>
      </c>
      <c r="K23" s="55">
        <v>85000</v>
      </c>
      <c r="L23" s="54">
        <f>+K23*E23</f>
        <v>3570000</v>
      </c>
      <c r="M23" s="54">
        <v>105000</v>
      </c>
      <c r="N23" s="101">
        <f>+M23*E23</f>
        <v>4410000</v>
      </c>
      <c r="O23" s="101">
        <f t="shared" ref="O23" si="39">+AVERAGE(I23,K23,M23)</f>
        <v>103333.33333333333</v>
      </c>
      <c r="P23" s="101">
        <f t="shared" ref="P23" si="40">+O23*E23</f>
        <v>4340000</v>
      </c>
      <c r="Q23" s="101">
        <f t="shared" ref="Q23" si="41">+_xlfn.STDEV.P(I23,K23,M23)</f>
        <v>14337.208778404378</v>
      </c>
      <c r="R23" s="102">
        <f t="shared" ref="R23" si="42">+Q23/O23</f>
        <v>0.13874718172649397</v>
      </c>
      <c r="S23" s="101">
        <f t="shared" ref="S23" si="43">+MEDIAN(I23,K23,M23)</f>
        <v>105000</v>
      </c>
      <c r="T23" s="101">
        <f t="shared" ref="T23" si="44">+S23*E23</f>
        <v>4410000</v>
      </c>
      <c r="U23" s="102">
        <f t="shared" ref="U23" si="45">+Q23/S23</f>
        <v>0.13654484550861312</v>
      </c>
      <c r="V23" s="101" t="s">
        <v>233</v>
      </c>
      <c r="W23" s="101" t="s">
        <v>69</v>
      </c>
      <c r="X23" s="101" t="s">
        <v>61</v>
      </c>
    </row>
    <row r="24" spans="1:26" ht="15.6" customHeight="1" x14ac:dyDescent="0.25">
      <c r="A24" s="531"/>
      <c r="B24" s="547" t="s">
        <v>344</v>
      </c>
      <c r="C24" s="548"/>
      <c r="D24" s="548"/>
      <c r="E24" s="548"/>
      <c r="F24" s="548"/>
      <c r="G24" s="427"/>
      <c r="H24" s="427"/>
      <c r="I24" s="427"/>
      <c r="J24" s="427"/>
      <c r="K24" s="427"/>
      <c r="L24" s="427"/>
      <c r="M24" s="427"/>
      <c r="N24" s="427"/>
      <c r="O24" s="427"/>
      <c r="P24" s="427"/>
      <c r="Q24" s="427"/>
      <c r="R24" s="427"/>
      <c r="S24" s="427"/>
      <c r="T24" s="427"/>
      <c r="U24" s="427"/>
      <c r="V24" s="427"/>
      <c r="W24" s="427"/>
      <c r="X24" s="428"/>
    </row>
    <row r="25" spans="1:26" ht="51.75" customHeight="1" x14ac:dyDescent="0.25">
      <c r="A25" s="531"/>
      <c r="B25" s="29">
        <v>13</v>
      </c>
      <c r="C25" s="33" t="s">
        <v>107</v>
      </c>
      <c r="D25" s="30" t="s">
        <v>108</v>
      </c>
      <c r="E25" s="31">
        <v>105</v>
      </c>
      <c r="F25" s="30" t="s">
        <v>97</v>
      </c>
      <c r="G25" s="32"/>
      <c r="H25" s="30"/>
      <c r="I25" s="55">
        <f>+(31384*100)/119</f>
        <v>26373.10924369748</v>
      </c>
      <c r="J25" s="54">
        <f t="shared" si="8"/>
        <v>2769176.4705882352</v>
      </c>
      <c r="K25" s="54">
        <f>+(102638*100)/119</f>
        <v>86250.420168067227</v>
      </c>
      <c r="L25" s="54">
        <f t="shared" si="9"/>
        <v>9056294.1176470593</v>
      </c>
      <c r="M25" s="54">
        <f>+(102638*100)/119</f>
        <v>86250.420168067227</v>
      </c>
      <c r="N25" s="101">
        <f t="shared" si="10"/>
        <v>9056294.1176470593</v>
      </c>
      <c r="O25" s="101">
        <f t="shared" ref="O25:O29" si="46">+AVERAGE(I25,K25,M25)</f>
        <v>66291.316526610637</v>
      </c>
      <c r="P25" s="101">
        <f t="shared" ref="P25:P29" si="47">+O25*E25</f>
        <v>6960588.2352941167</v>
      </c>
      <c r="Q25" s="101">
        <f t="shared" ref="Q25:Q29" si="48">+_xlfn.STDEV.P(I25,K25,M25)</f>
        <v>28226.435062558146</v>
      </c>
      <c r="R25" s="102">
        <f t="shared" ref="R25:R29" si="49">+Q25/O25</f>
        <v>0.42579385267190312</v>
      </c>
      <c r="S25" s="101">
        <f t="shared" ref="S25:S29" si="50">+MEDIAN(I25,K25,M25)</f>
        <v>86250.420168067227</v>
      </c>
      <c r="T25" s="101">
        <f t="shared" ref="T25:T29" si="51">+S25*E25</f>
        <v>9056294.1176470593</v>
      </c>
      <c r="U25" s="102">
        <f t="shared" ref="U25:U29" si="52">+Q25/S25</f>
        <v>0.32726142095952954</v>
      </c>
      <c r="V25" s="101" t="s">
        <v>233</v>
      </c>
      <c r="W25" s="101" t="s">
        <v>69</v>
      </c>
      <c r="X25" s="101" t="s">
        <v>61</v>
      </c>
    </row>
    <row r="26" spans="1:26" ht="126" customHeight="1" x14ac:dyDescent="0.25">
      <c r="A26" s="531"/>
      <c r="B26" s="29">
        <v>14</v>
      </c>
      <c r="C26" s="33" t="s">
        <v>109</v>
      </c>
      <c r="D26" s="30" t="s">
        <v>110</v>
      </c>
      <c r="E26" s="31">
        <v>3</v>
      </c>
      <c r="F26" s="30" t="s">
        <v>106</v>
      </c>
      <c r="G26" s="32"/>
      <c r="H26" s="30"/>
      <c r="I26" s="55">
        <f>+(89049*100)/119</f>
        <v>74831.092436974795</v>
      </c>
      <c r="J26" s="54">
        <f t="shared" si="8"/>
        <v>224493.27731092437</v>
      </c>
      <c r="K26" s="54">
        <f>+(260015*100)/119</f>
        <v>218500</v>
      </c>
      <c r="L26" s="54">
        <f t="shared" si="9"/>
        <v>655500</v>
      </c>
      <c r="M26" s="54">
        <f>+(260015*100)/119</f>
        <v>218500</v>
      </c>
      <c r="N26" s="101">
        <f t="shared" si="10"/>
        <v>655500</v>
      </c>
      <c r="O26" s="101">
        <f t="shared" si="46"/>
        <v>170610.36414565827</v>
      </c>
      <c r="P26" s="101">
        <f t="shared" si="47"/>
        <v>511831.09243697481</v>
      </c>
      <c r="Q26" s="101">
        <f t="shared" si="48"/>
        <v>67726.172522318928</v>
      </c>
      <c r="R26" s="102">
        <f t="shared" si="49"/>
        <v>0.39696399958737466</v>
      </c>
      <c r="S26" s="101">
        <f t="shared" si="50"/>
        <v>218500</v>
      </c>
      <c r="T26" s="101">
        <f t="shared" si="51"/>
        <v>655500</v>
      </c>
      <c r="U26" s="102">
        <f t="shared" si="52"/>
        <v>0.30995959964448022</v>
      </c>
      <c r="V26" s="101" t="s">
        <v>233</v>
      </c>
      <c r="W26" s="101" t="s">
        <v>69</v>
      </c>
      <c r="X26" s="101" t="s">
        <v>61</v>
      </c>
    </row>
    <row r="27" spans="1:26" ht="57" customHeight="1" x14ac:dyDescent="0.25">
      <c r="A27" s="531"/>
      <c r="B27" s="280">
        <v>15</v>
      </c>
      <c r="C27" s="33" t="s">
        <v>111</v>
      </c>
      <c r="D27" s="30" t="s">
        <v>112</v>
      </c>
      <c r="E27" s="31">
        <v>105</v>
      </c>
      <c r="F27" s="30" t="s">
        <v>97</v>
      </c>
      <c r="G27" s="32"/>
      <c r="H27" s="30"/>
      <c r="I27" s="55">
        <f>+(58182*100)/119</f>
        <v>48892.436974789918</v>
      </c>
      <c r="J27" s="54">
        <f t="shared" si="8"/>
        <v>5133705.8823529417</v>
      </c>
      <c r="K27" s="54">
        <f>+(247818*100)/119</f>
        <v>208250.42016806724</v>
      </c>
      <c r="L27" s="54">
        <f t="shared" si="9"/>
        <v>21866294.117647059</v>
      </c>
      <c r="M27" s="54">
        <f>+(247818*100)/119</f>
        <v>208250.42016806724</v>
      </c>
      <c r="N27" s="101">
        <f t="shared" si="10"/>
        <v>21866294.117647059</v>
      </c>
      <c r="O27" s="101">
        <f t="shared" si="46"/>
        <v>155131.09243697478</v>
      </c>
      <c r="P27" s="101">
        <f t="shared" si="47"/>
        <v>16288764.705882352</v>
      </c>
      <c r="Q27" s="101">
        <f t="shared" si="48"/>
        <v>75122.073701452187</v>
      </c>
      <c r="R27" s="102">
        <f t="shared" si="49"/>
        <v>0.48424898272389905</v>
      </c>
      <c r="S27" s="101">
        <f t="shared" si="50"/>
        <v>208250.42016806724</v>
      </c>
      <c r="T27" s="101">
        <f t="shared" si="51"/>
        <v>21866294.117647059</v>
      </c>
      <c r="U27" s="102">
        <f t="shared" si="52"/>
        <v>0.36072951805247438</v>
      </c>
      <c r="V27" s="101" t="s">
        <v>233</v>
      </c>
      <c r="W27" s="101" t="s">
        <v>69</v>
      </c>
      <c r="X27" s="101" t="s">
        <v>61</v>
      </c>
    </row>
    <row r="28" spans="1:26" ht="59.25" customHeight="1" x14ac:dyDescent="0.25">
      <c r="A28" s="531"/>
      <c r="B28" s="280">
        <v>16</v>
      </c>
      <c r="C28" s="33" t="s">
        <v>113</v>
      </c>
      <c r="D28" s="30" t="s">
        <v>114</v>
      </c>
      <c r="E28" s="31">
        <v>50</v>
      </c>
      <c r="F28" s="30" t="s">
        <v>115</v>
      </c>
      <c r="G28" s="32"/>
      <c r="H28" s="30"/>
      <c r="I28" s="55">
        <f>+(79369*100)/119</f>
        <v>66696.638655462186</v>
      </c>
      <c r="J28" s="54">
        <f t="shared" si="8"/>
        <v>3334831.9327731095</v>
      </c>
      <c r="K28" s="54">
        <f>+(235382*100)/119</f>
        <v>197800</v>
      </c>
      <c r="L28" s="54">
        <f t="shared" si="9"/>
        <v>9890000</v>
      </c>
      <c r="M28" s="54">
        <f>+(235382*100)/119</f>
        <v>197800</v>
      </c>
      <c r="N28" s="101">
        <f t="shared" si="10"/>
        <v>9890000</v>
      </c>
      <c r="O28" s="101">
        <f t="shared" si="46"/>
        <v>154098.87955182072</v>
      </c>
      <c r="P28" s="101">
        <f t="shared" si="47"/>
        <v>7704943.9775910359</v>
      </c>
      <c r="Q28" s="101">
        <f t="shared" si="48"/>
        <v>61802.717228715293</v>
      </c>
      <c r="R28" s="102">
        <f t="shared" si="49"/>
        <v>0.40105883578428053</v>
      </c>
      <c r="S28" s="101">
        <f t="shared" si="50"/>
        <v>197800</v>
      </c>
      <c r="T28" s="101">
        <f t="shared" si="51"/>
        <v>9890000</v>
      </c>
      <c r="U28" s="102">
        <f t="shared" si="52"/>
        <v>0.31245054210675072</v>
      </c>
      <c r="V28" s="101" t="s">
        <v>233</v>
      </c>
      <c r="W28" s="101" t="s">
        <v>69</v>
      </c>
      <c r="X28" s="101" t="s">
        <v>61</v>
      </c>
      <c r="Y28" s="270" t="s">
        <v>287</v>
      </c>
      <c r="Z28" s="270" t="s">
        <v>291</v>
      </c>
    </row>
    <row r="29" spans="1:26" ht="85.5" x14ac:dyDescent="0.25">
      <c r="A29" s="531"/>
      <c r="B29" s="281">
        <v>17</v>
      </c>
      <c r="C29" s="70" t="s">
        <v>116</v>
      </c>
      <c r="D29" s="71" t="s">
        <v>117</v>
      </c>
      <c r="E29" s="72">
        <v>1</v>
      </c>
      <c r="F29" s="71" t="s">
        <v>118</v>
      </c>
      <c r="G29" s="73"/>
      <c r="H29" s="71"/>
      <c r="I29" s="77">
        <v>2400000</v>
      </c>
      <c r="J29" s="54">
        <f t="shared" si="8"/>
        <v>2400000</v>
      </c>
      <c r="K29" s="74">
        <f>+(3284400*100)/119</f>
        <v>2760000</v>
      </c>
      <c r="L29" s="54">
        <f t="shared" si="9"/>
        <v>2760000</v>
      </c>
      <c r="M29" s="74">
        <f>+(3284400*100)/119</f>
        <v>2760000</v>
      </c>
      <c r="N29" s="101">
        <f t="shared" si="10"/>
        <v>2760000</v>
      </c>
      <c r="O29" s="101">
        <f t="shared" si="46"/>
        <v>2640000</v>
      </c>
      <c r="P29" s="101">
        <f t="shared" si="47"/>
        <v>2640000</v>
      </c>
      <c r="Q29" s="101">
        <f t="shared" si="48"/>
        <v>169705.62748477139</v>
      </c>
      <c r="R29" s="102">
        <f t="shared" si="49"/>
        <v>6.4282434653322493E-2</v>
      </c>
      <c r="S29" s="101">
        <f t="shared" si="50"/>
        <v>2760000</v>
      </c>
      <c r="T29" s="101">
        <f t="shared" si="51"/>
        <v>2760000</v>
      </c>
      <c r="U29" s="102">
        <f t="shared" si="52"/>
        <v>6.1487546190134565E-2</v>
      </c>
      <c r="V29" s="103" t="s">
        <v>233</v>
      </c>
      <c r="W29" s="103" t="s">
        <v>64</v>
      </c>
      <c r="X29" s="103" t="s">
        <v>61</v>
      </c>
      <c r="Y29" s="268">
        <f>SUM(P6,P8:P32,P34:P36)</f>
        <v>224307893.45361343</v>
      </c>
      <c r="Z29" s="268">
        <f>SUM(T8:T29)</f>
        <v>110525730.25210083</v>
      </c>
    </row>
    <row r="30" spans="1:26" ht="33.75" customHeight="1" x14ac:dyDescent="0.25">
      <c r="A30" s="531"/>
      <c r="B30" s="549" t="s">
        <v>345</v>
      </c>
      <c r="C30" s="550"/>
      <c r="D30" s="550"/>
      <c r="E30" s="550"/>
      <c r="F30" s="550"/>
      <c r="G30" s="429"/>
      <c r="H30" s="429"/>
      <c r="I30" s="429"/>
      <c r="J30" s="429"/>
      <c r="K30" s="429"/>
      <c r="L30" s="429"/>
      <c r="M30" s="429"/>
      <c r="N30" s="429"/>
      <c r="O30" s="429"/>
      <c r="P30" s="429"/>
      <c r="Q30" s="429"/>
      <c r="R30" s="429"/>
      <c r="S30" s="429"/>
      <c r="T30" s="429"/>
      <c r="U30" s="429"/>
      <c r="V30" s="429"/>
      <c r="W30" s="429"/>
      <c r="X30" s="429"/>
      <c r="Y30" s="268"/>
      <c r="Z30" s="268"/>
    </row>
    <row r="31" spans="1:26" ht="85.5" x14ac:dyDescent="0.25">
      <c r="A31" s="531"/>
      <c r="B31" s="284">
        <v>18</v>
      </c>
      <c r="C31" s="278" t="s">
        <v>346</v>
      </c>
      <c r="D31" s="276" t="s">
        <v>347</v>
      </c>
      <c r="E31" s="277">
        <v>1</v>
      </c>
      <c r="F31" s="276" t="s">
        <v>118</v>
      </c>
      <c r="G31" s="278">
        <v>1</v>
      </c>
      <c r="H31" s="276" t="s">
        <v>118</v>
      </c>
      <c r="I31" s="289">
        <v>1704829.13</v>
      </c>
      <c r="J31" s="283">
        <f>+I31*G31</f>
        <v>1704829.13</v>
      </c>
      <c r="K31" s="290">
        <v>1500000</v>
      </c>
      <c r="L31" s="54">
        <f>+K31*G31</f>
        <v>1500000</v>
      </c>
      <c r="M31" s="290">
        <v>1250000</v>
      </c>
      <c r="N31" s="101">
        <f>+M31*E31</f>
        <v>1250000</v>
      </c>
      <c r="O31" s="101">
        <f t="shared" ref="O31:O32" si="53">+AVERAGE(I31,K31,M31)</f>
        <v>1484943.0433333332</v>
      </c>
      <c r="P31" s="101">
        <f t="shared" ref="P31:P32" si="54">+O31*E31</f>
        <v>1484943.0433333332</v>
      </c>
      <c r="Q31" s="101">
        <f t="shared" ref="Q31:Q32" si="55">+_xlfn.STDEV.P(I31,K31,M31)</f>
        <v>185988.20452237682</v>
      </c>
      <c r="R31" s="102">
        <f t="shared" ref="R31:R32" si="56">+Q31/O31</f>
        <v>0.12524938606727898</v>
      </c>
      <c r="S31" s="101">
        <f t="shared" ref="S31:S32" si="57">+MEDIAN(I31,K31,M31)</f>
        <v>1500000</v>
      </c>
      <c r="T31" s="101">
        <f t="shared" ref="T31:T32" si="58">+S31*E31</f>
        <v>1500000</v>
      </c>
      <c r="U31" s="102">
        <f t="shared" ref="U31:U32" si="59">+Q31/S31</f>
        <v>0.12399213634825121</v>
      </c>
      <c r="V31" s="103" t="s">
        <v>233</v>
      </c>
      <c r="W31" s="103" t="s">
        <v>64</v>
      </c>
      <c r="X31" s="103" t="s">
        <v>61</v>
      </c>
      <c r="Y31" s="354" t="s">
        <v>355</v>
      </c>
      <c r="Z31" s="354" t="s">
        <v>354</v>
      </c>
    </row>
    <row r="32" spans="1:26" ht="85.5" x14ac:dyDescent="0.25">
      <c r="A32" s="532"/>
      <c r="B32" s="284">
        <v>19</v>
      </c>
      <c r="C32" s="278" t="s">
        <v>348</v>
      </c>
      <c r="D32" s="276" t="s">
        <v>349</v>
      </c>
      <c r="E32" s="277">
        <v>1</v>
      </c>
      <c r="F32" s="276" t="s">
        <v>118</v>
      </c>
      <c r="G32" s="278">
        <v>1</v>
      </c>
      <c r="H32" s="276" t="s">
        <v>118</v>
      </c>
      <c r="I32" s="289">
        <v>1704829.13</v>
      </c>
      <c r="J32" s="283">
        <f>+I32*G32</f>
        <v>1704829.13</v>
      </c>
      <c r="K32" s="290">
        <v>1350000</v>
      </c>
      <c r="L32" s="54">
        <f>+K32*G32</f>
        <v>1350000</v>
      </c>
      <c r="M32" s="290">
        <v>1300000</v>
      </c>
      <c r="N32" s="101">
        <f>+M32*E32</f>
        <v>1300000</v>
      </c>
      <c r="O32" s="101">
        <f t="shared" si="53"/>
        <v>1451609.71</v>
      </c>
      <c r="P32" s="101">
        <f t="shared" si="54"/>
        <v>1451609.71</v>
      </c>
      <c r="Q32" s="101">
        <f t="shared" si="55"/>
        <v>180212.94070969278</v>
      </c>
      <c r="R32" s="102">
        <f t="shared" si="56"/>
        <v>0.12414696558463555</v>
      </c>
      <c r="S32" s="101">
        <f t="shared" si="57"/>
        <v>1350000</v>
      </c>
      <c r="T32" s="101">
        <f t="shared" si="58"/>
        <v>1350000</v>
      </c>
      <c r="U32" s="102">
        <f t="shared" si="59"/>
        <v>0.13349106719236503</v>
      </c>
      <c r="V32" s="103" t="s">
        <v>233</v>
      </c>
      <c r="W32" s="103" t="s">
        <v>64</v>
      </c>
      <c r="X32" s="103" t="s">
        <v>61</v>
      </c>
      <c r="Y32" s="268">
        <f>267000000/1.19</f>
        <v>224369747.89915967</v>
      </c>
      <c r="Z32" s="268">
        <f>Y32-Y29</f>
        <v>61854.445546239614</v>
      </c>
    </row>
    <row r="33" spans="1:26" ht="15.75" x14ac:dyDescent="0.25">
      <c r="A33" s="293"/>
      <c r="B33" s="552" t="s">
        <v>352</v>
      </c>
      <c r="C33" s="553"/>
      <c r="D33" s="553"/>
      <c r="E33" s="553"/>
      <c r="F33" s="553"/>
      <c r="G33" s="553"/>
      <c r="H33" s="553"/>
      <c r="I33" s="416"/>
      <c r="J33" s="416"/>
      <c r="K33" s="416"/>
      <c r="L33" s="416"/>
      <c r="M33" s="416"/>
      <c r="N33" s="416"/>
      <c r="O33" s="416"/>
      <c r="P33" s="416"/>
      <c r="Q33" s="416"/>
      <c r="R33" s="416"/>
      <c r="S33" s="416"/>
      <c r="T33" s="416"/>
      <c r="U33" s="416"/>
      <c r="V33" s="416"/>
      <c r="W33" s="416"/>
      <c r="X33" s="416"/>
      <c r="Y33" s="268"/>
      <c r="Z33" s="268"/>
    </row>
    <row r="34" spans="1:26" ht="85.5" x14ac:dyDescent="0.25">
      <c r="A34" s="293"/>
      <c r="B34" s="430">
        <v>3</v>
      </c>
      <c r="C34" s="430" t="s">
        <v>65</v>
      </c>
      <c r="D34" s="430" t="s">
        <v>66</v>
      </c>
      <c r="E34" s="430">
        <v>1</v>
      </c>
      <c r="F34" s="430" t="s">
        <v>60</v>
      </c>
      <c r="G34" s="431">
        <v>8</v>
      </c>
      <c r="H34" s="430" t="s">
        <v>63</v>
      </c>
      <c r="I34" s="432">
        <v>5600000</v>
      </c>
      <c r="J34" s="433">
        <f t="shared" ref="J34" si="60">+I34*G34</f>
        <v>44800000</v>
      </c>
      <c r="K34" s="389"/>
      <c r="L34" s="390"/>
      <c r="M34" s="390"/>
      <c r="N34" s="390"/>
      <c r="O34" s="391">
        <f t="shared" ref="O34" si="61">+(ROUND(AVERAGE(I34),0))</f>
        <v>5600000</v>
      </c>
      <c r="P34" s="391">
        <f t="shared" ref="P34" si="62">+O34*E34*G34</f>
        <v>44800000</v>
      </c>
      <c r="Q34" s="392">
        <v>0</v>
      </c>
      <c r="R34" s="393">
        <v>0</v>
      </c>
      <c r="S34" s="391">
        <f t="shared" ref="S34" si="63">+(ROUND(MEDIAN(I34),0))</f>
        <v>5600000</v>
      </c>
      <c r="T34" s="391">
        <f t="shared" ref="T34" si="64">S34*E34*G34</f>
        <v>44800000</v>
      </c>
      <c r="U34" s="393">
        <v>0</v>
      </c>
      <c r="V34" s="394" t="s">
        <v>276</v>
      </c>
      <c r="W34" s="394"/>
      <c r="X34" s="395"/>
    </row>
    <row r="35" spans="1:26" ht="85.5" x14ac:dyDescent="0.25">
      <c r="A35" s="293"/>
      <c r="B35" s="430">
        <v>20</v>
      </c>
      <c r="C35" s="430" t="s">
        <v>82</v>
      </c>
      <c r="D35" s="430" t="s">
        <v>367</v>
      </c>
      <c r="E35" s="430">
        <v>6</v>
      </c>
      <c r="F35" s="430" t="s">
        <v>83</v>
      </c>
      <c r="G35" s="431">
        <v>4</v>
      </c>
      <c r="H35" s="430" t="s">
        <v>63</v>
      </c>
      <c r="I35" s="434">
        <v>2720000</v>
      </c>
      <c r="J35" s="433">
        <f>+I35*G35</f>
        <v>10880000</v>
      </c>
      <c r="K35" s="389"/>
      <c r="L35" s="390"/>
      <c r="M35" s="390"/>
      <c r="N35" s="390"/>
      <c r="O35" s="391">
        <f t="shared" ref="O35" si="65">+(ROUND(AVERAGE(I35),0))</f>
        <v>2720000</v>
      </c>
      <c r="P35" s="391">
        <f>+O35*E35*G35</f>
        <v>65280000</v>
      </c>
      <c r="Q35" s="392">
        <v>0</v>
      </c>
      <c r="R35" s="393">
        <v>0</v>
      </c>
      <c r="S35" s="391">
        <f t="shared" ref="S35" si="66">+(ROUND(MEDIAN(I35),0))</f>
        <v>2720000</v>
      </c>
      <c r="T35" s="391">
        <f>S35*E35*G35</f>
        <v>65280000</v>
      </c>
      <c r="U35" s="393">
        <v>0</v>
      </c>
      <c r="V35" s="394" t="s">
        <v>276</v>
      </c>
      <c r="W35" s="394"/>
      <c r="X35" s="395"/>
    </row>
    <row r="36" spans="1:26" ht="85.5" x14ac:dyDescent="0.25">
      <c r="A36" s="293"/>
      <c r="B36" s="435">
        <v>21</v>
      </c>
      <c r="C36" s="430" t="s">
        <v>357</v>
      </c>
      <c r="D36" s="436" t="s">
        <v>358</v>
      </c>
      <c r="E36" s="437">
        <v>1</v>
      </c>
      <c r="F36" s="430" t="s">
        <v>83</v>
      </c>
      <c r="G36" s="431">
        <v>4</v>
      </c>
      <c r="H36" s="430" t="s">
        <v>63</v>
      </c>
      <c r="I36" s="434">
        <v>3000000</v>
      </c>
      <c r="J36" s="433">
        <f>+I36*G36</f>
        <v>12000000</v>
      </c>
      <c r="K36" s="389"/>
      <c r="L36" s="390"/>
      <c r="M36" s="390"/>
      <c r="N36" s="390"/>
      <c r="O36" s="391">
        <f t="shared" ref="O36" si="67">+(ROUND(AVERAGE(I36),0))</f>
        <v>3000000</v>
      </c>
      <c r="P36" s="391">
        <f>+O36*E36*G36</f>
        <v>12000000</v>
      </c>
      <c r="Q36" s="392">
        <v>1</v>
      </c>
      <c r="R36" s="393">
        <v>1</v>
      </c>
      <c r="S36" s="391">
        <f t="shared" ref="S36" si="68">+(ROUND(MEDIAN(I36),0))</f>
        <v>3000000</v>
      </c>
      <c r="T36" s="391">
        <f>S36*E36*G36</f>
        <v>12000000</v>
      </c>
      <c r="U36" s="393">
        <v>1</v>
      </c>
      <c r="V36" s="394" t="s">
        <v>276</v>
      </c>
      <c r="W36" s="394"/>
      <c r="X36" s="395"/>
      <c r="Y36" s="268"/>
      <c r="Z36" s="268"/>
    </row>
    <row r="37" spans="1:26" ht="15.75" x14ac:dyDescent="0.25">
      <c r="A37" s="293"/>
      <c r="B37" s="294"/>
      <c r="C37" s="295"/>
      <c r="D37" s="296"/>
      <c r="E37" s="297"/>
      <c r="F37" s="296"/>
      <c r="G37" s="295"/>
      <c r="H37" s="296"/>
      <c r="I37" s="298"/>
      <c r="J37" s="283"/>
      <c r="K37" s="299"/>
      <c r="L37" s="283"/>
      <c r="M37" s="299"/>
      <c r="N37" s="300"/>
      <c r="O37" s="300"/>
      <c r="P37" s="300"/>
      <c r="Q37" s="300"/>
      <c r="R37" s="301"/>
      <c r="S37" s="300"/>
      <c r="T37" s="300"/>
      <c r="U37" s="301"/>
      <c r="V37" s="302"/>
      <c r="W37" s="302"/>
      <c r="X37" s="302"/>
      <c r="Y37" s="268"/>
      <c r="Z37" s="268"/>
    </row>
    <row r="38" spans="1:26" ht="53.25" customHeight="1" x14ac:dyDescent="0.25">
      <c r="A38" s="507" t="s">
        <v>119</v>
      </c>
      <c r="B38" s="515" t="s">
        <v>120</v>
      </c>
      <c r="C38" s="516"/>
      <c r="D38" s="516"/>
      <c r="E38" s="516"/>
      <c r="F38" s="516"/>
      <c r="G38" s="516"/>
      <c r="H38" s="516"/>
      <c r="I38" s="81"/>
      <c r="J38" s="81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0"/>
      <c r="W38" s="80"/>
      <c r="X38" s="80"/>
    </row>
    <row r="39" spans="1:26" ht="51" x14ac:dyDescent="0.25">
      <c r="A39" s="508"/>
      <c r="B39" s="78">
        <v>1</v>
      </c>
      <c r="C39" s="285" t="s">
        <v>121</v>
      </c>
      <c r="D39" s="79" t="s">
        <v>361</v>
      </c>
      <c r="E39" s="204">
        <v>500</v>
      </c>
      <c r="F39" s="205" t="s">
        <v>122</v>
      </c>
      <c r="G39" s="204">
        <v>2</v>
      </c>
      <c r="H39" s="363" t="s">
        <v>359</v>
      </c>
      <c r="I39" s="93">
        <v>1772</v>
      </c>
      <c r="J39" s="93">
        <f>+I39*E39</f>
        <v>886000</v>
      </c>
      <c r="K39" s="93">
        <f>+(3570*100)/119</f>
        <v>3000</v>
      </c>
      <c r="L39" s="93">
        <f>+K39*E39</f>
        <v>1500000</v>
      </c>
      <c r="M39" s="93">
        <f>+(3570*100)/119</f>
        <v>3000</v>
      </c>
      <c r="N39" s="93">
        <f>+M39*E39</f>
        <v>1500000</v>
      </c>
      <c r="O39" s="94">
        <f>+AVERAGE(I39,K39,M39)</f>
        <v>2590.6666666666665</v>
      </c>
      <c r="P39" s="94">
        <f>+O39*E39*G39</f>
        <v>2590666.6666666665</v>
      </c>
      <c r="Q39" s="94">
        <f>+_xlfn.STDEV.P(I39,K39,M39)</f>
        <v>578.88475153138688</v>
      </c>
      <c r="R39" s="95">
        <f t="shared" ref="R39" si="69">+Q39/O39</f>
        <v>0.22345010995807524</v>
      </c>
      <c r="S39" s="94">
        <f>+MEDIAN(I39,K39,M39)</f>
        <v>3000</v>
      </c>
      <c r="T39" s="94">
        <f>+S39*E39</f>
        <v>1500000</v>
      </c>
      <c r="U39" s="95">
        <f t="shared" ref="U39" si="70">+Q39/S39</f>
        <v>0.19296158384379564</v>
      </c>
      <c r="V39" s="83" t="s">
        <v>279</v>
      </c>
      <c r="W39" s="83" t="s">
        <v>69</v>
      </c>
      <c r="X39" s="83" t="s">
        <v>61</v>
      </c>
    </row>
    <row r="40" spans="1:26" ht="26.25" x14ac:dyDescent="0.25">
      <c r="A40" s="508"/>
      <c r="B40" s="25">
        <v>2</v>
      </c>
      <c r="C40" s="286" t="s">
        <v>123</v>
      </c>
      <c r="D40" s="26" t="s">
        <v>124</v>
      </c>
      <c r="E40" s="27">
        <v>500</v>
      </c>
      <c r="F40" s="149" t="s">
        <v>122</v>
      </c>
      <c r="G40" s="204">
        <v>2</v>
      </c>
      <c r="H40" s="363" t="s">
        <v>359</v>
      </c>
      <c r="I40" s="93">
        <v>2949</v>
      </c>
      <c r="J40" s="93">
        <f t="shared" ref="J40:J47" si="71">+I40*E40</f>
        <v>1474500</v>
      </c>
      <c r="K40" s="93">
        <f>+(3451*100)/119</f>
        <v>2900</v>
      </c>
      <c r="L40" s="93">
        <f t="shared" ref="L40:L47" si="72">+K40*E40</f>
        <v>1450000</v>
      </c>
      <c r="M40" s="93">
        <f>+(3451*100)/119</f>
        <v>2900</v>
      </c>
      <c r="N40" s="93">
        <f t="shared" ref="N40:N47" si="73">+M40*E40</f>
        <v>1450000</v>
      </c>
      <c r="O40" s="94">
        <f t="shared" ref="O40:O47" si="74">+AVERAGE(I40,K40,M40)</f>
        <v>2916.3333333333335</v>
      </c>
      <c r="P40" s="94">
        <f t="shared" ref="P40:P45" si="75">+O40*E40*G40</f>
        <v>2916333.3333333335</v>
      </c>
      <c r="Q40" s="94">
        <f t="shared" ref="Q40:Q47" si="76">+_xlfn.STDEV.P(I40,K40,M40)</f>
        <v>23.098821518760555</v>
      </c>
      <c r="R40" s="95">
        <f t="shared" ref="R40:R47" si="77">+Q40/O40</f>
        <v>7.9205011494206945E-3</v>
      </c>
      <c r="S40" s="94">
        <f t="shared" ref="S40:S47" si="78">+MEDIAN(I40,K40,M40)</f>
        <v>2900</v>
      </c>
      <c r="T40" s="94">
        <f t="shared" ref="T40:T47" si="79">+S40*E40</f>
        <v>1450000</v>
      </c>
      <c r="U40" s="95">
        <f t="shared" ref="U40:U47" si="80">+Q40/S40</f>
        <v>7.9651108685381226E-3</v>
      </c>
      <c r="V40" s="83" t="s">
        <v>279</v>
      </c>
      <c r="W40" s="83" t="s">
        <v>69</v>
      </c>
      <c r="X40" s="83" t="s">
        <v>61</v>
      </c>
      <c r="Y40" s="354" t="s">
        <v>355</v>
      </c>
      <c r="Z40" s="354" t="s">
        <v>354</v>
      </c>
    </row>
    <row r="41" spans="1:26" ht="25.5" x14ac:dyDescent="0.25">
      <c r="A41" s="508"/>
      <c r="B41" s="25">
        <v>3</v>
      </c>
      <c r="C41" s="286" t="s">
        <v>125</v>
      </c>
      <c r="D41" s="26" t="s">
        <v>126</v>
      </c>
      <c r="E41" s="27">
        <v>500</v>
      </c>
      <c r="F41" s="149" t="s">
        <v>122</v>
      </c>
      <c r="G41" s="204">
        <v>2</v>
      </c>
      <c r="H41" s="363" t="s">
        <v>359</v>
      </c>
      <c r="I41" s="93">
        <v>15686</v>
      </c>
      <c r="J41" s="93">
        <f t="shared" si="71"/>
        <v>7843000</v>
      </c>
      <c r="K41" s="93">
        <f>+(20230*100)/119</f>
        <v>17000</v>
      </c>
      <c r="L41" s="93">
        <f t="shared" si="72"/>
        <v>8500000</v>
      </c>
      <c r="M41" s="93">
        <f>+(20230*100)/119</f>
        <v>17000</v>
      </c>
      <c r="N41" s="93">
        <f t="shared" si="73"/>
        <v>8500000</v>
      </c>
      <c r="O41" s="94">
        <f t="shared" si="74"/>
        <v>16562</v>
      </c>
      <c r="P41" s="94">
        <f t="shared" si="75"/>
        <v>16562000</v>
      </c>
      <c r="Q41" s="94">
        <f t="shared" si="76"/>
        <v>619.42554031941563</v>
      </c>
      <c r="R41" s="95">
        <f t="shared" si="77"/>
        <v>3.7400406974967736E-2</v>
      </c>
      <c r="S41" s="94">
        <f t="shared" si="78"/>
        <v>17000</v>
      </c>
      <c r="T41" s="94">
        <f t="shared" si="79"/>
        <v>8500000</v>
      </c>
      <c r="U41" s="95">
        <f t="shared" si="80"/>
        <v>3.6436796489377393E-2</v>
      </c>
      <c r="V41" s="83" t="s">
        <v>279</v>
      </c>
      <c r="W41" s="83" t="s">
        <v>69</v>
      </c>
      <c r="X41" s="83" t="s">
        <v>61</v>
      </c>
      <c r="Y41" s="268">
        <f>352000000/1.19</f>
        <v>295798319.32773113</v>
      </c>
      <c r="Z41" s="268">
        <f>Y41-Y47</f>
        <v>14217.994397759438</v>
      </c>
    </row>
    <row r="42" spans="1:26" ht="38.25" x14ac:dyDescent="0.25">
      <c r="A42" s="508"/>
      <c r="B42" s="25">
        <v>4</v>
      </c>
      <c r="C42" s="286" t="s">
        <v>127</v>
      </c>
      <c r="D42" s="26" t="s">
        <v>128</v>
      </c>
      <c r="E42" s="27">
        <v>500</v>
      </c>
      <c r="F42" s="149" t="s">
        <v>122</v>
      </c>
      <c r="G42" s="204">
        <v>2</v>
      </c>
      <c r="H42" s="363" t="s">
        <v>359</v>
      </c>
      <c r="I42" s="93">
        <v>1895</v>
      </c>
      <c r="J42" s="93">
        <f t="shared" si="71"/>
        <v>947500</v>
      </c>
      <c r="K42" s="93">
        <f>+(2380*100)/119</f>
        <v>2000</v>
      </c>
      <c r="L42" s="93">
        <f t="shared" si="72"/>
        <v>1000000</v>
      </c>
      <c r="M42" s="93">
        <f>+(2380*100)/119</f>
        <v>2000</v>
      </c>
      <c r="N42" s="93">
        <f t="shared" si="73"/>
        <v>1000000</v>
      </c>
      <c r="O42" s="94">
        <f t="shared" si="74"/>
        <v>1965</v>
      </c>
      <c r="P42" s="94">
        <f t="shared" si="75"/>
        <v>1965000</v>
      </c>
      <c r="Q42" s="94">
        <f t="shared" si="76"/>
        <v>49.497474683058329</v>
      </c>
      <c r="R42" s="95">
        <f t="shared" si="77"/>
        <v>2.5189554546085662E-2</v>
      </c>
      <c r="S42" s="94">
        <f t="shared" si="78"/>
        <v>2000</v>
      </c>
      <c r="T42" s="94">
        <f t="shared" si="79"/>
        <v>1000000</v>
      </c>
      <c r="U42" s="95">
        <f t="shared" si="80"/>
        <v>2.4748737341529166E-2</v>
      </c>
      <c r="V42" s="83" t="s">
        <v>279</v>
      </c>
      <c r="W42" s="83" t="s">
        <v>69</v>
      </c>
      <c r="X42" s="83" t="s">
        <v>61</v>
      </c>
    </row>
    <row r="43" spans="1:26" ht="25.5" x14ac:dyDescent="0.25">
      <c r="A43" s="508"/>
      <c r="B43" s="25">
        <v>5</v>
      </c>
      <c r="C43" s="286" t="s">
        <v>129</v>
      </c>
      <c r="D43" s="26" t="s">
        <v>130</v>
      </c>
      <c r="E43" s="27">
        <v>500</v>
      </c>
      <c r="F43" s="149" t="s">
        <v>122</v>
      </c>
      <c r="G43" s="204">
        <v>2</v>
      </c>
      <c r="H43" s="363" t="s">
        <v>359</v>
      </c>
      <c r="I43" s="93">
        <v>1684</v>
      </c>
      <c r="J43" s="93">
        <f t="shared" si="71"/>
        <v>842000</v>
      </c>
      <c r="K43" s="93">
        <f>+(2261*100)/119</f>
        <v>1900</v>
      </c>
      <c r="L43" s="93">
        <f t="shared" si="72"/>
        <v>950000</v>
      </c>
      <c r="M43" s="93">
        <f>+(2261*100)/119</f>
        <v>1900</v>
      </c>
      <c r="N43" s="93">
        <f t="shared" si="73"/>
        <v>950000</v>
      </c>
      <c r="O43" s="94">
        <f t="shared" si="74"/>
        <v>1828</v>
      </c>
      <c r="P43" s="94">
        <f t="shared" si="75"/>
        <v>1828000</v>
      </c>
      <c r="Q43" s="94">
        <f t="shared" si="76"/>
        <v>101.82337649086284</v>
      </c>
      <c r="R43" s="95">
        <f t="shared" si="77"/>
        <v>5.5702065914038756E-2</v>
      </c>
      <c r="S43" s="94">
        <f t="shared" si="78"/>
        <v>1900</v>
      </c>
      <c r="T43" s="94">
        <f t="shared" si="79"/>
        <v>950000</v>
      </c>
      <c r="U43" s="95">
        <f t="shared" si="80"/>
        <v>5.3591250784664653E-2</v>
      </c>
      <c r="V43" s="83" t="s">
        <v>279</v>
      </c>
      <c r="W43" s="83" t="s">
        <v>69</v>
      </c>
      <c r="X43" s="83" t="s">
        <v>61</v>
      </c>
    </row>
    <row r="44" spans="1:26" ht="25.5" x14ac:dyDescent="0.25">
      <c r="A44" s="508"/>
      <c r="B44" s="25">
        <v>6</v>
      </c>
      <c r="C44" s="286" t="s">
        <v>131</v>
      </c>
      <c r="D44" s="26" t="s">
        <v>132</v>
      </c>
      <c r="E44" s="27">
        <v>500</v>
      </c>
      <c r="F44" s="149" t="s">
        <v>122</v>
      </c>
      <c r="G44" s="204">
        <v>2</v>
      </c>
      <c r="H44" s="363" t="s">
        <v>359</v>
      </c>
      <c r="I44" s="93">
        <v>1895</v>
      </c>
      <c r="J44" s="93">
        <f t="shared" si="71"/>
        <v>947500</v>
      </c>
      <c r="K44" s="93">
        <f>+(3570*100)/119</f>
        <v>3000</v>
      </c>
      <c r="L44" s="93">
        <f t="shared" si="72"/>
        <v>1500000</v>
      </c>
      <c r="M44" s="93">
        <f>+(3570*100)/119</f>
        <v>3000</v>
      </c>
      <c r="N44" s="93">
        <f t="shared" si="73"/>
        <v>1500000</v>
      </c>
      <c r="O44" s="94">
        <f t="shared" si="74"/>
        <v>2631.6666666666665</v>
      </c>
      <c r="P44" s="94">
        <f t="shared" si="75"/>
        <v>2631666.6666666665</v>
      </c>
      <c r="Q44" s="94">
        <f t="shared" si="76"/>
        <v>520.90199547408997</v>
      </c>
      <c r="R44" s="95">
        <f t="shared" si="77"/>
        <v>0.1979361604081406</v>
      </c>
      <c r="S44" s="94">
        <f t="shared" si="78"/>
        <v>3000</v>
      </c>
      <c r="T44" s="94">
        <f t="shared" si="79"/>
        <v>1500000</v>
      </c>
      <c r="U44" s="95">
        <f t="shared" si="80"/>
        <v>0.17363399849136332</v>
      </c>
      <c r="V44" s="83" t="s">
        <v>279</v>
      </c>
      <c r="W44" s="83" t="s">
        <v>69</v>
      </c>
      <c r="X44" s="83" t="s">
        <v>61</v>
      </c>
    </row>
    <row r="45" spans="1:26" ht="25.5" x14ac:dyDescent="0.25">
      <c r="A45" s="508"/>
      <c r="B45" s="25">
        <v>7</v>
      </c>
      <c r="C45" s="286" t="s">
        <v>133</v>
      </c>
      <c r="D45" s="26" t="s">
        <v>130</v>
      </c>
      <c r="E45" s="27">
        <v>500</v>
      </c>
      <c r="F45" s="149" t="s">
        <v>122</v>
      </c>
      <c r="G45" s="204">
        <v>2</v>
      </c>
      <c r="H45" s="363" t="s">
        <v>359</v>
      </c>
      <c r="I45" s="93">
        <v>1684</v>
      </c>
      <c r="J45" s="93">
        <f t="shared" si="71"/>
        <v>842000</v>
      </c>
      <c r="K45" s="93">
        <f>+(2975*100)/119</f>
        <v>2500</v>
      </c>
      <c r="L45" s="93">
        <f t="shared" si="72"/>
        <v>1250000</v>
      </c>
      <c r="M45" s="93">
        <f>+(2975*100)/119</f>
        <v>2500</v>
      </c>
      <c r="N45" s="93">
        <f t="shared" si="73"/>
        <v>1250000</v>
      </c>
      <c r="O45" s="94">
        <f t="shared" si="74"/>
        <v>2228</v>
      </c>
      <c r="P45" s="94">
        <f t="shared" si="75"/>
        <v>2228000</v>
      </c>
      <c r="Q45" s="94">
        <f t="shared" si="76"/>
        <v>384.66608896548183</v>
      </c>
      <c r="R45" s="95">
        <f t="shared" si="77"/>
        <v>0.17265084783010853</v>
      </c>
      <c r="S45" s="94">
        <f t="shared" si="78"/>
        <v>2500</v>
      </c>
      <c r="T45" s="94">
        <f t="shared" si="79"/>
        <v>1250000</v>
      </c>
      <c r="U45" s="95">
        <f t="shared" si="80"/>
        <v>0.15386643558619273</v>
      </c>
      <c r="V45" s="83" t="s">
        <v>279</v>
      </c>
      <c r="W45" s="83" t="s">
        <v>69</v>
      </c>
      <c r="X45" s="83" t="s">
        <v>61</v>
      </c>
    </row>
    <row r="46" spans="1:26" ht="51" x14ac:dyDescent="0.25">
      <c r="A46" s="508"/>
      <c r="B46" s="25">
        <v>8</v>
      </c>
      <c r="C46" s="286" t="s">
        <v>134</v>
      </c>
      <c r="D46" s="28" t="s">
        <v>135</v>
      </c>
      <c r="E46" s="27">
        <v>20</v>
      </c>
      <c r="F46" s="149" t="s">
        <v>122</v>
      </c>
      <c r="G46" s="204">
        <v>1</v>
      </c>
      <c r="H46" s="363" t="s">
        <v>359</v>
      </c>
      <c r="I46" s="93">
        <v>33864</v>
      </c>
      <c r="J46" s="93">
        <f t="shared" si="71"/>
        <v>677280</v>
      </c>
      <c r="K46" s="93">
        <f>+(267750*100)/119</f>
        <v>225000</v>
      </c>
      <c r="L46" s="93">
        <f t="shared" si="72"/>
        <v>4500000</v>
      </c>
      <c r="M46" s="93">
        <f>+(267750*100)/119</f>
        <v>225000</v>
      </c>
      <c r="N46" s="93">
        <f t="shared" si="73"/>
        <v>4500000</v>
      </c>
      <c r="O46" s="94">
        <f t="shared" si="74"/>
        <v>161288</v>
      </c>
      <c r="P46" s="94">
        <f>+O46*E46</f>
        <v>3225760</v>
      </c>
      <c r="Q46" s="94">
        <f t="shared" si="76"/>
        <v>90102.374485914625</v>
      </c>
      <c r="R46" s="95">
        <f t="shared" si="77"/>
        <v>0.55864276626850495</v>
      </c>
      <c r="S46" s="94">
        <f t="shared" si="78"/>
        <v>225000</v>
      </c>
      <c r="T46" s="94">
        <f t="shared" si="79"/>
        <v>4500000</v>
      </c>
      <c r="U46" s="95">
        <f t="shared" si="80"/>
        <v>0.40045499771517612</v>
      </c>
      <c r="V46" s="83" t="s">
        <v>279</v>
      </c>
      <c r="W46" s="83" t="s">
        <v>69</v>
      </c>
      <c r="X46" s="83" t="s">
        <v>61</v>
      </c>
      <c r="Y46" s="271" t="s">
        <v>287</v>
      </c>
      <c r="Z46" s="271" t="s">
        <v>291</v>
      </c>
    </row>
    <row r="47" spans="1:26" ht="25.5" x14ac:dyDescent="0.25">
      <c r="A47" s="508"/>
      <c r="B47" s="41">
        <v>9</v>
      </c>
      <c r="C47" s="287" t="s">
        <v>136</v>
      </c>
      <c r="D47" s="42" t="s">
        <v>137</v>
      </c>
      <c r="E47" s="148">
        <v>500</v>
      </c>
      <c r="F47" s="150" t="s">
        <v>122</v>
      </c>
      <c r="G47" s="204">
        <v>2</v>
      </c>
      <c r="H47" s="363" t="s">
        <v>359</v>
      </c>
      <c r="I47" s="104">
        <f>17374+930+886</f>
        <v>19190</v>
      </c>
      <c r="J47" s="104">
        <f t="shared" si="71"/>
        <v>9595000</v>
      </c>
      <c r="K47" s="104">
        <f>+(17850*100)/119</f>
        <v>15000</v>
      </c>
      <c r="L47" s="104">
        <f t="shared" si="72"/>
        <v>7500000</v>
      </c>
      <c r="M47" s="104">
        <f>+(17850*100)/119</f>
        <v>15000</v>
      </c>
      <c r="N47" s="104">
        <f t="shared" si="73"/>
        <v>7500000</v>
      </c>
      <c r="O47" s="105">
        <f t="shared" si="74"/>
        <v>16396.666666666668</v>
      </c>
      <c r="P47" s="105">
        <f>+O47*E47*G47</f>
        <v>16396666.666666668</v>
      </c>
      <c r="Q47" s="105">
        <f t="shared" si="76"/>
        <v>1975.1849421144227</v>
      </c>
      <c r="R47" s="106">
        <f t="shared" si="77"/>
        <v>0.12046259049284952</v>
      </c>
      <c r="S47" s="105">
        <f t="shared" si="78"/>
        <v>15000</v>
      </c>
      <c r="T47" s="105">
        <f t="shared" si="79"/>
        <v>7500000</v>
      </c>
      <c r="U47" s="106">
        <f t="shared" si="80"/>
        <v>0.13167899614096151</v>
      </c>
      <c r="V47" s="84" t="s">
        <v>280</v>
      </c>
      <c r="W47" s="84" t="s">
        <v>69</v>
      </c>
      <c r="X47" s="84" t="s">
        <v>61</v>
      </c>
      <c r="Y47" s="53">
        <f>SUM(P39:P50)</f>
        <v>295784101.33333337</v>
      </c>
      <c r="Z47" s="53">
        <f>SUM(T39:T47)</f>
        <v>28150000</v>
      </c>
    </row>
    <row r="48" spans="1:26" ht="51" x14ac:dyDescent="0.25">
      <c r="A48" s="508"/>
      <c r="B48" s="438">
        <v>10</v>
      </c>
      <c r="C48" s="287" t="s">
        <v>364</v>
      </c>
      <c r="D48" s="42" t="s">
        <v>365</v>
      </c>
      <c r="E48" s="439">
        <v>1</v>
      </c>
      <c r="F48" s="439" t="s">
        <v>366</v>
      </c>
      <c r="G48" s="440">
        <v>6</v>
      </c>
      <c r="H48" s="439" t="s">
        <v>63</v>
      </c>
      <c r="I48" s="432">
        <v>5000000</v>
      </c>
      <c r="J48" s="441">
        <f>+I48*G48</f>
        <v>30000000</v>
      </c>
      <c r="K48" s="355"/>
      <c r="L48" s="356"/>
      <c r="M48" s="356"/>
      <c r="N48" s="357"/>
      <c r="O48" s="358">
        <f t="shared" ref="O48" si="81">+(ROUND(AVERAGE(I48),0))</f>
        <v>5000000</v>
      </c>
      <c r="P48" s="358">
        <f>+O48*E48*G48</f>
        <v>30000000</v>
      </c>
      <c r="Q48" s="359">
        <v>0</v>
      </c>
      <c r="R48" s="360">
        <v>-2</v>
      </c>
      <c r="S48" s="358">
        <f>+(ROUND(MEDIAN(I48),0))</f>
        <v>5000000</v>
      </c>
      <c r="T48" s="358">
        <f>S48*E48*G48</f>
        <v>30000000</v>
      </c>
      <c r="U48" s="360">
        <v>-2</v>
      </c>
      <c r="V48" s="361" t="s">
        <v>353</v>
      </c>
      <c r="W48" s="361"/>
      <c r="X48" s="362"/>
      <c r="Y48" s="53"/>
      <c r="Z48" s="53"/>
    </row>
    <row r="49" spans="1:26" ht="51" x14ac:dyDescent="0.25">
      <c r="A49" s="508"/>
      <c r="B49" s="439">
        <v>11</v>
      </c>
      <c r="C49" s="287" t="s">
        <v>360</v>
      </c>
      <c r="D49" s="42" t="s">
        <v>361</v>
      </c>
      <c r="E49" s="439">
        <v>1</v>
      </c>
      <c r="F49" s="439" t="s">
        <v>366</v>
      </c>
      <c r="G49" s="440">
        <v>8</v>
      </c>
      <c r="H49" s="439" t="s">
        <v>63</v>
      </c>
      <c r="I49" s="432">
        <v>5860001</v>
      </c>
      <c r="J49" s="441">
        <f>+I49*G49</f>
        <v>46880008</v>
      </c>
      <c r="K49" s="355"/>
      <c r="L49" s="356"/>
      <c r="M49" s="356"/>
      <c r="N49" s="357"/>
      <c r="O49" s="358">
        <f t="shared" ref="O49" si="82">+(ROUND(AVERAGE(I49),0))</f>
        <v>5860001</v>
      </c>
      <c r="P49" s="358">
        <f>+O49*E49*G49</f>
        <v>46880008</v>
      </c>
      <c r="Q49" s="359">
        <v>0</v>
      </c>
      <c r="R49" s="360">
        <v>-1</v>
      </c>
      <c r="S49" s="358">
        <f>+(ROUND(MEDIAN(I49),0))</f>
        <v>5860001</v>
      </c>
      <c r="T49" s="358">
        <f>S49*E49*G49</f>
        <v>46880008</v>
      </c>
      <c r="U49" s="360">
        <v>-1</v>
      </c>
      <c r="V49" s="361" t="s">
        <v>353</v>
      </c>
      <c r="W49" s="361"/>
      <c r="X49" s="362"/>
      <c r="Y49" s="53" t="s">
        <v>353</v>
      </c>
      <c r="Z49" s="53"/>
    </row>
    <row r="50" spans="1:26" ht="28.5" x14ac:dyDescent="0.25">
      <c r="A50" s="509"/>
      <c r="B50" s="438">
        <v>12</v>
      </c>
      <c r="C50" s="439" t="s">
        <v>82</v>
      </c>
      <c r="D50" s="439" t="s">
        <v>369</v>
      </c>
      <c r="E50" s="439">
        <v>8</v>
      </c>
      <c r="F50" s="439" t="s">
        <v>366</v>
      </c>
      <c r="G50" s="440">
        <v>7</v>
      </c>
      <c r="H50" s="439" t="s">
        <v>63</v>
      </c>
      <c r="I50" s="442">
        <v>3010000</v>
      </c>
      <c r="J50" s="441">
        <f>+I50*G50</f>
        <v>21070000</v>
      </c>
      <c r="K50" s="355"/>
      <c r="L50" s="356"/>
      <c r="M50" s="356"/>
      <c r="N50" s="357"/>
      <c r="O50" s="358">
        <f t="shared" ref="O50" si="83">+(ROUND(AVERAGE(I50),0))</f>
        <v>3010000</v>
      </c>
      <c r="P50" s="358">
        <f>+O50*E50*G50</f>
        <v>168560000</v>
      </c>
      <c r="Q50" s="359">
        <v>0</v>
      </c>
      <c r="R50" s="360">
        <v>0</v>
      </c>
      <c r="S50" s="358">
        <f>+(ROUND(MEDIAN(I50),0))</f>
        <v>3010000</v>
      </c>
      <c r="T50" s="358">
        <f t="shared" ref="T50" si="84">S50*E50*G50</f>
        <v>168560000</v>
      </c>
      <c r="U50" s="360">
        <v>0</v>
      </c>
      <c r="V50" s="361" t="s">
        <v>353</v>
      </c>
      <c r="W50" s="361"/>
      <c r="X50" s="362"/>
    </row>
    <row r="51" spans="1:26" ht="18" customHeight="1" x14ac:dyDescent="0.25">
      <c r="A51" s="517" t="s">
        <v>138</v>
      </c>
      <c r="B51" s="520" t="s">
        <v>139</v>
      </c>
      <c r="C51" s="521"/>
      <c r="D51" s="521"/>
      <c r="E51" s="521"/>
      <c r="F51" s="521"/>
      <c r="G51" s="521"/>
      <c r="H51" s="522"/>
      <c r="I51" s="85"/>
      <c r="J51" s="85"/>
      <c r="K51" s="86"/>
      <c r="L51" s="86"/>
      <c r="M51" s="86"/>
      <c r="N51" s="107"/>
      <c r="O51" s="88"/>
      <c r="P51" s="88"/>
      <c r="Q51" s="88"/>
      <c r="R51" s="88"/>
      <c r="S51" s="88"/>
      <c r="T51" s="88"/>
      <c r="U51" s="88"/>
      <c r="V51" s="87"/>
      <c r="W51" s="89"/>
      <c r="X51" s="89"/>
    </row>
    <row r="52" spans="1:26" ht="18" customHeight="1" x14ac:dyDescent="0.25">
      <c r="A52" s="518"/>
      <c r="B52" s="512" t="s">
        <v>140</v>
      </c>
      <c r="C52" s="513"/>
      <c r="D52" s="513"/>
      <c r="E52" s="513"/>
      <c r="F52" s="513"/>
      <c r="G52" s="513"/>
      <c r="H52" s="514"/>
      <c r="I52" s="85"/>
      <c r="J52" s="85"/>
      <c r="K52" s="86"/>
      <c r="L52" s="86"/>
      <c r="M52" s="86"/>
      <c r="N52" s="108"/>
      <c r="O52" s="91"/>
      <c r="P52" s="91"/>
      <c r="Q52" s="91"/>
      <c r="R52" s="91"/>
      <c r="S52" s="91"/>
      <c r="T52" s="91"/>
      <c r="U52" s="91"/>
      <c r="V52" s="90"/>
      <c r="W52" s="92"/>
      <c r="X52" s="92"/>
    </row>
    <row r="53" spans="1:26" ht="45" x14ac:dyDescent="0.25">
      <c r="A53" s="518"/>
      <c r="B53" s="40">
        <v>1</v>
      </c>
      <c r="C53" s="38" t="s">
        <v>141</v>
      </c>
      <c r="D53" s="38" t="s">
        <v>142</v>
      </c>
      <c r="E53" s="37">
        <v>10</v>
      </c>
      <c r="F53" s="39" t="s">
        <v>143</v>
      </c>
      <c r="G53" s="37"/>
      <c r="H53" s="36"/>
      <c r="I53" s="109">
        <f>+(152900*100)/119</f>
        <v>128487.3949579832</v>
      </c>
      <c r="J53" s="110">
        <f>+I53*E53</f>
        <v>1284873.9495798319</v>
      </c>
      <c r="K53" s="111">
        <f>+(71400*100)/119</f>
        <v>60000</v>
      </c>
      <c r="L53" s="112">
        <f>+K53*E53</f>
        <v>600000</v>
      </c>
      <c r="M53" s="112">
        <f>+(71400*100)/119</f>
        <v>60000</v>
      </c>
      <c r="N53" s="112">
        <f>+M53*E53</f>
        <v>600000</v>
      </c>
      <c r="O53" s="115">
        <f t="shared" ref="O53" si="85">+AVERAGE(I53,K53,M53)</f>
        <v>82829.131652661061</v>
      </c>
      <c r="P53" s="115">
        <f t="shared" ref="P53" si="86">+O53*E53</f>
        <v>828291.31652661064</v>
      </c>
      <c r="Q53" s="115">
        <f t="shared" ref="Q53" si="87">+_xlfn.STDEV.P(I53,K53,M53)</f>
        <v>32285.267600394192</v>
      </c>
      <c r="R53" s="116">
        <f t="shared" ref="R53" si="88">+Q53/O53</f>
        <v>0.38978155337641957</v>
      </c>
      <c r="S53" s="115">
        <f t="shared" ref="S53" si="89">+MEDIAN(I53,K53,M53)</f>
        <v>60000</v>
      </c>
      <c r="T53" s="115">
        <f t="shared" ref="T53" si="90">+S53*E53</f>
        <v>600000</v>
      </c>
      <c r="U53" s="116">
        <f t="shared" ref="U53" si="91">+Q53/S53</f>
        <v>0.5380877933399032</v>
      </c>
      <c r="V53" s="52" t="s">
        <v>48</v>
      </c>
      <c r="W53" s="134" t="s">
        <v>69</v>
      </c>
      <c r="X53" s="134" t="s">
        <v>61</v>
      </c>
    </row>
    <row r="54" spans="1:26" ht="42.75" customHeight="1" x14ac:dyDescent="0.25">
      <c r="A54" s="518"/>
      <c r="B54" s="40">
        <v>2</v>
      </c>
      <c r="C54" s="38" t="s">
        <v>144</v>
      </c>
      <c r="D54" s="38" t="s">
        <v>145</v>
      </c>
      <c r="E54" s="37">
        <v>18</v>
      </c>
      <c r="F54" s="39" t="s">
        <v>146</v>
      </c>
      <c r="G54" s="37"/>
      <c r="H54" s="36"/>
      <c r="I54" s="109">
        <f>+(459900*100)/119</f>
        <v>386470.5882352941</v>
      </c>
      <c r="J54" s="110">
        <f t="shared" ref="J54:J76" si="92">+I54*E54</f>
        <v>6956470.5882352935</v>
      </c>
      <c r="K54" s="111">
        <f>+(398650*100)/119</f>
        <v>335000</v>
      </c>
      <c r="L54" s="112">
        <f t="shared" ref="L54:L68" si="93">+K54*E54</f>
        <v>6030000</v>
      </c>
      <c r="M54" s="112">
        <f>+(398650*100)/119</f>
        <v>335000</v>
      </c>
      <c r="N54" s="112">
        <f t="shared" ref="N54:N68" si="94">+M54*E54</f>
        <v>6030000</v>
      </c>
      <c r="O54" s="115">
        <f t="shared" ref="O54:O68" si="95">+AVERAGE(I54,K54,M54)</f>
        <v>352156.86274509801</v>
      </c>
      <c r="P54" s="115">
        <f t="shared" ref="P54:P68" si="96">+O54*E54</f>
        <v>6338823.5294117639</v>
      </c>
      <c r="Q54" s="115">
        <f t="shared" ref="Q54:Q68" si="97">+_xlfn.STDEV.P(I54,K54,M54)</f>
        <v>24263.467981891328</v>
      </c>
      <c r="R54" s="116">
        <f t="shared" ref="R54:R68" si="98">+Q54/O54</f>
        <v>6.8899602843900773E-2</v>
      </c>
      <c r="S54" s="115">
        <f t="shared" ref="S54:S68" si="99">+MEDIAN(I54,K54,M54)</f>
        <v>335000</v>
      </c>
      <c r="T54" s="115">
        <f t="shared" ref="T54:T68" si="100">+S54*E54</f>
        <v>6030000</v>
      </c>
      <c r="U54" s="116">
        <f t="shared" ref="U54:U68" si="101">+Q54/S54</f>
        <v>7.2428262632511425E-2</v>
      </c>
      <c r="V54" s="52" t="s">
        <v>240</v>
      </c>
      <c r="W54" s="134" t="s">
        <v>69</v>
      </c>
      <c r="X54" s="134" t="s">
        <v>61</v>
      </c>
    </row>
    <row r="55" spans="1:26" ht="42.75" customHeight="1" x14ac:dyDescent="0.25">
      <c r="A55" s="518"/>
      <c r="B55" s="40">
        <v>3</v>
      </c>
      <c r="C55" s="38" t="s">
        <v>147</v>
      </c>
      <c r="D55" s="38" t="s">
        <v>15</v>
      </c>
      <c r="E55" s="37">
        <v>10</v>
      </c>
      <c r="F55" s="39" t="s">
        <v>148</v>
      </c>
      <c r="G55" s="37"/>
      <c r="H55" s="36"/>
      <c r="I55" s="109">
        <f>+(10500*100)/119</f>
        <v>8823.5294117647063</v>
      </c>
      <c r="J55" s="110">
        <f>+I55*E55</f>
        <v>88235.294117647063</v>
      </c>
      <c r="K55" s="111">
        <f>+(8925*100)/119</f>
        <v>7500</v>
      </c>
      <c r="L55" s="112">
        <f t="shared" si="93"/>
        <v>75000</v>
      </c>
      <c r="M55" s="112">
        <f>+(8925*100)/119</f>
        <v>7500</v>
      </c>
      <c r="N55" s="112">
        <f t="shared" si="94"/>
        <v>75000</v>
      </c>
      <c r="O55" s="115">
        <f t="shared" si="95"/>
        <v>7941.1764705882351</v>
      </c>
      <c r="P55" s="115">
        <f t="shared" si="96"/>
        <v>79411.76470588235</v>
      </c>
      <c r="Q55" s="115">
        <f t="shared" si="97"/>
        <v>623.91774810577749</v>
      </c>
      <c r="R55" s="116">
        <f t="shared" si="98"/>
        <v>7.856742013183865E-2</v>
      </c>
      <c r="S55" s="115">
        <f t="shared" si="99"/>
        <v>7500</v>
      </c>
      <c r="T55" s="115">
        <f t="shared" si="100"/>
        <v>75000</v>
      </c>
      <c r="U55" s="116">
        <f t="shared" si="101"/>
        <v>8.318903308077033E-2</v>
      </c>
      <c r="V55" s="52" t="s">
        <v>241</v>
      </c>
      <c r="W55" s="134" t="s">
        <v>69</v>
      </c>
      <c r="X55" s="134" t="s">
        <v>61</v>
      </c>
    </row>
    <row r="56" spans="1:26" ht="45" x14ac:dyDescent="0.25">
      <c r="A56" s="518"/>
      <c r="B56" s="40">
        <v>4</v>
      </c>
      <c r="C56" s="38" t="s">
        <v>149</v>
      </c>
      <c r="D56" s="38" t="s">
        <v>16</v>
      </c>
      <c r="E56" s="37">
        <v>24</v>
      </c>
      <c r="F56" s="39" t="s">
        <v>150</v>
      </c>
      <c r="G56" s="37"/>
      <c r="H56" s="36"/>
      <c r="I56" s="109">
        <f>+(34900*100)/119</f>
        <v>29327.731092436974</v>
      </c>
      <c r="J56" s="110">
        <f>+I56*E56</f>
        <v>703865.54621848743</v>
      </c>
      <c r="K56" s="111">
        <f>+(29750*100)/119</f>
        <v>25000</v>
      </c>
      <c r="L56" s="112">
        <f t="shared" si="93"/>
        <v>600000</v>
      </c>
      <c r="M56" s="112">
        <f>+(29750*100)/119</f>
        <v>25000</v>
      </c>
      <c r="N56" s="112">
        <f t="shared" si="94"/>
        <v>600000</v>
      </c>
      <c r="O56" s="115">
        <f t="shared" si="95"/>
        <v>26442.577030812321</v>
      </c>
      <c r="P56" s="115">
        <f t="shared" si="96"/>
        <v>634621.84873949573</v>
      </c>
      <c r="Q56" s="115">
        <f t="shared" si="97"/>
        <v>2040.1120017426997</v>
      </c>
      <c r="R56" s="116">
        <f t="shared" si="98"/>
        <v>7.7152540743871179E-2</v>
      </c>
      <c r="S56" s="115">
        <f t="shared" si="99"/>
        <v>25000</v>
      </c>
      <c r="T56" s="115">
        <f t="shared" si="100"/>
        <v>600000</v>
      </c>
      <c r="U56" s="116">
        <f t="shared" si="101"/>
        <v>8.1604480069707983E-2</v>
      </c>
      <c r="V56" s="52" t="s">
        <v>48</v>
      </c>
      <c r="W56" s="134" t="s">
        <v>69</v>
      </c>
      <c r="X56" s="134" t="s">
        <v>61</v>
      </c>
    </row>
    <row r="57" spans="1:26" ht="45" x14ac:dyDescent="0.25">
      <c r="A57" s="518"/>
      <c r="B57" s="40">
        <v>5</v>
      </c>
      <c r="C57" s="38" t="s">
        <v>151</v>
      </c>
      <c r="D57" s="38" t="s">
        <v>17</v>
      </c>
      <c r="E57" s="37">
        <v>20</v>
      </c>
      <c r="F57" s="39" t="s">
        <v>152</v>
      </c>
      <c r="G57" s="37"/>
      <c r="H57" s="36"/>
      <c r="I57" s="109">
        <f>+(9900*100)/119</f>
        <v>8319.3277310924368</v>
      </c>
      <c r="J57" s="110">
        <f t="shared" si="92"/>
        <v>166386.55462184874</v>
      </c>
      <c r="K57" s="111">
        <f>+(53550*100)/119</f>
        <v>45000</v>
      </c>
      <c r="L57" s="112">
        <f t="shared" si="93"/>
        <v>900000</v>
      </c>
      <c r="M57" s="112">
        <f>+(53550*100)/119</f>
        <v>45000</v>
      </c>
      <c r="N57" s="112">
        <f t="shared" si="94"/>
        <v>900000</v>
      </c>
      <c r="O57" s="115">
        <f t="shared" si="95"/>
        <v>32773.10924369748</v>
      </c>
      <c r="P57" s="115">
        <f t="shared" si="96"/>
        <v>655462.18487394962</v>
      </c>
      <c r="Q57" s="115">
        <f t="shared" si="97"/>
        <v>17291.434733217258</v>
      </c>
      <c r="R57" s="116">
        <f t="shared" si="98"/>
        <v>0.52761044442380867</v>
      </c>
      <c r="S57" s="115">
        <f t="shared" si="99"/>
        <v>45000</v>
      </c>
      <c r="T57" s="115">
        <f t="shared" si="100"/>
        <v>900000</v>
      </c>
      <c r="U57" s="116">
        <f t="shared" si="101"/>
        <v>0.38425410518260572</v>
      </c>
      <c r="V57" s="52" t="s">
        <v>48</v>
      </c>
      <c r="W57" s="134" t="s">
        <v>69</v>
      </c>
      <c r="X57" s="134" t="s">
        <v>61</v>
      </c>
    </row>
    <row r="58" spans="1:26" ht="45" x14ac:dyDescent="0.25">
      <c r="A58" s="518"/>
      <c r="B58" s="40">
        <v>6</v>
      </c>
      <c r="C58" s="38" t="s">
        <v>153</v>
      </c>
      <c r="D58" s="38" t="s">
        <v>18</v>
      </c>
      <c r="E58" s="37">
        <v>20</v>
      </c>
      <c r="F58" s="39" t="s">
        <v>152</v>
      </c>
      <c r="G58" s="37"/>
      <c r="H58" s="36"/>
      <c r="I58" s="109">
        <f>+(15900*100)/119</f>
        <v>13361.344537815126</v>
      </c>
      <c r="J58" s="110">
        <f t="shared" si="92"/>
        <v>267226.89075630251</v>
      </c>
      <c r="K58" s="111">
        <f>+(62951*100)/119</f>
        <v>52900</v>
      </c>
      <c r="L58" s="112">
        <f t="shared" si="93"/>
        <v>1058000</v>
      </c>
      <c r="M58" s="112">
        <f>+(62951*100)/119</f>
        <v>52900</v>
      </c>
      <c r="N58" s="112">
        <f t="shared" si="94"/>
        <v>1058000</v>
      </c>
      <c r="O58" s="115">
        <f t="shared" si="95"/>
        <v>39720.448179271705</v>
      </c>
      <c r="P58" s="115">
        <f t="shared" si="96"/>
        <v>794408.96358543413</v>
      </c>
      <c r="Q58" s="115">
        <f t="shared" si="97"/>
        <v>18638.700930872976</v>
      </c>
      <c r="R58" s="116">
        <f t="shared" si="98"/>
        <v>0.46924699456436814</v>
      </c>
      <c r="S58" s="115">
        <f t="shared" si="99"/>
        <v>52900</v>
      </c>
      <c r="T58" s="115">
        <f t="shared" si="100"/>
        <v>1058000</v>
      </c>
      <c r="U58" s="116">
        <f t="shared" si="101"/>
        <v>0.35233839188795796</v>
      </c>
      <c r="V58" s="52" t="s">
        <v>48</v>
      </c>
      <c r="W58" s="134" t="s">
        <v>69</v>
      </c>
      <c r="X58" s="134" t="s">
        <v>61</v>
      </c>
    </row>
    <row r="59" spans="1:26" ht="60" x14ac:dyDescent="0.25">
      <c r="A59" s="518"/>
      <c r="B59" s="40">
        <v>7</v>
      </c>
      <c r="C59" s="38" t="s">
        <v>154</v>
      </c>
      <c r="D59" s="38" t="s">
        <v>155</v>
      </c>
      <c r="E59" s="37">
        <v>10</v>
      </c>
      <c r="F59" s="39" t="s">
        <v>156</v>
      </c>
      <c r="G59" s="37"/>
      <c r="H59" s="36"/>
      <c r="I59" s="109">
        <f>+(12650*100)/119</f>
        <v>10630.252100840336</v>
      </c>
      <c r="J59" s="110">
        <f t="shared" si="92"/>
        <v>106302.52100840336</v>
      </c>
      <c r="K59" s="111">
        <f>+(29750*100)/119</f>
        <v>25000</v>
      </c>
      <c r="L59" s="112">
        <f t="shared" si="93"/>
        <v>250000</v>
      </c>
      <c r="M59" s="112">
        <f>+(29750*100)/119</f>
        <v>25000</v>
      </c>
      <c r="N59" s="112">
        <f t="shared" si="94"/>
        <v>250000</v>
      </c>
      <c r="O59" s="115">
        <f t="shared" si="95"/>
        <v>20210.084033613446</v>
      </c>
      <c r="P59" s="115">
        <f t="shared" si="96"/>
        <v>202100.84033613445</v>
      </c>
      <c r="Q59" s="115">
        <f t="shared" si="97"/>
        <v>6773.964122291296</v>
      </c>
      <c r="R59" s="116">
        <f t="shared" si="98"/>
        <v>0.33517743474123252</v>
      </c>
      <c r="S59" s="115">
        <f t="shared" si="99"/>
        <v>25000</v>
      </c>
      <c r="T59" s="115">
        <f t="shared" si="100"/>
        <v>250000</v>
      </c>
      <c r="U59" s="116">
        <f t="shared" si="101"/>
        <v>0.27095856489165182</v>
      </c>
      <c r="V59" s="52" t="s">
        <v>242</v>
      </c>
      <c r="W59" s="134" t="s">
        <v>69</v>
      </c>
      <c r="X59" s="134" t="s">
        <v>61</v>
      </c>
    </row>
    <row r="60" spans="1:26" ht="45" x14ac:dyDescent="0.25">
      <c r="A60" s="518"/>
      <c r="B60" s="40">
        <v>8</v>
      </c>
      <c r="C60" s="38" t="s">
        <v>157</v>
      </c>
      <c r="D60" s="38" t="s">
        <v>158</v>
      </c>
      <c r="E60" s="37">
        <v>15</v>
      </c>
      <c r="F60" s="39" t="s">
        <v>245</v>
      </c>
      <c r="G60" s="37"/>
      <c r="H60" s="36"/>
      <c r="I60" s="109">
        <f>+(17900*100)/119</f>
        <v>15042.01680672269</v>
      </c>
      <c r="J60" s="110">
        <f t="shared" si="92"/>
        <v>225630.25210084036</v>
      </c>
      <c r="K60" s="111">
        <f>+(892500*100)/119</f>
        <v>750000</v>
      </c>
      <c r="L60" s="112">
        <f t="shared" si="93"/>
        <v>11250000</v>
      </c>
      <c r="M60" s="112">
        <f>+(892500*100)/119</f>
        <v>750000</v>
      </c>
      <c r="N60" s="112">
        <f t="shared" si="94"/>
        <v>11250000</v>
      </c>
      <c r="O60" s="115">
        <f t="shared" si="95"/>
        <v>505014.00560224085</v>
      </c>
      <c r="P60" s="115">
        <f t="shared" si="96"/>
        <v>7575210.0840336131</v>
      </c>
      <c r="Q60" s="115">
        <f t="shared" si="97"/>
        <v>346462.51586877008</v>
      </c>
      <c r="R60" s="116">
        <f t="shared" si="98"/>
        <v>0.6860453611689552</v>
      </c>
      <c r="S60" s="115">
        <f t="shared" si="99"/>
        <v>750000</v>
      </c>
      <c r="T60" s="115">
        <f t="shared" si="100"/>
        <v>11250000</v>
      </c>
      <c r="U60" s="116">
        <f t="shared" si="101"/>
        <v>0.46195002115836009</v>
      </c>
      <c r="V60" s="52" t="s">
        <v>48</v>
      </c>
      <c r="W60" s="134" t="s">
        <v>69</v>
      </c>
      <c r="X60" s="134" t="s">
        <v>61</v>
      </c>
    </row>
    <row r="61" spans="1:26" ht="45" x14ac:dyDescent="0.25">
      <c r="A61" s="518"/>
      <c r="B61" s="40">
        <v>8</v>
      </c>
      <c r="C61" s="38" t="s">
        <v>159</v>
      </c>
      <c r="D61" s="38" t="s">
        <v>281</v>
      </c>
      <c r="E61" s="37">
        <v>4</v>
      </c>
      <c r="F61" s="39" t="s">
        <v>245</v>
      </c>
      <c r="G61" s="37"/>
      <c r="H61" s="36"/>
      <c r="I61" s="109">
        <f>+(199900*100)/119</f>
        <v>167983.19327731093</v>
      </c>
      <c r="J61" s="110">
        <f t="shared" si="92"/>
        <v>671932.77310924372</v>
      </c>
      <c r="K61" s="111">
        <f>+(172550*100)/119</f>
        <v>145000</v>
      </c>
      <c r="L61" s="112">
        <f t="shared" si="93"/>
        <v>580000</v>
      </c>
      <c r="M61" s="112">
        <f>+(172550*100)/119</f>
        <v>145000</v>
      </c>
      <c r="N61" s="112">
        <f t="shared" si="94"/>
        <v>580000</v>
      </c>
      <c r="O61" s="115">
        <f t="shared" si="95"/>
        <v>152661.06442577031</v>
      </c>
      <c r="P61" s="115">
        <f t="shared" si="96"/>
        <v>610644.25770308124</v>
      </c>
      <c r="Q61" s="115">
        <f t="shared" si="97"/>
        <v>10834.38121313842</v>
      </c>
      <c r="R61" s="116">
        <f t="shared" si="98"/>
        <v>7.0970166845695709E-2</v>
      </c>
      <c r="S61" s="115">
        <f t="shared" si="99"/>
        <v>145000</v>
      </c>
      <c r="T61" s="115">
        <f t="shared" si="100"/>
        <v>580000</v>
      </c>
      <c r="U61" s="116">
        <f t="shared" si="101"/>
        <v>7.4719870435437374E-2</v>
      </c>
      <c r="V61" s="52" t="s">
        <v>48</v>
      </c>
      <c r="W61" s="134" t="s">
        <v>69</v>
      </c>
      <c r="X61" s="134" t="s">
        <v>61</v>
      </c>
    </row>
    <row r="62" spans="1:26" ht="45" x14ac:dyDescent="0.25">
      <c r="A62" s="518"/>
      <c r="B62" s="40">
        <v>9</v>
      </c>
      <c r="C62" s="38" t="s">
        <v>160</v>
      </c>
      <c r="D62" s="38" t="s">
        <v>238</v>
      </c>
      <c r="E62" s="37">
        <v>2</v>
      </c>
      <c r="F62" s="39" t="s">
        <v>239</v>
      </c>
      <c r="G62" s="37"/>
      <c r="H62" s="36"/>
      <c r="I62" s="113">
        <f>+(30900*100)/119</f>
        <v>25966.386554621848</v>
      </c>
      <c r="J62" s="110">
        <f t="shared" si="92"/>
        <v>51932.773109243695</v>
      </c>
      <c r="K62" s="111">
        <f>+(26775*100)/119</f>
        <v>22500</v>
      </c>
      <c r="L62" s="112">
        <f t="shared" si="93"/>
        <v>45000</v>
      </c>
      <c r="M62" s="112">
        <f>+(26775*100)/119</f>
        <v>22500</v>
      </c>
      <c r="N62" s="112">
        <f t="shared" si="94"/>
        <v>45000</v>
      </c>
      <c r="O62" s="115">
        <f t="shared" si="95"/>
        <v>23655.462184873948</v>
      </c>
      <c r="P62" s="115">
        <f t="shared" si="96"/>
        <v>47310.924369747896</v>
      </c>
      <c r="Q62" s="115">
        <f t="shared" si="97"/>
        <v>1634.0702926579872</v>
      </c>
      <c r="R62" s="116">
        <f t="shared" si="98"/>
        <v>6.9077927114138724E-2</v>
      </c>
      <c r="S62" s="115">
        <f t="shared" si="99"/>
        <v>22500</v>
      </c>
      <c r="T62" s="115">
        <f t="shared" si="100"/>
        <v>45000</v>
      </c>
      <c r="U62" s="116">
        <f t="shared" si="101"/>
        <v>7.2625346340354988E-2</v>
      </c>
      <c r="V62" s="52" t="s">
        <v>48</v>
      </c>
      <c r="W62" s="134" t="s">
        <v>69</v>
      </c>
      <c r="X62" s="134" t="s">
        <v>61</v>
      </c>
    </row>
    <row r="63" spans="1:26" ht="45" x14ac:dyDescent="0.25">
      <c r="A63" s="518"/>
      <c r="B63" s="40">
        <v>10</v>
      </c>
      <c r="C63" s="38" t="s">
        <v>162</v>
      </c>
      <c r="D63" s="38" t="s">
        <v>161</v>
      </c>
      <c r="E63" s="37">
        <v>20</v>
      </c>
      <c r="F63" s="39" t="s">
        <v>163</v>
      </c>
      <c r="G63" s="37"/>
      <c r="H63" s="36"/>
      <c r="I63" s="113">
        <f>+(30900*100)/119</f>
        <v>25966.386554621848</v>
      </c>
      <c r="J63" s="110">
        <f t="shared" si="92"/>
        <v>519327.73109243694</v>
      </c>
      <c r="K63" s="111">
        <f>+(14875*100)/119</f>
        <v>12500</v>
      </c>
      <c r="L63" s="112">
        <f t="shared" si="93"/>
        <v>250000</v>
      </c>
      <c r="M63" s="112">
        <f>+(14875*100)/119</f>
        <v>12500</v>
      </c>
      <c r="N63" s="112">
        <f t="shared" si="94"/>
        <v>250000</v>
      </c>
      <c r="O63" s="115">
        <f t="shared" si="95"/>
        <v>16988.79551820728</v>
      </c>
      <c r="P63" s="115">
        <f t="shared" si="96"/>
        <v>339775.91036414559</v>
      </c>
      <c r="Q63" s="115">
        <f t="shared" si="97"/>
        <v>6348.1155005683077</v>
      </c>
      <c r="R63" s="116">
        <f t="shared" si="98"/>
        <v>0.37366483655447424</v>
      </c>
      <c r="S63" s="115">
        <f t="shared" si="99"/>
        <v>12500</v>
      </c>
      <c r="T63" s="115">
        <f t="shared" si="100"/>
        <v>250000</v>
      </c>
      <c r="U63" s="116">
        <f t="shared" si="101"/>
        <v>0.50784924004546461</v>
      </c>
      <c r="V63" s="52" t="s">
        <v>48</v>
      </c>
      <c r="W63" s="134" t="s">
        <v>69</v>
      </c>
      <c r="X63" s="134" t="s">
        <v>61</v>
      </c>
    </row>
    <row r="64" spans="1:26" ht="45" x14ac:dyDescent="0.25">
      <c r="A64" s="518"/>
      <c r="B64" s="40">
        <v>12</v>
      </c>
      <c r="C64" s="38" t="s">
        <v>243</v>
      </c>
      <c r="D64" s="38" t="s">
        <v>315</v>
      </c>
      <c r="E64" s="37">
        <v>500</v>
      </c>
      <c r="F64" s="39" t="s">
        <v>47</v>
      </c>
      <c r="G64" s="37"/>
      <c r="H64" s="36"/>
      <c r="I64" s="114">
        <f>+(14260*100)/119</f>
        <v>11983.193277310924</v>
      </c>
      <c r="J64" s="110">
        <f t="shared" si="92"/>
        <v>5991596.6386554623</v>
      </c>
      <c r="K64" s="138">
        <v>21000</v>
      </c>
      <c r="L64" s="112">
        <f t="shared" si="93"/>
        <v>10500000</v>
      </c>
      <c r="M64" s="112">
        <v>21000</v>
      </c>
      <c r="N64" s="112">
        <f t="shared" si="94"/>
        <v>10500000</v>
      </c>
      <c r="O64" s="115">
        <f t="shared" si="95"/>
        <v>17994.397759103642</v>
      </c>
      <c r="P64" s="115">
        <f t="shared" si="96"/>
        <v>8997198.8795518205</v>
      </c>
      <c r="Q64" s="115">
        <f t="shared" si="97"/>
        <v>4250.563452174596</v>
      </c>
      <c r="R64" s="116">
        <f t="shared" si="98"/>
        <v>0.23621593281854464</v>
      </c>
      <c r="S64" s="115">
        <f t="shared" si="99"/>
        <v>21000</v>
      </c>
      <c r="T64" s="115">
        <f t="shared" si="100"/>
        <v>10500000</v>
      </c>
      <c r="U64" s="116">
        <f t="shared" si="101"/>
        <v>0.20240778343688554</v>
      </c>
      <c r="V64" s="52" t="s">
        <v>246</v>
      </c>
      <c r="W64" s="134" t="s">
        <v>69</v>
      </c>
      <c r="X64" s="134" t="s">
        <v>61</v>
      </c>
    </row>
    <row r="65" spans="1:24" ht="105" customHeight="1" x14ac:dyDescent="0.25">
      <c r="A65" s="518"/>
      <c r="B65" s="40">
        <v>13</v>
      </c>
      <c r="C65" s="38" t="s">
        <v>8</v>
      </c>
      <c r="D65" s="38" t="s">
        <v>164</v>
      </c>
      <c r="E65" s="37">
        <v>500</v>
      </c>
      <c r="F65" s="39" t="s">
        <v>47</v>
      </c>
      <c r="G65" s="37"/>
      <c r="H65" s="36"/>
      <c r="I65" s="109">
        <v>14260</v>
      </c>
      <c r="J65" s="110">
        <f t="shared" si="92"/>
        <v>7130000</v>
      </c>
      <c r="K65" s="111">
        <f>+(14875*100)/119</f>
        <v>12500</v>
      </c>
      <c r="L65" s="112">
        <f t="shared" si="93"/>
        <v>6250000</v>
      </c>
      <c r="M65" s="112">
        <f>+(14875*100)/119</f>
        <v>12500</v>
      </c>
      <c r="N65" s="112">
        <f t="shared" si="94"/>
        <v>6250000</v>
      </c>
      <c r="O65" s="115">
        <f t="shared" si="95"/>
        <v>13086.666666666666</v>
      </c>
      <c r="P65" s="115">
        <f t="shared" si="96"/>
        <v>6543333.333333333</v>
      </c>
      <c r="Q65" s="115">
        <f t="shared" si="97"/>
        <v>829.67195659221579</v>
      </c>
      <c r="R65" s="116">
        <f t="shared" si="98"/>
        <v>6.3398264640261021E-2</v>
      </c>
      <c r="S65" s="115">
        <f t="shared" si="99"/>
        <v>12500</v>
      </c>
      <c r="T65" s="115">
        <f t="shared" si="100"/>
        <v>6250000</v>
      </c>
      <c r="U65" s="116">
        <f t="shared" si="101"/>
        <v>6.6373756527377259E-2</v>
      </c>
      <c r="V65" s="52" t="s">
        <v>244</v>
      </c>
      <c r="W65" s="134" t="s">
        <v>69</v>
      </c>
      <c r="X65" s="134" t="s">
        <v>61</v>
      </c>
    </row>
    <row r="66" spans="1:24" ht="75" x14ac:dyDescent="0.25">
      <c r="A66" s="518"/>
      <c r="B66" s="40">
        <v>14</v>
      </c>
      <c r="C66" s="38" t="s">
        <v>14</v>
      </c>
      <c r="D66" s="38" t="s">
        <v>165</v>
      </c>
      <c r="E66" s="37">
        <v>500</v>
      </c>
      <c r="F66" s="39" t="s">
        <v>47</v>
      </c>
      <c r="G66" s="37"/>
      <c r="H66" s="36"/>
      <c r="I66" s="109">
        <f>85000/500</f>
        <v>170</v>
      </c>
      <c r="J66" s="110">
        <f t="shared" si="92"/>
        <v>85000</v>
      </c>
      <c r="K66" s="111">
        <f>+(1785*100)/119</f>
        <v>1500</v>
      </c>
      <c r="L66" s="112">
        <f t="shared" si="93"/>
        <v>750000</v>
      </c>
      <c r="M66" s="112">
        <f>+(1785*100)/119</f>
        <v>1500</v>
      </c>
      <c r="N66" s="112">
        <f t="shared" si="94"/>
        <v>750000</v>
      </c>
      <c r="O66" s="115">
        <f t="shared" si="95"/>
        <v>1056.6666666666667</v>
      </c>
      <c r="P66" s="115">
        <f t="shared" si="96"/>
        <v>528333.33333333337</v>
      </c>
      <c r="Q66" s="115">
        <f t="shared" si="97"/>
        <v>626.96801265207216</v>
      </c>
      <c r="R66" s="116">
        <f t="shared" si="98"/>
        <v>0.59334512238366444</v>
      </c>
      <c r="S66" s="115">
        <f t="shared" si="99"/>
        <v>1500</v>
      </c>
      <c r="T66" s="115">
        <f t="shared" si="100"/>
        <v>750000</v>
      </c>
      <c r="U66" s="116">
        <f t="shared" si="101"/>
        <v>0.41797867510138142</v>
      </c>
      <c r="V66" s="52" t="s">
        <v>247</v>
      </c>
      <c r="W66" s="134" t="s">
        <v>69</v>
      </c>
      <c r="X66" s="134" t="s">
        <v>61</v>
      </c>
    </row>
    <row r="67" spans="1:24" ht="75" x14ac:dyDescent="0.25">
      <c r="A67" s="518"/>
      <c r="B67" s="40">
        <v>15</v>
      </c>
      <c r="C67" s="38" t="s">
        <v>166</v>
      </c>
      <c r="D67" s="38" t="s">
        <v>167</v>
      </c>
      <c r="E67" s="37">
        <v>500</v>
      </c>
      <c r="F67" s="39" t="s">
        <v>47</v>
      </c>
      <c r="G67" s="37"/>
      <c r="H67" s="36"/>
      <c r="I67" s="111">
        <f>+(34900*100)/119</f>
        <v>29327.731092436974</v>
      </c>
      <c r="J67" s="110">
        <f t="shared" si="92"/>
        <v>14663865.546218487</v>
      </c>
      <c r="K67" s="111">
        <f>+(120369*100)/119</f>
        <v>101150.42016806723</v>
      </c>
      <c r="L67" s="112">
        <f t="shared" si="93"/>
        <v>50575210.084033616</v>
      </c>
      <c r="M67" s="112">
        <f>+(120369*100)/119</f>
        <v>101150.42016806723</v>
      </c>
      <c r="N67" s="112">
        <f t="shared" si="94"/>
        <v>50575210.084033616</v>
      </c>
      <c r="O67" s="115">
        <f t="shared" si="95"/>
        <v>77209.523809523802</v>
      </c>
      <c r="P67" s="115">
        <f t="shared" si="96"/>
        <v>38604761.904761903</v>
      </c>
      <c r="Q67" s="115">
        <f t="shared" si="97"/>
        <v>33857.540325620757</v>
      </c>
      <c r="R67" s="116">
        <f t="shared" si="98"/>
        <v>0.438515077610729</v>
      </c>
      <c r="S67" s="115">
        <f t="shared" si="99"/>
        <v>101150.42016806723</v>
      </c>
      <c r="T67" s="115">
        <f t="shared" si="100"/>
        <v>50575210.084033616</v>
      </c>
      <c r="U67" s="116">
        <f t="shared" si="101"/>
        <v>0.33472466322299516</v>
      </c>
      <c r="V67" s="52" t="s">
        <v>48</v>
      </c>
      <c r="W67" s="134" t="s">
        <v>69</v>
      </c>
      <c r="X67" s="134" t="s">
        <v>61</v>
      </c>
    </row>
    <row r="68" spans="1:24" ht="90" x14ac:dyDescent="0.25">
      <c r="A68" s="518"/>
      <c r="B68" s="118">
        <v>16</v>
      </c>
      <c r="C68" s="119" t="s">
        <v>168</v>
      </c>
      <c r="D68" s="119" t="s">
        <v>169</v>
      </c>
      <c r="E68" s="121">
        <v>500</v>
      </c>
      <c r="F68" s="122" t="s">
        <v>245</v>
      </c>
      <c r="G68" s="121"/>
      <c r="H68" s="123"/>
      <c r="I68" s="124">
        <v>10756</v>
      </c>
      <c r="J68" s="125">
        <f t="shared" si="92"/>
        <v>5378000</v>
      </c>
      <c r="K68" s="126">
        <f>+(26775*100)/119</f>
        <v>22500</v>
      </c>
      <c r="L68" s="115">
        <f t="shared" si="93"/>
        <v>11250000</v>
      </c>
      <c r="M68" s="115">
        <f>+(26775*100)/119</f>
        <v>22500</v>
      </c>
      <c r="N68" s="115">
        <f t="shared" si="94"/>
        <v>11250000</v>
      </c>
      <c r="O68" s="115">
        <f t="shared" si="95"/>
        <v>18585.333333333332</v>
      </c>
      <c r="P68" s="115">
        <f t="shared" si="96"/>
        <v>9292666.666666666</v>
      </c>
      <c r="Q68" s="115">
        <f t="shared" si="97"/>
        <v>5536.1746921698759</v>
      </c>
      <c r="R68" s="116">
        <f t="shared" si="98"/>
        <v>0.29787868707420956</v>
      </c>
      <c r="S68" s="115">
        <f t="shared" si="99"/>
        <v>22500</v>
      </c>
      <c r="T68" s="115">
        <f t="shared" si="100"/>
        <v>11250000</v>
      </c>
      <c r="U68" s="116">
        <f t="shared" si="101"/>
        <v>0.24605220854088339</v>
      </c>
      <c r="V68" s="127" t="s">
        <v>248</v>
      </c>
      <c r="W68" s="134" t="s">
        <v>69</v>
      </c>
      <c r="X68" s="134" t="s">
        <v>61</v>
      </c>
    </row>
    <row r="69" spans="1:24" ht="18" x14ac:dyDescent="0.25">
      <c r="A69" s="518"/>
      <c r="B69" s="510" t="s">
        <v>170</v>
      </c>
      <c r="C69" s="511"/>
      <c r="D69" s="511"/>
      <c r="E69" s="511"/>
      <c r="F69" s="511"/>
      <c r="G69" s="511"/>
      <c r="H69" s="511"/>
      <c r="I69" s="131"/>
      <c r="J69" s="131"/>
      <c r="K69" s="132"/>
      <c r="L69" s="132"/>
      <c r="M69" s="132"/>
      <c r="N69" s="132"/>
      <c r="O69" s="132"/>
      <c r="P69" s="132"/>
      <c r="Q69" s="132"/>
      <c r="R69" s="132"/>
      <c r="S69" s="132"/>
      <c r="T69" s="132"/>
      <c r="U69" s="132"/>
      <c r="V69" s="117"/>
      <c r="W69" s="133"/>
      <c r="X69" s="133"/>
    </row>
    <row r="70" spans="1:24" ht="57" customHeight="1" x14ac:dyDescent="0.25">
      <c r="A70" s="518"/>
      <c r="B70" s="128">
        <v>1</v>
      </c>
      <c r="C70" s="147" t="s">
        <v>243</v>
      </c>
      <c r="D70" s="147" t="s">
        <v>315</v>
      </c>
      <c r="E70" s="135">
        <v>500</v>
      </c>
      <c r="F70" s="144" t="s">
        <v>245</v>
      </c>
      <c r="G70" s="129"/>
      <c r="H70" s="130"/>
      <c r="I70" s="136">
        <f>+(14260*100)/119</f>
        <v>11983.193277310924</v>
      </c>
      <c r="J70" s="137">
        <f t="shared" si="92"/>
        <v>5991596.6386554623</v>
      </c>
      <c r="K70" s="138">
        <v>21000</v>
      </c>
      <c r="L70" s="139">
        <f>+K70*E70</f>
        <v>10500000</v>
      </c>
      <c r="M70" s="139">
        <v>21000</v>
      </c>
      <c r="N70" s="139">
        <f>+M70*E70</f>
        <v>10500000</v>
      </c>
      <c r="O70" s="115">
        <f t="shared" ref="O70" si="102">+AVERAGE(I70,K70,M70)</f>
        <v>17994.397759103642</v>
      </c>
      <c r="P70" s="115">
        <f t="shared" ref="P70" si="103">+O70*E70</f>
        <v>8997198.8795518205</v>
      </c>
      <c r="Q70" s="115">
        <f t="shared" ref="Q70" si="104">+_xlfn.STDEV.P(I70,K70,M70)</f>
        <v>4250.563452174596</v>
      </c>
      <c r="R70" s="116">
        <f t="shared" ref="R70" si="105">+Q70/O70</f>
        <v>0.23621593281854464</v>
      </c>
      <c r="S70" s="115">
        <f t="shared" ref="S70" si="106">+MEDIAN(I70,K70,M70)</f>
        <v>21000</v>
      </c>
      <c r="T70" s="115">
        <f t="shared" ref="T70" si="107">+S70*E70</f>
        <v>10500000</v>
      </c>
      <c r="U70" s="116">
        <f t="shared" ref="U70" si="108">+Q70/S70</f>
        <v>0.20240778343688554</v>
      </c>
      <c r="V70" s="127" t="s">
        <v>246</v>
      </c>
      <c r="W70" s="134" t="s">
        <v>69</v>
      </c>
      <c r="X70" s="134" t="s">
        <v>61</v>
      </c>
    </row>
    <row r="71" spans="1:24" ht="70.5" customHeight="1" x14ac:dyDescent="0.25">
      <c r="A71" s="518"/>
      <c r="B71" s="40">
        <v>3</v>
      </c>
      <c r="C71" s="38" t="s">
        <v>8</v>
      </c>
      <c r="D71" s="38" t="s">
        <v>164</v>
      </c>
      <c r="E71" s="37">
        <v>500</v>
      </c>
      <c r="F71" s="39" t="s">
        <v>245</v>
      </c>
      <c r="G71" s="35"/>
      <c r="H71" s="36"/>
      <c r="I71" s="109">
        <v>14260</v>
      </c>
      <c r="J71" s="110">
        <f t="shared" si="92"/>
        <v>7130000</v>
      </c>
      <c r="K71" s="111">
        <f>+(14875*100)/119</f>
        <v>12500</v>
      </c>
      <c r="L71" s="139">
        <f t="shared" ref="L71:L76" si="109">+K71*E71</f>
        <v>6250000</v>
      </c>
      <c r="M71" s="112">
        <f>+(14875*100)/119</f>
        <v>12500</v>
      </c>
      <c r="N71" s="139">
        <f t="shared" ref="N71:N76" si="110">+M71*E71</f>
        <v>6250000</v>
      </c>
      <c r="O71" s="115">
        <f t="shared" ref="O71:O76" si="111">+AVERAGE(I71,K71,M71)</f>
        <v>13086.666666666666</v>
      </c>
      <c r="P71" s="115">
        <f t="shared" ref="P71:P76" si="112">+O71*E71</f>
        <v>6543333.333333333</v>
      </c>
      <c r="Q71" s="115">
        <f t="shared" ref="Q71:Q76" si="113">+_xlfn.STDEV.P(I71,K71,M71)</f>
        <v>829.67195659221579</v>
      </c>
      <c r="R71" s="116">
        <f t="shared" ref="R71:R76" si="114">+Q71/O71</f>
        <v>6.3398264640261021E-2</v>
      </c>
      <c r="S71" s="115">
        <f t="shared" ref="S71:S76" si="115">+MEDIAN(I71,K71,M71)</f>
        <v>12500</v>
      </c>
      <c r="T71" s="115">
        <f t="shared" ref="T71:T76" si="116">+S71*E71</f>
        <v>6250000</v>
      </c>
      <c r="U71" s="116">
        <f t="shared" ref="U71:U76" si="117">+Q71/S71</f>
        <v>6.6373756527377259E-2</v>
      </c>
      <c r="V71" s="127" t="s">
        <v>244</v>
      </c>
      <c r="W71" s="134" t="s">
        <v>69</v>
      </c>
      <c r="X71" s="134" t="s">
        <v>61</v>
      </c>
    </row>
    <row r="72" spans="1:24" ht="75" x14ac:dyDescent="0.25">
      <c r="A72" s="518"/>
      <c r="B72" s="40">
        <v>4</v>
      </c>
      <c r="C72" s="38" t="s">
        <v>14</v>
      </c>
      <c r="D72" s="38" t="s">
        <v>165</v>
      </c>
      <c r="E72" s="37">
        <v>500</v>
      </c>
      <c r="F72" s="39" t="s">
        <v>245</v>
      </c>
      <c r="G72" s="35"/>
      <c r="H72" s="36"/>
      <c r="I72" s="109">
        <f>85000/500</f>
        <v>170</v>
      </c>
      <c r="J72" s="110">
        <f t="shared" si="92"/>
        <v>85000</v>
      </c>
      <c r="K72" s="111">
        <f>+(1785*100)/119</f>
        <v>1500</v>
      </c>
      <c r="L72" s="139">
        <f t="shared" si="109"/>
        <v>750000</v>
      </c>
      <c r="M72" s="112">
        <f>+(1785*100)/119</f>
        <v>1500</v>
      </c>
      <c r="N72" s="139">
        <f t="shared" si="110"/>
        <v>750000</v>
      </c>
      <c r="O72" s="115">
        <f t="shared" si="111"/>
        <v>1056.6666666666667</v>
      </c>
      <c r="P72" s="115">
        <f t="shared" si="112"/>
        <v>528333.33333333337</v>
      </c>
      <c r="Q72" s="115">
        <f t="shared" si="113"/>
        <v>626.96801265207216</v>
      </c>
      <c r="R72" s="116">
        <f t="shared" si="114"/>
        <v>0.59334512238366444</v>
      </c>
      <c r="S72" s="115">
        <f t="shared" si="115"/>
        <v>1500</v>
      </c>
      <c r="T72" s="115">
        <f t="shared" si="116"/>
        <v>750000</v>
      </c>
      <c r="U72" s="116">
        <f t="shared" si="117"/>
        <v>0.41797867510138142</v>
      </c>
      <c r="V72" s="127" t="s">
        <v>247</v>
      </c>
      <c r="W72" s="134" t="s">
        <v>69</v>
      </c>
      <c r="X72" s="134" t="s">
        <v>61</v>
      </c>
    </row>
    <row r="73" spans="1:24" ht="75" x14ac:dyDescent="0.25">
      <c r="A73" s="518"/>
      <c r="B73" s="40">
        <v>5</v>
      </c>
      <c r="C73" s="38" t="s">
        <v>166</v>
      </c>
      <c r="D73" s="38" t="s">
        <v>167</v>
      </c>
      <c r="E73" s="37">
        <v>500</v>
      </c>
      <c r="F73" s="39" t="s">
        <v>245</v>
      </c>
      <c r="G73" s="35"/>
      <c r="H73" s="36"/>
      <c r="I73" s="111">
        <f>+(34900*100)/119</f>
        <v>29327.731092436974</v>
      </c>
      <c r="J73" s="110">
        <f t="shared" si="92"/>
        <v>14663865.546218487</v>
      </c>
      <c r="K73" s="111">
        <f>+(120369*100)/119</f>
        <v>101150.42016806723</v>
      </c>
      <c r="L73" s="139">
        <f t="shared" si="109"/>
        <v>50575210.084033616</v>
      </c>
      <c r="M73" s="112">
        <f>+(120369*100)/119</f>
        <v>101150.42016806723</v>
      </c>
      <c r="N73" s="139">
        <f t="shared" si="110"/>
        <v>50575210.084033616</v>
      </c>
      <c r="O73" s="115">
        <f t="shared" si="111"/>
        <v>77209.523809523802</v>
      </c>
      <c r="P73" s="115">
        <f t="shared" si="112"/>
        <v>38604761.904761903</v>
      </c>
      <c r="Q73" s="115">
        <f t="shared" si="113"/>
        <v>33857.540325620757</v>
      </c>
      <c r="R73" s="116">
        <f t="shared" si="114"/>
        <v>0.438515077610729</v>
      </c>
      <c r="S73" s="115">
        <f t="shared" si="115"/>
        <v>101150.42016806723</v>
      </c>
      <c r="T73" s="115">
        <f t="shared" si="116"/>
        <v>50575210.084033616</v>
      </c>
      <c r="U73" s="116">
        <f t="shared" si="117"/>
        <v>0.33472466322299516</v>
      </c>
      <c r="V73" s="127" t="s">
        <v>48</v>
      </c>
      <c r="W73" s="134" t="s">
        <v>69</v>
      </c>
      <c r="X73" s="134" t="s">
        <v>61</v>
      </c>
    </row>
    <row r="74" spans="1:24" ht="45" x14ac:dyDescent="0.25">
      <c r="A74" s="518"/>
      <c r="B74" s="40">
        <v>6</v>
      </c>
      <c r="C74" s="34" t="s">
        <v>171</v>
      </c>
      <c r="D74" s="34" t="s">
        <v>172</v>
      </c>
      <c r="E74" s="37">
        <v>500</v>
      </c>
      <c r="F74" s="39" t="s">
        <v>245</v>
      </c>
      <c r="G74" s="35"/>
      <c r="H74" s="36"/>
      <c r="I74" s="109">
        <v>8622</v>
      </c>
      <c r="J74" s="110">
        <f t="shared" si="92"/>
        <v>4311000</v>
      </c>
      <c r="K74" s="111">
        <f>+(24990*100)/119</f>
        <v>21000</v>
      </c>
      <c r="L74" s="139">
        <f t="shared" si="109"/>
        <v>10500000</v>
      </c>
      <c r="M74" s="112">
        <f>+(24990*100)/119</f>
        <v>21000</v>
      </c>
      <c r="N74" s="139">
        <f t="shared" si="110"/>
        <v>10500000</v>
      </c>
      <c r="O74" s="115">
        <f t="shared" si="111"/>
        <v>16874</v>
      </c>
      <c r="P74" s="115">
        <f t="shared" si="112"/>
        <v>8437000</v>
      </c>
      <c r="Q74" s="115">
        <f t="shared" si="113"/>
        <v>5835.0451583513905</v>
      </c>
      <c r="R74" s="116">
        <f t="shared" si="114"/>
        <v>0.34580094573612602</v>
      </c>
      <c r="S74" s="115">
        <f t="shared" si="115"/>
        <v>21000</v>
      </c>
      <c r="T74" s="115">
        <f t="shared" si="116"/>
        <v>10500000</v>
      </c>
      <c r="U74" s="116">
        <f t="shared" si="117"/>
        <v>0.27785929325482811</v>
      </c>
      <c r="V74" s="127" t="s">
        <v>234</v>
      </c>
      <c r="W74" s="134" t="s">
        <v>69</v>
      </c>
      <c r="X74" s="134" t="s">
        <v>61</v>
      </c>
    </row>
    <row r="75" spans="1:24" s="376" customFormat="1" ht="90" x14ac:dyDescent="0.25">
      <c r="A75" s="518"/>
      <c r="B75" s="364">
        <v>7</v>
      </c>
      <c r="C75" s="365" t="s">
        <v>168</v>
      </c>
      <c r="D75" s="365" t="s">
        <v>169</v>
      </c>
      <c r="E75" s="366">
        <v>500</v>
      </c>
      <c r="F75" s="367" t="s">
        <v>245</v>
      </c>
      <c r="G75" s="366"/>
      <c r="H75" s="368"/>
      <c r="I75" s="369">
        <v>10756</v>
      </c>
      <c r="J75" s="370">
        <f t="shared" ref="J75" si="118">+I75*E75</f>
        <v>5378000</v>
      </c>
      <c r="K75" s="371">
        <f>+(26775*100)/119</f>
        <v>22500</v>
      </c>
      <c r="L75" s="372">
        <f t="shared" si="109"/>
        <v>11250000</v>
      </c>
      <c r="M75" s="372">
        <f>+(26775*100)/119</f>
        <v>22500</v>
      </c>
      <c r="N75" s="372">
        <f t="shared" si="110"/>
        <v>11250000</v>
      </c>
      <c r="O75" s="372">
        <f t="shared" si="111"/>
        <v>18585.333333333332</v>
      </c>
      <c r="P75" s="372">
        <f t="shared" si="112"/>
        <v>9292666.666666666</v>
      </c>
      <c r="Q75" s="372">
        <f t="shared" si="113"/>
        <v>5536.1746921698759</v>
      </c>
      <c r="R75" s="373">
        <f t="shared" si="114"/>
        <v>0.29787868707420956</v>
      </c>
      <c r="S75" s="372">
        <f t="shared" si="115"/>
        <v>22500</v>
      </c>
      <c r="T75" s="372">
        <f t="shared" si="116"/>
        <v>11250000</v>
      </c>
      <c r="U75" s="373">
        <f t="shared" si="117"/>
        <v>0.24605220854088339</v>
      </c>
      <c r="V75" s="374" t="s">
        <v>248</v>
      </c>
      <c r="W75" s="375" t="s">
        <v>69</v>
      </c>
      <c r="X75" s="375" t="s">
        <v>61</v>
      </c>
    </row>
    <row r="76" spans="1:24" ht="135" x14ac:dyDescent="0.25">
      <c r="A76" s="518"/>
      <c r="B76" s="118">
        <v>8</v>
      </c>
      <c r="C76" s="120" t="s">
        <v>173</v>
      </c>
      <c r="D76" s="120" t="s">
        <v>22</v>
      </c>
      <c r="E76" s="121">
        <v>500</v>
      </c>
      <c r="F76" s="122" t="s">
        <v>245</v>
      </c>
      <c r="G76" s="140"/>
      <c r="H76" s="140"/>
      <c r="I76" s="141">
        <f>+(13900*100)/119</f>
        <v>11680.672268907563</v>
      </c>
      <c r="J76" s="125">
        <f t="shared" si="92"/>
        <v>5840336.1344537819</v>
      </c>
      <c r="K76" s="126">
        <f>+(26775*100)/119</f>
        <v>22500</v>
      </c>
      <c r="L76" s="142">
        <f t="shared" si="109"/>
        <v>11250000</v>
      </c>
      <c r="M76" s="115">
        <f>+(26775*100)/119</f>
        <v>22500</v>
      </c>
      <c r="N76" s="142">
        <f t="shared" si="110"/>
        <v>11250000</v>
      </c>
      <c r="O76" s="115">
        <f t="shared" si="111"/>
        <v>18893.557422969188</v>
      </c>
      <c r="P76" s="115">
        <f t="shared" si="112"/>
        <v>9446778.7114845943</v>
      </c>
      <c r="Q76" s="115">
        <f t="shared" si="113"/>
        <v>5100.2800043567513</v>
      </c>
      <c r="R76" s="116">
        <f t="shared" si="114"/>
        <v>0.26994810401117275</v>
      </c>
      <c r="S76" s="115">
        <f t="shared" si="115"/>
        <v>22500</v>
      </c>
      <c r="T76" s="115">
        <f t="shared" si="116"/>
        <v>11250000</v>
      </c>
      <c r="U76" s="116">
        <f t="shared" si="117"/>
        <v>0.2266791113047445</v>
      </c>
      <c r="V76" s="127" t="s">
        <v>249</v>
      </c>
      <c r="W76" s="143" t="s">
        <v>69</v>
      </c>
      <c r="X76" s="143" t="s">
        <v>61</v>
      </c>
    </row>
    <row r="77" spans="1:24" ht="18" x14ac:dyDescent="0.25">
      <c r="A77" s="518"/>
      <c r="B77" s="510" t="s">
        <v>174</v>
      </c>
      <c r="C77" s="511"/>
      <c r="D77" s="511"/>
      <c r="E77" s="511"/>
      <c r="F77" s="511"/>
      <c r="G77" s="511"/>
      <c r="H77" s="511"/>
      <c r="I77" s="145"/>
      <c r="J77" s="145"/>
      <c r="K77" s="146"/>
      <c r="L77" s="146"/>
      <c r="M77" s="146"/>
      <c r="N77" s="146"/>
      <c r="O77" s="146"/>
      <c r="P77" s="146"/>
      <c r="Q77" s="146"/>
      <c r="R77" s="146"/>
      <c r="S77" s="146"/>
      <c r="T77" s="146"/>
      <c r="U77" s="146"/>
      <c r="V77" s="117"/>
      <c r="W77" s="133"/>
      <c r="X77" s="133"/>
    </row>
    <row r="78" spans="1:24" ht="45" customHeight="1" x14ac:dyDescent="0.25">
      <c r="A78" s="518"/>
      <c r="B78" s="456">
        <v>1</v>
      </c>
      <c r="C78" s="471" t="s">
        <v>175</v>
      </c>
      <c r="D78" s="471" t="s">
        <v>176</v>
      </c>
      <c r="E78" s="472">
        <v>350</v>
      </c>
      <c r="F78" s="473" t="s">
        <v>99</v>
      </c>
      <c r="G78" s="472"/>
      <c r="H78" s="474"/>
      <c r="I78" s="475"/>
      <c r="J78" s="476">
        <f>+I78*E78</f>
        <v>0</v>
      </c>
      <c r="K78" s="475">
        <f>+(29750*100)/119</f>
        <v>25000</v>
      </c>
      <c r="L78" s="477"/>
      <c r="M78" s="451">
        <f>+(29750*100)/119</f>
        <v>25000</v>
      </c>
      <c r="N78" s="451"/>
      <c r="O78" s="465">
        <f t="shared" ref="O78:O84" si="119">+AVERAGE(I78,K78,M78)</f>
        <v>25000</v>
      </c>
      <c r="P78" s="465">
        <f t="shared" ref="P78:P84" si="120">+O78*E78</f>
        <v>8750000</v>
      </c>
      <c r="Q78" s="465">
        <f t="shared" ref="Q78:Q84" si="121">+_xlfn.STDEV.P(I78,K78,M78)</f>
        <v>0</v>
      </c>
      <c r="R78" s="467">
        <f t="shared" ref="R78:R84" si="122">+Q78/O78</f>
        <v>0</v>
      </c>
      <c r="S78" s="465">
        <f t="shared" ref="S78:S84" si="123">+MEDIAN(I78,K78,M78)</f>
        <v>25000</v>
      </c>
      <c r="T78" s="465">
        <f t="shared" ref="T78:T84" si="124">+S78*E78</f>
        <v>8750000</v>
      </c>
      <c r="U78" s="467">
        <f t="shared" ref="U78:U84" si="125">+Q78/S78</f>
        <v>0</v>
      </c>
      <c r="V78" s="468" t="s">
        <v>285</v>
      </c>
      <c r="W78" s="455" t="s">
        <v>69</v>
      </c>
      <c r="X78" s="455" t="s">
        <v>61</v>
      </c>
    </row>
    <row r="79" spans="1:24" s="376" customFormat="1" ht="45" x14ac:dyDescent="0.25">
      <c r="A79" s="518"/>
      <c r="B79" s="377">
        <v>2</v>
      </c>
      <c r="C79" s="378" t="s">
        <v>243</v>
      </c>
      <c r="D79" s="378" t="s">
        <v>315</v>
      </c>
      <c r="E79" s="379">
        <v>500</v>
      </c>
      <c r="F79" s="380" t="s">
        <v>47</v>
      </c>
      <c r="G79" s="379"/>
      <c r="H79" s="381"/>
      <c r="I79" s="382">
        <f>+(14260*100)/119</f>
        <v>11983.193277310924</v>
      </c>
      <c r="J79" s="383">
        <f t="shared" ref="J79:J83" si="126">+I79*E79</f>
        <v>5991596.6386554623</v>
      </c>
      <c r="K79" s="384">
        <v>21000</v>
      </c>
      <c r="L79" s="385">
        <f t="shared" ref="L79:L83" si="127">+K79*E79</f>
        <v>10500000</v>
      </c>
      <c r="M79" s="385">
        <v>21000</v>
      </c>
      <c r="N79" s="385">
        <f t="shared" ref="N79:N83" si="128">+M79*E79</f>
        <v>10500000</v>
      </c>
      <c r="O79" s="372">
        <f t="shared" si="119"/>
        <v>17994.397759103642</v>
      </c>
      <c r="P79" s="372">
        <f t="shared" si="120"/>
        <v>8997198.8795518205</v>
      </c>
      <c r="Q79" s="372">
        <f t="shared" si="121"/>
        <v>4250.563452174596</v>
      </c>
      <c r="R79" s="373">
        <f t="shared" si="122"/>
        <v>0.23621593281854464</v>
      </c>
      <c r="S79" s="372">
        <f t="shared" si="123"/>
        <v>21000</v>
      </c>
      <c r="T79" s="372">
        <f t="shared" si="124"/>
        <v>10500000</v>
      </c>
      <c r="U79" s="373">
        <f t="shared" si="125"/>
        <v>0.20240778343688554</v>
      </c>
      <c r="V79" s="386" t="s">
        <v>246</v>
      </c>
      <c r="W79" s="375" t="s">
        <v>69</v>
      </c>
      <c r="X79" s="375" t="s">
        <v>61</v>
      </c>
    </row>
    <row r="80" spans="1:24" s="376" customFormat="1" ht="105" customHeight="1" x14ac:dyDescent="0.25">
      <c r="A80" s="518"/>
      <c r="B80" s="128">
        <v>3</v>
      </c>
      <c r="C80" s="378" t="s">
        <v>8</v>
      </c>
      <c r="D80" s="378" t="s">
        <v>164</v>
      </c>
      <c r="E80" s="379">
        <v>500</v>
      </c>
      <c r="F80" s="380" t="s">
        <v>47</v>
      </c>
      <c r="G80" s="379"/>
      <c r="H80" s="381"/>
      <c r="I80" s="387">
        <v>14260</v>
      </c>
      <c r="J80" s="383">
        <f t="shared" si="126"/>
        <v>7130000</v>
      </c>
      <c r="K80" s="388">
        <f>+(14875*100)/119</f>
        <v>12500</v>
      </c>
      <c r="L80" s="385">
        <f t="shared" si="127"/>
        <v>6250000</v>
      </c>
      <c r="M80" s="385">
        <f>+(14875*100)/119</f>
        <v>12500</v>
      </c>
      <c r="N80" s="385">
        <f t="shared" si="128"/>
        <v>6250000</v>
      </c>
      <c r="O80" s="372">
        <f t="shared" si="119"/>
        <v>13086.666666666666</v>
      </c>
      <c r="P80" s="372">
        <f t="shared" si="120"/>
        <v>6543333.333333333</v>
      </c>
      <c r="Q80" s="372">
        <f t="shared" si="121"/>
        <v>829.67195659221579</v>
      </c>
      <c r="R80" s="373">
        <f t="shared" si="122"/>
        <v>6.3398264640261021E-2</v>
      </c>
      <c r="S80" s="372">
        <f t="shared" si="123"/>
        <v>12500</v>
      </c>
      <c r="T80" s="372">
        <f t="shared" si="124"/>
        <v>6250000</v>
      </c>
      <c r="U80" s="373">
        <f t="shared" si="125"/>
        <v>6.6373756527377259E-2</v>
      </c>
      <c r="V80" s="386" t="s">
        <v>244</v>
      </c>
      <c r="W80" s="375" t="s">
        <v>69</v>
      </c>
      <c r="X80" s="375" t="s">
        <v>61</v>
      </c>
    </row>
    <row r="81" spans="1:26" s="376" customFormat="1" ht="75" x14ac:dyDescent="0.25">
      <c r="A81" s="518"/>
      <c r="B81" s="377">
        <v>4</v>
      </c>
      <c r="C81" s="378" t="s">
        <v>14</v>
      </c>
      <c r="D81" s="378" t="s">
        <v>165</v>
      </c>
      <c r="E81" s="379">
        <v>500</v>
      </c>
      <c r="F81" s="380" t="s">
        <v>47</v>
      </c>
      <c r="G81" s="379"/>
      <c r="H81" s="381"/>
      <c r="I81" s="387">
        <f>85000/500</f>
        <v>170</v>
      </c>
      <c r="J81" s="383">
        <f t="shared" si="126"/>
        <v>85000</v>
      </c>
      <c r="K81" s="388">
        <f>+(1785*100)/119</f>
        <v>1500</v>
      </c>
      <c r="L81" s="385">
        <f t="shared" si="127"/>
        <v>750000</v>
      </c>
      <c r="M81" s="385">
        <f>+(1785*100)/119</f>
        <v>1500</v>
      </c>
      <c r="N81" s="385">
        <f t="shared" si="128"/>
        <v>750000</v>
      </c>
      <c r="O81" s="372">
        <f t="shared" si="119"/>
        <v>1056.6666666666667</v>
      </c>
      <c r="P81" s="372">
        <f t="shared" si="120"/>
        <v>528333.33333333337</v>
      </c>
      <c r="Q81" s="372">
        <f t="shared" si="121"/>
        <v>626.96801265207216</v>
      </c>
      <c r="R81" s="373">
        <f t="shared" si="122"/>
        <v>0.59334512238366444</v>
      </c>
      <c r="S81" s="372">
        <f t="shared" si="123"/>
        <v>1500</v>
      </c>
      <c r="T81" s="372">
        <f t="shared" si="124"/>
        <v>750000</v>
      </c>
      <c r="U81" s="373">
        <f t="shared" si="125"/>
        <v>0.41797867510138142</v>
      </c>
      <c r="V81" s="386" t="s">
        <v>247</v>
      </c>
      <c r="W81" s="375" t="s">
        <v>69</v>
      </c>
      <c r="X81" s="375" t="s">
        <v>61</v>
      </c>
    </row>
    <row r="82" spans="1:26" s="376" customFormat="1" ht="75" x14ac:dyDescent="0.25">
      <c r="A82" s="518"/>
      <c r="B82" s="128">
        <v>5</v>
      </c>
      <c r="C82" s="378" t="s">
        <v>166</v>
      </c>
      <c r="D82" s="378" t="s">
        <v>167</v>
      </c>
      <c r="E82" s="379">
        <v>500</v>
      </c>
      <c r="F82" s="380" t="s">
        <v>47</v>
      </c>
      <c r="G82" s="379"/>
      <c r="H82" s="381"/>
      <c r="I82" s="388">
        <f>+(34900*100)/119</f>
        <v>29327.731092436974</v>
      </c>
      <c r="J82" s="383">
        <f t="shared" si="126"/>
        <v>14663865.546218487</v>
      </c>
      <c r="K82" s="388">
        <f>+(120369*100)/119</f>
        <v>101150.42016806723</v>
      </c>
      <c r="L82" s="385">
        <f t="shared" si="127"/>
        <v>50575210.084033616</v>
      </c>
      <c r="M82" s="385">
        <f>+(120369*100)/119</f>
        <v>101150.42016806723</v>
      </c>
      <c r="N82" s="385">
        <f t="shared" si="128"/>
        <v>50575210.084033616</v>
      </c>
      <c r="O82" s="372">
        <f t="shared" si="119"/>
        <v>77209.523809523802</v>
      </c>
      <c r="P82" s="372">
        <f t="shared" si="120"/>
        <v>38604761.904761903</v>
      </c>
      <c r="Q82" s="372">
        <f t="shared" si="121"/>
        <v>33857.540325620757</v>
      </c>
      <c r="R82" s="373">
        <f t="shared" si="122"/>
        <v>0.438515077610729</v>
      </c>
      <c r="S82" s="372">
        <f t="shared" si="123"/>
        <v>101150.42016806723</v>
      </c>
      <c r="T82" s="372">
        <f t="shared" si="124"/>
        <v>50575210.084033616</v>
      </c>
      <c r="U82" s="373">
        <f t="shared" si="125"/>
        <v>0.33472466322299516</v>
      </c>
      <c r="V82" s="386" t="s">
        <v>48</v>
      </c>
      <c r="W82" s="375" t="s">
        <v>69</v>
      </c>
      <c r="X82" s="375" t="s">
        <v>61</v>
      </c>
    </row>
    <row r="83" spans="1:26" s="376" customFormat="1" ht="90" x14ac:dyDescent="0.25">
      <c r="A83" s="518"/>
      <c r="B83" s="377">
        <v>6</v>
      </c>
      <c r="C83" s="365" t="s">
        <v>168</v>
      </c>
      <c r="D83" s="365" t="s">
        <v>169</v>
      </c>
      <c r="E83" s="366">
        <v>500</v>
      </c>
      <c r="F83" s="367" t="s">
        <v>245</v>
      </c>
      <c r="G83" s="366"/>
      <c r="H83" s="368"/>
      <c r="I83" s="369">
        <v>10756</v>
      </c>
      <c r="J83" s="370">
        <f t="shared" si="126"/>
        <v>5378000</v>
      </c>
      <c r="K83" s="371">
        <f>+(26775*100)/119</f>
        <v>22500</v>
      </c>
      <c r="L83" s="372">
        <f t="shared" si="127"/>
        <v>11250000</v>
      </c>
      <c r="M83" s="372">
        <f>+(26775*100)/119</f>
        <v>22500</v>
      </c>
      <c r="N83" s="372">
        <f t="shared" si="128"/>
        <v>11250000</v>
      </c>
      <c r="O83" s="372">
        <f t="shared" si="119"/>
        <v>18585.333333333332</v>
      </c>
      <c r="P83" s="372">
        <f t="shared" si="120"/>
        <v>9292666.666666666</v>
      </c>
      <c r="Q83" s="372">
        <f t="shared" si="121"/>
        <v>5536.1746921698759</v>
      </c>
      <c r="R83" s="373">
        <f t="shared" si="122"/>
        <v>0.29787868707420956</v>
      </c>
      <c r="S83" s="372">
        <f t="shared" si="123"/>
        <v>22500</v>
      </c>
      <c r="T83" s="372">
        <f t="shared" si="124"/>
        <v>11250000</v>
      </c>
      <c r="U83" s="373">
        <f t="shared" si="125"/>
        <v>0.24605220854088339</v>
      </c>
      <c r="V83" s="374" t="s">
        <v>248</v>
      </c>
      <c r="W83" s="375" t="s">
        <v>69</v>
      </c>
      <c r="X83" s="375" t="s">
        <v>61</v>
      </c>
    </row>
    <row r="84" spans="1:26" ht="210" x14ac:dyDescent="0.25">
      <c r="A84" s="518"/>
      <c r="B84" s="456">
        <v>7</v>
      </c>
      <c r="C84" s="457" t="s">
        <v>177</v>
      </c>
      <c r="D84" s="457" t="s">
        <v>178</v>
      </c>
      <c r="E84" s="458">
        <v>1</v>
      </c>
      <c r="F84" s="459" t="s">
        <v>99</v>
      </c>
      <c r="G84" s="460"/>
      <c r="H84" s="461"/>
      <c r="I84" s="462">
        <v>1000000</v>
      </c>
      <c r="J84" s="463">
        <f>+I84*E84</f>
        <v>1000000</v>
      </c>
      <c r="K84" s="464">
        <f>+(4165000*100)/119</f>
        <v>3500000</v>
      </c>
      <c r="L84" s="465"/>
      <c r="M84" s="466">
        <f>+(4165000*100)/119</f>
        <v>3500000</v>
      </c>
      <c r="N84" s="466"/>
      <c r="O84" s="465">
        <f t="shared" si="119"/>
        <v>2666666.6666666665</v>
      </c>
      <c r="P84" s="465">
        <f t="shared" si="120"/>
        <v>2666666.6666666665</v>
      </c>
      <c r="Q84" s="465">
        <f t="shared" si="121"/>
        <v>1178511.3019775792</v>
      </c>
      <c r="R84" s="467">
        <f t="shared" si="122"/>
        <v>0.44194173824159222</v>
      </c>
      <c r="S84" s="465">
        <f t="shared" si="123"/>
        <v>3500000</v>
      </c>
      <c r="T84" s="465">
        <f t="shared" si="124"/>
        <v>3500000</v>
      </c>
      <c r="U84" s="467">
        <f t="shared" si="125"/>
        <v>0.33671751485073692</v>
      </c>
      <c r="V84" s="468" t="s">
        <v>285</v>
      </c>
      <c r="W84" s="469" t="s">
        <v>69</v>
      </c>
      <c r="X84" s="469" t="s">
        <v>61</v>
      </c>
    </row>
    <row r="85" spans="1:26" ht="30.75" customHeight="1" x14ac:dyDescent="0.25">
      <c r="A85" s="518"/>
      <c r="B85" s="560" t="s">
        <v>282</v>
      </c>
      <c r="C85" s="561"/>
      <c r="D85" s="561"/>
      <c r="E85" s="561"/>
      <c r="F85" s="561"/>
      <c r="G85" s="561"/>
      <c r="H85" s="561"/>
      <c r="I85" s="145"/>
      <c r="J85" s="145"/>
      <c r="K85" s="146"/>
      <c r="L85" s="146"/>
      <c r="M85" s="146"/>
      <c r="N85" s="146"/>
      <c r="O85" s="146"/>
      <c r="P85" s="146"/>
      <c r="Q85" s="146"/>
      <c r="R85" s="146"/>
      <c r="S85" s="146"/>
      <c r="T85" s="146"/>
      <c r="U85" s="146"/>
      <c r="V85" s="117"/>
      <c r="W85" s="133"/>
      <c r="X85" s="133"/>
    </row>
    <row r="86" spans="1:26" ht="45" x14ac:dyDescent="0.25">
      <c r="A86" s="518"/>
      <c r="B86" s="151">
        <v>1</v>
      </c>
      <c r="C86" s="147" t="s">
        <v>179</v>
      </c>
      <c r="D86" s="147" t="s">
        <v>180</v>
      </c>
      <c r="E86" s="147">
        <v>200</v>
      </c>
      <c r="F86" s="147" t="s">
        <v>250</v>
      </c>
      <c r="G86" s="152"/>
      <c r="H86" s="152"/>
      <c r="I86" s="136">
        <f>+(18900*100)/119</f>
        <v>15882.35294117647</v>
      </c>
      <c r="J86" s="136">
        <f>+I86*E86</f>
        <v>3176470.588235294</v>
      </c>
      <c r="K86" s="136">
        <f>+(89250*100)/119</f>
        <v>75000</v>
      </c>
      <c r="L86" s="136">
        <f>+K86*E86</f>
        <v>15000000</v>
      </c>
      <c r="M86" s="136">
        <f>+(89250*100)/119</f>
        <v>75000</v>
      </c>
      <c r="N86" s="136">
        <f>+M86*E86</f>
        <v>15000000</v>
      </c>
      <c r="O86" s="115">
        <f t="shared" ref="O86" si="129">+AVERAGE(I86,K86,M86)</f>
        <v>55294.117647058825</v>
      </c>
      <c r="P86" s="115">
        <f t="shared" ref="P86" si="130">+O86*E86</f>
        <v>11058823.529411765</v>
      </c>
      <c r="Q86" s="115">
        <f t="shared" ref="Q86" si="131">+_xlfn.STDEV.P(I86,K86,M86)</f>
        <v>27868.326082058047</v>
      </c>
      <c r="R86" s="116">
        <f t="shared" ref="R86" si="132">+Q86/O86</f>
        <v>0.50400164190956043</v>
      </c>
      <c r="S86" s="115">
        <f t="shared" ref="S86" si="133">+MEDIAN(I86,K86,M86)</f>
        <v>75000</v>
      </c>
      <c r="T86" s="115">
        <f t="shared" ref="T86" si="134">+S86*E86</f>
        <v>15000000</v>
      </c>
      <c r="U86" s="116">
        <f t="shared" ref="U86" si="135">+Q86/S86</f>
        <v>0.37157768109410727</v>
      </c>
      <c r="V86" s="127" t="s">
        <v>48</v>
      </c>
      <c r="W86" s="127" t="s">
        <v>69</v>
      </c>
      <c r="X86" s="127" t="s">
        <v>61</v>
      </c>
    </row>
    <row r="87" spans="1:26" ht="75" x14ac:dyDescent="0.25">
      <c r="A87" s="518"/>
      <c r="B87" s="44">
        <v>2</v>
      </c>
      <c r="C87" s="147" t="s">
        <v>181</v>
      </c>
      <c r="D87" s="147" t="s">
        <v>165</v>
      </c>
      <c r="E87" s="38">
        <v>500</v>
      </c>
      <c r="F87" s="38" t="s">
        <v>250</v>
      </c>
      <c r="G87" s="43"/>
      <c r="H87" s="43"/>
      <c r="I87" s="136">
        <v>300</v>
      </c>
      <c r="J87" s="136">
        <f t="shared" ref="J87:J94" si="136">+I87*E87</f>
        <v>150000</v>
      </c>
      <c r="K87" s="136">
        <f>+(1785*100)/119</f>
        <v>1500</v>
      </c>
      <c r="L87" s="136">
        <f t="shared" ref="L87:L94" si="137">+K87*E87</f>
        <v>750000</v>
      </c>
      <c r="M87" s="136">
        <f>+(1785*100)/119</f>
        <v>1500</v>
      </c>
      <c r="N87" s="136">
        <f t="shared" ref="N87:N94" si="138">+M87*E87</f>
        <v>750000</v>
      </c>
      <c r="O87" s="194">
        <f t="shared" ref="O87:O94" si="139">+AVERAGE(I87,K87,M87)</f>
        <v>1100</v>
      </c>
      <c r="P87" s="194">
        <f t="shared" ref="P87:P94" si="140">+O87*E87</f>
        <v>550000</v>
      </c>
      <c r="Q87" s="194">
        <f t="shared" ref="Q87:Q94" si="141">+_xlfn.STDEV.P(I87,K87,M87)</f>
        <v>565.68542494923804</v>
      </c>
      <c r="R87" s="195">
        <f t="shared" ref="R87:R94" si="142">+Q87/O87</f>
        <v>0.51425947722658005</v>
      </c>
      <c r="S87" s="194">
        <f t="shared" ref="S87:S94" si="143">+MEDIAN(I87,K87,M87)</f>
        <v>1500</v>
      </c>
      <c r="T87" s="194">
        <f t="shared" ref="T87:T94" si="144">+S87*E87</f>
        <v>750000</v>
      </c>
      <c r="U87" s="195">
        <f t="shared" ref="U87:U94" si="145">+Q87/S87</f>
        <v>0.37712361663282534</v>
      </c>
      <c r="V87" s="193" t="s">
        <v>314</v>
      </c>
      <c r="W87" s="127" t="s">
        <v>69</v>
      </c>
      <c r="X87" s="127" t="s">
        <v>61</v>
      </c>
    </row>
    <row r="88" spans="1:26" ht="72" customHeight="1" x14ac:dyDescent="0.25">
      <c r="A88" s="518"/>
      <c r="B88" s="44">
        <v>3</v>
      </c>
      <c r="C88" s="147" t="s">
        <v>182</v>
      </c>
      <c r="D88" s="147" t="s">
        <v>183</v>
      </c>
      <c r="E88" s="38">
        <v>500</v>
      </c>
      <c r="F88" s="38" t="s">
        <v>250</v>
      </c>
      <c r="G88" s="43"/>
      <c r="H88" s="43"/>
      <c r="I88" s="136">
        <f>+(19900*100)/119</f>
        <v>16722.689075630253</v>
      </c>
      <c r="J88" s="136">
        <f t="shared" si="136"/>
        <v>8361344.5378151266</v>
      </c>
      <c r="K88" s="136">
        <f>+(27965*100)/119</f>
        <v>23500</v>
      </c>
      <c r="L88" s="136">
        <f t="shared" si="137"/>
        <v>11750000</v>
      </c>
      <c r="M88" s="136">
        <f>+(27965*100)/119</f>
        <v>23500</v>
      </c>
      <c r="N88" s="136">
        <f t="shared" si="138"/>
        <v>11750000</v>
      </c>
      <c r="O88" s="194">
        <f t="shared" si="139"/>
        <v>21240.896358543418</v>
      </c>
      <c r="P88" s="194">
        <f t="shared" si="140"/>
        <v>10620448.179271709</v>
      </c>
      <c r="Q88" s="194">
        <f t="shared" si="141"/>
        <v>3194.8550085543529</v>
      </c>
      <c r="R88" s="195">
        <f t="shared" si="142"/>
        <v>0.15041055493259975</v>
      </c>
      <c r="S88" s="194">
        <f t="shared" si="143"/>
        <v>23500</v>
      </c>
      <c r="T88" s="194">
        <f t="shared" si="144"/>
        <v>11750000</v>
      </c>
      <c r="U88" s="195">
        <f t="shared" si="145"/>
        <v>0.1359512769597597</v>
      </c>
      <c r="V88" s="193" t="s">
        <v>284</v>
      </c>
      <c r="W88" s="127" t="s">
        <v>69</v>
      </c>
      <c r="X88" s="127" t="s">
        <v>61</v>
      </c>
    </row>
    <row r="89" spans="1:26" ht="45" x14ac:dyDescent="0.25">
      <c r="A89" s="518"/>
      <c r="B89" s="44">
        <v>4</v>
      </c>
      <c r="C89" s="147" t="s">
        <v>184</v>
      </c>
      <c r="D89" s="147" t="s">
        <v>185</v>
      </c>
      <c r="E89" s="38">
        <v>500</v>
      </c>
      <c r="F89" s="38" t="s">
        <v>250</v>
      </c>
      <c r="G89" s="43"/>
      <c r="H89" s="43"/>
      <c r="I89" s="136">
        <f>+(13500*100)/119</f>
        <v>11344.53781512605</v>
      </c>
      <c r="J89" s="136">
        <f t="shared" si="136"/>
        <v>5672268.9075630251</v>
      </c>
      <c r="K89" s="136">
        <f>+(28560*100)/119</f>
        <v>24000</v>
      </c>
      <c r="L89" s="136">
        <f t="shared" si="137"/>
        <v>12000000</v>
      </c>
      <c r="M89" s="136">
        <f>+(28560*100)/119</f>
        <v>24000</v>
      </c>
      <c r="N89" s="136">
        <f t="shared" si="138"/>
        <v>12000000</v>
      </c>
      <c r="O89" s="194">
        <f t="shared" si="139"/>
        <v>19781.512605042019</v>
      </c>
      <c r="P89" s="194">
        <f t="shared" si="140"/>
        <v>9890756.302521009</v>
      </c>
      <c r="Q89" s="194">
        <f t="shared" si="141"/>
        <v>5965.8420866495244</v>
      </c>
      <c r="R89" s="195">
        <f t="shared" si="142"/>
        <v>0.3015867494950269</v>
      </c>
      <c r="S89" s="194">
        <f t="shared" si="143"/>
        <v>24000</v>
      </c>
      <c r="T89" s="194">
        <f t="shared" si="144"/>
        <v>12000000</v>
      </c>
      <c r="U89" s="195">
        <f t="shared" si="145"/>
        <v>0.24857675361039686</v>
      </c>
      <c r="V89" s="193" t="s">
        <v>278</v>
      </c>
      <c r="W89" s="127" t="s">
        <v>69</v>
      </c>
      <c r="X89" s="127" t="s">
        <v>61</v>
      </c>
    </row>
    <row r="90" spans="1:26" ht="35.1" customHeight="1" x14ac:dyDescent="0.25">
      <c r="A90" s="518"/>
      <c r="B90" s="44">
        <v>5</v>
      </c>
      <c r="C90" s="147" t="s">
        <v>186</v>
      </c>
      <c r="D90" s="147" t="s">
        <v>187</v>
      </c>
      <c r="E90" s="38">
        <v>10</v>
      </c>
      <c r="F90" s="38" t="s">
        <v>250</v>
      </c>
      <c r="G90" s="43"/>
      <c r="H90" s="43"/>
      <c r="I90" s="136">
        <f>+(333000*100)/119</f>
        <v>279831.93277310923</v>
      </c>
      <c r="J90" s="136">
        <f t="shared" si="136"/>
        <v>2798319.3277310925</v>
      </c>
      <c r="K90" s="136">
        <f>+(773500*100)/119</f>
        <v>650000</v>
      </c>
      <c r="L90" s="136">
        <f t="shared" si="137"/>
        <v>6500000</v>
      </c>
      <c r="M90" s="136">
        <f>+(773500*100)/119</f>
        <v>650000</v>
      </c>
      <c r="N90" s="136">
        <f t="shared" si="138"/>
        <v>6500000</v>
      </c>
      <c r="O90" s="194">
        <f t="shared" si="139"/>
        <v>526610.6442577031</v>
      </c>
      <c r="P90" s="194">
        <f t="shared" si="140"/>
        <v>5266106.4425770305</v>
      </c>
      <c r="Q90" s="194">
        <f t="shared" si="141"/>
        <v>174498.90034323471</v>
      </c>
      <c r="R90" s="195">
        <f t="shared" si="142"/>
        <v>0.33136227352412123</v>
      </c>
      <c r="S90" s="194">
        <f t="shared" si="143"/>
        <v>650000</v>
      </c>
      <c r="T90" s="194">
        <f t="shared" si="144"/>
        <v>6500000</v>
      </c>
      <c r="U90" s="195">
        <f t="shared" si="145"/>
        <v>0.26845984668189954</v>
      </c>
      <c r="V90" s="193" t="s">
        <v>251</v>
      </c>
      <c r="W90" s="127" t="s">
        <v>69</v>
      </c>
      <c r="X90" s="127" t="s">
        <v>61</v>
      </c>
    </row>
    <row r="91" spans="1:26" ht="45" x14ac:dyDescent="0.25">
      <c r="A91" s="518"/>
      <c r="B91" s="44">
        <v>6</v>
      </c>
      <c r="C91" s="147" t="s">
        <v>188</v>
      </c>
      <c r="D91" s="147" t="s">
        <v>189</v>
      </c>
      <c r="E91" s="38">
        <v>500</v>
      </c>
      <c r="F91" s="38" t="s">
        <v>250</v>
      </c>
      <c r="G91" s="43"/>
      <c r="H91" s="43"/>
      <c r="I91" s="136">
        <f>+(2600*100)/119</f>
        <v>2184.8739495798318</v>
      </c>
      <c r="J91" s="136">
        <f t="shared" si="136"/>
        <v>1092436.9747899158</v>
      </c>
      <c r="K91" s="136">
        <f>+(1785*100)/119</f>
        <v>1500</v>
      </c>
      <c r="L91" s="136">
        <f t="shared" si="137"/>
        <v>750000</v>
      </c>
      <c r="M91" s="136">
        <f>+(1785*100)/119</f>
        <v>1500</v>
      </c>
      <c r="N91" s="136">
        <f t="shared" si="138"/>
        <v>750000</v>
      </c>
      <c r="O91" s="194">
        <f t="shared" si="139"/>
        <v>1728.2913165266107</v>
      </c>
      <c r="P91" s="194">
        <f t="shared" si="140"/>
        <v>864145.65826330532</v>
      </c>
      <c r="Q91" s="194">
        <f t="shared" si="141"/>
        <v>322.85267600394167</v>
      </c>
      <c r="R91" s="195">
        <f t="shared" si="142"/>
        <v>0.18680454673161617</v>
      </c>
      <c r="S91" s="194">
        <f t="shared" si="143"/>
        <v>1500</v>
      </c>
      <c r="T91" s="194">
        <f t="shared" si="144"/>
        <v>750000</v>
      </c>
      <c r="U91" s="195">
        <f t="shared" si="145"/>
        <v>0.21523511733596112</v>
      </c>
      <c r="V91" s="193" t="s">
        <v>252</v>
      </c>
      <c r="W91" s="127" t="s">
        <v>69</v>
      </c>
      <c r="X91" s="127" t="s">
        <v>61</v>
      </c>
      <c r="Y91" s="272" t="s">
        <v>287</v>
      </c>
      <c r="Z91" s="272" t="s">
        <v>291</v>
      </c>
    </row>
    <row r="92" spans="1:26" ht="42.75" x14ac:dyDescent="0.25">
      <c r="A92" s="518"/>
      <c r="B92" s="44">
        <v>7</v>
      </c>
      <c r="C92" s="311" t="s">
        <v>84</v>
      </c>
      <c r="D92" s="311" t="s">
        <v>85</v>
      </c>
      <c r="E92" s="311">
        <v>47</v>
      </c>
      <c r="F92" s="311" t="s">
        <v>47</v>
      </c>
      <c r="G92" s="399"/>
      <c r="H92" s="311"/>
      <c r="I92" s="322">
        <v>8622</v>
      </c>
      <c r="J92" s="314">
        <f>+I92*E92</f>
        <v>405234</v>
      </c>
      <c r="K92" s="400">
        <f>+(24990*100)/119</f>
        <v>21000</v>
      </c>
      <c r="L92" s="401">
        <f>+K92*E92</f>
        <v>987000</v>
      </c>
      <c r="M92" s="402">
        <f>+(24990*100)/119</f>
        <v>21000</v>
      </c>
      <c r="N92" s="403">
        <f>+M92*E92</f>
        <v>987000</v>
      </c>
      <c r="O92" s="401">
        <f>+AVERAGE(I92,K92,M92)</f>
        <v>16874</v>
      </c>
      <c r="P92" s="401">
        <f>+O92*E92</f>
        <v>793078</v>
      </c>
      <c r="Q92" s="401">
        <f>+_xlfn.STDEV.P(I92,K92,M92)</f>
        <v>5835.0451583513905</v>
      </c>
      <c r="R92" s="404">
        <f t="shared" si="142"/>
        <v>0.34580094573612602</v>
      </c>
      <c r="S92" s="401">
        <f>+MEDIAN(I92,K92,M92)</f>
        <v>21000</v>
      </c>
      <c r="T92" s="401">
        <f>+S92*E92</f>
        <v>987000</v>
      </c>
      <c r="U92" s="404">
        <f t="shared" si="145"/>
        <v>0.27785929325482811</v>
      </c>
      <c r="V92" s="401" t="s">
        <v>234</v>
      </c>
      <c r="W92" s="320" t="s">
        <v>64</v>
      </c>
      <c r="X92" s="320" t="s">
        <v>61</v>
      </c>
    </row>
    <row r="93" spans="1:26" ht="85.5" x14ac:dyDescent="0.25">
      <c r="A93" s="518"/>
      <c r="B93" s="44">
        <v>8</v>
      </c>
      <c r="C93" s="405" t="s">
        <v>86</v>
      </c>
      <c r="D93" s="405" t="s">
        <v>87</v>
      </c>
      <c r="E93" s="405">
        <v>47</v>
      </c>
      <c r="F93" s="311" t="s">
        <v>47</v>
      </c>
      <c r="G93" s="406"/>
      <c r="H93" s="407"/>
      <c r="I93" s="408">
        <f>+(45000*100)/119</f>
        <v>37815.126050420171</v>
      </c>
      <c r="J93" s="409">
        <f>+I93*E93</f>
        <v>1777310.924369748</v>
      </c>
      <c r="K93" s="410">
        <f>+(49980*100)/119</f>
        <v>42000</v>
      </c>
      <c r="L93" s="411">
        <f>+K93*E93</f>
        <v>1974000</v>
      </c>
      <c r="M93" s="412">
        <f>+(49980*100)/119</f>
        <v>42000</v>
      </c>
      <c r="N93" s="413">
        <f>+M93*E93</f>
        <v>1974000</v>
      </c>
      <c r="O93" s="411">
        <f>+AVERAGE(I93,K93,M93)</f>
        <v>40605.042016806721</v>
      </c>
      <c r="P93" s="411">
        <f>+O93*E93</f>
        <v>1908436.9747899158</v>
      </c>
      <c r="Q93" s="411">
        <f>+_xlfn.STDEV.P(I93,K93,M93)</f>
        <v>1972.7684987725513</v>
      </c>
      <c r="R93" s="414">
        <f t="shared" si="142"/>
        <v>4.8584323541790896E-2</v>
      </c>
      <c r="S93" s="411">
        <f>+MEDIAN(I93,K93,M93)</f>
        <v>42000</v>
      </c>
      <c r="T93" s="411">
        <f>+S93*E93</f>
        <v>1974000</v>
      </c>
      <c r="U93" s="414">
        <f t="shared" si="145"/>
        <v>4.6970678542203603E-2</v>
      </c>
      <c r="V93" s="411" t="s">
        <v>235</v>
      </c>
      <c r="W93" s="415" t="s">
        <v>64</v>
      </c>
      <c r="X93" s="415" t="s">
        <v>61</v>
      </c>
      <c r="Y93" s="269"/>
      <c r="Z93" s="268"/>
    </row>
    <row r="94" spans="1:26" ht="60" x14ac:dyDescent="0.25">
      <c r="A94" s="519"/>
      <c r="B94" s="44">
        <v>9</v>
      </c>
      <c r="C94" s="147" t="s">
        <v>190</v>
      </c>
      <c r="D94" s="147" t="s">
        <v>191</v>
      </c>
      <c r="E94" s="119">
        <v>1</v>
      </c>
      <c r="F94" s="119" t="s">
        <v>250</v>
      </c>
      <c r="G94" s="153"/>
      <c r="H94" s="153"/>
      <c r="I94" s="154">
        <v>1132049</v>
      </c>
      <c r="J94" s="154">
        <f t="shared" si="136"/>
        <v>1132049</v>
      </c>
      <c r="K94" s="154">
        <f>+(773500*100)/119</f>
        <v>650000</v>
      </c>
      <c r="L94" s="154">
        <f t="shared" si="137"/>
        <v>650000</v>
      </c>
      <c r="M94" s="154">
        <f>+(773500*100)/119</f>
        <v>650000</v>
      </c>
      <c r="N94" s="154">
        <f t="shared" si="138"/>
        <v>650000</v>
      </c>
      <c r="O94" s="194">
        <f t="shared" si="139"/>
        <v>810683</v>
      </c>
      <c r="P94" s="194">
        <f t="shared" si="140"/>
        <v>810683</v>
      </c>
      <c r="Q94" s="194">
        <f t="shared" si="141"/>
        <v>227240.07784279602</v>
      </c>
      <c r="R94" s="195">
        <f t="shared" si="142"/>
        <v>0.28030694839141318</v>
      </c>
      <c r="S94" s="194">
        <f t="shared" si="143"/>
        <v>650000</v>
      </c>
      <c r="T94" s="194">
        <f t="shared" si="144"/>
        <v>650000</v>
      </c>
      <c r="U94" s="195">
        <f t="shared" si="145"/>
        <v>0.3496001197581477</v>
      </c>
      <c r="V94" s="193" t="s">
        <v>253</v>
      </c>
      <c r="W94" s="127" t="s">
        <v>69</v>
      </c>
      <c r="X94" s="127" t="s">
        <v>61</v>
      </c>
      <c r="Y94" s="53">
        <f>SUM(P53:P94,P96:P100)</f>
        <v>484107867.442577</v>
      </c>
      <c r="Z94" s="53">
        <f>SUM(T53:T94)</f>
        <v>343974630.25210083</v>
      </c>
    </row>
    <row r="95" spans="1:26" ht="18" customHeight="1" x14ac:dyDescent="0.25">
      <c r="A95" s="303"/>
      <c r="B95" s="572" t="s">
        <v>352</v>
      </c>
      <c r="C95" s="573"/>
      <c r="D95" s="573"/>
      <c r="E95" s="573"/>
      <c r="F95" s="573"/>
      <c r="G95" s="470"/>
      <c r="H95" s="470"/>
      <c r="I95" s="470"/>
      <c r="J95" s="470"/>
      <c r="K95" s="470"/>
      <c r="L95" s="470"/>
      <c r="M95" s="470"/>
      <c r="N95" s="470"/>
      <c r="O95" s="470"/>
      <c r="P95" s="470"/>
      <c r="Q95" s="470"/>
      <c r="R95" s="470"/>
      <c r="S95" s="470"/>
      <c r="T95" s="470"/>
      <c r="U95" s="470"/>
      <c r="V95" s="470"/>
      <c r="W95" s="470"/>
      <c r="X95" s="470"/>
      <c r="Y95" s="53"/>
      <c r="Z95" s="53"/>
    </row>
    <row r="96" spans="1:26" ht="171" x14ac:dyDescent="0.25">
      <c r="A96" s="303"/>
      <c r="B96" s="396">
        <v>1</v>
      </c>
      <c r="C96" s="396" t="s">
        <v>58</v>
      </c>
      <c r="D96" s="396" t="s">
        <v>59</v>
      </c>
      <c r="E96" s="396">
        <v>1</v>
      </c>
      <c r="F96" s="396" t="s">
        <v>60</v>
      </c>
      <c r="G96" s="397">
        <v>8</v>
      </c>
      <c r="H96" s="396" t="s">
        <v>63</v>
      </c>
      <c r="I96" s="313">
        <v>6500000</v>
      </c>
      <c r="J96" s="314">
        <f>+I96*G96</f>
        <v>52000000</v>
      </c>
      <c r="K96" s="315"/>
      <c r="L96" s="316"/>
      <c r="M96" s="316"/>
      <c r="N96" s="316"/>
      <c r="O96" s="317">
        <f>+(ROUND(AVERAGE(I96),0))</f>
        <v>6500000</v>
      </c>
      <c r="P96" s="317">
        <f>+O96*E96*G96</f>
        <v>52000000</v>
      </c>
      <c r="Q96" s="318">
        <v>0</v>
      </c>
      <c r="R96" s="319">
        <v>0</v>
      </c>
      <c r="S96" s="317">
        <f>+(ROUND(MEDIAN(I96),0))</f>
        <v>6500000</v>
      </c>
      <c r="T96" s="317">
        <f>S96*E96*G96</f>
        <v>52000000</v>
      </c>
      <c r="U96" s="319">
        <v>0</v>
      </c>
      <c r="V96" s="320" t="s">
        <v>356</v>
      </c>
      <c r="W96" s="320"/>
      <c r="X96" s="321"/>
    </row>
    <row r="97" spans="1:26" ht="85.5" x14ac:dyDescent="0.25">
      <c r="A97" s="303"/>
      <c r="B97" s="398">
        <v>2</v>
      </c>
      <c r="C97" s="311" t="s">
        <v>80</v>
      </c>
      <c r="D97" s="311" t="s">
        <v>81</v>
      </c>
      <c r="E97" s="311">
        <v>1</v>
      </c>
      <c r="F97" s="311" t="s">
        <v>60</v>
      </c>
      <c r="G97" s="312">
        <v>3</v>
      </c>
      <c r="H97" s="311" t="s">
        <v>63</v>
      </c>
      <c r="I97" s="322">
        <v>3000000</v>
      </c>
      <c r="J97" s="314">
        <f t="shared" ref="J97" si="146">+I97*G97</f>
        <v>9000000</v>
      </c>
      <c r="K97" s="315"/>
      <c r="L97" s="316"/>
      <c r="M97" s="316"/>
      <c r="N97" s="316"/>
      <c r="O97" s="317">
        <f t="shared" ref="O97" si="147">+(ROUND(AVERAGE(I97),0))</f>
        <v>3000000</v>
      </c>
      <c r="P97" s="317">
        <f t="shared" ref="P97" si="148">+O97*E97*G97</f>
        <v>9000000</v>
      </c>
      <c r="Q97" s="318">
        <v>0</v>
      </c>
      <c r="R97" s="319">
        <v>0</v>
      </c>
      <c r="S97" s="317">
        <f t="shared" ref="S97" si="149">+(ROUND(MEDIAN(I97),0))</f>
        <v>3000000</v>
      </c>
      <c r="T97" s="317">
        <f t="shared" ref="T97" si="150">S97*E97*G97</f>
        <v>9000000</v>
      </c>
      <c r="U97" s="319">
        <v>0</v>
      </c>
      <c r="V97" s="320" t="s">
        <v>276</v>
      </c>
      <c r="W97" s="320"/>
      <c r="X97" s="321"/>
    </row>
    <row r="98" spans="1:26" ht="85.5" x14ac:dyDescent="0.25">
      <c r="A98" s="303"/>
      <c r="B98" s="398">
        <v>6</v>
      </c>
      <c r="C98" s="311" t="s">
        <v>67</v>
      </c>
      <c r="D98" s="311" t="s">
        <v>68</v>
      </c>
      <c r="E98" s="311">
        <v>2</v>
      </c>
      <c r="F98" s="311" t="s">
        <v>62</v>
      </c>
      <c r="G98" s="312">
        <v>2</v>
      </c>
      <c r="H98" s="311" t="s">
        <v>63</v>
      </c>
      <c r="I98" s="322">
        <v>2500000</v>
      </c>
      <c r="J98" s="314">
        <f t="shared" ref="J98:J100" si="151">+I98*G98</f>
        <v>5000000</v>
      </c>
      <c r="K98" s="315"/>
      <c r="L98" s="316"/>
      <c r="M98" s="316"/>
      <c r="N98" s="316"/>
      <c r="O98" s="317">
        <f t="shared" ref="O98:O100" si="152">+(ROUND(AVERAGE(I98),0))</f>
        <v>2500000</v>
      </c>
      <c r="P98" s="317">
        <f t="shared" ref="P98:P100" si="153">+O98*E98*G98</f>
        <v>10000000</v>
      </c>
      <c r="Q98" s="318">
        <v>0</v>
      </c>
      <c r="R98" s="319">
        <v>0</v>
      </c>
      <c r="S98" s="317">
        <f t="shared" ref="S98:S100" si="154">+(ROUND(MEDIAN(I98),0))</f>
        <v>2500000</v>
      </c>
      <c r="T98" s="317">
        <f t="shared" ref="T98:T100" si="155">S98*E98*G98</f>
        <v>10000000</v>
      </c>
      <c r="U98" s="319">
        <v>0</v>
      </c>
      <c r="V98" s="320" t="s">
        <v>276</v>
      </c>
      <c r="W98" s="320"/>
      <c r="X98" s="321"/>
      <c r="Y98" s="268">
        <f>576373364/1.19</f>
        <v>484347364.70588237</v>
      </c>
      <c r="Z98" s="268">
        <f>Y98-Y94</f>
        <v>239497.26330536604</v>
      </c>
    </row>
    <row r="99" spans="1:26" ht="85.5" x14ac:dyDescent="0.25">
      <c r="A99" s="303"/>
      <c r="B99" s="396">
        <v>7</v>
      </c>
      <c r="C99" s="311" t="s">
        <v>70</v>
      </c>
      <c r="D99" s="311" t="s">
        <v>71</v>
      </c>
      <c r="E99" s="311">
        <v>10</v>
      </c>
      <c r="F99" s="311" t="s">
        <v>62</v>
      </c>
      <c r="G99" s="312">
        <v>4</v>
      </c>
      <c r="H99" s="311" t="s">
        <v>63</v>
      </c>
      <c r="I99" s="322">
        <v>2141000</v>
      </c>
      <c r="J99" s="314">
        <f t="shared" si="151"/>
        <v>8564000</v>
      </c>
      <c r="K99" s="315"/>
      <c r="L99" s="316"/>
      <c r="M99" s="316"/>
      <c r="N99" s="316"/>
      <c r="O99" s="317">
        <f t="shared" si="152"/>
        <v>2141000</v>
      </c>
      <c r="P99" s="317">
        <f t="shared" si="153"/>
        <v>85640000</v>
      </c>
      <c r="Q99" s="318">
        <v>0</v>
      </c>
      <c r="R99" s="319">
        <v>0</v>
      </c>
      <c r="S99" s="317">
        <f t="shared" si="154"/>
        <v>2141000</v>
      </c>
      <c r="T99" s="317">
        <f t="shared" si="155"/>
        <v>85640000</v>
      </c>
      <c r="U99" s="319">
        <v>0</v>
      </c>
      <c r="V99" s="320" t="s">
        <v>276</v>
      </c>
      <c r="W99" s="320"/>
      <c r="X99" s="321"/>
    </row>
    <row r="100" spans="1:26" ht="114" x14ac:dyDescent="0.25">
      <c r="A100" s="303"/>
      <c r="B100" s="398">
        <v>8</v>
      </c>
      <c r="C100" s="311" t="s">
        <v>79</v>
      </c>
      <c r="D100" s="311" t="s">
        <v>370</v>
      </c>
      <c r="E100" s="311">
        <v>2</v>
      </c>
      <c r="F100" s="311" t="s">
        <v>62</v>
      </c>
      <c r="G100" s="312">
        <v>4</v>
      </c>
      <c r="H100" s="311" t="s">
        <v>63</v>
      </c>
      <c r="I100" s="313">
        <v>5800000</v>
      </c>
      <c r="J100" s="314">
        <f t="shared" si="151"/>
        <v>23200000</v>
      </c>
      <c r="K100" s="315"/>
      <c r="L100" s="316"/>
      <c r="M100" s="316"/>
      <c r="N100" s="316"/>
      <c r="O100" s="317">
        <f t="shared" si="152"/>
        <v>5800000</v>
      </c>
      <c r="P100" s="317">
        <f t="shared" si="153"/>
        <v>46400000</v>
      </c>
      <c r="Q100" s="318">
        <v>0</v>
      </c>
      <c r="R100" s="319">
        <v>0</v>
      </c>
      <c r="S100" s="317">
        <f t="shared" si="154"/>
        <v>5800000</v>
      </c>
      <c r="T100" s="317">
        <f t="shared" si="155"/>
        <v>46400000</v>
      </c>
      <c r="U100" s="319">
        <v>0</v>
      </c>
      <c r="V100" s="320" t="s">
        <v>276</v>
      </c>
      <c r="W100" s="320"/>
      <c r="X100" s="321"/>
    </row>
    <row r="101" spans="1:26" ht="18" x14ac:dyDescent="0.25">
      <c r="A101" s="303"/>
      <c r="B101" s="304"/>
      <c r="C101" s="305"/>
      <c r="D101" s="305"/>
      <c r="E101" s="306"/>
      <c r="F101" s="306"/>
      <c r="G101" s="307"/>
      <c r="H101" s="307"/>
      <c r="I101" s="308"/>
      <c r="J101" s="308"/>
      <c r="K101" s="308"/>
      <c r="L101" s="308"/>
      <c r="M101" s="308"/>
      <c r="N101" s="308"/>
      <c r="O101" s="309"/>
      <c r="P101" s="309"/>
      <c r="Q101" s="309"/>
      <c r="R101" s="310"/>
      <c r="S101" s="309"/>
      <c r="T101" s="309"/>
      <c r="U101" s="310"/>
      <c r="V101" s="272"/>
      <c r="W101" s="272"/>
      <c r="X101" s="272"/>
      <c r="Y101" s="53"/>
      <c r="Z101" s="53"/>
    </row>
    <row r="102" spans="1:26" ht="33.6" customHeight="1" x14ac:dyDescent="0.25">
      <c r="A102" s="505" t="s">
        <v>192</v>
      </c>
      <c r="B102" s="556" t="s">
        <v>193</v>
      </c>
      <c r="C102" s="557"/>
      <c r="D102" s="557"/>
      <c r="E102" s="557"/>
      <c r="F102" s="557"/>
      <c r="G102" s="557"/>
      <c r="H102" s="557"/>
      <c r="I102" s="192" t="s">
        <v>283</v>
      </c>
      <c r="J102" s="156"/>
      <c r="K102" s="157"/>
      <c r="L102" s="157"/>
      <c r="M102" s="157"/>
      <c r="N102" s="157"/>
      <c r="O102" s="157"/>
      <c r="P102" s="157"/>
      <c r="Q102" s="157"/>
      <c r="R102" s="157"/>
      <c r="S102" s="157"/>
      <c r="T102" s="157"/>
      <c r="U102" s="157"/>
      <c r="V102" s="158"/>
      <c r="W102" s="159"/>
      <c r="X102" s="159"/>
    </row>
    <row r="103" spans="1:26" ht="75.75" x14ac:dyDescent="0.25">
      <c r="A103" s="506"/>
      <c r="B103" s="161">
        <v>1</v>
      </c>
      <c r="C103" s="162" t="s">
        <v>194</v>
      </c>
      <c r="D103" s="163" t="s">
        <v>362</v>
      </c>
      <c r="E103" s="164">
        <v>1</v>
      </c>
      <c r="F103" s="164" t="s">
        <v>245</v>
      </c>
      <c r="G103" s="165"/>
      <c r="H103" s="165"/>
      <c r="I103" s="168">
        <v>10000000</v>
      </c>
      <c r="J103" s="169"/>
      <c r="K103" s="170"/>
      <c r="L103" s="171"/>
      <c r="M103" s="171"/>
      <c r="N103" s="171"/>
      <c r="O103" s="226">
        <f>+(ROUND(AVERAGE(I103),0))</f>
        <v>10000000</v>
      </c>
      <c r="P103" s="226">
        <f>+O103*E103</f>
        <v>10000000</v>
      </c>
      <c r="Q103" s="227">
        <v>0</v>
      </c>
      <c r="R103" s="228">
        <v>0</v>
      </c>
      <c r="S103" s="226">
        <f>+(ROUND(MEDIAN(I103),0))</f>
        <v>10000000</v>
      </c>
      <c r="T103" s="229">
        <f>S103*E103</f>
        <v>10000000</v>
      </c>
      <c r="U103" s="228">
        <v>0</v>
      </c>
      <c r="V103" s="172" t="s">
        <v>254</v>
      </c>
      <c r="W103" s="173"/>
      <c r="X103" s="173"/>
    </row>
    <row r="104" spans="1:26" ht="25.5" x14ac:dyDescent="0.25">
      <c r="A104" s="506"/>
      <c r="B104" s="558" t="s">
        <v>195</v>
      </c>
      <c r="C104" s="559"/>
      <c r="D104" s="559"/>
      <c r="E104" s="559"/>
      <c r="F104" s="559"/>
      <c r="G104" s="559"/>
      <c r="H104" s="559"/>
      <c r="I104" s="192" t="s">
        <v>283</v>
      </c>
      <c r="J104" s="156"/>
      <c r="K104" s="157"/>
      <c r="L104" s="157"/>
      <c r="M104" s="157"/>
      <c r="N104" s="157"/>
      <c r="O104" s="157"/>
      <c r="P104" s="157"/>
      <c r="Q104" s="157"/>
      <c r="R104" s="157"/>
      <c r="S104" s="157"/>
      <c r="T104" s="157"/>
      <c r="U104" s="157"/>
      <c r="V104" s="166"/>
      <c r="W104" s="159"/>
      <c r="X104" s="167"/>
    </row>
    <row r="105" spans="1:26" ht="75" x14ac:dyDescent="0.25">
      <c r="A105" s="506"/>
      <c r="B105" s="161">
        <v>1</v>
      </c>
      <c r="C105" s="162" t="s">
        <v>194</v>
      </c>
      <c r="D105" s="163" t="s">
        <v>196</v>
      </c>
      <c r="E105" s="164">
        <v>1</v>
      </c>
      <c r="F105" s="164" t="s">
        <v>245</v>
      </c>
      <c r="G105" s="165"/>
      <c r="H105" s="165"/>
      <c r="I105" s="168">
        <v>24000000</v>
      </c>
      <c r="J105" s="169"/>
      <c r="K105" s="170"/>
      <c r="L105" s="171"/>
      <c r="M105" s="171"/>
      <c r="N105" s="171"/>
      <c r="O105" s="226">
        <f>+(ROUND(AVERAGE(I105),0))</f>
        <v>24000000</v>
      </c>
      <c r="P105" s="226">
        <f>+O105*E105</f>
        <v>24000000</v>
      </c>
      <c r="Q105" s="227">
        <v>0</v>
      </c>
      <c r="R105" s="228">
        <v>0</v>
      </c>
      <c r="S105" s="226">
        <f>+(ROUND(MEDIAN(I105),0))</f>
        <v>24000000</v>
      </c>
      <c r="T105" s="229">
        <f>S105*E105</f>
        <v>24000000</v>
      </c>
      <c r="U105" s="228">
        <v>0</v>
      </c>
      <c r="V105" s="172" t="s">
        <v>254</v>
      </c>
      <c r="W105" s="173"/>
      <c r="X105" s="173"/>
    </row>
    <row r="106" spans="1:26" ht="15.75" x14ac:dyDescent="0.25">
      <c r="A106" s="506"/>
      <c r="B106" s="566" t="s">
        <v>197</v>
      </c>
      <c r="C106" s="567"/>
      <c r="D106" s="567"/>
      <c r="E106" s="567"/>
      <c r="F106" s="567"/>
      <c r="G106" s="567"/>
      <c r="H106" s="567"/>
      <c r="I106" s="184"/>
      <c r="J106" s="184"/>
      <c r="K106" s="185"/>
      <c r="L106" s="185"/>
      <c r="M106" s="185"/>
      <c r="N106" s="185"/>
      <c r="O106" s="185"/>
      <c r="P106" s="185"/>
      <c r="Q106" s="185"/>
      <c r="R106" s="185"/>
      <c r="S106" s="185"/>
      <c r="T106" s="185"/>
      <c r="U106" s="185"/>
      <c r="V106" s="183"/>
      <c r="W106" s="186"/>
      <c r="X106" s="187"/>
    </row>
    <row r="107" spans="1:26" ht="15.75" x14ac:dyDescent="0.25">
      <c r="A107" s="506"/>
      <c r="B107" s="562" t="s">
        <v>198</v>
      </c>
      <c r="C107" s="563"/>
      <c r="D107" s="563"/>
      <c r="E107" s="563"/>
      <c r="F107" s="563"/>
      <c r="G107" s="563"/>
      <c r="H107" s="563"/>
      <c r="I107" s="156"/>
      <c r="J107" s="156"/>
      <c r="K107" s="157"/>
      <c r="L107" s="157"/>
      <c r="M107" s="157"/>
      <c r="N107" s="157"/>
      <c r="O107" s="157"/>
      <c r="P107" s="157"/>
      <c r="Q107" s="157"/>
      <c r="R107" s="157"/>
      <c r="S107" s="157"/>
      <c r="T107" s="157"/>
      <c r="U107" s="157"/>
      <c r="V107" s="191"/>
      <c r="W107" s="159"/>
      <c r="X107" s="167"/>
    </row>
    <row r="108" spans="1:26" ht="45.75" x14ac:dyDescent="0.25">
      <c r="A108" s="506"/>
      <c r="B108" s="160">
        <v>1</v>
      </c>
      <c r="C108" s="188" t="s">
        <v>199</v>
      </c>
      <c r="D108" s="188" t="s">
        <v>200</v>
      </c>
      <c r="E108" s="189">
        <v>4</v>
      </c>
      <c r="F108" s="190" t="s">
        <v>201</v>
      </c>
      <c r="G108" s="155"/>
      <c r="H108" s="155"/>
      <c r="I108" s="174">
        <f>+(709900*100)/119</f>
        <v>596554.62184873945</v>
      </c>
      <c r="J108" s="175">
        <f>+I108*E108</f>
        <v>2386218.4873949578</v>
      </c>
      <c r="K108" s="176">
        <f>+(702100*100)/119</f>
        <v>590000</v>
      </c>
      <c r="L108" s="177">
        <f>+K108</f>
        <v>590000</v>
      </c>
      <c r="M108" s="177">
        <f>+(702100*100)/119</f>
        <v>590000</v>
      </c>
      <c r="N108" s="177">
        <f>+M108</f>
        <v>590000</v>
      </c>
      <c r="O108" s="206">
        <f t="shared" ref="O108" si="156">+AVERAGE(I108,K108,M108)</f>
        <v>592184.87394957978</v>
      </c>
      <c r="P108" s="206">
        <f t="shared" ref="P108" si="157">+O108*E108</f>
        <v>2368739.4957983191</v>
      </c>
      <c r="Q108" s="206">
        <f t="shared" ref="Q108" si="158">+_xlfn.STDEV.P(I108,K108,M108)</f>
        <v>3089.8783715714471</v>
      </c>
      <c r="R108" s="207">
        <f t="shared" ref="R108" si="159">+Q108/O108</f>
        <v>5.217759702242121E-3</v>
      </c>
      <c r="S108" s="206">
        <f t="shared" ref="S108" si="160">+MEDIAN(I108,K108,M108)</f>
        <v>590000</v>
      </c>
      <c r="T108" s="206">
        <f t="shared" ref="T108" si="161">+S108*E108</f>
        <v>2360000</v>
      </c>
      <c r="U108" s="207">
        <f t="shared" ref="U108" si="162">+Q108/S108</f>
        <v>5.2370819857143168E-3</v>
      </c>
      <c r="V108" s="234" t="s">
        <v>255</v>
      </c>
      <c r="W108" s="238" t="s">
        <v>69</v>
      </c>
      <c r="X108" s="238" t="s">
        <v>61</v>
      </c>
    </row>
    <row r="109" spans="1:26" ht="30.75" x14ac:dyDescent="0.25">
      <c r="A109" s="506"/>
      <c r="B109" s="51">
        <v>2</v>
      </c>
      <c r="C109" s="47" t="s">
        <v>202</v>
      </c>
      <c r="D109" s="47" t="s">
        <v>203</v>
      </c>
      <c r="E109" s="189">
        <v>4</v>
      </c>
      <c r="F109" s="49" t="s">
        <v>201</v>
      </c>
      <c r="G109" s="45"/>
      <c r="H109" s="45"/>
      <c r="I109" s="208">
        <f>+(338000*100)/119</f>
        <v>284033.61344537814</v>
      </c>
      <c r="J109" s="175">
        <f>+I109*E109</f>
        <v>1136134.4537815126</v>
      </c>
      <c r="K109" s="209">
        <f>+(339150*100)/119</f>
        <v>285000</v>
      </c>
      <c r="L109" s="210">
        <f>+K109*E109</f>
        <v>1140000</v>
      </c>
      <c r="M109" s="210">
        <f>+(339150*100)/119</f>
        <v>285000</v>
      </c>
      <c r="N109" s="210">
        <f>+M109*E109</f>
        <v>1140000</v>
      </c>
      <c r="O109" s="206">
        <f t="shared" ref="O109:O117" si="163">+AVERAGE(I109,K109,M109)</f>
        <v>284677.87114845938</v>
      </c>
      <c r="P109" s="206">
        <f t="shared" ref="P109:P117" si="164">+O109*E109</f>
        <v>1138711.4845938375</v>
      </c>
      <c r="Q109" s="206">
        <f t="shared" ref="Q109:Q117" si="165">+_xlfn.STDEV.P(I109,K109,M109)</f>
        <v>455.55899068041344</v>
      </c>
      <c r="R109" s="207">
        <f t="shared" ref="R109:R117" si="166">+Q109/O109</f>
        <v>1.6002613369370028E-3</v>
      </c>
      <c r="S109" s="206">
        <f t="shared" ref="S109:S117" si="167">+MEDIAN(I109,K109,M109)</f>
        <v>285000</v>
      </c>
      <c r="T109" s="206">
        <f t="shared" ref="T109:T117" si="168">+S109*E109</f>
        <v>1140000</v>
      </c>
      <c r="U109" s="207">
        <f t="shared" ref="U109:U117" si="169">+Q109/S109</f>
        <v>1.5984525988786437E-3</v>
      </c>
      <c r="V109" s="235" t="s">
        <v>256</v>
      </c>
      <c r="W109" s="238" t="s">
        <v>69</v>
      </c>
      <c r="X109" s="238" t="s">
        <v>61</v>
      </c>
    </row>
    <row r="110" spans="1:26" ht="30.75" x14ac:dyDescent="0.25">
      <c r="A110" s="506"/>
      <c r="B110" s="51">
        <v>3</v>
      </c>
      <c r="C110" s="47" t="s">
        <v>204</v>
      </c>
      <c r="D110" s="47" t="s">
        <v>205</v>
      </c>
      <c r="E110" s="48">
        <v>1</v>
      </c>
      <c r="F110" s="49" t="s">
        <v>206</v>
      </c>
      <c r="G110" s="45"/>
      <c r="H110" s="45"/>
      <c r="I110" s="208">
        <f>+(60000*100)/119</f>
        <v>50420.168067226892</v>
      </c>
      <c r="J110" s="212">
        <f>+I110</f>
        <v>50420.168067226892</v>
      </c>
      <c r="K110" s="209">
        <f>+(71400*100)/119</f>
        <v>60000</v>
      </c>
      <c r="L110" s="210">
        <f>+K110</f>
        <v>60000</v>
      </c>
      <c r="M110" s="210">
        <f>+(71400*100)/119</f>
        <v>60000</v>
      </c>
      <c r="N110" s="210">
        <f>+M110</f>
        <v>60000</v>
      </c>
      <c r="O110" s="206">
        <f t="shared" si="163"/>
        <v>56806.722689075628</v>
      </c>
      <c r="P110" s="206">
        <f>+O110*1</f>
        <v>56806.722689075628</v>
      </c>
      <c r="Q110" s="206">
        <f t="shared" si="165"/>
        <v>4515.9760815275295</v>
      </c>
      <c r="R110" s="207">
        <f t="shared" si="166"/>
        <v>7.9497212086061544E-2</v>
      </c>
      <c r="S110" s="206">
        <f t="shared" si="167"/>
        <v>60000</v>
      </c>
      <c r="T110" s="206">
        <f>+S110*1</f>
        <v>60000</v>
      </c>
      <c r="U110" s="207">
        <f t="shared" si="169"/>
        <v>7.5266268025458827E-2</v>
      </c>
      <c r="V110" s="235" t="s">
        <v>257</v>
      </c>
      <c r="W110" s="238" t="s">
        <v>69</v>
      </c>
      <c r="X110" s="238" t="s">
        <v>61</v>
      </c>
    </row>
    <row r="111" spans="1:26" ht="30.75" x14ac:dyDescent="0.25">
      <c r="A111" s="506"/>
      <c r="B111" s="51">
        <v>4</v>
      </c>
      <c r="C111" s="47" t="s">
        <v>207</v>
      </c>
      <c r="D111" s="47" t="s">
        <v>208</v>
      </c>
      <c r="E111" s="48" t="s">
        <v>363</v>
      </c>
      <c r="F111" s="49" t="s">
        <v>206</v>
      </c>
      <c r="G111" s="45"/>
      <c r="H111" s="45"/>
      <c r="I111" s="208">
        <f>+(190000*100)/119</f>
        <v>159663.8655462185</v>
      </c>
      <c r="J111" s="212">
        <f t="shared" ref="J111:J112" si="170">+I111</f>
        <v>159663.8655462185</v>
      </c>
      <c r="K111" s="209">
        <f>+(142800*100)/119</f>
        <v>120000</v>
      </c>
      <c r="L111" s="210">
        <f t="shared" ref="L111:L112" si="171">+K111</f>
        <v>120000</v>
      </c>
      <c r="M111" s="210">
        <f>+(142800*100)/119</f>
        <v>120000</v>
      </c>
      <c r="N111" s="210">
        <f t="shared" ref="N111:N112" si="172">+M111</f>
        <v>120000</v>
      </c>
      <c r="O111" s="206">
        <f t="shared" si="163"/>
        <v>133221.28851540617</v>
      </c>
      <c r="P111" s="206">
        <f t="shared" ref="P111:P112" si="173">+O111*1</f>
        <v>133221.28851540617</v>
      </c>
      <c r="Q111" s="206">
        <f t="shared" si="165"/>
        <v>18697.72553053503</v>
      </c>
      <c r="R111" s="207">
        <f t="shared" si="166"/>
        <v>0.14035088339783444</v>
      </c>
      <c r="S111" s="206">
        <f t="shared" si="167"/>
        <v>120000</v>
      </c>
      <c r="T111" s="206">
        <f t="shared" ref="T111:T112" si="174">+S111*1</f>
        <v>120000</v>
      </c>
      <c r="U111" s="207">
        <f t="shared" si="169"/>
        <v>0.15581437942112525</v>
      </c>
      <c r="V111" s="235" t="s">
        <v>258</v>
      </c>
      <c r="W111" s="238" t="s">
        <v>69</v>
      </c>
      <c r="X111" s="238" t="s">
        <v>61</v>
      </c>
    </row>
    <row r="112" spans="1:26" ht="30.75" x14ac:dyDescent="0.25">
      <c r="A112" s="506"/>
      <c r="B112" s="51">
        <v>5</v>
      </c>
      <c r="C112" s="47" t="s">
        <v>209</v>
      </c>
      <c r="D112" s="47" t="s">
        <v>210</v>
      </c>
      <c r="E112" s="48" t="s">
        <v>363</v>
      </c>
      <c r="F112" s="49" t="s">
        <v>206</v>
      </c>
      <c r="G112" s="45"/>
      <c r="H112" s="45"/>
      <c r="I112" s="208">
        <f>+(190000*100)/119</f>
        <v>159663.8655462185</v>
      </c>
      <c r="J112" s="212">
        <f t="shared" si="170"/>
        <v>159663.8655462185</v>
      </c>
      <c r="K112" s="209">
        <f>+(148750*100)/119</f>
        <v>125000</v>
      </c>
      <c r="L112" s="210">
        <f t="shared" si="171"/>
        <v>125000</v>
      </c>
      <c r="M112" s="210">
        <f>+(148750*100)/119</f>
        <v>125000</v>
      </c>
      <c r="N112" s="210">
        <f t="shared" si="172"/>
        <v>125000</v>
      </c>
      <c r="O112" s="206">
        <f t="shared" si="163"/>
        <v>136554.62184873948</v>
      </c>
      <c r="P112" s="206">
        <f t="shared" si="173"/>
        <v>136554.62184873948</v>
      </c>
      <c r="Q112" s="206">
        <f t="shared" si="165"/>
        <v>16340.702926579845</v>
      </c>
      <c r="R112" s="207">
        <f t="shared" si="166"/>
        <v>0.11966422450849241</v>
      </c>
      <c r="S112" s="206">
        <f t="shared" si="167"/>
        <v>125000</v>
      </c>
      <c r="T112" s="206">
        <f t="shared" si="174"/>
        <v>125000</v>
      </c>
      <c r="U112" s="207">
        <f t="shared" si="169"/>
        <v>0.13072562341263877</v>
      </c>
      <c r="V112" s="235" t="s">
        <v>258</v>
      </c>
      <c r="W112" s="238" t="s">
        <v>69</v>
      </c>
      <c r="X112" s="238" t="s">
        <v>61</v>
      </c>
    </row>
    <row r="113" spans="1:26" ht="30.75" x14ac:dyDescent="0.25">
      <c r="A113" s="506"/>
      <c r="B113" s="51">
        <v>6</v>
      </c>
      <c r="C113" s="47" t="s">
        <v>211</v>
      </c>
      <c r="D113" s="47" t="s">
        <v>212</v>
      </c>
      <c r="E113" s="48">
        <v>60</v>
      </c>
      <c r="F113" s="49" t="s">
        <v>213</v>
      </c>
      <c r="G113" s="45"/>
      <c r="H113" s="45"/>
      <c r="I113" s="208">
        <f>+(105042/6)</f>
        <v>17507</v>
      </c>
      <c r="J113" s="212">
        <f>+I113*E113</f>
        <v>1050420</v>
      </c>
      <c r="K113" s="209">
        <f>+(26775*100)/119</f>
        <v>22500</v>
      </c>
      <c r="L113" s="210">
        <f t="shared" ref="L113:L117" si="175">+K113*E113</f>
        <v>1350000</v>
      </c>
      <c r="M113" s="210">
        <f>+(26775*100)/119</f>
        <v>22500</v>
      </c>
      <c r="N113" s="210">
        <f t="shared" ref="N113:N117" si="176">+M113*E113</f>
        <v>1350000</v>
      </c>
      <c r="O113" s="206">
        <f t="shared" si="163"/>
        <v>20835.666666666668</v>
      </c>
      <c r="P113" s="206">
        <f t="shared" si="164"/>
        <v>1250140</v>
      </c>
      <c r="Q113" s="206">
        <f t="shared" si="165"/>
        <v>2353.7227723096212</v>
      </c>
      <c r="R113" s="207">
        <f t="shared" si="166"/>
        <v>0.11296604087428389</v>
      </c>
      <c r="S113" s="206">
        <f t="shared" si="167"/>
        <v>22500</v>
      </c>
      <c r="T113" s="206">
        <f t="shared" si="168"/>
        <v>1350000</v>
      </c>
      <c r="U113" s="207">
        <f t="shared" si="169"/>
        <v>0.10460990099153872</v>
      </c>
      <c r="V113" s="235" t="s">
        <v>259</v>
      </c>
      <c r="W113" s="238" t="s">
        <v>69</v>
      </c>
      <c r="X113" s="238" t="s">
        <v>61</v>
      </c>
    </row>
    <row r="114" spans="1:26" ht="30.75" x14ac:dyDescent="0.25">
      <c r="A114" s="506"/>
      <c r="B114" s="51">
        <v>7</v>
      </c>
      <c r="C114" s="47" t="s">
        <v>214</v>
      </c>
      <c r="D114" s="47" t="s">
        <v>215</v>
      </c>
      <c r="E114" s="48">
        <v>4</v>
      </c>
      <c r="F114" s="49" t="s">
        <v>216</v>
      </c>
      <c r="G114" s="45"/>
      <c r="H114" s="45"/>
      <c r="I114" s="208">
        <f>+(8500*100)/119</f>
        <v>7142.8571428571431</v>
      </c>
      <c r="J114" s="212">
        <f t="shared" ref="J114:J117" si="177">+I114*E114</f>
        <v>28571.428571428572</v>
      </c>
      <c r="K114" s="209">
        <f>+(41650*100)/119</f>
        <v>35000</v>
      </c>
      <c r="L114" s="210">
        <f t="shared" si="175"/>
        <v>140000</v>
      </c>
      <c r="M114" s="210">
        <f>+(41650*100)/119</f>
        <v>35000</v>
      </c>
      <c r="N114" s="210">
        <f t="shared" si="176"/>
        <v>140000</v>
      </c>
      <c r="O114" s="206">
        <f t="shared" si="163"/>
        <v>25714.285714285714</v>
      </c>
      <c r="P114" s="206">
        <f t="shared" si="164"/>
        <v>102857.14285714286</v>
      </c>
      <c r="Q114" s="206">
        <f t="shared" si="165"/>
        <v>13131.983079178739</v>
      </c>
      <c r="R114" s="207">
        <f t="shared" si="166"/>
        <v>0.51068823085695092</v>
      </c>
      <c r="S114" s="206">
        <f t="shared" si="167"/>
        <v>35000</v>
      </c>
      <c r="T114" s="206">
        <f t="shared" si="168"/>
        <v>140000</v>
      </c>
      <c r="U114" s="207">
        <f t="shared" si="169"/>
        <v>0.37519951654796396</v>
      </c>
      <c r="V114" s="236" t="s">
        <v>260</v>
      </c>
      <c r="W114" s="238" t="s">
        <v>69</v>
      </c>
      <c r="X114" s="238" t="s">
        <v>61</v>
      </c>
    </row>
    <row r="115" spans="1:26" ht="30" x14ac:dyDescent="0.25">
      <c r="A115" s="506"/>
      <c r="B115" s="51">
        <v>8</v>
      </c>
      <c r="C115" s="47" t="s">
        <v>217</v>
      </c>
      <c r="D115" s="50" t="s">
        <v>218</v>
      </c>
      <c r="E115" s="48">
        <v>4</v>
      </c>
      <c r="F115" s="49" t="s">
        <v>201</v>
      </c>
      <c r="G115" s="45"/>
      <c r="H115" s="45"/>
      <c r="I115" s="208">
        <f>+(16700*100)/119</f>
        <v>14033.613445378151</v>
      </c>
      <c r="J115" s="212">
        <f t="shared" si="177"/>
        <v>56134.453781512602</v>
      </c>
      <c r="K115" s="209">
        <f>+(53550*100)/119</f>
        <v>45000</v>
      </c>
      <c r="L115" s="210">
        <f t="shared" si="175"/>
        <v>180000</v>
      </c>
      <c r="M115" s="210">
        <f>+(53550*100)/119</f>
        <v>45000</v>
      </c>
      <c r="N115" s="210">
        <f t="shared" si="176"/>
        <v>180000</v>
      </c>
      <c r="O115" s="206">
        <f t="shared" si="163"/>
        <v>34677.87114845938</v>
      </c>
      <c r="P115" s="206">
        <f t="shared" si="164"/>
        <v>138711.48459383752</v>
      </c>
      <c r="Q115" s="206">
        <f t="shared" si="165"/>
        <v>14597.694614411368</v>
      </c>
      <c r="R115" s="207">
        <f t="shared" si="166"/>
        <v>0.42095129057712916</v>
      </c>
      <c r="S115" s="206">
        <f t="shared" si="167"/>
        <v>45000</v>
      </c>
      <c r="T115" s="206">
        <f t="shared" si="168"/>
        <v>180000</v>
      </c>
      <c r="U115" s="207">
        <f t="shared" si="169"/>
        <v>0.32439321365358598</v>
      </c>
      <c r="V115" s="235" t="s">
        <v>261</v>
      </c>
      <c r="W115" s="238" t="s">
        <v>69</v>
      </c>
      <c r="X115" s="238" t="s">
        <v>61</v>
      </c>
    </row>
    <row r="116" spans="1:26" ht="30" x14ac:dyDescent="0.25">
      <c r="A116" s="506"/>
      <c r="B116" s="51">
        <v>9</v>
      </c>
      <c r="C116" s="47" t="s">
        <v>219</v>
      </c>
      <c r="D116" s="47" t="s">
        <v>220</v>
      </c>
      <c r="E116" s="48">
        <v>4</v>
      </c>
      <c r="F116" s="49" t="s">
        <v>221</v>
      </c>
      <c r="G116" s="45"/>
      <c r="H116" s="45"/>
      <c r="I116" s="208">
        <f>+(81900*100)/119</f>
        <v>68823.529411764699</v>
      </c>
      <c r="J116" s="212">
        <f t="shared" si="177"/>
        <v>275294.1176470588</v>
      </c>
      <c r="K116" s="209">
        <f>+(54740*100)/119</f>
        <v>46000</v>
      </c>
      <c r="L116" s="210">
        <f t="shared" si="175"/>
        <v>184000</v>
      </c>
      <c r="M116" s="210">
        <f>+(54740*100)/119</f>
        <v>46000</v>
      </c>
      <c r="N116" s="210">
        <f t="shared" si="176"/>
        <v>184000</v>
      </c>
      <c r="O116" s="206">
        <f t="shared" si="163"/>
        <v>53607.843137254902</v>
      </c>
      <c r="P116" s="206">
        <f t="shared" si="164"/>
        <v>214431.37254901961</v>
      </c>
      <c r="Q116" s="206">
        <f t="shared" si="165"/>
        <v>10759.114945112939</v>
      </c>
      <c r="R116" s="207">
        <f t="shared" si="166"/>
        <v>0.20070038851527428</v>
      </c>
      <c r="S116" s="206">
        <f t="shared" si="167"/>
        <v>46000</v>
      </c>
      <c r="T116" s="206">
        <f t="shared" si="168"/>
        <v>184000</v>
      </c>
      <c r="U116" s="207">
        <f t="shared" si="169"/>
        <v>0.2338938031546291</v>
      </c>
      <c r="V116" s="235" t="s">
        <v>48</v>
      </c>
      <c r="W116" s="238" t="s">
        <v>69</v>
      </c>
      <c r="X116" s="238" t="s">
        <v>61</v>
      </c>
    </row>
    <row r="117" spans="1:26" ht="30" x14ac:dyDescent="0.25">
      <c r="A117" s="506"/>
      <c r="B117" s="196">
        <v>10</v>
      </c>
      <c r="C117" s="197" t="s">
        <v>222</v>
      </c>
      <c r="D117" s="197" t="s">
        <v>223</v>
      </c>
      <c r="E117" s="198">
        <v>4</v>
      </c>
      <c r="F117" s="199" t="s">
        <v>224</v>
      </c>
      <c r="G117" s="200"/>
      <c r="H117" s="200"/>
      <c r="I117" s="213">
        <f>+(12900*100)/119</f>
        <v>10840.336134453781</v>
      </c>
      <c r="J117" s="214">
        <f t="shared" si="177"/>
        <v>43361.344537815123</v>
      </c>
      <c r="K117" s="215">
        <f>+(29274*100)/119</f>
        <v>24600</v>
      </c>
      <c r="L117" s="216">
        <f t="shared" si="175"/>
        <v>98400</v>
      </c>
      <c r="M117" s="216">
        <f>+(29274*100)/119</f>
        <v>24600</v>
      </c>
      <c r="N117" s="216">
        <f t="shared" si="176"/>
        <v>98400</v>
      </c>
      <c r="O117" s="206">
        <f t="shared" si="163"/>
        <v>20013.44537815126</v>
      </c>
      <c r="P117" s="206">
        <f t="shared" si="164"/>
        <v>80053.781512605041</v>
      </c>
      <c r="Q117" s="206">
        <f t="shared" si="165"/>
        <v>6486.3677507834873</v>
      </c>
      <c r="R117" s="207">
        <f t="shared" si="166"/>
        <v>0.32410050484684033</v>
      </c>
      <c r="S117" s="206">
        <f t="shared" si="167"/>
        <v>24600</v>
      </c>
      <c r="T117" s="206">
        <f t="shared" si="168"/>
        <v>98400</v>
      </c>
      <c r="U117" s="207">
        <f t="shared" si="169"/>
        <v>0.2636734858042068</v>
      </c>
      <c r="V117" s="237" t="s">
        <v>48</v>
      </c>
      <c r="W117" s="238" t="s">
        <v>69</v>
      </c>
      <c r="X117" s="238" t="s">
        <v>61</v>
      </c>
    </row>
    <row r="118" spans="1:26" ht="15.75" x14ac:dyDescent="0.25">
      <c r="A118" s="506"/>
      <c r="B118" s="568" t="s">
        <v>225</v>
      </c>
      <c r="C118" s="569"/>
      <c r="D118" s="569"/>
      <c r="E118" s="569"/>
      <c r="F118" s="569"/>
      <c r="G118" s="203"/>
      <c r="H118" s="203"/>
      <c r="I118" s="156"/>
      <c r="J118" s="156"/>
      <c r="K118" s="157"/>
      <c r="L118" s="157"/>
      <c r="M118" s="157"/>
      <c r="N118" s="157"/>
      <c r="O118" s="157"/>
      <c r="P118" s="157"/>
      <c r="Q118" s="157"/>
      <c r="R118" s="157"/>
      <c r="S118" s="157"/>
      <c r="T118" s="157"/>
      <c r="U118" s="157"/>
      <c r="V118" s="201"/>
      <c r="W118" s="159"/>
      <c r="X118" s="167"/>
    </row>
    <row r="119" spans="1:26" ht="30.75" x14ac:dyDescent="0.25">
      <c r="A119" s="506"/>
      <c r="B119" s="443">
        <v>11</v>
      </c>
      <c r="C119" s="444" t="s">
        <v>226</v>
      </c>
      <c r="D119" s="444" t="s">
        <v>227</v>
      </c>
      <c r="E119" s="445">
        <v>300</v>
      </c>
      <c r="F119" s="446" t="s">
        <v>245</v>
      </c>
      <c r="G119" s="447"/>
      <c r="H119" s="447"/>
      <c r="I119" s="448">
        <v>5996</v>
      </c>
      <c r="J119" s="449">
        <f>+I119*E119</f>
        <v>1798800</v>
      </c>
      <c r="K119" s="450">
        <f>+(22015*100)/119</f>
        <v>18500</v>
      </c>
      <c r="L119" s="451">
        <f>+K119*E119</f>
        <v>5550000</v>
      </c>
      <c r="M119" s="451">
        <f>+(22015*100)/119</f>
        <v>18500</v>
      </c>
      <c r="N119" s="451">
        <f>+M119*E119</f>
        <v>5550000</v>
      </c>
      <c r="O119" s="452">
        <f t="shared" ref="O119:O122" si="178">+AVERAGE(I119,K119,M119)</f>
        <v>14332</v>
      </c>
      <c r="P119" s="452">
        <f t="shared" ref="P119:P120" si="179">+O119*E119</f>
        <v>4299600</v>
      </c>
      <c r="Q119" s="452">
        <f t="shared" ref="Q119:Q122" si="180">+_xlfn.STDEV.P(I119,K119,M119)</f>
        <v>5894.4421279710605</v>
      </c>
      <c r="R119" s="453">
        <f t="shared" ref="R119:R122" si="181">+Q119/O119</f>
        <v>0.41127840691955486</v>
      </c>
      <c r="S119" s="452">
        <f t="shared" ref="S119:S122" si="182">+MEDIAN(I119,K119,M119)</f>
        <v>18500</v>
      </c>
      <c r="T119" s="452">
        <f t="shared" ref="T119:T121" si="183">+S119*E119</f>
        <v>5550000</v>
      </c>
      <c r="U119" s="453">
        <f t="shared" ref="U119:U122" si="184">+Q119/S119</f>
        <v>0.31861849340384113</v>
      </c>
      <c r="V119" s="454" t="s">
        <v>262</v>
      </c>
      <c r="W119" s="455" t="s">
        <v>69</v>
      </c>
      <c r="X119" s="455" t="s">
        <v>61</v>
      </c>
    </row>
    <row r="120" spans="1:26" ht="28.5" x14ac:dyDescent="0.25">
      <c r="A120" s="506"/>
      <c r="B120" s="51">
        <v>12</v>
      </c>
      <c r="C120" s="46" t="s">
        <v>228</v>
      </c>
      <c r="D120" s="46" t="s">
        <v>229</v>
      </c>
      <c r="E120" s="231">
        <v>300</v>
      </c>
      <c r="F120" s="230" t="s">
        <v>245</v>
      </c>
      <c r="G120" s="45"/>
      <c r="H120" s="45"/>
      <c r="I120" s="213">
        <f>+(4417*100)/119</f>
        <v>3711.7647058823532</v>
      </c>
      <c r="J120" s="212">
        <f>+I120*E120</f>
        <v>1113529.411764706</v>
      </c>
      <c r="K120" s="209">
        <f>+(26775*100)/119</f>
        <v>22500</v>
      </c>
      <c r="L120" s="210">
        <f>+K120*E120</f>
        <v>6750000</v>
      </c>
      <c r="M120" s="210">
        <f>+(26775*100)/119</f>
        <v>22500</v>
      </c>
      <c r="N120" s="210">
        <f>+M120*E120</f>
        <v>6750000</v>
      </c>
      <c r="O120" s="206">
        <f t="shared" si="178"/>
        <v>16237.254901960783</v>
      </c>
      <c r="P120" s="206">
        <f t="shared" si="179"/>
        <v>4871176.4705882352</v>
      </c>
      <c r="Q120" s="206">
        <f t="shared" si="180"/>
        <v>8856.8590553326812</v>
      </c>
      <c r="R120" s="207">
        <f t="shared" si="181"/>
        <v>0.54546529624678997</v>
      </c>
      <c r="S120" s="206">
        <f t="shared" si="182"/>
        <v>22500</v>
      </c>
      <c r="T120" s="206">
        <f t="shared" si="183"/>
        <v>6750000</v>
      </c>
      <c r="U120" s="207">
        <f t="shared" si="184"/>
        <v>0.39363818023700803</v>
      </c>
      <c r="V120" s="218" t="s">
        <v>285</v>
      </c>
      <c r="W120" s="211" t="s">
        <v>69</v>
      </c>
      <c r="X120" s="211" t="s">
        <v>61</v>
      </c>
    </row>
    <row r="121" spans="1:26" s="376" customFormat="1" ht="90" x14ac:dyDescent="0.25">
      <c r="A121" s="506"/>
      <c r="B121" s="160">
        <v>13</v>
      </c>
      <c r="C121" s="365" t="s">
        <v>168</v>
      </c>
      <c r="D121" s="365" t="s">
        <v>169</v>
      </c>
      <c r="E121" s="366">
        <v>300</v>
      </c>
      <c r="F121" s="367" t="s">
        <v>245</v>
      </c>
      <c r="G121" s="366"/>
      <c r="H121" s="368"/>
      <c r="I121" s="369">
        <v>10756</v>
      </c>
      <c r="J121" s="370">
        <f t="shared" ref="J121" si="185">+I121*E121</f>
        <v>3226800</v>
      </c>
      <c r="K121" s="371">
        <f>+(26775*100)/119</f>
        <v>22500</v>
      </c>
      <c r="L121" s="372">
        <f t="shared" ref="L121" si="186">+K121*E121</f>
        <v>6750000</v>
      </c>
      <c r="M121" s="372">
        <f>+(26775*100)/119</f>
        <v>22500</v>
      </c>
      <c r="N121" s="372">
        <f t="shared" ref="N121" si="187">+M121*E121</f>
        <v>6750000</v>
      </c>
      <c r="O121" s="372">
        <f t="shared" si="178"/>
        <v>18585.333333333332</v>
      </c>
      <c r="P121" s="372">
        <f>+O121*E121</f>
        <v>5575600</v>
      </c>
      <c r="Q121" s="372">
        <f t="shared" si="180"/>
        <v>5536.1746921698759</v>
      </c>
      <c r="R121" s="373">
        <f t="shared" si="181"/>
        <v>0.29787868707420956</v>
      </c>
      <c r="S121" s="372">
        <f t="shared" si="182"/>
        <v>22500</v>
      </c>
      <c r="T121" s="372">
        <f t="shared" si="183"/>
        <v>6750000</v>
      </c>
      <c r="U121" s="373">
        <f t="shared" si="184"/>
        <v>0.24605220854088339</v>
      </c>
      <c r="V121" s="374" t="s">
        <v>248</v>
      </c>
      <c r="W121" s="375" t="s">
        <v>69</v>
      </c>
      <c r="X121" s="375" t="s">
        <v>61</v>
      </c>
    </row>
    <row r="122" spans="1:26" ht="30.75" x14ac:dyDescent="0.25">
      <c r="A122" s="506"/>
      <c r="B122" s="51">
        <v>14</v>
      </c>
      <c r="C122" s="219" t="s">
        <v>230</v>
      </c>
      <c r="D122" s="219" t="s">
        <v>231</v>
      </c>
      <c r="E122" s="232">
        <v>150</v>
      </c>
      <c r="F122" s="233" t="s">
        <v>286</v>
      </c>
      <c r="G122" s="200"/>
      <c r="H122" s="200"/>
      <c r="I122" s="216">
        <f>+(16900*100)/119</f>
        <v>14201.680672268907</v>
      </c>
      <c r="J122" s="216">
        <f>+I122*E122</f>
        <v>2130252.1008403362</v>
      </c>
      <c r="K122" s="216">
        <f>+(41650*100)/119</f>
        <v>35000</v>
      </c>
      <c r="L122" s="216">
        <f>+K122*E122</f>
        <v>5250000</v>
      </c>
      <c r="M122" s="216">
        <f>+(41650*100)/119</f>
        <v>35000</v>
      </c>
      <c r="N122" s="216">
        <f>+M122*E122</f>
        <v>5250000</v>
      </c>
      <c r="O122" s="206">
        <f t="shared" si="178"/>
        <v>28067.226890756301</v>
      </c>
      <c r="P122" s="206">
        <f>+O122*E122</f>
        <v>4210084.0336134452</v>
      </c>
      <c r="Q122" s="206">
        <f t="shared" si="180"/>
        <v>9804.4217559479257</v>
      </c>
      <c r="R122" s="207">
        <f t="shared" si="181"/>
        <v>0.34931921825083928</v>
      </c>
      <c r="S122" s="206">
        <f t="shared" si="182"/>
        <v>35000</v>
      </c>
      <c r="T122" s="206">
        <f>+S122*E122</f>
        <v>5250000</v>
      </c>
      <c r="U122" s="207">
        <f t="shared" si="184"/>
        <v>0.28012633588422647</v>
      </c>
      <c r="V122" s="218" t="s">
        <v>48</v>
      </c>
      <c r="W122" s="217" t="s">
        <v>69</v>
      </c>
      <c r="X122" s="217" t="s">
        <v>61</v>
      </c>
    </row>
    <row r="123" spans="1:26" ht="15.75" x14ac:dyDescent="0.25">
      <c r="A123" s="506"/>
      <c r="B123" s="564" t="s">
        <v>232</v>
      </c>
      <c r="C123" s="565"/>
      <c r="D123" s="565"/>
      <c r="E123" s="565"/>
      <c r="F123" s="565"/>
      <c r="G123" s="565"/>
      <c r="H123" s="565"/>
      <c r="I123" s="179"/>
      <c r="J123" s="179"/>
      <c r="K123" s="180"/>
      <c r="L123" s="180"/>
      <c r="M123" s="180"/>
      <c r="N123" s="180"/>
      <c r="O123" s="180"/>
      <c r="P123" s="206"/>
      <c r="Q123" s="180"/>
      <c r="R123" s="180"/>
      <c r="S123" s="180"/>
      <c r="T123" s="206">
        <f t="shared" ref="T123:T124" si="188">+S123*E123</f>
        <v>0</v>
      </c>
      <c r="U123" s="180"/>
      <c r="V123" s="178"/>
      <c r="W123" s="181"/>
      <c r="X123" s="182"/>
      <c r="Y123" s="273" t="s">
        <v>287</v>
      </c>
      <c r="Z123" s="274" t="s">
        <v>291</v>
      </c>
    </row>
    <row r="124" spans="1:26" ht="126" x14ac:dyDescent="0.25">
      <c r="A124" s="506"/>
      <c r="B124" s="164">
        <v>1</v>
      </c>
      <c r="C124" s="162" t="s">
        <v>194</v>
      </c>
      <c r="D124" s="255" t="s">
        <v>371</v>
      </c>
      <c r="E124" s="164">
        <v>10</v>
      </c>
      <c r="F124" s="256" t="s">
        <v>201</v>
      </c>
      <c r="G124" s="165"/>
      <c r="H124" s="165"/>
      <c r="I124" s="171">
        <v>10000001</v>
      </c>
      <c r="J124" s="171"/>
      <c r="K124" s="171"/>
      <c r="L124" s="171"/>
      <c r="M124" s="171"/>
      <c r="N124" s="171"/>
      <c r="O124" s="257">
        <f>+(ROUND(AVERAGE(I124),0))</f>
        <v>10000001</v>
      </c>
      <c r="P124" s="206">
        <f>+O124*E124</f>
        <v>100000010</v>
      </c>
      <c r="Q124" s="258">
        <v>0</v>
      </c>
      <c r="R124" s="259">
        <v>0</v>
      </c>
      <c r="S124" s="257">
        <f>+(ROUND(MEDIAN(I124),0))</f>
        <v>10000001</v>
      </c>
      <c r="T124" s="206">
        <f t="shared" si="188"/>
        <v>100000010</v>
      </c>
      <c r="U124" s="259">
        <v>0</v>
      </c>
      <c r="V124" s="260" t="s">
        <v>254</v>
      </c>
      <c r="W124" s="173"/>
      <c r="X124" s="173"/>
      <c r="Y124" s="268">
        <f>SUM(P103:P124,P126:P129)</f>
        <v>326126712.89915967</v>
      </c>
      <c r="Z124" s="268">
        <f>SUM(T103:T124)</f>
        <v>164057410</v>
      </c>
    </row>
    <row r="125" spans="1:26" ht="18" customHeight="1" x14ac:dyDescent="0.25">
      <c r="A125" s="292"/>
      <c r="B125" s="551" t="s">
        <v>352</v>
      </c>
      <c r="C125" s="551"/>
      <c r="D125" s="551"/>
      <c r="E125" s="551"/>
      <c r="F125" s="551"/>
      <c r="G125" s="551"/>
      <c r="H125" s="551"/>
      <c r="I125" s="551"/>
      <c r="J125" s="551"/>
      <c r="K125" s="551"/>
      <c r="L125" s="551"/>
      <c r="M125" s="551"/>
      <c r="N125" s="551"/>
      <c r="O125" s="551"/>
      <c r="P125" s="551"/>
      <c r="Q125" s="551"/>
      <c r="R125" s="551"/>
      <c r="S125" s="551"/>
      <c r="T125" s="551"/>
      <c r="U125" s="551"/>
      <c r="V125" s="551"/>
      <c r="W125" s="551"/>
      <c r="X125" s="551"/>
      <c r="Y125" s="268" t="s">
        <v>353</v>
      </c>
      <c r="Z125" s="268"/>
    </row>
    <row r="126" spans="1:26" ht="85.5" x14ac:dyDescent="0.25">
      <c r="A126" s="331"/>
      <c r="B126" s="345">
        <v>6</v>
      </c>
      <c r="C126" s="345" t="s">
        <v>72</v>
      </c>
      <c r="D126" s="345" t="s">
        <v>73</v>
      </c>
      <c r="E126" s="345">
        <v>1</v>
      </c>
      <c r="F126" s="345" t="s">
        <v>74</v>
      </c>
      <c r="G126" s="346">
        <v>5</v>
      </c>
      <c r="H126" s="345" t="s">
        <v>63</v>
      </c>
      <c r="I126" s="334">
        <v>5860001</v>
      </c>
      <c r="J126" s="347">
        <f t="shared" ref="J126:J129" si="189">+I126*G126</f>
        <v>29300005</v>
      </c>
      <c r="K126" s="348"/>
      <c r="L126" s="349"/>
      <c r="M126" s="349"/>
      <c r="N126" s="349"/>
      <c r="O126" s="350">
        <f t="shared" ref="O126:O129" si="190">+(ROUND(AVERAGE(I126),0))</f>
        <v>5860001</v>
      </c>
      <c r="P126" s="350">
        <f t="shared" ref="P126:P129" si="191">+O126*E126*G126</f>
        <v>29300005</v>
      </c>
      <c r="Q126" s="339">
        <v>0</v>
      </c>
      <c r="R126" s="351">
        <v>0</v>
      </c>
      <c r="S126" s="350">
        <f t="shared" ref="S126:S129" si="192">+(ROUND(MEDIAN(I126),0))</f>
        <v>5860001</v>
      </c>
      <c r="T126" s="350">
        <f t="shared" ref="T126:T129" si="193">S126*E126*G126</f>
        <v>29300005</v>
      </c>
      <c r="U126" s="351">
        <v>0</v>
      </c>
      <c r="V126" s="352" t="s">
        <v>276</v>
      </c>
      <c r="W126" s="352"/>
      <c r="X126" s="353"/>
      <c r="Y126" s="354" t="s">
        <v>355</v>
      </c>
      <c r="Z126" s="354" t="s">
        <v>354</v>
      </c>
    </row>
    <row r="127" spans="1:26" ht="85.5" x14ac:dyDescent="0.25">
      <c r="A127" s="331"/>
      <c r="B127" s="332">
        <v>7</v>
      </c>
      <c r="C127" s="332" t="s">
        <v>75</v>
      </c>
      <c r="D127" s="332" t="s">
        <v>76</v>
      </c>
      <c r="E127" s="332">
        <v>1</v>
      </c>
      <c r="F127" s="332" t="s">
        <v>74</v>
      </c>
      <c r="G127" s="333">
        <v>5</v>
      </c>
      <c r="H127" s="332" t="s">
        <v>63</v>
      </c>
      <c r="I127" s="334">
        <v>5860001</v>
      </c>
      <c r="J127" s="335">
        <f t="shared" si="189"/>
        <v>29300005</v>
      </c>
      <c r="K127" s="336"/>
      <c r="L127" s="337"/>
      <c r="M127" s="337"/>
      <c r="N127" s="337"/>
      <c r="O127" s="338">
        <f t="shared" si="190"/>
        <v>5860001</v>
      </c>
      <c r="P127" s="338">
        <f t="shared" si="191"/>
        <v>29300005</v>
      </c>
      <c r="Q127" s="339">
        <v>0</v>
      </c>
      <c r="R127" s="340">
        <v>0</v>
      </c>
      <c r="S127" s="338">
        <f t="shared" si="192"/>
        <v>5860001</v>
      </c>
      <c r="T127" s="338">
        <f t="shared" si="193"/>
        <v>29300005</v>
      </c>
      <c r="U127" s="340">
        <v>0</v>
      </c>
      <c r="V127" s="341" t="s">
        <v>276</v>
      </c>
      <c r="W127" s="341"/>
      <c r="X127" s="342"/>
      <c r="Y127" s="268">
        <f>388756208/1.19</f>
        <v>326685889.07563025</v>
      </c>
      <c r="Z127" s="268">
        <f>Y127-Y124</f>
        <v>559176.17647057772</v>
      </c>
    </row>
    <row r="128" spans="1:26" ht="85.5" x14ac:dyDescent="0.25">
      <c r="A128" s="331"/>
      <c r="B128" s="332">
        <v>8</v>
      </c>
      <c r="C128" s="332" t="s">
        <v>77</v>
      </c>
      <c r="D128" s="332" t="s">
        <v>78</v>
      </c>
      <c r="E128" s="332">
        <v>1</v>
      </c>
      <c r="F128" s="332" t="s">
        <v>74</v>
      </c>
      <c r="G128" s="333">
        <v>5</v>
      </c>
      <c r="H128" s="332" t="s">
        <v>63</v>
      </c>
      <c r="I128" s="334">
        <v>5860001</v>
      </c>
      <c r="J128" s="335">
        <f t="shared" si="189"/>
        <v>29300005</v>
      </c>
      <c r="K128" s="336"/>
      <c r="L128" s="337"/>
      <c r="M128" s="337"/>
      <c r="N128" s="337"/>
      <c r="O128" s="338">
        <f t="shared" si="190"/>
        <v>5860001</v>
      </c>
      <c r="P128" s="338">
        <f t="shared" si="191"/>
        <v>29300005</v>
      </c>
      <c r="Q128" s="339">
        <v>0</v>
      </c>
      <c r="R128" s="340">
        <v>0</v>
      </c>
      <c r="S128" s="338">
        <f t="shared" si="192"/>
        <v>5860001</v>
      </c>
      <c r="T128" s="338">
        <f t="shared" si="193"/>
        <v>29300005</v>
      </c>
      <c r="U128" s="340">
        <v>0</v>
      </c>
      <c r="V128" s="341" t="s">
        <v>276</v>
      </c>
      <c r="W128" s="341"/>
      <c r="X128" s="342"/>
    </row>
    <row r="129" spans="1:26" ht="85.5" x14ac:dyDescent="0.25">
      <c r="A129" s="331"/>
      <c r="B129" s="332">
        <v>12</v>
      </c>
      <c r="C129" s="332" t="s">
        <v>82</v>
      </c>
      <c r="D129" s="332" t="s">
        <v>368</v>
      </c>
      <c r="E129" s="332">
        <v>9</v>
      </c>
      <c r="F129" s="332" t="s">
        <v>74</v>
      </c>
      <c r="G129" s="333">
        <v>3</v>
      </c>
      <c r="H129" s="332" t="s">
        <v>63</v>
      </c>
      <c r="I129" s="343">
        <v>2950000</v>
      </c>
      <c r="J129" s="335">
        <f t="shared" si="189"/>
        <v>8850000</v>
      </c>
      <c r="K129" s="336"/>
      <c r="L129" s="337"/>
      <c r="M129" s="337"/>
      <c r="N129" s="344"/>
      <c r="O129" s="338">
        <f t="shared" si="190"/>
        <v>2950000</v>
      </c>
      <c r="P129" s="338">
        <f t="shared" si="191"/>
        <v>79650000</v>
      </c>
      <c r="Q129" s="339">
        <v>0</v>
      </c>
      <c r="R129" s="340">
        <v>0</v>
      </c>
      <c r="S129" s="338">
        <f t="shared" si="192"/>
        <v>2950000</v>
      </c>
      <c r="T129" s="338">
        <f t="shared" si="193"/>
        <v>79650000</v>
      </c>
      <c r="U129" s="340">
        <v>0</v>
      </c>
      <c r="V129" s="341" t="s">
        <v>276</v>
      </c>
      <c r="W129" s="341"/>
      <c r="X129" s="342"/>
    </row>
    <row r="130" spans="1:26" ht="17.45" customHeight="1" x14ac:dyDescent="0.25">
      <c r="A130" s="202"/>
      <c r="B130" s="570" t="s">
        <v>351</v>
      </c>
      <c r="C130" s="571"/>
      <c r="D130" s="571"/>
      <c r="E130" s="571"/>
      <c r="F130" s="571"/>
      <c r="G130" s="323"/>
      <c r="H130" s="323"/>
      <c r="I130" s="324"/>
      <c r="J130" s="324"/>
      <c r="K130" s="324"/>
      <c r="L130" s="324"/>
      <c r="M130" s="324"/>
      <c r="N130" s="324"/>
      <c r="O130" s="325"/>
      <c r="P130" s="325"/>
      <c r="Q130" s="326"/>
      <c r="R130" s="327"/>
      <c r="S130" s="325"/>
      <c r="T130" s="325"/>
      <c r="U130" s="327"/>
      <c r="V130" s="328"/>
      <c r="W130" s="329"/>
      <c r="X130" s="330"/>
    </row>
    <row r="131" spans="1:26" ht="273" customHeight="1" x14ac:dyDescent="0.25">
      <c r="A131" s="291" t="s">
        <v>321</v>
      </c>
      <c r="B131" s="266">
        <v>1</v>
      </c>
      <c r="C131" s="267" t="s">
        <v>350</v>
      </c>
      <c r="D131" s="255" t="s">
        <v>395</v>
      </c>
      <c r="E131" s="251">
        <v>1</v>
      </c>
      <c r="F131" s="252" t="s">
        <v>47</v>
      </c>
      <c r="G131" s="45"/>
      <c r="H131" s="254"/>
      <c r="I131" s="253">
        <v>100000000</v>
      </c>
      <c r="J131" s="261"/>
      <c r="K131" s="253"/>
      <c r="L131" s="261"/>
      <c r="M131" s="253"/>
      <c r="N131" s="261"/>
      <c r="O131" s="262">
        <f t="shared" ref="O131" si="194">+AVERAGE(I131,K131,M131)</f>
        <v>100000000</v>
      </c>
      <c r="P131" s="262">
        <f t="shared" ref="P131" si="195">+O131*E131</f>
        <v>100000000</v>
      </c>
      <c r="Q131" s="262">
        <f t="shared" ref="Q131" si="196">+_xlfn.STDEV.P(I131,K131,M131)</f>
        <v>0</v>
      </c>
      <c r="R131" s="263" t="s">
        <v>394</v>
      </c>
      <c r="S131" s="262">
        <f t="shared" ref="S131" si="197">+MEDIAN(I131,K131,M131)</f>
        <v>100000000</v>
      </c>
      <c r="T131" s="262">
        <f t="shared" ref="T131" si="198">+S131*E131</f>
        <v>100000000</v>
      </c>
      <c r="U131" s="263">
        <f t="shared" ref="U131" si="199">+Q131/S131</f>
        <v>0</v>
      </c>
      <c r="V131" s="264" t="s">
        <v>320</v>
      </c>
      <c r="W131" s="264" t="s">
        <v>48</v>
      </c>
      <c r="X131" s="265" t="s">
        <v>61</v>
      </c>
      <c r="Y131" s="269">
        <v>33000000</v>
      </c>
      <c r="Z131" s="269">
        <v>33000000</v>
      </c>
    </row>
    <row r="132" spans="1:26" x14ac:dyDescent="0.25">
      <c r="P132" s="53">
        <f>+SUM(P15,P6,P8,P10,P12,P13,P16,P17,P18,P19,P22,P23,P25,P26,P27,P28,P29,P31,P32,P34,P35,P36,P39,P40,P41,P42,P43,P44,P45,P46,P47,P48,P49,P50,P53,P54,P55,P56,P57,P58,P59,P60,P61,P62,P63,P64,P65,P66,P67,P68,P70,P71,P72,P73,P74,P75,P76,P78,P79,P80,P81,P82,P83,P84,P86,P87,P88,P89,P90,P91,P92,P93,P94,P96,P97,P98,P99,P100,P103,P105,P108,P109,P110,P111,P112,P113,P114,P115,P116,P117,P119,P120,P121,P122,P124,P126,P127,P128,P129,P131)</f>
        <v>1430326575.1286836</v>
      </c>
    </row>
    <row r="134" spans="1:26" ht="27" thickBot="1" x14ac:dyDescent="0.3">
      <c r="O134" s="554" t="s">
        <v>287</v>
      </c>
      <c r="P134" s="555"/>
      <c r="S134" s="554" t="s">
        <v>291</v>
      </c>
      <c r="T134" s="555"/>
      <c r="Y134" s="354" t="s">
        <v>355</v>
      </c>
      <c r="Z134" s="354" t="s">
        <v>354</v>
      </c>
    </row>
    <row r="135" spans="1:26" ht="23.25" x14ac:dyDescent="0.25">
      <c r="O135" s="223" t="s">
        <v>288</v>
      </c>
      <c r="P135" s="221">
        <f>SUM(P6:P131)</f>
        <v>1430326575.1286836</v>
      </c>
      <c r="S135" s="223" t="s">
        <v>288</v>
      </c>
      <c r="T135" s="221">
        <f>SUM(T3:T131)</f>
        <v>1492042793.5042017</v>
      </c>
      <c r="Y135" s="268">
        <f>133000000/1.19</f>
        <v>111764705.88235295</v>
      </c>
      <c r="Z135" s="268">
        <f>Y135-Y131</f>
        <v>78764705.882352948</v>
      </c>
    </row>
    <row r="136" spans="1:26" ht="23.25" x14ac:dyDescent="0.25">
      <c r="O136" s="224" t="s">
        <v>289</v>
      </c>
      <c r="P136" s="221">
        <f>P135*0.19</f>
        <v>271762049.27444988</v>
      </c>
      <c r="S136" s="224" t="s">
        <v>289</v>
      </c>
      <c r="T136" s="221">
        <f>T135*0.19</f>
        <v>283488130.76579833</v>
      </c>
    </row>
    <row r="137" spans="1:26" ht="24" thickBot="1" x14ac:dyDescent="0.3">
      <c r="O137" s="225" t="s">
        <v>290</v>
      </c>
      <c r="P137" s="222">
        <f>P135+P136</f>
        <v>1702088624.4031334</v>
      </c>
      <c r="Q137" s="53">
        <v>1717129772</v>
      </c>
      <c r="S137" s="225" t="s">
        <v>290</v>
      </c>
      <c r="T137" s="222">
        <f>T135+T136</f>
        <v>1775530924.27</v>
      </c>
    </row>
    <row r="138" spans="1:26" x14ac:dyDescent="0.25">
      <c r="P138" s="53">
        <f>+Q137-P137</f>
        <v>15041147.596866608</v>
      </c>
    </row>
    <row r="141" spans="1:26" x14ac:dyDescent="0.25">
      <c r="M141" s="53">
        <v>295784101</v>
      </c>
      <c r="N141" s="53">
        <f t="shared" ref="N141:N146" si="200">M141*1.19</f>
        <v>351983080.19</v>
      </c>
      <c r="T141" s="53">
        <f>+T137-P137</f>
        <v>73442299.866866589</v>
      </c>
    </row>
    <row r="142" spans="1:26" x14ac:dyDescent="0.25">
      <c r="M142" s="53">
        <v>111764706</v>
      </c>
      <c r="N142" s="53">
        <f t="shared" si="200"/>
        <v>133000000.14</v>
      </c>
    </row>
    <row r="143" spans="1:26" x14ac:dyDescent="0.25">
      <c r="M143" s="53">
        <v>326126713</v>
      </c>
      <c r="N143" s="53">
        <f t="shared" si="200"/>
        <v>388090788.46999997</v>
      </c>
    </row>
    <row r="144" spans="1:26" x14ac:dyDescent="0.25">
      <c r="M144" s="53">
        <v>224307893</v>
      </c>
      <c r="N144" s="53">
        <f t="shared" si="200"/>
        <v>266926392.66999999</v>
      </c>
    </row>
    <row r="145" spans="13:14" x14ac:dyDescent="0.25">
      <c r="M145" s="53">
        <v>484309828</v>
      </c>
      <c r="N145" s="53">
        <f t="shared" si="200"/>
        <v>576328695.31999993</v>
      </c>
    </row>
    <row r="146" spans="13:14" x14ac:dyDescent="0.25">
      <c r="N146" s="53">
        <f t="shared" si="200"/>
        <v>0</v>
      </c>
    </row>
    <row r="147" spans="13:14" x14ac:dyDescent="0.25">
      <c r="M147" s="53">
        <f>SUM(M141:M146)</f>
        <v>1442293241</v>
      </c>
      <c r="N147" s="53">
        <f>M147*1.19</f>
        <v>1716328956.79</v>
      </c>
    </row>
  </sheetData>
  <mergeCells count="42">
    <mergeCell ref="B125:X125"/>
    <mergeCell ref="B33:H33"/>
    <mergeCell ref="S134:T134"/>
    <mergeCell ref="B102:H102"/>
    <mergeCell ref="B104:H104"/>
    <mergeCell ref="B85:H85"/>
    <mergeCell ref="B107:H107"/>
    <mergeCell ref="B123:H123"/>
    <mergeCell ref="B106:H106"/>
    <mergeCell ref="B118:F118"/>
    <mergeCell ref="O134:P134"/>
    <mergeCell ref="B130:F130"/>
    <mergeCell ref="B95:F95"/>
    <mergeCell ref="A3:A32"/>
    <mergeCell ref="B7:H7"/>
    <mergeCell ref="B3:X3"/>
    <mergeCell ref="B4:X4"/>
    <mergeCell ref="B9:H9"/>
    <mergeCell ref="B11:F11"/>
    <mergeCell ref="B14:F14"/>
    <mergeCell ref="B21:F21"/>
    <mergeCell ref="B20:F20"/>
    <mergeCell ref="B24:F24"/>
    <mergeCell ref="B30:F30"/>
    <mergeCell ref="E1:E2"/>
    <mergeCell ref="D1:D2"/>
    <mergeCell ref="C1:C2"/>
    <mergeCell ref="B1:B2"/>
    <mergeCell ref="B5:X5"/>
    <mergeCell ref="I1:J1"/>
    <mergeCell ref="K1:L1"/>
    <mergeCell ref="M1:N1"/>
    <mergeCell ref="G1:G2"/>
    <mergeCell ref="F1:F2"/>
    <mergeCell ref="A102:A124"/>
    <mergeCell ref="A38:A50"/>
    <mergeCell ref="B77:H77"/>
    <mergeCell ref="B52:H52"/>
    <mergeCell ref="B38:H38"/>
    <mergeCell ref="A51:A94"/>
    <mergeCell ref="B51:H51"/>
    <mergeCell ref="B69:H69"/>
  </mergeCells>
  <phoneticPr fontId="56" type="noConversion"/>
  <conditionalFormatting sqref="D12">
    <cfRule type="duplicateValues" dxfId="5" priority="1"/>
    <cfRule type="duplicateValues" dxfId="4" priority="2"/>
  </conditionalFormatting>
  <conditionalFormatting sqref="D13">
    <cfRule type="duplicateValues" dxfId="3" priority="5"/>
    <cfRule type="duplicateValues" dxfId="2" priority="6"/>
  </conditionalFormatting>
  <conditionalFormatting sqref="D19">
    <cfRule type="duplicateValues" dxfId="1" priority="3"/>
    <cfRule type="duplicateValues" dxfId="0" priority="4"/>
  </conditionalFormatting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6"/>
  <sheetViews>
    <sheetView workbookViewId="0">
      <selection activeCell="A6" sqref="A6"/>
    </sheetView>
  </sheetViews>
  <sheetFormatPr baseColWidth="10" defaultRowHeight="15" x14ac:dyDescent="0.25"/>
  <cols>
    <col min="1" max="1" width="21.85546875" customWidth="1"/>
  </cols>
  <sheetData>
    <row r="1" spans="1:1" x14ac:dyDescent="0.25">
      <c r="A1" s="268">
        <v>224307893.45361343</v>
      </c>
    </row>
    <row r="2" spans="1:1" x14ac:dyDescent="0.25">
      <c r="A2" s="53">
        <v>295784101.33333337</v>
      </c>
    </row>
    <row r="3" spans="1:1" x14ac:dyDescent="0.25">
      <c r="A3" s="53">
        <v>485577726.4285714</v>
      </c>
    </row>
    <row r="4" spans="1:1" x14ac:dyDescent="0.25">
      <c r="A4" s="268">
        <v>326126712.89915967</v>
      </c>
    </row>
    <row r="5" spans="1:1" x14ac:dyDescent="0.25">
      <c r="A5" s="268">
        <v>111764705.88235295</v>
      </c>
    </row>
    <row r="6" spans="1:1" x14ac:dyDescent="0.25">
      <c r="A6" s="268">
        <f>SUM(A1:A5)</f>
        <v>1443561139.9970307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Separación en la Fuente</vt:lpstr>
      <vt:lpstr>INICIO (2)</vt:lpstr>
      <vt:lpstr>AMBIENTE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DIEGO FERNANDO BERNAL LOPEZ</dc:creator>
  <cp:keywords/>
  <dc:description/>
  <cp:lastModifiedBy>Usuario</cp:lastModifiedBy>
  <cp:revision/>
  <dcterms:created xsi:type="dcterms:W3CDTF">2026-02-18T14:03:24Z</dcterms:created>
  <dcterms:modified xsi:type="dcterms:W3CDTF">2026-09-24T04:13:48Z</dcterms:modified>
  <cp:category/>
  <cp:contentStatus/>
</cp:coreProperties>
</file>