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laura_botero_gobiernobogota_gov_co/Documents/1. Secretaría Distrital de Gobierno/Procesos/2026/Certificados Digitales/"/>
    </mc:Choice>
  </mc:AlternateContent>
  <xr:revisionPtr revIDLastSave="11" documentId="13_ncr:1_{80383343-B242-44B3-9EB5-4A9D03293C77}" xr6:coauthVersionLast="47" xr6:coauthVersionMax="47" xr10:uidLastSave="{C402D9C7-0171-4213-8121-35EEF15313BB}"/>
  <bookViews>
    <workbookView xWindow="-110" yWindow="-110" windowWidth="22780" windowHeight="14540" activeTab="1" xr2:uid="{00000000-000D-0000-FFFF-FFFF00000000}"/>
  </bookViews>
  <sheets>
    <sheet name="Cotización" sheetId="1" r:id="rId1"/>
    <sheet name="Cotización Ajuste 15-oct-2026" sheetId="2" r:id="rId2"/>
    <sheet name="Hoja2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3" l="1"/>
  <c r="D20" i="3" s="1"/>
  <c r="D21" i="3" s="1"/>
  <c r="E21" i="3" s="1"/>
  <c r="D16" i="3"/>
  <c r="D17" i="3" s="1"/>
  <c r="E17" i="3" s="1"/>
  <c r="D15" i="3"/>
  <c r="D11" i="3"/>
  <c r="D12" i="3" s="1"/>
  <c r="D13" i="3" s="1"/>
  <c r="E13" i="3" s="1"/>
  <c r="D7" i="3"/>
  <c r="D8" i="3" s="1"/>
  <c r="D9" i="3" s="1"/>
  <c r="E9" i="3" s="1"/>
  <c r="AE8" i="2"/>
  <c r="AF8" i="2" s="1"/>
  <c r="AD8" i="2"/>
  <c r="AH7" i="2"/>
  <c r="AG7" i="2"/>
  <c r="AE7" i="2"/>
  <c r="Y7" i="2"/>
  <c r="X7" i="2"/>
  <c r="AD7" i="2" s="1"/>
  <c r="W7" i="2"/>
  <c r="S7" i="2"/>
  <c r="T7" i="2" s="1"/>
  <c r="U7" i="2" s="1"/>
  <c r="U8" i="2" s="1"/>
  <c r="O7" i="2"/>
  <c r="P7" i="2" s="1"/>
  <c r="Q7" i="2" s="1"/>
  <c r="Q8" i="2" s="1"/>
  <c r="K7" i="2"/>
  <c r="L7" i="2" s="1"/>
  <c r="M7" i="2" s="1"/>
  <c r="M8" i="2" s="1"/>
  <c r="G7" i="2"/>
  <c r="H7" i="2" s="1"/>
  <c r="I7" i="2" s="1"/>
  <c r="I8" i="2" s="1"/>
  <c r="Z7" i="1"/>
  <c r="Y7" i="1"/>
  <c r="AF8" i="1"/>
  <c r="AE8" i="1"/>
  <c r="AD8" i="1"/>
  <c r="AH7" i="1"/>
  <c r="AG7" i="1"/>
  <c r="AE7" i="1"/>
  <c r="AD7" i="1"/>
  <c r="AI7" i="2" l="1"/>
  <c r="AJ7" i="2" s="1"/>
  <c r="AK7" i="2"/>
  <c r="Z7" i="2"/>
  <c r="AA7" i="2" s="1"/>
  <c r="AB7" i="2" s="1"/>
  <c r="AB8" i="2" s="1"/>
  <c r="AF7" i="2"/>
  <c r="AF7" i="1"/>
  <c r="AI7" i="1"/>
  <c r="AJ7" i="1" s="1"/>
  <c r="AK7" i="1" l="1"/>
  <c r="X7" i="1" l="1"/>
  <c r="W7" i="1"/>
  <c r="S7" i="1"/>
  <c r="O7" i="1"/>
  <c r="K7" i="1"/>
  <c r="G7" i="1"/>
  <c r="AA7" i="1" l="1"/>
  <c r="AB7" i="1" s="1"/>
  <c r="T7" i="1"/>
  <c r="U7" i="1" s="1"/>
  <c r="P7" i="1"/>
  <c r="Q7" i="1" s="1"/>
  <c r="L7" i="1"/>
  <c r="M7" i="1" s="1"/>
  <c r="H7" i="1"/>
  <c r="I7" i="1" s="1"/>
  <c r="I8" i="1" s="1"/>
  <c r="M8" i="1" l="1"/>
  <c r="Q8" i="1" l="1"/>
  <c r="U8" i="1" l="1"/>
  <c r="AB8" i="1"/>
</calcChain>
</file>

<file path=xl/sharedStrings.xml><?xml version="1.0" encoding="utf-8"?>
<sst xmlns="http://schemas.openxmlformats.org/spreadsheetml/2006/main" count="125" uniqueCount="32">
  <si>
    <t>SECRETARÍA DISTRITAL DE GOBIERNO - ESTUDIO DE MERCADO</t>
  </si>
  <si>
    <r>
      <t>Objeto:</t>
    </r>
    <r>
      <rPr>
        <sz val="11"/>
        <color rgb="FF000000"/>
        <rFont val="Garamond"/>
        <family val="1"/>
      </rPr>
      <t xml:space="preserve"> Adquirir certificados de firma digital de funcionario público para la firma de los documentos generados en la Entidad por los sistemas de información.</t>
    </r>
  </si>
  <si>
    <t>ÍTEM</t>
  </si>
  <si>
    <t>DESCRIPCIÓN</t>
  </si>
  <si>
    <t>UNIDAD DE MEDIDA</t>
  </si>
  <si>
    <t>CANTIDAD</t>
  </si>
  <si>
    <t>PROVEEDOR 1 - CERTICAMARA S.A. - NIT: 830.084.433-7</t>
  </si>
  <si>
    <t>PROVEEDOR 2 - CAMERFIRMA COLOMBIA S.A.S. - NIT: 901.312.112-4</t>
  </si>
  <si>
    <t>PROVEEDOR 3 - ANDES SERVICIOS DE CERTIFICACIÓN DIGITAL - NIT: 900210800</t>
  </si>
  <si>
    <t>PROVEEDOR 4 - GESTION DE SEGURIDAD ELECTRONICA S.A. -GSE - NIT: 900.204.272-8</t>
  </si>
  <si>
    <t>COSTO HISTÓRICO - 1030-2024</t>
  </si>
  <si>
    <t>ESTUDIO DE MERCADO</t>
  </si>
  <si>
    <t>VALOR UNITARIO</t>
  </si>
  <si>
    <t>IVA</t>
  </si>
  <si>
    <t>VALOR UNITARIO + IVA</t>
  </si>
  <si>
    <t>VALOR TOTAL</t>
  </si>
  <si>
    <t>VALOR UNITARIO 2024</t>
  </si>
  <si>
    <t>VALOR UNITARIO 2025</t>
  </si>
  <si>
    <t>VALOR UNITARIO 2026</t>
  </si>
  <si>
    <t>PROMEDIO</t>
  </si>
  <si>
    <t>DESVEST</t>
  </si>
  <si>
    <t>COE VAR</t>
  </si>
  <si>
    <t>Q1</t>
  </si>
  <si>
    <t>Q3</t>
  </si>
  <si>
    <t>IQR</t>
  </si>
  <si>
    <t>INFERIOR</t>
  </si>
  <si>
    <t>SUPERIOR</t>
  </si>
  <si>
    <t>Certificados Digitales</t>
  </si>
  <si>
    <t>Unidad</t>
  </si>
  <si>
    <t>PLAZO DE EJECUCIÓN PROPUESTO:</t>
  </si>
  <si>
    <t>ipc 2025</t>
  </si>
  <si>
    <t>ipc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</si>
</sst>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C0A]\ * #,##0.00_-;\-[$$-2C0A]\ * #,##0.00_-;_-[$$-2C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sz val="11"/>
      <color rgb="FF000000"/>
      <name val="Garamond"/>
      <family val="1"/>
    </font>
    <font>
      <b/>
      <sz val="11"/>
      <color rgb="FF000000"/>
      <name val="Garamond"/>
      <family val="1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0" fontId="2" fillId="0" borderId="0" xfId="2" applyNumberFormat="1" applyFont="1" applyAlignment="1">
      <alignment vertical="center"/>
    </xf>
    <xf numFmtId="0" fontId="5" fillId="8" borderId="1" xfId="0" applyFont="1" applyFill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44" fontId="4" fillId="0" borderId="1" xfId="0" applyNumberFormat="1" applyFont="1" applyBorder="1" applyAlignment="1">
      <alignment vertical="center"/>
    </xf>
    <xf numFmtId="164" fontId="2" fillId="3" borderId="1" xfId="1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44" fontId="4" fillId="3" borderId="1" xfId="0" applyNumberFormat="1" applyFont="1" applyFill="1" applyBorder="1" applyAlignment="1">
      <alignment vertical="center"/>
    </xf>
    <xf numFmtId="44" fontId="4" fillId="6" borderId="1" xfId="0" applyNumberFormat="1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K12"/>
  <sheetViews>
    <sheetView zoomScaleNormal="100" workbookViewId="0">
      <selection activeCell="F9" sqref="F9:I9"/>
    </sheetView>
  </sheetViews>
  <sheetFormatPr baseColWidth="10" defaultColWidth="11.453125" defaultRowHeight="14.5" x14ac:dyDescent="0.35"/>
  <cols>
    <col min="1" max="1" width="4.54296875" style="2" customWidth="1"/>
    <col min="2" max="2" width="6.81640625" style="1" bestFit="1" customWidth="1"/>
    <col min="3" max="3" width="18.54296875" style="2" bestFit="1" customWidth="1"/>
    <col min="4" max="4" width="24.1796875" style="2" bestFit="1" customWidth="1"/>
    <col min="5" max="5" width="12.81640625" style="2" bestFit="1" customWidth="1"/>
    <col min="6" max="6" width="20.54296875" style="2" customWidth="1"/>
    <col min="7" max="7" width="11.54296875" style="2" customWidth="1"/>
    <col min="8" max="8" width="27.1796875" style="2" customWidth="1"/>
    <col min="9" max="9" width="16.81640625" style="2" customWidth="1"/>
    <col min="10" max="10" width="20.54296875" style="2" customWidth="1"/>
    <col min="11" max="11" width="11.54296875" style="2" customWidth="1"/>
    <col min="12" max="12" width="27.1796875" style="2" customWidth="1"/>
    <col min="13" max="13" width="16.81640625" style="2" customWidth="1"/>
    <col min="14" max="14" width="20.54296875" style="2" customWidth="1"/>
    <col min="15" max="15" width="11.54296875" style="2" customWidth="1"/>
    <col min="16" max="16" width="27.1796875" style="2" customWidth="1"/>
    <col min="17" max="17" width="16.81640625" style="2" customWidth="1"/>
    <col min="18" max="18" width="20.54296875" style="2" customWidth="1"/>
    <col min="19" max="19" width="11.54296875" style="2" customWidth="1"/>
    <col min="20" max="20" width="27.1796875" style="2" customWidth="1"/>
    <col min="21" max="21" width="16.81640625" style="2" customWidth="1"/>
    <col min="22" max="24" width="25.26953125" style="2" customWidth="1"/>
    <col min="25" max="25" width="20.54296875" style="2" bestFit="1" customWidth="1"/>
    <col min="26" max="26" width="11.54296875" style="2" bestFit="1" customWidth="1"/>
    <col min="27" max="27" width="27.1796875" style="2" customWidth="1"/>
    <col min="28" max="28" width="16.81640625" style="2" bestFit="1" customWidth="1"/>
    <col min="29" max="29" width="11.453125" style="2"/>
    <col min="30" max="30" width="13.54296875" style="2" bestFit="1" customWidth="1"/>
    <col min="31" max="31" width="12.81640625" style="2" bestFit="1" customWidth="1"/>
    <col min="32" max="32" width="10.7265625" style="2" bestFit="1" customWidth="1"/>
    <col min="33" max="34" width="12.81640625" style="2" bestFit="1" customWidth="1"/>
    <col min="35" max="35" width="11.81640625" style="2" bestFit="1" customWidth="1"/>
    <col min="36" max="37" width="12.81640625" style="2" bestFit="1" customWidth="1"/>
    <col min="38" max="16384" width="11.453125" style="2"/>
  </cols>
  <sheetData>
    <row r="2" spans="2:37" ht="15" customHeight="1" x14ac:dyDescent="0.3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2:37" ht="15" customHeight="1" x14ac:dyDescent="0.35"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2:37" x14ac:dyDescent="0.35">
      <c r="B4" s="51"/>
      <c r="C4" s="51"/>
      <c r="D4" s="51"/>
      <c r="E4" s="51"/>
      <c r="F4" s="51"/>
      <c r="G4" s="51"/>
      <c r="H4" s="51"/>
      <c r="I4" s="51"/>
    </row>
    <row r="5" spans="2:37" s="22" customFormat="1" ht="30" customHeight="1" x14ac:dyDescent="0.35">
      <c r="B5" s="57" t="s">
        <v>2</v>
      </c>
      <c r="C5" s="57" t="s">
        <v>3</v>
      </c>
      <c r="D5" s="57" t="s">
        <v>4</v>
      </c>
      <c r="E5" s="47" t="s">
        <v>5</v>
      </c>
      <c r="F5" s="39" t="s">
        <v>6</v>
      </c>
      <c r="G5" s="40"/>
      <c r="H5" s="40"/>
      <c r="I5" s="40"/>
      <c r="J5" s="41" t="s">
        <v>7</v>
      </c>
      <c r="K5" s="42"/>
      <c r="L5" s="42"/>
      <c r="M5" s="42"/>
      <c r="N5" s="43" t="s">
        <v>8</v>
      </c>
      <c r="O5" s="44"/>
      <c r="P5" s="44"/>
      <c r="Q5" s="44"/>
      <c r="R5" s="45" t="s">
        <v>9</v>
      </c>
      <c r="S5" s="46"/>
      <c r="T5" s="46"/>
      <c r="U5" s="46"/>
      <c r="V5" s="48" t="s">
        <v>10</v>
      </c>
      <c r="W5" s="49"/>
      <c r="X5" s="50"/>
      <c r="Y5" s="47" t="s">
        <v>11</v>
      </c>
      <c r="Z5" s="47"/>
      <c r="AA5" s="47"/>
      <c r="AB5" s="47"/>
    </row>
    <row r="6" spans="2:37" x14ac:dyDescent="0.35">
      <c r="B6" s="57"/>
      <c r="C6" s="57"/>
      <c r="D6" s="57"/>
      <c r="E6" s="47"/>
      <c r="F6" s="14" t="s">
        <v>12</v>
      </c>
      <c r="G6" s="15" t="s">
        <v>13</v>
      </c>
      <c r="H6" s="15" t="s">
        <v>14</v>
      </c>
      <c r="I6" s="15" t="s">
        <v>15</v>
      </c>
      <c r="J6" s="16" t="s">
        <v>12</v>
      </c>
      <c r="K6" s="17" t="s">
        <v>13</v>
      </c>
      <c r="L6" s="17" t="s">
        <v>14</v>
      </c>
      <c r="M6" s="17" t="s">
        <v>15</v>
      </c>
      <c r="N6" s="18" t="s">
        <v>12</v>
      </c>
      <c r="O6" s="19" t="s">
        <v>13</v>
      </c>
      <c r="P6" s="19" t="s">
        <v>14</v>
      </c>
      <c r="Q6" s="19" t="s">
        <v>15</v>
      </c>
      <c r="R6" s="20" t="s">
        <v>12</v>
      </c>
      <c r="S6" s="21" t="s">
        <v>13</v>
      </c>
      <c r="T6" s="21" t="s">
        <v>14</v>
      </c>
      <c r="U6" s="24" t="s">
        <v>15</v>
      </c>
      <c r="V6" s="23" t="s">
        <v>16</v>
      </c>
      <c r="W6" s="23" t="s">
        <v>17</v>
      </c>
      <c r="X6" s="23" t="s">
        <v>18</v>
      </c>
      <c r="Y6" s="5" t="s">
        <v>12</v>
      </c>
      <c r="Z6" s="5" t="s">
        <v>13</v>
      </c>
      <c r="AA6" s="5" t="s">
        <v>14</v>
      </c>
      <c r="AB6" s="5" t="s">
        <v>15</v>
      </c>
      <c r="AD6" s="26" t="s">
        <v>19</v>
      </c>
      <c r="AE6" s="26" t="s">
        <v>20</v>
      </c>
      <c r="AF6" s="26" t="s">
        <v>21</v>
      </c>
      <c r="AG6" s="26" t="s">
        <v>22</v>
      </c>
      <c r="AH6" s="26" t="s">
        <v>23</v>
      </c>
      <c r="AI6" s="26" t="s">
        <v>24</v>
      </c>
      <c r="AJ6" s="26" t="s">
        <v>25</v>
      </c>
      <c r="AK6" s="26" t="s">
        <v>26</v>
      </c>
    </row>
    <row r="7" spans="2:37" x14ac:dyDescent="0.35">
      <c r="B7" s="6">
        <v>1</v>
      </c>
      <c r="C7" s="10" t="s">
        <v>27</v>
      </c>
      <c r="D7" s="11" t="s">
        <v>28</v>
      </c>
      <c r="E7" s="7">
        <v>50</v>
      </c>
      <c r="F7" s="3">
        <v>280000</v>
      </c>
      <c r="G7" s="3">
        <f>+F7*19%</f>
        <v>53200</v>
      </c>
      <c r="H7" s="3">
        <f t="shared" ref="H7" si="0">+F7+G7</f>
        <v>333200</v>
      </c>
      <c r="I7" s="4">
        <f t="shared" ref="I7" si="1">+H7*E7</f>
        <v>16660000</v>
      </c>
      <c r="J7" s="3">
        <v>290000</v>
      </c>
      <c r="K7" s="3">
        <f>+J7*19%</f>
        <v>55100</v>
      </c>
      <c r="L7" s="3">
        <f t="shared" ref="L7" si="2">+J7+K7</f>
        <v>345100</v>
      </c>
      <c r="M7" s="4">
        <f>+L7*E7</f>
        <v>17255000</v>
      </c>
      <c r="N7" s="3">
        <v>290000</v>
      </c>
      <c r="O7" s="3">
        <f>+N7*19%</f>
        <v>55100</v>
      </c>
      <c r="P7" s="3">
        <f t="shared" ref="P7" si="3">+N7+O7</f>
        <v>345100</v>
      </c>
      <c r="Q7" s="4">
        <f>+P7*E7</f>
        <v>17255000</v>
      </c>
      <c r="R7" s="31">
        <v>388000</v>
      </c>
      <c r="S7" s="3">
        <f>+R7*19%</f>
        <v>73720</v>
      </c>
      <c r="T7" s="3">
        <f t="shared" ref="T7" si="4">+R7+S7</f>
        <v>461720</v>
      </c>
      <c r="U7" s="4">
        <f>+T7*E7</f>
        <v>23086000</v>
      </c>
      <c r="V7" s="4">
        <v>95000</v>
      </c>
      <c r="W7" s="4">
        <f>+(V7*W11)+V7</f>
        <v>99845</v>
      </c>
      <c r="X7" s="30">
        <f>+(W7*W12)+W7</f>
        <v>106075.32799999999</v>
      </c>
      <c r="Y7" s="3">
        <f>+ROUND(AVERAGE(F7,J7,N7),0)</f>
        <v>286667</v>
      </c>
      <c r="Z7" s="3">
        <f>+ROUND((Y7*19%),0)</f>
        <v>54467</v>
      </c>
      <c r="AA7" s="3">
        <f t="shared" ref="AA7" si="5">+Y7+Z7</f>
        <v>341134</v>
      </c>
      <c r="AB7" s="4">
        <f>+AA7*E7</f>
        <v>17056700</v>
      </c>
      <c r="AD7" s="28">
        <f>+AVERAGE(F7,J7,N7,R7,X7)</f>
        <v>270815.06559999997</v>
      </c>
      <c r="AE7" s="29">
        <f>+STDEVA(F7,J7,N7,R7,X7)</f>
        <v>102093.06591371186</v>
      </c>
      <c r="AF7" s="27">
        <f t="shared" ref="AF7" si="6">+AE7/AD7</f>
        <v>0.37698444023976735</v>
      </c>
      <c r="AG7" s="29">
        <f>+_xlfn.QUARTILE.INC((F7,J7,N7,R7,X7),1)</f>
        <v>280000</v>
      </c>
      <c r="AH7" s="29">
        <f>+_xlfn.QUARTILE.INC((F7,J7,N7,R7,X7),3)</f>
        <v>290000</v>
      </c>
      <c r="AI7" s="29">
        <f t="shared" ref="AI7" si="7">+AH7-AG7</f>
        <v>10000</v>
      </c>
      <c r="AJ7" s="32">
        <f t="shared" ref="AJ7" si="8">+AG7-(1.5*AI7)</f>
        <v>265000</v>
      </c>
      <c r="AK7" s="33">
        <f t="shared" ref="AK7" si="9">+AH7+(1.5*AI7)</f>
        <v>305000</v>
      </c>
    </row>
    <row r="8" spans="2:37" s="12" customFormat="1" x14ac:dyDescent="0.35">
      <c r="B8" s="52" t="s">
        <v>15</v>
      </c>
      <c r="C8" s="52"/>
      <c r="D8" s="52"/>
      <c r="E8" s="52"/>
      <c r="F8" s="8"/>
      <c r="G8" s="8"/>
      <c r="H8" s="8"/>
      <c r="I8" s="9">
        <f>SUM(I7:I7)</f>
        <v>16660000</v>
      </c>
      <c r="J8" s="8"/>
      <c r="K8" s="8"/>
      <c r="L8" s="8"/>
      <c r="M8" s="9">
        <f>SUM(M7:M7)</f>
        <v>17255000</v>
      </c>
      <c r="N8" s="8"/>
      <c r="O8" s="8"/>
      <c r="P8" s="8"/>
      <c r="Q8" s="9">
        <f>SUM(Q7:Q7)</f>
        <v>17255000</v>
      </c>
      <c r="R8" s="8"/>
      <c r="S8" s="8"/>
      <c r="T8" s="8"/>
      <c r="U8" s="9">
        <f>SUM(U7:U7)</f>
        <v>23086000</v>
      </c>
      <c r="V8" s="9"/>
      <c r="W8" s="9"/>
      <c r="X8" s="9"/>
      <c r="Y8" s="8"/>
      <c r="Z8" s="8"/>
      <c r="AA8" s="8"/>
      <c r="AB8" s="9">
        <f>SUM(AB7:AB7)</f>
        <v>17056700</v>
      </c>
      <c r="AD8" s="28">
        <f>+AVERAGE(F7,J7,N7)</f>
        <v>286666.66666666669</v>
      </c>
      <c r="AE8" s="29">
        <f>+STDEVA(F7,J7,N7)</f>
        <v>5773.5026918962576</v>
      </c>
      <c r="AF8" s="27">
        <f>+AE8/AD8</f>
        <v>2.014012566940555E-2</v>
      </c>
    </row>
    <row r="9" spans="2:37" s="12" customFormat="1" x14ac:dyDescent="0.35">
      <c r="B9" s="54" t="s">
        <v>29</v>
      </c>
      <c r="C9" s="55"/>
      <c r="D9" s="55"/>
      <c r="E9" s="56"/>
      <c r="F9" s="34"/>
      <c r="G9" s="35"/>
      <c r="H9" s="35"/>
      <c r="I9" s="36"/>
      <c r="J9" s="34"/>
      <c r="K9" s="35"/>
      <c r="L9" s="35"/>
      <c r="M9" s="36"/>
      <c r="N9" s="34"/>
      <c r="O9" s="35"/>
      <c r="P9" s="35"/>
      <c r="Q9" s="36"/>
      <c r="R9" s="34"/>
      <c r="S9" s="35"/>
      <c r="T9" s="35"/>
      <c r="U9" s="36"/>
      <c r="V9" s="13"/>
      <c r="W9" s="13"/>
      <c r="X9" s="13"/>
      <c r="Y9" s="34"/>
      <c r="Z9" s="35"/>
      <c r="AA9" s="35"/>
      <c r="AB9" s="36"/>
    </row>
    <row r="10" spans="2:37" x14ac:dyDescent="0.35">
      <c r="B10" s="53"/>
      <c r="C10" s="53"/>
      <c r="D10" s="53"/>
      <c r="E10" s="53"/>
      <c r="F10" s="53"/>
      <c r="G10" s="53"/>
      <c r="H10" s="53"/>
      <c r="I10" s="53"/>
    </row>
    <row r="11" spans="2:37" x14ac:dyDescent="0.35">
      <c r="V11" s="2" t="s">
        <v>30</v>
      </c>
      <c r="W11" s="25">
        <v>5.0999999999999997E-2</v>
      </c>
    </row>
    <row r="12" spans="2:37" x14ac:dyDescent="0.35">
      <c r="V12" s="2" t="s">
        <v>31</v>
      </c>
      <c r="W12" s="25">
        <v>6.2399999999999997E-2</v>
      </c>
    </row>
  </sheetData>
  <mergeCells count="21">
    <mergeCell ref="B10:I10"/>
    <mergeCell ref="B9:E9"/>
    <mergeCell ref="F9:I9"/>
    <mergeCell ref="B5:B6"/>
    <mergeCell ref="C5:C6"/>
    <mergeCell ref="D5:D6"/>
    <mergeCell ref="E5:E6"/>
    <mergeCell ref="J9:M9"/>
    <mergeCell ref="N9:Q9"/>
    <mergeCell ref="R9:U9"/>
    <mergeCell ref="Y9:AB9"/>
    <mergeCell ref="B2:AB2"/>
    <mergeCell ref="B3:AB3"/>
    <mergeCell ref="F5:I5"/>
    <mergeCell ref="J5:M5"/>
    <mergeCell ref="N5:Q5"/>
    <mergeCell ref="R5:U5"/>
    <mergeCell ref="Y5:AB5"/>
    <mergeCell ref="V5:X5"/>
    <mergeCell ref="B4:I4"/>
    <mergeCell ref="B8:E8"/>
  </mergeCells>
  <phoneticPr fontId="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A624-B8A9-48AC-A34A-890524B6346F}">
  <dimension ref="B2:AK12"/>
  <sheetViews>
    <sheetView tabSelected="1" zoomScaleNormal="100" workbookViewId="0">
      <selection activeCell="D5" sqref="D5:D6"/>
    </sheetView>
  </sheetViews>
  <sheetFormatPr baseColWidth="10" defaultColWidth="11.453125" defaultRowHeight="14.5" x14ac:dyDescent="0.35"/>
  <cols>
    <col min="1" max="1" width="4.54296875" style="2" customWidth="1"/>
    <col min="2" max="2" width="6.81640625" style="1" bestFit="1" customWidth="1"/>
    <col min="3" max="3" width="18.54296875" style="2" bestFit="1" customWidth="1"/>
    <col min="4" max="4" width="24.1796875" style="2" bestFit="1" customWidth="1"/>
    <col min="5" max="5" width="12.81640625" style="2" bestFit="1" customWidth="1"/>
    <col min="6" max="6" width="20.54296875" style="2" customWidth="1"/>
    <col min="7" max="7" width="11.54296875" style="2" customWidth="1"/>
    <col min="8" max="8" width="27.1796875" style="2" customWidth="1"/>
    <col min="9" max="9" width="16.81640625" style="2" customWidth="1"/>
    <col min="10" max="10" width="20.54296875" style="2" customWidth="1"/>
    <col min="11" max="11" width="11.54296875" style="2" customWidth="1"/>
    <col min="12" max="12" width="27.1796875" style="2" customWidth="1"/>
    <col min="13" max="13" width="16.81640625" style="2" customWidth="1"/>
    <col min="14" max="14" width="20.54296875" style="2" customWidth="1"/>
    <col min="15" max="15" width="11.54296875" style="2" customWidth="1"/>
    <col min="16" max="16" width="27.1796875" style="2" customWidth="1"/>
    <col min="17" max="17" width="16.81640625" style="2" customWidth="1"/>
    <col min="18" max="18" width="20.54296875" style="2" customWidth="1"/>
    <col min="19" max="19" width="11.54296875" style="2" customWidth="1"/>
    <col min="20" max="20" width="27.1796875" style="2" customWidth="1"/>
    <col min="21" max="21" width="16.81640625" style="2" customWidth="1"/>
    <col min="22" max="24" width="25.26953125" style="2" customWidth="1"/>
    <col min="25" max="25" width="20.54296875" style="2" bestFit="1" customWidth="1"/>
    <col min="26" max="26" width="11.54296875" style="2" bestFit="1" customWidth="1"/>
    <col min="27" max="27" width="27.1796875" style="2" customWidth="1"/>
    <col min="28" max="28" width="16.81640625" style="2" bestFit="1" customWidth="1"/>
    <col min="29" max="29" width="11.453125" style="2"/>
    <col min="30" max="30" width="13.54296875" style="2" bestFit="1" customWidth="1"/>
    <col min="31" max="31" width="12.81640625" style="2" bestFit="1" customWidth="1"/>
    <col min="32" max="32" width="10.7265625" style="2" bestFit="1" customWidth="1"/>
    <col min="33" max="34" width="12.81640625" style="2" bestFit="1" customWidth="1"/>
    <col min="35" max="35" width="11.81640625" style="2" bestFit="1" customWidth="1"/>
    <col min="36" max="37" width="12.81640625" style="2" bestFit="1" customWidth="1"/>
    <col min="38" max="16384" width="11.453125" style="2"/>
  </cols>
  <sheetData>
    <row r="2" spans="2:37" ht="15" customHeight="1" x14ac:dyDescent="0.35">
      <c r="B2" s="37" t="s">
        <v>0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</row>
    <row r="3" spans="2:37" ht="15" customHeight="1" x14ac:dyDescent="0.35">
      <c r="B3" s="38" t="s">
        <v>1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2:37" x14ac:dyDescent="0.35">
      <c r="B4" s="51"/>
      <c r="C4" s="51"/>
      <c r="D4" s="51"/>
      <c r="E4" s="51"/>
      <c r="F4" s="51"/>
      <c r="G4" s="51"/>
      <c r="H4" s="51"/>
      <c r="I4" s="51"/>
    </row>
    <row r="5" spans="2:37" s="22" customFormat="1" ht="30" customHeight="1" x14ac:dyDescent="0.35">
      <c r="B5" s="57" t="s">
        <v>2</v>
      </c>
      <c r="C5" s="57" t="s">
        <v>3</v>
      </c>
      <c r="D5" s="57" t="s">
        <v>4</v>
      </c>
      <c r="E5" s="47" t="s">
        <v>5</v>
      </c>
      <c r="F5" s="39" t="s">
        <v>6</v>
      </c>
      <c r="G5" s="40"/>
      <c r="H5" s="40"/>
      <c r="I5" s="40"/>
      <c r="J5" s="41" t="s">
        <v>7</v>
      </c>
      <c r="K5" s="42"/>
      <c r="L5" s="42"/>
      <c r="M5" s="42"/>
      <c r="N5" s="43" t="s">
        <v>8</v>
      </c>
      <c r="O5" s="44"/>
      <c r="P5" s="44"/>
      <c r="Q5" s="44"/>
      <c r="R5" s="45" t="s">
        <v>9</v>
      </c>
      <c r="S5" s="46"/>
      <c r="T5" s="46"/>
      <c r="U5" s="46"/>
      <c r="V5" s="48" t="s">
        <v>10</v>
      </c>
      <c r="W5" s="49"/>
      <c r="X5" s="50"/>
      <c r="Y5" s="47" t="s">
        <v>11</v>
      </c>
      <c r="Z5" s="47"/>
      <c r="AA5" s="47"/>
      <c r="AB5" s="47"/>
    </row>
    <row r="6" spans="2:37" x14ac:dyDescent="0.35">
      <c r="B6" s="57"/>
      <c r="C6" s="57"/>
      <c r="D6" s="57"/>
      <c r="E6" s="47"/>
      <c r="F6" s="14" t="s">
        <v>12</v>
      </c>
      <c r="G6" s="15" t="s">
        <v>13</v>
      </c>
      <c r="H6" s="15" t="s">
        <v>14</v>
      </c>
      <c r="I6" s="15" t="s">
        <v>15</v>
      </c>
      <c r="J6" s="16" t="s">
        <v>12</v>
      </c>
      <c r="K6" s="17" t="s">
        <v>13</v>
      </c>
      <c r="L6" s="17" t="s">
        <v>14</v>
      </c>
      <c r="M6" s="17" t="s">
        <v>15</v>
      </c>
      <c r="N6" s="18" t="s">
        <v>12</v>
      </c>
      <c r="O6" s="19" t="s">
        <v>13</v>
      </c>
      <c r="P6" s="19" t="s">
        <v>14</v>
      </c>
      <c r="Q6" s="19" t="s">
        <v>15</v>
      </c>
      <c r="R6" s="20" t="s">
        <v>12</v>
      </c>
      <c r="S6" s="21" t="s">
        <v>13</v>
      </c>
      <c r="T6" s="21" t="s">
        <v>14</v>
      </c>
      <c r="U6" s="24" t="s">
        <v>15</v>
      </c>
      <c r="V6" s="23" t="s">
        <v>16</v>
      </c>
      <c r="W6" s="23" t="s">
        <v>17</v>
      </c>
      <c r="X6" s="23" t="s">
        <v>18</v>
      </c>
      <c r="Y6" s="5" t="s">
        <v>12</v>
      </c>
      <c r="Z6" s="5" t="s">
        <v>13</v>
      </c>
      <c r="AA6" s="5" t="s">
        <v>14</v>
      </c>
      <c r="AB6" s="5" t="s">
        <v>15</v>
      </c>
      <c r="AD6" s="26" t="s">
        <v>19</v>
      </c>
      <c r="AE6" s="26" t="s">
        <v>20</v>
      </c>
      <c r="AF6" s="26" t="s">
        <v>21</v>
      </c>
      <c r="AG6" s="26" t="s">
        <v>22</v>
      </c>
      <c r="AH6" s="26" t="s">
        <v>23</v>
      </c>
      <c r="AI6" s="26" t="s">
        <v>24</v>
      </c>
      <c r="AJ6" s="26" t="s">
        <v>25</v>
      </c>
      <c r="AK6" s="26" t="s">
        <v>26</v>
      </c>
    </row>
    <row r="7" spans="2:37" x14ac:dyDescent="0.35">
      <c r="B7" s="6">
        <v>1</v>
      </c>
      <c r="C7" s="10" t="s">
        <v>27</v>
      </c>
      <c r="D7" s="11" t="s">
        <v>28</v>
      </c>
      <c r="E7" s="7">
        <v>42</v>
      </c>
      <c r="F7" s="3">
        <v>280000</v>
      </c>
      <c r="G7" s="3">
        <f>+F7*19%</f>
        <v>53200</v>
      </c>
      <c r="H7" s="3">
        <f t="shared" ref="H7" si="0">+F7+G7</f>
        <v>333200</v>
      </c>
      <c r="I7" s="4">
        <f t="shared" ref="I7" si="1">+H7*E7</f>
        <v>13994400</v>
      </c>
      <c r="J7" s="3">
        <v>290000</v>
      </c>
      <c r="K7" s="3">
        <f>+J7*19%</f>
        <v>55100</v>
      </c>
      <c r="L7" s="3">
        <f t="shared" ref="L7" si="2">+J7+K7</f>
        <v>345100</v>
      </c>
      <c r="M7" s="4">
        <f>+L7*E7</f>
        <v>14494200</v>
      </c>
      <c r="N7" s="3">
        <v>290000</v>
      </c>
      <c r="O7" s="3">
        <f>+N7*19%</f>
        <v>55100</v>
      </c>
      <c r="P7" s="3">
        <f t="shared" ref="P7" si="3">+N7+O7</f>
        <v>345100</v>
      </c>
      <c r="Q7" s="4">
        <f>+P7*E7</f>
        <v>14494200</v>
      </c>
      <c r="R7" s="31">
        <v>388000</v>
      </c>
      <c r="S7" s="3">
        <f>+R7*19%</f>
        <v>73720</v>
      </c>
      <c r="T7" s="3">
        <f t="shared" ref="T7" si="4">+R7+S7</f>
        <v>461720</v>
      </c>
      <c r="U7" s="4">
        <f>+T7*E7</f>
        <v>19392240</v>
      </c>
      <c r="V7" s="4">
        <v>95000</v>
      </c>
      <c r="W7" s="4">
        <f>+(V7*W11)+V7</f>
        <v>99845</v>
      </c>
      <c r="X7" s="30">
        <f>+(W7*W12)+W7</f>
        <v>106075.32799999999</v>
      </c>
      <c r="Y7" s="3">
        <f>+ROUND(AVERAGE(F7,J7,N7),0)</f>
        <v>286667</v>
      </c>
      <c r="Z7" s="3">
        <f>+ROUND((Y7*19%),0)</f>
        <v>54467</v>
      </c>
      <c r="AA7" s="3">
        <f t="shared" ref="AA7" si="5">+Y7+Z7</f>
        <v>341134</v>
      </c>
      <c r="AB7" s="4">
        <f>+AA7*E7</f>
        <v>14327628</v>
      </c>
      <c r="AD7" s="28">
        <f>+AVERAGE(F7,J7,N7,R7,X7)</f>
        <v>270815.06559999997</v>
      </c>
      <c r="AE7" s="29">
        <f>+STDEVA(F7,J7,N7,R7,X7)</f>
        <v>102093.06591371186</v>
      </c>
      <c r="AF7" s="27">
        <f t="shared" ref="AF7" si="6">+AE7/AD7</f>
        <v>0.37698444023976735</v>
      </c>
      <c r="AG7" s="29">
        <f>+_xlfn.QUARTILE.INC((F7,J7,N7,R7,X7),1)</f>
        <v>280000</v>
      </c>
      <c r="AH7" s="29">
        <f>+_xlfn.QUARTILE.INC((F7,J7,N7,R7,X7),3)</f>
        <v>290000</v>
      </c>
      <c r="AI7" s="29">
        <f t="shared" ref="AI7" si="7">+AH7-AG7</f>
        <v>10000</v>
      </c>
      <c r="AJ7" s="32">
        <f t="shared" ref="AJ7" si="8">+AG7-(1.5*AI7)</f>
        <v>265000</v>
      </c>
      <c r="AK7" s="33">
        <f t="shared" ref="AK7" si="9">+AH7+(1.5*AI7)</f>
        <v>305000</v>
      </c>
    </row>
    <row r="8" spans="2:37" s="12" customFormat="1" x14ac:dyDescent="0.35">
      <c r="B8" s="52" t="s">
        <v>15</v>
      </c>
      <c r="C8" s="52"/>
      <c r="D8" s="52"/>
      <c r="E8" s="52"/>
      <c r="F8" s="8"/>
      <c r="G8" s="8"/>
      <c r="H8" s="8"/>
      <c r="I8" s="9">
        <f>SUM(I7:I7)</f>
        <v>13994400</v>
      </c>
      <c r="J8" s="8"/>
      <c r="K8" s="8"/>
      <c r="L8" s="8"/>
      <c r="M8" s="9">
        <f>SUM(M7:M7)</f>
        <v>14494200</v>
      </c>
      <c r="N8" s="8"/>
      <c r="O8" s="8"/>
      <c r="P8" s="8"/>
      <c r="Q8" s="9">
        <f>SUM(Q7:Q7)</f>
        <v>14494200</v>
      </c>
      <c r="R8" s="8"/>
      <c r="S8" s="8"/>
      <c r="T8" s="8"/>
      <c r="U8" s="9">
        <f>SUM(U7:U7)</f>
        <v>19392240</v>
      </c>
      <c r="V8" s="9"/>
      <c r="W8" s="9"/>
      <c r="X8" s="9"/>
      <c r="Y8" s="8"/>
      <c r="Z8" s="8"/>
      <c r="AA8" s="8"/>
      <c r="AB8" s="9">
        <f>SUM(AB7:AB7)</f>
        <v>14327628</v>
      </c>
      <c r="AD8" s="28">
        <f>+AVERAGE(F7,J7,N7)</f>
        <v>286666.66666666669</v>
      </c>
      <c r="AE8" s="29">
        <f>+STDEVA(F7,J7,N7)</f>
        <v>5773.5026918962576</v>
      </c>
      <c r="AF8" s="27">
        <f>+AE8/AD8</f>
        <v>2.014012566940555E-2</v>
      </c>
    </row>
    <row r="9" spans="2:37" s="12" customFormat="1" x14ac:dyDescent="0.35">
      <c r="B9" s="54" t="s">
        <v>29</v>
      </c>
      <c r="C9" s="55"/>
      <c r="D9" s="55"/>
      <c r="E9" s="56"/>
      <c r="F9" s="34"/>
      <c r="G9" s="35"/>
      <c r="H9" s="35"/>
      <c r="I9" s="36"/>
      <c r="J9" s="34"/>
      <c r="K9" s="35"/>
      <c r="L9" s="35"/>
      <c r="M9" s="36"/>
      <c r="N9" s="34"/>
      <c r="O9" s="35"/>
      <c r="P9" s="35"/>
      <c r="Q9" s="36"/>
      <c r="R9" s="34"/>
      <c r="S9" s="35"/>
      <c r="T9" s="35"/>
      <c r="U9" s="36"/>
      <c r="V9" s="13"/>
      <c r="W9" s="13"/>
      <c r="X9" s="13"/>
      <c r="Y9" s="34"/>
      <c r="Z9" s="35"/>
      <c r="AA9" s="35"/>
      <c r="AB9" s="36"/>
    </row>
    <row r="10" spans="2:37" x14ac:dyDescent="0.35">
      <c r="B10" s="53"/>
      <c r="C10" s="53"/>
      <c r="D10" s="53"/>
      <c r="E10" s="53"/>
      <c r="F10" s="53"/>
      <c r="G10" s="53"/>
      <c r="H10" s="53"/>
      <c r="I10" s="53"/>
    </row>
    <row r="11" spans="2:37" x14ac:dyDescent="0.35">
      <c r="V11" s="2" t="s">
        <v>30</v>
      </c>
      <c r="W11" s="25">
        <v>5.0999999999999997E-2</v>
      </c>
    </row>
    <row r="12" spans="2:37" x14ac:dyDescent="0.35">
      <c r="V12" s="2" t="s">
        <v>31</v>
      </c>
      <c r="W12" s="25">
        <v>6.2399999999999997E-2</v>
      </c>
    </row>
  </sheetData>
  <mergeCells count="21">
    <mergeCell ref="B10:I10"/>
    <mergeCell ref="R5:U5"/>
    <mergeCell ref="V5:X5"/>
    <mergeCell ref="Y5:AB5"/>
    <mergeCell ref="B8:E8"/>
    <mergeCell ref="B9:E9"/>
    <mergeCell ref="F9:I9"/>
    <mergeCell ref="J9:M9"/>
    <mergeCell ref="N9:Q9"/>
    <mergeCell ref="R9:U9"/>
    <mergeCell ref="Y9:AB9"/>
    <mergeCell ref="B2:AB2"/>
    <mergeCell ref="B3:AB3"/>
    <mergeCell ref="B4:I4"/>
    <mergeCell ref="B5:B6"/>
    <mergeCell ref="C5:C6"/>
    <mergeCell ref="D5:D6"/>
    <mergeCell ref="E5:E6"/>
    <mergeCell ref="F5:I5"/>
    <mergeCell ref="J5:M5"/>
    <mergeCell ref="N5:Q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E58C8-E160-4903-8540-49514BD41D0A}">
  <dimension ref="B2:E21"/>
  <sheetViews>
    <sheetView workbookViewId="0">
      <selection activeCell="G17" sqref="G17"/>
    </sheetView>
  </sheetViews>
  <sheetFormatPr baseColWidth="10" defaultRowHeight="14.5" x14ac:dyDescent="0.35"/>
  <cols>
    <col min="4" max="4" width="14" bestFit="1" customWidth="1"/>
    <col min="5" max="5" width="15" bestFit="1" customWidth="1"/>
  </cols>
  <sheetData>
    <row r="2" spans="2:5" x14ac:dyDescent="0.35">
      <c r="B2" s="57" t="s">
        <v>2</v>
      </c>
      <c r="C2" s="57"/>
      <c r="D2" s="6">
        <v>1</v>
      </c>
      <c r="E2" s="52" t="s">
        <v>15</v>
      </c>
    </row>
    <row r="3" spans="2:5" ht="29" x14ac:dyDescent="0.35">
      <c r="B3" s="57" t="s">
        <v>3</v>
      </c>
      <c r="C3" s="57"/>
      <c r="D3" s="10" t="s">
        <v>27</v>
      </c>
      <c r="E3" s="52"/>
    </row>
    <row r="4" spans="2:5" x14ac:dyDescent="0.35">
      <c r="B4" s="57" t="s">
        <v>4</v>
      </c>
      <c r="C4" s="57"/>
      <c r="D4" s="11" t="s">
        <v>28</v>
      </c>
      <c r="E4" s="52"/>
    </row>
    <row r="5" spans="2:5" x14ac:dyDescent="0.35">
      <c r="B5" s="47" t="s">
        <v>5</v>
      </c>
      <c r="C5" s="47"/>
      <c r="D5" s="7">
        <v>42</v>
      </c>
      <c r="E5" s="52"/>
    </row>
    <row r="6" spans="2:5" x14ac:dyDescent="0.35">
      <c r="B6" s="39" t="s">
        <v>6</v>
      </c>
      <c r="C6" s="14" t="s">
        <v>12</v>
      </c>
      <c r="D6" s="3">
        <v>280000</v>
      </c>
      <c r="E6" s="8"/>
    </row>
    <row r="7" spans="2:5" x14ac:dyDescent="0.35">
      <c r="B7" s="40"/>
      <c r="C7" s="15" t="s">
        <v>13</v>
      </c>
      <c r="D7" s="3">
        <f>+D6*19%</f>
        <v>53200</v>
      </c>
      <c r="E7" s="8"/>
    </row>
    <row r="8" spans="2:5" x14ac:dyDescent="0.35">
      <c r="B8" s="40"/>
      <c r="C8" s="15" t="s">
        <v>14</v>
      </c>
      <c r="D8" s="3">
        <f>+D6+D7</f>
        <v>333200</v>
      </c>
      <c r="E8" s="8"/>
    </row>
    <row r="9" spans="2:5" x14ac:dyDescent="0.35">
      <c r="B9" s="40"/>
      <c r="C9" s="15" t="s">
        <v>15</v>
      </c>
      <c r="D9" s="4">
        <f>+D8*D5</f>
        <v>13994400</v>
      </c>
      <c r="E9" s="9">
        <f>SUM(D9:D9)</f>
        <v>13994400</v>
      </c>
    </row>
    <row r="10" spans="2:5" x14ac:dyDescent="0.35">
      <c r="B10" s="41" t="s">
        <v>7</v>
      </c>
      <c r="C10" s="16" t="s">
        <v>12</v>
      </c>
      <c r="D10" s="3">
        <v>290000</v>
      </c>
      <c r="E10" s="8"/>
    </row>
    <row r="11" spans="2:5" x14ac:dyDescent="0.35">
      <c r="B11" s="42"/>
      <c r="C11" s="17" t="s">
        <v>13</v>
      </c>
      <c r="D11" s="3">
        <f>+D10*19%</f>
        <v>55100</v>
      </c>
      <c r="E11" s="8"/>
    </row>
    <row r="12" spans="2:5" x14ac:dyDescent="0.35">
      <c r="B12" s="42"/>
      <c r="C12" s="17" t="s">
        <v>14</v>
      </c>
      <c r="D12" s="3">
        <f>+D10+D11</f>
        <v>345100</v>
      </c>
      <c r="E12" s="8"/>
    </row>
    <row r="13" spans="2:5" x14ac:dyDescent="0.35">
      <c r="B13" s="42"/>
      <c r="C13" s="17" t="s">
        <v>15</v>
      </c>
      <c r="D13" s="4">
        <f>+D12*D5</f>
        <v>14494200</v>
      </c>
      <c r="E13" s="9">
        <f>SUM(D13:D13)</f>
        <v>14494200</v>
      </c>
    </row>
    <row r="14" spans="2:5" x14ac:dyDescent="0.35">
      <c r="B14" s="43" t="s">
        <v>8</v>
      </c>
      <c r="C14" s="18" t="s">
        <v>12</v>
      </c>
      <c r="D14" s="3">
        <v>290000</v>
      </c>
      <c r="E14" s="8"/>
    </row>
    <row r="15" spans="2:5" x14ac:dyDescent="0.35">
      <c r="B15" s="44"/>
      <c r="C15" s="19" t="s">
        <v>13</v>
      </c>
      <c r="D15" s="3">
        <f>+D14*19%</f>
        <v>55100</v>
      </c>
      <c r="E15" s="8"/>
    </row>
    <row r="16" spans="2:5" x14ac:dyDescent="0.35">
      <c r="B16" s="44"/>
      <c r="C16" s="19" t="s">
        <v>14</v>
      </c>
      <c r="D16" s="3">
        <f>+D14+D15</f>
        <v>345100</v>
      </c>
      <c r="E16" s="8"/>
    </row>
    <row r="17" spans="2:5" x14ac:dyDescent="0.35">
      <c r="B17" s="44"/>
      <c r="C17" s="19" t="s">
        <v>15</v>
      </c>
      <c r="D17" s="4">
        <f>+D16*D5</f>
        <v>14494200</v>
      </c>
      <c r="E17" s="9">
        <f>SUM(D17:D17)</f>
        <v>14494200</v>
      </c>
    </row>
    <row r="18" spans="2:5" x14ac:dyDescent="0.35">
      <c r="B18" s="45" t="s">
        <v>9</v>
      </c>
      <c r="C18" s="20" t="s">
        <v>12</v>
      </c>
      <c r="D18" s="31">
        <v>388000</v>
      </c>
      <c r="E18" s="8"/>
    </row>
    <row r="19" spans="2:5" x14ac:dyDescent="0.35">
      <c r="B19" s="46"/>
      <c r="C19" s="21" t="s">
        <v>13</v>
      </c>
      <c r="D19" s="3">
        <f>+D18*19%</f>
        <v>73720</v>
      </c>
      <c r="E19" s="8"/>
    </row>
    <row r="20" spans="2:5" x14ac:dyDescent="0.35">
      <c r="B20" s="46"/>
      <c r="C20" s="21" t="s">
        <v>14</v>
      </c>
      <c r="D20" s="3">
        <f>+D18+D19</f>
        <v>461720</v>
      </c>
      <c r="E20" s="8"/>
    </row>
    <row r="21" spans="2:5" x14ac:dyDescent="0.35">
      <c r="B21" s="46"/>
      <c r="C21" s="24" t="s">
        <v>15</v>
      </c>
      <c r="D21" s="4">
        <f>+D20*D5</f>
        <v>19392240</v>
      </c>
      <c r="E21" s="9">
        <f>SUM(D21:D21)</f>
        <v>19392240</v>
      </c>
    </row>
  </sheetData>
  <mergeCells count="9">
    <mergeCell ref="B6:B9"/>
    <mergeCell ref="B10:B13"/>
    <mergeCell ref="B14:B17"/>
    <mergeCell ref="B18:B21"/>
    <mergeCell ref="B2:C2"/>
    <mergeCell ref="E2:E5"/>
    <mergeCell ref="B3:C3"/>
    <mergeCell ref="B4:C4"/>
    <mergeCell ref="B5:C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91ecf19-f62f-462a-9b20-e970c57c217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BD868D9D540A74D93406CCF09A9E7B2" ma:contentTypeVersion="11" ma:contentTypeDescription="Crear nuevo documento." ma:contentTypeScope="" ma:versionID="06756195e266cd8c878c7a233d10e900">
  <xsd:schema xmlns:xsd="http://www.w3.org/2001/XMLSchema" xmlns:xs="http://www.w3.org/2001/XMLSchema" xmlns:p="http://schemas.microsoft.com/office/2006/metadata/properties" xmlns:ns3="c91ecf19-f62f-462a-9b20-e970c57c2173" xmlns:ns4="339ea57c-d9b2-4bd4-946b-5c3f62f50a09" targetNamespace="http://schemas.microsoft.com/office/2006/metadata/properties" ma:root="true" ma:fieldsID="fb6e562c87277ddb65a7ef05362c083d" ns3:_="" ns4:_="">
    <xsd:import namespace="c91ecf19-f62f-462a-9b20-e970c57c2173"/>
    <xsd:import namespace="339ea57c-d9b2-4bd4-946b-5c3f62f50a0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ecf19-f62f-462a-9b20-e970c57c21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9ea57c-d9b2-4bd4-946b-5c3f62f50a0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28A65B-850F-4253-AA71-4A6DC50EB0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9A9116-EC1C-41E3-94B7-BA07676D8999}">
  <ds:schemaRefs>
    <ds:schemaRef ds:uri="http://schemas.microsoft.com/office/2006/metadata/properties"/>
    <ds:schemaRef ds:uri="http://schemas.microsoft.com/office/infopath/2007/PartnerControls"/>
    <ds:schemaRef ds:uri="c91ecf19-f62f-462a-9b20-e970c57c2173"/>
  </ds:schemaRefs>
</ds:datastoreItem>
</file>

<file path=customXml/itemProps3.xml><?xml version="1.0" encoding="utf-8"?>
<ds:datastoreItem xmlns:ds="http://schemas.openxmlformats.org/officeDocument/2006/customXml" ds:itemID="{CCC37D8A-C410-46E8-8802-CE463D69A3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1ecf19-f62f-462a-9b20-e970c57c2173"/>
    <ds:schemaRef ds:uri="339ea57c-d9b2-4bd4-946b-5c3f62f50a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Cotización</vt:lpstr>
      <vt:lpstr>Cotización Ajuste 15-oct-2026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Claudia Patricia Ahumada Sabalza</dc:creator>
  <cp:keywords/>
  <dc:description/>
  <cp:lastModifiedBy>Laura Andrea Botero Salazar</cp:lastModifiedBy>
  <cp:revision/>
  <dcterms:created xsi:type="dcterms:W3CDTF">2023-03-27T17:21:57Z</dcterms:created>
  <dcterms:modified xsi:type="dcterms:W3CDTF">2026-10-16T00:29:11Z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0x0101004BD868D9D540A74D93406CCF09A9E7B2</vt:lpwstr>
  </property>
</Properties>
</file>