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romulo.donato\Desktop\SECRETARÍA DE SEGURIDAD\DIRECCIÓN RECURSOS FÍSICOS\CONTRATOS ASIGNADOS\CONTRATO GPS\ADICIÓN Y PRÓRROGA\NUEVO CONTRATO 2026\"/>
    </mc:Choice>
  </mc:AlternateContent>
  <xr:revisionPtr revIDLastSave="0" documentId="8_{FA06B0C6-D519-4424-84BD-38DB6BAF042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ecio ref SCJ-MC-003-2025" sheetId="1" r:id="rId1"/>
    <sheet name="estudio de mercad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" i="2" l="1"/>
  <c r="O17" i="2"/>
  <c r="D10" i="2" l="1"/>
  <c r="G4" i="2"/>
  <c r="J3" i="2"/>
  <c r="H3" i="2"/>
  <c r="G3" i="2"/>
  <c r="D9" i="2" s="1"/>
  <c r="F8" i="1"/>
  <c r="F7" i="1"/>
  <c r="F9" i="1" s="1"/>
  <c r="G6" i="1"/>
  <c r="H4" i="2" s="1"/>
  <c r="G5" i="1"/>
  <c r="D11" i="2" l="1"/>
  <c r="D17" i="2" s="1"/>
  <c r="N18" i="2" s="1"/>
  <c r="D12" i="2"/>
  <c r="D13" i="2" s="1"/>
  <c r="I17" i="2"/>
  <c r="K17" i="2" s="1"/>
  <c r="N17" i="2"/>
  <c r="H5" i="2"/>
  <c r="G5" i="2"/>
  <c r="F5" i="2"/>
  <c r="E5" i="2"/>
  <c r="F12" i="2" s="1"/>
  <c r="E10" i="2"/>
  <c r="F10" i="2" s="1"/>
  <c r="E12" i="2"/>
  <c r="E11" i="2"/>
  <c r="E9" i="2"/>
  <c r="F9" i="2" s="1"/>
  <c r="F13" i="2" l="1"/>
  <c r="E13" i="2"/>
  <c r="D18" i="2"/>
  <c r="F11" i="2"/>
  <c r="I18" i="2" l="1"/>
  <c r="K18" i="2" s="1"/>
  <c r="K19" i="2" s="1"/>
  <c r="P18" i="2"/>
  <c r="P17" i="2" l="1"/>
  <c r="P19" i="2" l="1"/>
</calcChain>
</file>

<file path=xl/sharedStrings.xml><?xml version="1.0" encoding="utf-8"?>
<sst xmlns="http://schemas.openxmlformats.org/spreadsheetml/2006/main" count="69" uniqueCount="66">
  <si>
    <t xml:space="preserve"> </t>
  </si>
  <si>
    <t xml:space="preserve">Item </t>
  </si>
  <si>
    <t xml:space="preserve">Descripción </t>
  </si>
  <si>
    <t xml:space="preserve">Cantidad </t>
  </si>
  <si>
    <t>Valor Precio Unitario establecido en Estudio de Mercado 2025</t>
  </si>
  <si>
    <t xml:space="preserve">Valor Precio </t>
  </si>
  <si>
    <t xml:space="preserve">Valor total </t>
  </si>
  <si>
    <t>Indexación UNITARIOS</t>
  </si>
  <si>
    <t xml:space="preserve">Unitario IVA </t>
  </si>
  <si>
    <t>IPC 2026 anual</t>
  </si>
  <si>
    <t xml:space="preserve">(19%) INCLUIDO </t>
  </si>
  <si>
    <t xml:space="preserve">INSTALACIÓN GPS </t>
  </si>
  <si>
    <t xml:space="preserve">MONITOREO Y LOCALIZACIÓN </t>
  </si>
  <si>
    <t xml:space="preserve">  </t>
  </si>
  <si>
    <t xml:space="preserve">1. TOTAL MONITOREO Y LOCALIZACIÓN VALOR PRIMER MES </t>
  </si>
  <si>
    <t xml:space="preserve">2. TOTAL MENSUAL MONITOREO Y LOCALIZACIÓN VALOR MES 2 AL 11 </t>
  </si>
  <si>
    <t xml:space="preserve">3. TOTAL MONITOREO Y LOCALIZACIÓN POR 11 MESES </t>
  </si>
  <si>
    <t>Item</t>
  </si>
  <si>
    <t>Descripción</t>
  </si>
  <si>
    <t>Cantidad</t>
  </si>
  <si>
    <t>NEFOX</t>
  </si>
  <si>
    <t>LOGITRACS</t>
  </si>
  <si>
    <t>SATRACK</t>
  </si>
  <si>
    <t>HISTÓRICO ESTUDIO MERCADO 2025 INDEXADO</t>
  </si>
  <si>
    <t>PARÁMETROS DEL CÁLCULO</t>
  </si>
  <si>
    <t>Instalación y puesta en funcionamiento – valor unitario incluido IVA</t>
  </si>
  <si>
    <t>Cantidad de vehículos</t>
  </si>
  <si>
    <t>ANÁLISIS ESTADÍSTICO DE LOS PRECIOS</t>
  </si>
  <si>
    <t>MEDIDA</t>
  </si>
  <si>
    <t>INSTALACIÓN UNITARIA</t>
  </si>
  <si>
    <t>MONITOREO UNITARIO / MES</t>
  </si>
  <si>
    <t>RESULTADO TOTAL</t>
  </si>
  <si>
    <t>ANÁLISIS</t>
  </si>
  <si>
    <t>PROMEDIO ARITMÉTICO</t>
  </si>
  <si>
    <t>MEDIANA</t>
  </si>
  <si>
    <t>MEDIA ARMÓNICA</t>
  </si>
  <si>
    <t>DESVIACIÓN ESTÁNDAR  (DESVESTA)</t>
  </si>
  <si>
    <t>La dispersión es especialmente alta en el componente de instalación.</t>
  </si>
  <si>
    <t>COEFICIENTE DE VARIACIÓN</t>
  </si>
  <si>
    <t>La instalación y el total presentan alta heterogeneidad; el máximo no es representativo.</t>
  </si>
  <si>
    <t>VALOR PARA EL PRESUPUESTO</t>
  </si>
  <si>
    <t>Rubro</t>
  </si>
  <si>
    <t>Criterio seleccionado</t>
  </si>
  <si>
    <t>Valor por 39 vehículos</t>
  </si>
  <si>
    <t>Totales</t>
  </si>
  <si>
    <t>No. Vehículos</t>
  </si>
  <si>
    <t>Inversión 314</t>
  </si>
  <si>
    <t>Rastreo, monitoreo y localización - vehículo/mes</t>
  </si>
  <si>
    <t>Funcionamiento</t>
  </si>
  <si>
    <t>TOTAL</t>
  </si>
  <si>
    <t>Rastreo, monitoreo y localización – vehículo/mes, incluido IVA cuando haya lugar</t>
  </si>
  <si>
    <t>Meses de monitoreo (plazo ajustado)</t>
  </si>
  <si>
    <t>TOTAL: INSTALACIÓN + 7 MESES DE MONITOREO</t>
  </si>
  <si>
    <t>El promedio aritmético se eleva por la cotización atípicamente alta de instalación.</t>
  </si>
  <si>
    <t>La mediana es una referencia robusta frente a valores extremos, pero no es el criterio seleccionado.</t>
  </si>
  <si>
    <t>DISTRIBUCIÓN DEL PRESUPUESTO POR RUBRO</t>
  </si>
  <si>
    <t>MEDIA ARMÓNICA UNITARIA POR COMPONENTE</t>
  </si>
  <si>
    <t>Valor total (instalación + 7 meses de monitoreo)</t>
  </si>
  <si>
    <t>PRESUPUESTO TOTAL - 39 VEHÍCULOS Y 7 MESES (INSTALACIÓN MÁS SIETE MESES DE MONITOREO)</t>
  </si>
  <si>
    <t>Nota:se ajusta a siete (7) meses de acuerdo con el resultado del estudio de mercado y la disponibilidad presupuestal de la Entidad.</t>
  </si>
  <si>
    <t>Meses</t>
  </si>
  <si>
    <t>Instalación y puesta en funcionamiento - unitario (Cobro único en primer mes)</t>
  </si>
  <si>
    <t>Valor instalación (único cobro)</t>
  </si>
  <si>
    <t>Servicio Monitoreo 7 meses</t>
  </si>
  <si>
    <t>Criterio seleccionado: reduce el efecto del valor alto de instalación sin excluir todas las cotizaciones</t>
  </si>
  <si>
    <t>JUSTIFICACIÓN: Se adopta la media armónica por componente porque las cuatro referencias son positivas y comparables y la instalación presenta un valor considerablemente superior. La medida reduce la incidencia del extremo sin excluir ninguna cotización y mantiene el resultado dentro del rango de mercado. Con unitarios redondeados al peso, el presupuesto corresponde a 39 vehículos, un único cobro de instalación y siete (7) meses de monitoreo.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</si>
</sst>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  <numFmt numFmtId="165" formatCode="&quot;$&quot;\ #,##0.00"/>
    <numFmt numFmtId="166" formatCode="&quot;$&quot;\ #,##0"/>
    <numFmt numFmtId="167" formatCode="_-* #,##0.0_-;\-* #,##0.0_-;_-* &quot;-&quot;??_-;_-@_-"/>
    <numFmt numFmtId="168" formatCode="#,##0.0"/>
  </numFmts>
  <fonts count="19" x14ac:knownFonts="1">
    <font>
      <sz val="11"/>
      <color theme="1"/>
      <name val="Aptos Narrow"/>
    </font>
    <font>
      <sz val="11"/>
      <color theme="1"/>
      <name val="Aptos Narrow"/>
      <family val="2"/>
    </font>
    <font>
      <sz val="11"/>
      <color rgb="FF000000"/>
      <name val="Arial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ptos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11"/>
      <name val="Aptos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9"/>
      <name val="Aptos Narrow"/>
      <family val="2"/>
    </font>
    <font>
      <b/>
      <sz val="12"/>
      <name val="Arial Narrow"/>
      <family val="2"/>
    </font>
    <font>
      <b/>
      <sz val="11"/>
      <name val="Aptos Narrow"/>
      <family val="2"/>
    </font>
    <font>
      <b/>
      <sz val="11"/>
      <name val="Arial Narrow"/>
      <family val="2"/>
    </font>
    <font>
      <i/>
      <sz val="1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E7E6E6"/>
      </patternFill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8F9FA"/>
      </patternFill>
    </fill>
    <fill>
      <patternFill patternType="solid">
        <fgColor theme="9" tint="0.79995117038483843"/>
        <bgColor indexed="65"/>
      </patternFill>
    </fill>
  </fills>
  <borders count="61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medium">
        <color indexed="64"/>
      </right>
      <top style="thin">
        <color rgb="FFBFBFBF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medium">
        <color indexed="64"/>
      </top>
      <bottom style="thin">
        <color rgb="FFBFBFBF"/>
      </bottom>
      <diagonal/>
    </border>
    <border>
      <left/>
      <right/>
      <top style="medium">
        <color indexed="64"/>
      </top>
      <bottom style="thin">
        <color rgb="FFBFBFBF"/>
      </bottom>
      <diagonal/>
    </border>
    <border>
      <left/>
      <right style="medium">
        <color indexed="64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left" vertical="center" wrapText="1"/>
    </xf>
    <xf numFmtId="164" fontId="0" fillId="0" borderId="0" xfId="0" applyNumberFormat="1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4" fontId="6" fillId="0" borderId="16" xfId="1" applyNumberFormat="1" applyFont="1" applyBorder="1" applyAlignment="1">
      <alignment vertical="center" wrapText="1"/>
    </xf>
    <xf numFmtId="164" fontId="5" fillId="0" borderId="21" xfId="0" applyNumberFormat="1" applyFont="1" applyBorder="1" applyAlignment="1">
      <alignment vertical="center" wrapText="1"/>
    </xf>
    <xf numFmtId="43" fontId="0" fillId="0" borderId="0" xfId="1" applyFont="1"/>
    <xf numFmtId="164" fontId="6" fillId="0" borderId="24" xfId="1" applyNumberFormat="1" applyFont="1" applyBorder="1" applyAlignment="1">
      <alignment vertical="center" wrapText="1"/>
    </xf>
    <xf numFmtId="10" fontId="5" fillId="2" borderId="13" xfId="0" applyNumberFormat="1" applyFont="1" applyFill="1" applyBorder="1" applyAlignment="1">
      <alignment horizontal="center" vertical="center" wrapText="1"/>
    </xf>
    <xf numFmtId="164" fontId="7" fillId="0" borderId="23" xfId="0" applyNumberFormat="1" applyFont="1" applyBorder="1"/>
    <xf numFmtId="0" fontId="5" fillId="2" borderId="1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66" fontId="10" fillId="0" borderId="0" xfId="0" applyNumberFormat="1" applyFont="1" applyAlignment="1">
      <alignment horizontal="right" vertical="center" wrapText="1"/>
    </xf>
    <xf numFmtId="0" fontId="10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166" fontId="8" fillId="4" borderId="0" xfId="0" applyNumberFormat="1" applyFont="1" applyFill="1" applyAlignment="1">
      <alignment horizontal="right" vertical="center" wrapText="1"/>
    </xf>
    <xf numFmtId="0" fontId="11" fillId="0" borderId="0" xfId="0" applyFont="1"/>
    <xf numFmtId="0" fontId="8" fillId="6" borderId="22" xfId="0" applyFont="1" applyFill="1" applyBorder="1" applyAlignment="1">
      <alignment vertical="center" wrapText="1"/>
    </xf>
    <xf numFmtId="3" fontId="8" fillId="7" borderId="22" xfId="0" applyNumberFormat="1" applyFont="1" applyFill="1" applyBorder="1" applyAlignment="1">
      <alignment horizontal="center" vertical="center" wrapText="1"/>
    </xf>
    <xf numFmtId="6" fontId="11" fillId="0" borderId="0" xfId="0" applyNumberFormat="1" applyFont="1"/>
    <xf numFmtId="168" fontId="8" fillId="7" borderId="22" xfId="0" applyNumberFormat="1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6" fontId="8" fillId="6" borderId="22" xfId="0" applyNumberFormat="1" applyFont="1" applyFill="1" applyBorder="1" applyAlignment="1">
      <alignment horizontal="center" vertical="center" wrapText="1"/>
    </xf>
    <xf numFmtId="0" fontId="8" fillId="0" borderId="46" xfId="0" applyFont="1" applyBorder="1" applyAlignment="1">
      <alignment vertical="center" wrapText="1"/>
    </xf>
    <xf numFmtId="166" fontId="10" fillId="0" borderId="22" xfId="0" applyNumberFormat="1" applyFont="1" applyBorder="1" applyAlignment="1">
      <alignment horizontal="right" vertical="center" wrapText="1"/>
    </xf>
    <xf numFmtId="166" fontId="11" fillId="0" borderId="0" xfId="0" applyNumberFormat="1" applyFont="1"/>
    <xf numFmtId="0" fontId="8" fillId="0" borderId="48" xfId="0" applyFont="1" applyBorder="1" applyAlignment="1">
      <alignment vertical="center" wrapText="1"/>
    </xf>
    <xf numFmtId="10" fontId="10" fillId="0" borderId="49" xfId="0" applyNumberFormat="1" applyFont="1" applyBorder="1" applyAlignment="1">
      <alignment horizontal="right" vertical="center" wrapText="1"/>
    </xf>
    <xf numFmtId="0" fontId="13" fillId="0" borderId="0" xfId="0" applyFont="1"/>
    <xf numFmtId="0" fontId="8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9" fillId="6" borderId="28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164" fontId="13" fillId="0" borderId="0" xfId="1" applyNumberFormat="1" applyFont="1"/>
    <xf numFmtId="164" fontId="9" fillId="0" borderId="56" xfId="1" applyNumberFormat="1" applyFont="1" applyBorder="1" applyAlignment="1">
      <alignment horizontal="center" vertical="center" wrapText="1"/>
    </xf>
    <xf numFmtId="164" fontId="9" fillId="0" borderId="55" xfId="1" applyNumberFormat="1" applyFont="1" applyBorder="1" applyAlignment="1">
      <alignment horizontal="center" vertical="center" wrapText="1"/>
    </xf>
    <xf numFmtId="167" fontId="9" fillId="0" borderId="57" xfId="1" applyNumberFormat="1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 wrapText="1"/>
    </xf>
    <xf numFmtId="166" fontId="11" fillId="0" borderId="27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66" fontId="11" fillId="0" borderId="30" xfId="0" applyNumberFormat="1" applyFont="1" applyBorder="1" applyAlignment="1">
      <alignment horizontal="right" vertical="center"/>
    </xf>
    <xf numFmtId="164" fontId="13" fillId="0" borderId="53" xfId="1" applyNumberFormat="1" applyFont="1" applyBorder="1" applyAlignment="1">
      <alignment horizontal="center"/>
    </xf>
    <xf numFmtId="164" fontId="13" fillId="0" borderId="53" xfId="1" applyNumberFormat="1" applyFont="1" applyBorder="1"/>
    <xf numFmtId="164" fontId="13" fillId="0" borderId="54" xfId="1" applyNumberFormat="1" applyFont="1" applyBorder="1"/>
    <xf numFmtId="164" fontId="13" fillId="0" borderId="58" xfId="1" applyNumberFormat="1" applyFont="1" applyBorder="1"/>
    <xf numFmtId="0" fontId="12" fillId="0" borderId="59" xfId="0" applyFont="1" applyBorder="1" applyAlignment="1">
      <alignment horizontal="left"/>
    </xf>
    <xf numFmtId="0" fontId="8" fillId="6" borderId="38" xfId="0" applyFont="1" applyFill="1" applyBorder="1" applyAlignment="1">
      <alignment horizontal="center" vertical="center" wrapText="1"/>
    </xf>
    <xf numFmtId="166" fontId="11" fillId="0" borderId="36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166" fontId="11" fillId="0" borderId="35" xfId="0" applyNumberFormat="1" applyFont="1" applyBorder="1" applyAlignment="1">
      <alignment horizontal="right" vertical="center"/>
    </xf>
    <xf numFmtId="164" fontId="13" fillId="0" borderId="51" xfId="1" applyNumberFormat="1" applyFont="1" applyBorder="1" applyAlignment="1">
      <alignment horizontal="center"/>
    </xf>
    <xf numFmtId="164" fontId="13" fillId="0" borderId="51" xfId="1" applyNumberFormat="1" applyFont="1" applyBorder="1"/>
    <xf numFmtId="164" fontId="13" fillId="0" borderId="52" xfId="1" applyNumberFormat="1" applyFont="1" applyBorder="1"/>
    <xf numFmtId="164" fontId="13" fillId="0" borderId="39" xfId="1" applyNumberFormat="1" applyFont="1" applyBorder="1"/>
    <xf numFmtId="0" fontId="12" fillId="0" borderId="60" xfId="0" applyFont="1" applyBorder="1" applyAlignment="1">
      <alignment horizontal="left"/>
    </xf>
    <xf numFmtId="0" fontId="8" fillId="6" borderId="27" xfId="0" applyFont="1" applyFill="1" applyBorder="1" applyAlignment="1">
      <alignment horizontal="center" vertical="center" wrapText="1"/>
    </xf>
    <xf numFmtId="0" fontId="11" fillId="10" borderId="32" xfId="0" applyFont="1" applyFill="1" applyBorder="1" applyAlignment="1">
      <alignment horizontal="center" vertical="center"/>
    </xf>
    <xf numFmtId="166" fontId="16" fillId="10" borderId="11" xfId="0" applyNumberFormat="1" applyFont="1" applyFill="1" applyBorder="1" applyAlignment="1">
      <alignment horizontal="right" vertical="center"/>
    </xf>
    <xf numFmtId="164" fontId="17" fillId="0" borderId="0" xfId="1" applyNumberFormat="1" applyFont="1" applyAlignment="1">
      <alignment horizontal="center"/>
    </xf>
    <xf numFmtId="164" fontId="13" fillId="0" borderId="36" xfId="1" applyNumberFormat="1" applyFont="1" applyBorder="1"/>
    <xf numFmtId="0" fontId="18" fillId="9" borderId="25" xfId="0" applyFont="1" applyFill="1" applyBorder="1" applyAlignment="1">
      <alignment vertical="center" wrapText="1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10" fillId="6" borderId="32" xfId="0" applyFont="1" applyFill="1" applyBorder="1" applyAlignment="1">
      <alignment horizontal="left" vertical="center" wrapText="1"/>
    </xf>
    <xf numFmtId="0" fontId="18" fillId="9" borderId="31" xfId="0" applyFont="1" applyFill="1" applyBorder="1" applyAlignment="1">
      <alignment horizontal="center" vertical="center" wrapText="1"/>
    </xf>
    <xf numFmtId="0" fontId="18" fillId="9" borderId="32" xfId="0" applyFont="1" applyFill="1" applyBorder="1" applyAlignment="1">
      <alignment horizontal="center" vertical="center" wrapText="1"/>
    </xf>
    <xf numFmtId="0" fontId="18" fillId="9" borderId="11" xfId="0" applyFont="1" applyFill="1" applyBorder="1" applyAlignment="1">
      <alignment horizontal="center" vertical="center" wrapText="1"/>
    </xf>
    <xf numFmtId="0" fontId="18" fillId="9" borderId="33" xfId="0" applyFont="1" applyFill="1" applyBorder="1" applyAlignment="1">
      <alignment horizontal="center" vertical="center" wrapText="1"/>
    </xf>
    <xf numFmtId="0" fontId="18" fillId="9" borderId="34" xfId="0" applyFont="1" applyFill="1" applyBorder="1" applyAlignment="1">
      <alignment horizontal="center" vertical="center" wrapText="1"/>
    </xf>
    <xf numFmtId="0" fontId="18" fillId="9" borderId="35" xfId="0" applyFont="1" applyFill="1" applyBorder="1" applyAlignment="1">
      <alignment horizontal="center" vertical="center" wrapText="1"/>
    </xf>
    <xf numFmtId="0" fontId="8" fillId="8" borderId="39" xfId="0" applyFont="1" applyFill="1" applyBorder="1" applyAlignment="1">
      <alignment horizontal="center" vertical="center"/>
    </xf>
    <xf numFmtId="0" fontId="8" fillId="8" borderId="40" xfId="0" applyFont="1" applyFill="1" applyBorder="1" applyAlignment="1">
      <alignment horizontal="center" vertical="center"/>
    </xf>
    <xf numFmtId="0" fontId="8" fillId="8" borderId="41" xfId="0" applyFont="1" applyFill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 wrapText="1"/>
    </xf>
    <xf numFmtId="165" fontId="10" fillId="0" borderId="29" xfId="0" applyNumberFormat="1" applyFont="1" applyBorder="1" applyAlignment="1">
      <alignment horizontal="center" vertical="center" wrapText="1"/>
    </xf>
    <xf numFmtId="165" fontId="10" fillId="0" borderId="30" xfId="0" applyNumberFormat="1" applyFont="1" applyBorder="1" applyAlignment="1">
      <alignment horizontal="center" vertical="center" wrapText="1"/>
    </xf>
    <xf numFmtId="165" fontId="10" fillId="0" borderId="33" xfId="0" applyNumberFormat="1" applyFont="1" applyBorder="1" applyAlignment="1">
      <alignment horizontal="center" vertical="center" wrapText="1"/>
    </xf>
    <xf numFmtId="165" fontId="10" fillId="0" borderId="34" xfId="0" applyNumberFormat="1" applyFont="1" applyBorder="1" applyAlignment="1">
      <alignment horizontal="center" vertical="center" wrapText="1"/>
    </xf>
    <xf numFmtId="165" fontId="10" fillId="0" borderId="35" xfId="0" applyNumberFormat="1" applyFont="1" applyBorder="1" applyAlignment="1">
      <alignment horizontal="center" vertical="center" wrapText="1"/>
    </xf>
    <xf numFmtId="166" fontId="15" fillId="10" borderId="31" xfId="0" applyNumberFormat="1" applyFont="1" applyFill="1" applyBorder="1" applyAlignment="1">
      <alignment horizontal="center" vertical="center" wrapText="1"/>
    </xf>
    <xf numFmtId="166" fontId="15" fillId="10" borderId="32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2" fillId="0" borderId="47" xfId="0" applyFont="1" applyBorder="1" applyAlignment="1">
      <alignment vertical="center" wrapText="1"/>
    </xf>
    <xf numFmtId="0" fontId="12" fillId="0" borderId="49" xfId="0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9" fillId="5" borderId="42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6" fontId="12" fillId="0" borderId="22" xfId="0" applyNumberFormat="1" applyFont="1" applyBorder="1" applyAlignment="1">
      <alignment vertical="center" wrapText="1"/>
    </xf>
    <xf numFmtId="6" fontId="12" fillId="0" borderId="47" xfId="0" applyNumberFormat="1" applyFont="1" applyBorder="1" applyAlignment="1">
      <alignment vertical="center" wrapText="1"/>
    </xf>
    <xf numFmtId="0" fontId="8" fillId="5" borderId="43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45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2">
    <cellStyle name="Millares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workbookViewId="0">
      <selection activeCell="H14" sqref="H14"/>
    </sheetView>
  </sheetViews>
  <sheetFormatPr baseColWidth="10" defaultRowHeight="15" x14ac:dyDescent="0.25"/>
  <cols>
    <col min="1" max="1" width="5.7109375" customWidth="1"/>
    <col min="2" max="2" width="27.7109375" customWidth="1"/>
    <col min="3" max="3" width="7.140625" customWidth="1"/>
    <col min="5" max="5" width="12.42578125" customWidth="1"/>
    <col min="7" max="7" width="14.140625" customWidth="1"/>
  </cols>
  <sheetData>
    <row r="1" spans="1:9" ht="15.75" x14ac:dyDescent="0.25">
      <c r="A1" s="7" t="s">
        <v>0</v>
      </c>
      <c r="B1" s="8" t="s">
        <v>0</v>
      </c>
      <c r="C1" s="9" t="s">
        <v>0</v>
      </c>
      <c r="D1" s="10"/>
      <c r="E1" s="126"/>
      <c r="F1" s="126"/>
    </row>
    <row r="2" spans="1:9" ht="22.5" x14ac:dyDescent="0.25">
      <c r="A2" s="127" t="s">
        <v>1</v>
      </c>
      <c r="B2" s="130" t="s">
        <v>2</v>
      </c>
      <c r="C2" s="130" t="s">
        <v>3</v>
      </c>
      <c r="D2" s="133" t="s">
        <v>4</v>
      </c>
      <c r="E2" s="11" t="s">
        <v>5</v>
      </c>
      <c r="F2" s="120" t="s">
        <v>6</v>
      </c>
      <c r="G2" s="19" t="s">
        <v>7</v>
      </c>
    </row>
    <row r="3" spans="1:9" x14ac:dyDescent="0.25">
      <c r="A3" s="128"/>
      <c r="B3" s="131"/>
      <c r="C3" s="131"/>
      <c r="D3" s="134"/>
      <c r="E3" s="1" t="s">
        <v>8</v>
      </c>
      <c r="F3" s="121"/>
      <c r="G3" s="20" t="s">
        <v>9</v>
      </c>
    </row>
    <row r="4" spans="1:9" ht="22.5" x14ac:dyDescent="0.25">
      <c r="A4" s="129"/>
      <c r="B4" s="132"/>
      <c r="C4" s="132"/>
      <c r="D4" s="135"/>
      <c r="E4" s="2" t="s">
        <v>10</v>
      </c>
      <c r="F4" s="122"/>
      <c r="G4" s="17">
        <v>5.0999999999999997E-2</v>
      </c>
    </row>
    <row r="5" spans="1:9" ht="15.75" x14ac:dyDescent="0.25">
      <c r="A5" s="12">
        <v>1</v>
      </c>
      <c r="B5" s="3" t="s">
        <v>11</v>
      </c>
      <c r="C5" s="4">
        <v>39</v>
      </c>
      <c r="D5" s="5">
        <v>20976</v>
      </c>
      <c r="E5" s="5">
        <v>24961</v>
      </c>
      <c r="F5" s="16">
        <v>973479</v>
      </c>
      <c r="G5" s="18">
        <f>ROUND(E5*1.051,0)</f>
        <v>26234</v>
      </c>
      <c r="I5">
        <v>25000</v>
      </c>
    </row>
    <row r="6" spans="1:9" ht="13.5" customHeight="1" x14ac:dyDescent="0.25">
      <c r="A6" s="12">
        <v>2</v>
      </c>
      <c r="B6" s="3" t="s">
        <v>12</v>
      </c>
      <c r="C6" s="4">
        <v>39</v>
      </c>
      <c r="D6" s="5">
        <v>46136</v>
      </c>
      <c r="E6" s="5" t="s">
        <v>13</v>
      </c>
      <c r="F6" s="16">
        <v>1799304</v>
      </c>
      <c r="G6" s="18">
        <f>ROUND(D6*1.051,0)</f>
        <v>48489</v>
      </c>
      <c r="I6">
        <v>32051</v>
      </c>
    </row>
    <row r="7" spans="1:9" x14ac:dyDescent="0.25">
      <c r="A7" s="123" t="s">
        <v>14</v>
      </c>
      <c r="B7" s="124"/>
      <c r="C7" s="124"/>
      <c r="D7" s="124"/>
      <c r="E7" s="125"/>
      <c r="F7" s="13">
        <f>SUM(F5:F6)</f>
        <v>2772783</v>
      </c>
      <c r="G7" s="15"/>
    </row>
    <row r="8" spans="1:9" x14ac:dyDescent="0.25">
      <c r="A8" s="123" t="s">
        <v>15</v>
      </c>
      <c r="B8" s="124"/>
      <c r="C8" s="124"/>
      <c r="D8" s="124"/>
      <c r="E8" s="125"/>
      <c r="F8" s="13">
        <f>F6*10</f>
        <v>17993040</v>
      </c>
      <c r="G8" s="6"/>
    </row>
    <row r="9" spans="1:9" x14ac:dyDescent="0.25">
      <c r="A9" s="117" t="s">
        <v>16</v>
      </c>
      <c r="B9" s="118"/>
      <c r="C9" s="118"/>
      <c r="D9" s="118"/>
      <c r="E9" s="119"/>
      <c r="F9" s="14">
        <f>SUM(F7:F8)</f>
        <v>20765823</v>
      </c>
    </row>
  </sheetData>
  <mergeCells count="9">
    <mergeCell ref="A9:E9"/>
    <mergeCell ref="F2:F4"/>
    <mergeCell ref="A7:E7"/>
    <mergeCell ref="A8:E8"/>
    <mergeCell ref="E1:F1"/>
    <mergeCell ref="A2:A4"/>
    <mergeCell ref="B2:B4"/>
    <mergeCell ref="C2:C4"/>
    <mergeCell ref="D2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22"/>
  <sheetViews>
    <sheetView showGridLines="0" tabSelected="1" topLeftCell="A10" zoomScaleNormal="100" workbookViewId="0">
      <selection activeCell="C10" sqref="C10"/>
    </sheetView>
  </sheetViews>
  <sheetFormatPr baseColWidth="10" defaultColWidth="11.5703125" defaultRowHeight="15" x14ac:dyDescent="0.25"/>
  <cols>
    <col min="1" max="1" width="3.28515625" style="30" customWidth="1"/>
    <col min="2" max="2" width="6" style="30" customWidth="1"/>
    <col min="3" max="3" width="50" style="30" customWidth="1"/>
    <col min="4" max="4" width="11.42578125" style="30" customWidth="1"/>
    <col min="5" max="5" width="12" style="30" customWidth="1"/>
    <col min="6" max="6" width="13" style="30" customWidth="1"/>
    <col min="7" max="7" width="13.85546875" style="30" customWidth="1"/>
    <col min="8" max="8" width="15.28515625" style="30" customWidth="1"/>
    <col min="9" max="9" width="25" style="30" customWidth="1"/>
    <col min="10" max="10" width="9.85546875" style="30" customWidth="1"/>
    <col min="11" max="11" width="14" style="30" customWidth="1"/>
    <col min="12" max="12" width="9.42578125" style="30" customWidth="1"/>
    <col min="13" max="13" width="7.7109375" style="30" customWidth="1"/>
    <col min="14" max="14" width="13.7109375" style="30" customWidth="1"/>
    <col min="15" max="15" width="13.5703125" style="30" customWidth="1"/>
    <col min="16" max="16" width="13.140625" style="30" customWidth="1"/>
    <col min="17" max="17" width="14.42578125" style="30" customWidth="1"/>
    <col min="18" max="18" width="12.42578125" style="30" customWidth="1"/>
    <col min="19" max="16384" width="11.5703125" style="30"/>
  </cols>
  <sheetData>
    <row r="2" spans="2:17" ht="42.75" customHeight="1" x14ac:dyDescent="0.25">
      <c r="B2" s="21" t="s">
        <v>17</v>
      </c>
      <c r="C2" s="21" t="s">
        <v>18</v>
      </c>
      <c r="D2" s="21" t="s">
        <v>19</v>
      </c>
      <c r="E2" s="22" t="s">
        <v>20</v>
      </c>
      <c r="F2" s="22" t="s">
        <v>21</v>
      </c>
      <c r="G2" s="22" t="s">
        <v>22</v>
      </c>
      <c r="H2" s="23" t="s">
        <v>23</v>
      </c>
      <c r="I2" s="108" t="s">
        <v>24</v>
      </c>
      <c r="J2" s="109"/>
    </row>
    <row r="3" spans="2:17" x14ac:dyDescent="0.25">
      <c r="B3" s="24">
        <v>1</v>
      </c>
      <c r="C3" s="25" t="s">
        <v>25</v>
      </c>
      <c r="D3" s="24">
        <v>39</v>
      </c>
      <c r="E3" s="26">
        <v>30000</v>
      </c>
      <c r="F3" s="26">
        <v>420000</v>
      </c>
      <c r="G3" s="26">
        <f>ROUND((111515-8921)*1.19,0)</f>
        <v>122087</v>
      </c>
      <c r="H3" s="26">
        <f>ROUND('Precio ref SCJ-MC-003-2025'!G5,0)</f>
        <v>26234</v>
      </c>
      <c r="I3" s="31" t="s">
        <v>26</v>
      </c>
      <c r="J3" s="32">
        <f>$D$3</f>
        <v>39</v>
      </c>
      <c r="K3" s="33"/>
    </row>
    <row r="4" spans="2:17" ht="25.5" x14ac:dyDescent="0.25">
      <c r="B4" s="24">
        <v>2</v>
      </c>
      <c r="C4" s="25" t="s">
        <v>50</v>
      </c>
      <c r="D4" s="24">
        <v>39</v>
      </c>
      <c r="E4" s="26">
        <v>30000</v>
      </c>
      <c r="F4" s="26">
        <v>60000</v>
      </c>
      <c r="G4" s="26">
        <f>ROUND(74762-7476,0)</f>
        <v>67286</v>
      </c>
      <c r="H4" s="26">
        <f>ROUND('Precio ref SCJ-MC-003-2025'!G6,0)</f>
        <v>48489</v>
      </c>
      <c r="I4" s="31" t="s">
        <v>51</v>
      </c>
      <c r="J4" s="34">
        <v>7</v>
      </c>
    </row>
    <row r="5" spans="2:17" x14ac:dyDescent="0.25">
      <c r="B5" s="27"/>
      <c r="C5" s="28" t="s">
        <v>52</v>
      </c>
      <c r="D5" s="27"/>
      <c r="E5" s="29">
        <f>ROUND($J$3*(E3+$J$4*E4),0)</f>
        <v>9360000</v>
      </c>
      <c r="F5" s="29">
        <f>ROUND($J$3*(F3+$J$4*F4),0)</f>
        <v>32760000</v>
      </c>
      <c r="G5" s="29">
        <f>ROUND($J$3*(G3+$J$4*G4),0)</f>
        <v>23130471</v>
      </c>
      <c r="H5" s="29">
        <f>ROUND($J$3*(H3+$J$4*H4),0)</f>
        <v>14260623</v>
      </c>
    </row>
    <row r="6" spans="2:17" x14ac:dyDescent="0.25">
      <c r="E6" s="33"/>
    </row>
    <row r="7" spans="2:17" ht="19.899999999999999" customHeight="1" x14ac:dyDescent="0.25">
      <c r="C7" s="114" t="s">
        <v>27</v>
      </c>
      <c r="D7" s="115"/>
      <c r="E7" s="115"/>
      <c r="F7" s="115"/>
      <c r="G7" s="115"/>
      <c r="H7" s="116"/>
    </row>
    <row r="8" spans="2:17" ht="38.450000000000003" customHeight="1" x14ac:dyDescent="0.25">
      <c r="C8" s="35" t="s">
        <v>28</v>
      </c>
      <c r="D8" s="36" t="s">
        <v>29</v>
      </c>
      <c r="E8" s="37" t="s">
        <v>30</v>
      </c>
      <c r="F8" s="36" t="s">
        <v>31</v>
      </c>
      <c r="G8" s="110" t="s">
        <v>32</v>
      </c>
      <c r="H8" s="111"/>
    </row>
    <row r="9" spans="2:17" ht="33.6" customHeight="1" x14ac:dyDescent="0.25">
      <c r="C9" s="38" t="s">
        <v>33</v>
      </c>
      <c r="D9" s="39">
        <f>AVERAGE(E3:H3)</f>
        <v>149580.25</v>
      </c>
      <c r="E9" s="39">
        <f>AVERAGE(E4:H4)</f>
        <v>51443.75</v>
      </c>
      <c r="F9" s="39">
        <f>ROUND($J$3*(D9+$J$4*E9),0)</f>
        <v>19877774</v>
      </c>
      <c r="G9" s="112" t="s">
        <v>53</v>
      </c>
      <c r="H9" s="113"/>
    </row>
    <row r="10" spans="2:17" ht="44.45" customHeight="1" x14ac:dyDescent="0.25">
      <c r="C10" s="38" t="s">
        <v>34</v>
      </c>
      <c r="D10" s="39">
        <f>ROUND(MEDIAN(E3:H3),0)</f>
        <v>76044</v>
      </c>
      <c r="E10" s="39">
        <f>ROUND(MEDIAN(E4:H4),0)</f>
        <v>54245</v>
      </c>
      <c r="F10" s="39">
        <f>ROUND($J$3*(D10+$J$4*E10),0)</f>
        <v>17774601</v>
      </c>
      <c r="G10" s="101" t="s">
        <v>54</v>
      </c>
      <c r="H10" s="102"/>
      <c r="I10" s="40"/>
      <c r="K10" s="40"/>
    </row>
    <row r="11" spans="2:17" ht="38.450000000000003" customHeight="1" x14ac:dyDescent="0.25">
      <c r="C11" s="38" t="s">
        <v>35</v>
      </c>
      <c r="D11" s="39">
        <f>HARMEAN(E3:H3)</f>
        <v>48766.429870562068</v>
      </c>
      <c r="E11" s="39">
        <f>HARMEAN(E4:H4)</f>
        <v>46791.743534096735</v>
      </c>
      <c r="F11" s="39">
        <f>ROUND($J$3*(ROUND(D11,0)+$J$4*ROUND(E11,0)),0)</f>
        <v>14676090</v>
      </c>
      <c r="G11" s="101" t="s">
        <v>64</v>
      </c>
      <c r="H11" s="102"/>
      <c r="K11" s="40"/>
    </row>
    <row r="12" spans="2:17" ht="37.15" customHeight="1" x14ac:dyDescent="0.25">
      <c r="C12" s="38" t="s">
        <v>36</v>
      </c>
      <c r="D12" s="39">
        <f>STDEVA(E3:H3)</f>
        <v>185648.82041527584</v>
      </c>
      <c r="E12" s="39">
        <f>STDEVA(E4:H4)</f>
        <v>16255.781133184588</v>
      </c>
      <c r="F12" s="39">
        <f>STDEVA(E5:H5)</f>
        <v>10307080.733825024</v>
      </c>
      <c r="G12" s="101" t="s">
        <v>37</v>
      </c>
      <c r="H12" s="102"/>
      <c r="K12" s="40"/>
    </row>
    <row r="13" spans="2:17" ht="40.15" customHeight="1" x14ac:dyDescent="0.25">
      <c r="C13" s="41" t="s">
        <v>38</v>
      </c>
      <c r="D13" s="42">
        <f>D12/D9</f>
        <v>1.2411319035452597</v>
      </c>
      <c r="E13" s="42">
        <f>E12/E9</f>
        <v>0.3159913718028835</v>
      </c>
      <c r="F13" s="42">
        <f>F12/F9</f>
        <v>0.51852288560203086</v>
      </c>
      <c r="G13" s="103" t="s">
        <v>39</v>
      </c>
      <c r="H13" s="104"/>
    </row>
    <row r="14" spans="2:17" ht="17.25" thickBot="1" x14ac:dyDescent="0.35">
      <c r="L14" s="43"/>
      <c r="M14" s="43"/>
      <c r="N14" s="43"/>
      <c r="O14" s="43"/>
      <c r="P14" s="43"/>
      <c r="Q14" s="43"/>
    </row>
    <row r="15" spans="2:17" ht="19.899999999999999" customHeight="1" thickBot="1" x14ac:dyDescent="0.35">
      <c r="C15" s="90" t="s">
        <v>40</v>
      </c>
      <c r="D15" s="91"/>
      <c r="E15" s="91"/>
      <c r="F15" s="91"/>
      <c r="G15" s="91"/>
      <c r="H15" s="91"/>
      <c r="I15" s="91"/>
      <c r="J15" s="91"/>
      <c r="K15" s="92"/>
      <c r="L15" s="43"/>
      <c r="M15" s="80" t="s">
        <v>55</v>
      </c>
      <c r="N15" s="81"/>
      <c r="O15" s="82"/>
      <c r="P15" s="44">
        <v>7</v>
      </c>
      <c r="Q15" s="45" t="s">
        <v>60</v>
      </c>
    </row>
    <row r="16" spans="2:17" ht="52.5" customHeight="1" thickBot="1" x14ac:dyDescent="0.35">
      <c r="B16" s="46"/>
      <c r="C16" s="47" t="s">
        <v>42</v>
      </c>
      <c r="D16" s="105" t="s">
        <v>56</v>
      </c>
      <c r="E16" s="106"/>
      <c r="F16" s="106"/>
      <c r="G16" s="106"/>
      <c r="H16" s="107"/>
      <c r="I16" s="48" t="s">
        <v>43</v>
      </c>
      <c r="J16" s="49" t="s">
        <v>60</v>
      </c>
      <c r="K16" s="50" t="s">
        <v>44</v>
      </c>
      <c r="L16" s="51"/>
      <c r="M16" s="52" t="s">
        <v>45</v>
      </c>
      <c r="N16" s="52" t="s">
        <v>62</v>
      </c>
      <c r="O16" s="53" t="s">
        <v>63</v>
      </c>
      <c r="P16" s="54" t="s">
        <v>57</v>
      </c>
      <c r="Q16" s="55" t="s">
        <v>41</v>
      </c>
    </row>
    <row r="17" spans="2:17" ht="25.7" customHeight="1" thickBot="1" x14ac:dyDescent="0.35">
      <c r="B17" s="46"/>
      <c r="C17" s="56" t="s">
        <v>61</v>
      </c>
      <c r="D17" s="93">
        <f>ROUND(D11,0)</f>
        <v>48766</v>
      </c>
      <c r="E17" s="94"/>
      <c r="F17" s="94"/>
      <c r="G17" s="94"/>
      <c r="H17" s="95"/>
      <c r="I17" s="57">
        <f>D17*39</f>
        <v>1901874</v>
      </c>
      <c r="J17" s="58"/>
      <c r="K17" s="59">
        <f>ROUND(I17*1,0)</f>
        <v>1901874</v>
      </c>
      <c r="L17" s="51"/>
      <c r="M17" s="60">
        <v>6</v>
      </c>
      <c r="N17" s="61">
        <f>$D$17*M17</f>
        <v>292596</v>
      </c>
      <c r="O17" s="62">
        <f>$D$18*M17*P15</f>
        <v>1965264</v>
      </c>
      <c r="P17" s="63">
        <f>SUM(N17:O17)</f>
        <v>2257860</v>
      </c>
      <c r="Q17" s="64" t="s">
        <v>46</v>
      </c>
    </row>
    <row r="18" spans="2:17" ht="25.7" customHeight="1" thickBot="1" x14ac:dyDescent="0.35">
      <c r="B18" s="46"/>
      <c r="C18" s="65" t="s">
        <v>47</v>
      </c>
      <c r="D18" s="96">
        <f>ROUND(E11,0)</f>
        <v>46792</v>
      </c>
      <c r="E18" s="97"/>
      <c r="F18" s="97"/>
      <c r="G18" s="97"/>
      <c r="H18" s="98"/>
      <c r="I18" s="66">
        <f>D18*39</f>
        <v>1824888</v>
      </c>
      <c r="J18" s="67">
        <v>7</v>
      </c>
      <c r="K18" s="68">
        <f>ROUND(I18*J18,0)</f>
        <v>12774216</v>
      </c>
      <c r="L18" s="51"/>
      <c r="M18" s="69">
        <v>33</v>
      </c>
      <c r="N18" s="70">
        <f>$D$17*M18</f>
        <v>1609278</v>
      </c>
      <c r="O18" s="71">
        <f>$D$18*M18*P15</f>
        <v>10808952</v>
      </c>
      <c r="P18" s="72">
        <f>SUM(N18:O18)</f>
        <v>12418230</v>
      </c>
      <c r="Q18" s="73" t="s">
        <v>48</v>
      </c>
    </row>
    <row r="19" spans="2:17" ht="25.7" customHeight="1" thickBot="1" x14ac:dyDescent="0.35">
      <c r="B19" s="46"/>
      <c r="C19" s="74" t="s">
        <v>58</v>
      </c>
      <c r="D19" s="99"/>
      <c r="E19" s="100"/>
      <c r="F19" s="100"/>
      <c r="G19" s="100"/>
      <c r="H19" s="100"/>
      <c r="I19" s="75"/>
      <c r="J19" s="75"/>
      <c r="K19" s="76">
        <f>SUM(K17:K18)</f>
        <v>14676090</v>
      </c>
      <c r="L19" s="51"/>
      <c r="M19" s="51"/>
      <c r="N19" s="51"/>
      <c r="O19" s="77" t="s">
        <v>49</v>
      </c>
      <c r="P19" s="78">
        <f>SUM(P17:P18)</f>
        <v>14676090</v>
      </c>
    </row>
    <row r="20" spans="2:17" ht="27.2" customHeight="1" x14ac:dyDescent="0.3">
      <c r="C20" s="84" t="s">
        <v>65</v>
      </c>
      <c r="D20" s="85"/>
      <c r="E20" s="85"/>
      <c r="F20" s="85"/>
      <c r="G20" s="85"/>
      <c r="H20" s="85"/>
      <c r="I20" s="85"/>
      <c r="J20" s="85"/>
      <c r="K20" s="86"/>
      <c r="L20" s="51"/>
      <c r="M20" s="51"/>
      <c r="N20" s="51"/>
      <c r="O20" s="51"/>
      <c r="P20" s="51"/>
      <c r="Q20" s="51"/>
    </row>
    <row r="21" spans="2:17" ht="27.2" customHeight="1" x14ac:dyDescent="0.3">
      <c r="B21" s="79"/>
      <c r="C21" s="87"/>
      <c r="D21" s="88"/>
      <c r="E21" s="88"/>
      <c r="F21" s="88"/>
      <c r="G21" s="88"/>
      <c r="H21" s="88"/>
      <c r="I21" s="88"/>
      <c r="J21" s="88"/>
      <c r="K21" s="89"/>
      <c r="L21" s="43"/>
      <c r="M21" s="43"/>
      <c r="N21" s="43"/>
      <c r="O21" s="43"/>
      <c r="P21" s="43"/>
      <c r="Q21" s="43"/>
    </row>
    <row r="22" spans="2:17" ht="26.25" customHeight="1" x14ac:dyDescent="0.25">
      <c r="C22" s="83" t="s">
        <v>59</v>
      </c>
      <c r="D22" s="83"/>
      <c r="E22" s="83"/>
      <c r="F22" s="83"/>
      <c r="G22" s="83"/>
      <c r="H22" s="83"/>
      <c r="I22" s="83"/>
      <c r="J22" s="83"/>
      <c r="K22" s="83"/>
    </row>
  </sheetData>
  <mergeCells count="16">
    <mergeCell ref="G11:H11"/>
    <mergeCell ref="G12:H12"/>
    <mergeCell ref="G13:H13"/>
    <mergeCell ref="D16:H16"/>
    <mergeCell ref="I2:J2"/>
    <mergeCell ref="G8:H8"/>
    <mergeCell ref="G9:H9"/>
    <mergeCell ref="G10:H10"/>
    <mergeCell ref="C7:H7"/>
    <mergeCell ref="M15:O15"/>
    <mergeCell ref="C22:K22"/>
    <mergeCell ref="C20:K21"/>
    <mergeCell ref="C15:K15"/>
    <mergeCell ref="D17:H17"/>
    <mergeCell ref="D18:H18"/>
    <mergeCell ref="D19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 ref SCJ-MC-003-2025</vt:lpstr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Moreno</dc:creator>
  <cp:lastModifiedBy>Romulo Walter Donato Guerrero</cp:lastModifiedBy>
  <dcterms:created xsi:type="dcterms:W3CDTF">2026-09-09T02:39:44Z</dcterms:created>
  <dcterms:modified xsi:type="dcterms:W3CDTF">2026-09-11T17:02:20Z</dcterms:modified>
</cp:coreProperties>
</file>