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MACEO\2026\04_SELECCIÓN ABREVIADA\011 - SAMC-SP-011-2026 (Mejoramiento Vivienda)\"/>
    </mc:Choice>
  </mc:AlternateContent>
  <xr:revisionPtr revIDLastSave="0" documentId="13_ncr:1_{9672A484-4E13-4F02-B1CB-9F499A03A1C5}" xr6:coauthVersionLast="47" xr6:coauthVersionMax="47" xr10:uidLastSave="{00000000-0000-0000-0000-000000000000}"/>
  <bookViews>
    <workbookView xWindow="-108" yWindow="-108" windowWidth="23256" windowHeight="12456" tabRatio="500" activeTab="2" xr2:uid="{00000000-000D-0000-FFFF-FFFF00000000}"/>
  </bookViews>
  <sheets>
    <sheet name="Datos Iniciales" sheetId="1" r:id="rId1"/>
    <sheet name="RESUMEN" sheetId="2" r:id="rId2"/>
    <sheet name="PRESUPUESTO" sheetId="3" r:id="rId3"/>
    <sheet name="BENEFICIARIOS" sheetId="4" r:id="rId4"/>
    <sheet name="AU" sheetId="5" r:id="rId5"/>
    <sheet name="LEGALIZACION DE OBRA" sheetId="6" r:id="rId6"/>
    <sheet name="APUS" sheetId="7" r:id="rId7"/>
    <sheet name="MEMORIAS DE CALCULO" sheetId="8" r:id="rId8"/>
    <sheet name="CONCRETOS Y MORTEROS" sheetId="9" r:id="rId9"/>
    <sheet name="INSUMOS" sheetId="10" r:id="rId10"/>
    <sheet name="MATERIAL" sheetId="11" r:id="rId11"/>
    <sheet name="EQUIPOS" sheetId="12" r:id="rId12"/>
    <sheet name="TRANSPORTE" sheetId="13" r:id="rId13"/>
    <sheet name="MANO DE OBRA" sheetId="14" r:id="rId14"/>
    <sheet name="FACTOR PRESTACIONAL" sheetId="15" r:id="rId15"/>
    <sheet name="INSUMOS MANO DE OBRA" sheetId="16" r:id="rId16"/>
    <sheet name="CRONOGRAMA" sheetId="17" r:id="rId17"/>
    <sheet name="ESPECIFICACIONES TECNICAS" sheetId="18" r:id="rId18"/>
  </sheets>
  <definedNames>
    <definedName name="_xlnm.Print_Area" localSheetId="6">APUS!$B$1:$H$2507</definedName>
    <definedName name="_xlnm.Print_Area" localSheetId="2">PRESUPUESTO!$B$1:$I$155</definedName>
    <definedName name="_xlnm.Print_Area" localSheetId="1">RESUMEN!$B$1:$J$24</definedName>
    <definedName name="_xlnm.Print_Titles" localSheetId="7">'MEMORIAS DE CALCULO'!$6:$6</definedName>
    <definedName name="_xlnm.Print_Titles" localSheetId="2">PRESUPUESTO!$5:$5</definedName>
  </definedNames>
  <calcPr calcId="191029" iterateDelta="1E-4"/>
</workbook>
</file>

<file path=xl/calcChain.xml><?xml version="1.0" encoding="utf-8"?>
<calcChain xmlns="http://schemas.openxmlformats.org/spreadsheetml/2006/main">
  <c r="H10" i="5" l="1"/>
  <c r="G10" i="5"/>
  <c r="E8" i="5"/>
  <c r="D8" i="5"/>
  <c r="F127" i="3"/>
  <c r="F128" i="3"/>
  <c r="F129" i="3"/>
  <c r="F130" i="3"/>
  <c r="F131" i="3"/>
  <c r="F132" i="3"/>
  <c r="F133" i="3"/>
  <c r="F134" i="3"/>
  <c r="F135" i="3"/>
  <c r="F136" i="3"/>
  <c r="F137" i="3"/>
  <c r="F126"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83" i="3"/>
  <c r="F74" i="3"/>
  <c r="F75" i="3"/>
  <c r="F76" i="3"/>
  <c r="F77" i="3"/>
  <c r="F78" i="3"/>
  <c r="F79" i="3"/>
  <c r="F80" i="3"/>
  <c r="F81" i="3"/>
  <c r="F73"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34" i="3"/>
  <c r="F32" i="3"/>
  <c r="F31" i="3"/>
  <c r="F30" i="3"/>
  <c r="F29" i="3"/>
  <c r="F28" i="3"/>
  <c r="F27" i="3"/>
  <c r="F26" i="3"/>
  <c r="F25" i="3"/>
  <c r="F24" i="3"/>
  <c r="F23" i="3"/>
  <c r="F22" i="3"/>
  <c r="F21" i="3"/>
  <c r="F20" i="3"/>
  <c r="F19" i="3"/>
  <c r="F18" i="3"/>
  <c r="F17" i="3"/>
  <c r="F16" i="3"/>
  <c r="F15" i="3"/>
  <c r="F14" i="3"/>
  <c r="F13" i="3"/>
  <c r="F12" i="3"/>
  <c r="F11" i="3"/>
  <c r="F10" i="3"/>
  <c r="F9" i="3"/>
  <c r="F8" i="3"/>
  <c r="F7" i="3"/>
  <c r="H9" i="5" l="1"/>
  <c r="E14" i="17"/>
  <c r="F14" i="17" s="1"/>
  <c r="T13" i="17"/>
  <c r="S13" i="17"/>
  <c r="R13" i="17"/>
  <c r="Q13" i="17"/>
  <c r="P13" i="17"/>
  <c r="O13" i="17"/>
  <c r="N13" i="17"/>
  <c r="M13" i="17"/>
  <c r="L13" i="17"/>
  <c r="K13" i="17"/>
  <c r="J13" i="17"/>
  <c r="I13" i="17"/>
  <c r="H13" i="17"/>
  <c r="G13" i="17"/>
  <c r="F13" i="17"/>
  <c r="T12" i="17"/>
  <c r="S12" i="17"/>
  <c r="R12" i="17"/>
  <c r="Q12" i="17"/>
  <c r="P12" i="17"/>
  <c r="O12" i="17"/>
  <c r="N12" i="17"/>
  <c r="M12" i="17"/>
  <c r="L12" i="17"/>
  <c r="K12" i="17"/>
  <c r="J12" i="17"/>
  <c r="I12" i="17"/>
  <c r="H12" i="17"/>
  <c r="G12" i="17"/>
  <c r="F12" i="17"/>
  <c r="T11" i="17"/>
  <c r="S11" i="17"/>
  <c r="R11" i="17"/>
  <c r="Q11" i="17"/>
  <c r="P11" i="17"/>
  <c r="O11" i="17"/>
  <c r="N11" i="17"/>
  <c r="M11" i="17"/>
  <c r="L11" i="17"/>
  <c r="K11" i="17"/>
  <c r="J11" i="17"/>
  <c r="I11" i="17"/>
  <c r="H11" i="17"/>
  <c r="G11" i="17"/>
  <c r="F11" i="17"/>
  <c r="T10" i="17"/>
  <c r="S10" i="17"/>
  <c r="R10" i="17"/>
  <c r="Q10" i="17"/>
  <c r="P10" i="17"/>
  <c r="O10" i="17"/>
  <c r="N10" i="17"/>
  <c r="M10" i="17"/>
  <c r="L10" i="17"/>
  <c r="K10" i="17"/>
  <c r="J10" i="17"/>
  <c r="I10" i="17"/>
  <c r="H10" i="17"/>
  <c r="G10" i="17"/>
  <c r="F10" i="17"/>
  <c r="T9" i="17"/>
  <c r="S9" i="17"/>
  <c r="R9" i="17"/>
  <c r="Q9" i="17"/>
  <c r="P9" i="17"/>
  <c r="O9" i="17"/>
  <c r="N9" i="17"/>
  <c r="M9" i="17"/>
  <c r="L9" i="17"/>
  <c r="K9" i="17"/>
  <c r="J9" i="17"/>
  <c r="I9" i="17"/>
  <c r="H9" i="17"/>
  <c r="G9" i="17"/>
  <c r="F9" i="17"/>
  <c r="T8" i="17"/>
  <c r="S8" i="17"/>
  <c r="R8" i="17"/>
  <c r="Q8" i="17"/>
  <c r="P8" i="17"/>
  <c r="O8" i="17"/>
  <c r="N8" i="17"/>
  <c r="M8" i="17"/>
  <c r="L8" i="17"/>
  <c r="K8" i="17"/>
  <c r="J8" i="17"/>
  <c r="I8" i="17"/>
  <c r="H8" i="17"/>
  <c r="G8" i="17"/>
  <c r="F8" i="17"/>
  <c r="T7" i="17"/>
  <c r="S7" i="17"/>
  <c r="R7" i="17"/>
  <c r="Q7" i="17"/>
  <c r="P7" i="17"/>
  <c r="O7" i="17"/>
  <c r="N7" i="17"/>
  <c r="M7" i="17"/>
  <c r="L7" i="17"/>
  <c r="K7" i="17"/>
  <c r="J7" i="17"/>
  <c r="I7" i="17"/>
  <c r="H7" i="17"/>
  <c r="G7" i="17"/>
  <c r="B15" i="17" s="1"/>
  <c r="F7" i="17"/>
  <c r="T6" i="17"/>
  <c r="S6" i="17"/>
  <c r="R6" i="17"/>
  <c r="Q6" i="17"/>
  <c r="P6" i="17"/>
  <c r="O6" i="17"/>
  <c r="N6" i="17"/>
  <c r="M6" i="17"/>
  <c r="L6" i="17"/>
  <c r="K6" i="17"/>
  <c r="J6" i="17"/>
  <c r="I6" i="17"/>
  <c r="H6" i="17"/>
  <c r="E3" i="17"/>
  <c r="E63" i="15"/>
  <c r="E62" i="15"/>
  <c r="E61" i="15"/>
  <c r="E60" i="15"/>
  <c r="E59" i="15"/>
  <c r="E58" i="15"/>
  <c r="E57" i="15"/>
  <c r="E56" i="15"/>
  <c r="E55" i="15"/>
  <c r="E54" i="15"/>
  <c r="E53" i="15"/>
  <c r="E64" i="15" s="1"/>
  <c r="C47" i="15"/>
  <c r="C49" i="15" s="1"/>
  <c r="B38" i="15"/>
  <c r="B37" i="15"/>
  <c r="AF24" i="15"/>
  <c r="AE24" i="15"/>
  <c r="W24" i="15"/>
  <c r="T24" i="15"/>
  <c r="Q24" i="15"/>
  <c r="P24" i="15"/>
  <c r="O24" i="15"/>
  <c r="N24" i="15"/>
  <c r="I24" i="15"/>
  <c r="H24" i="15"/>
  <c r="G24" i="15"/>
  <c r="F24" i="15"/>
  <c r="E24" i="15"/>
  <c r="D24" i="15"/>
  <c r="C24" i="15"/>
  <c r="B24" i="15"/>
  <c r="AF22" i="15"/>
  <c r="AE22" i="15"/>
  <c r="AD22" i="15"/>
  <c r="AC22" i="15"/>
  <c r="AB22" i="15"/>
  <c r="AA22" i="15"/>
  <c r="Z22" i="15"/>
  <c r="Y22" i="15"/>
  <c r="X22" i="15"/>
  <c r="W22" i="15"/>
  <c r="V22" i="15"/>
  <c r="U22" i="15"/>
  <c r="T22" i="15"/>
  <c r="S22" i="15"/>
  <c r="R22" i="15"/>
  <c r="Q22" i="15"/>
  <c r="P22" i="15"/>
  <c r="O22" i="15"/>
  <c r="N22" i="15"/>
  <c r="M22" i="15"/>
  <c r="L22" i="15"/>
  <c r="K22" i="15"/>
  <c r="J22" i="15"/>
  <c r="I22" i="15"/>
  <c r="H22" i="15"/>
  <c r="G22" i="15"/>
  <c r="F22" i="15"/>
  <c r="E22" i="15"/>
  <c r="D22" i="15"/>
  <c r="C22" i="15"/>
  <c r="B22" i="15"/>
  <c r="AF21" i="15"/>
  <c r="AE21" i="15"/>
  <c r="AD21" i="15"/>
  <c r="AC21" i="15"/>
  <c r="AB21" i="15"/>
  <c r="AA21" i="15"/>
  <c r="Z21" i="15"/>
  <c r="Y21" i="15"/>
  <c r="X21" i="15"/>
  <c r="W21" i="15"/>
  <c r="V21" i="15"/>
  <c r="U21" i="15"/>
  <c r="T21" i="15"/>
  <c r="S21" i="15"/>
  <c r="R21" i="15"/>
  <c r="Q21" i="15"/>
  <c r="P21" i="15"/>
  <c r="O21" i="15"/>
  <c r="N21" i="15"/>
  <c r="M21" i="15"/>
  <c r="L21" i="15"/>
  <c r="K21" i="15"/>
  <c r="J21" i="15"/>
  <c r="I21" i="15"/>
  <c r="H21" i="15"/>
  <c r="G21" i="15"/>
  <c r="F21" i="15"/>
  <c r="E21" i="15"/>
  <c r="D21" i="15"/>
  <c r="C21" i="15"/>
  <c r="B21" i="15"/>
  <c r="AB20" i="15"/>
  <c r="D20" i="15"/>
  <c r="AF17" i="15"/>
  <c r="AE17" i="15"/>
  <c r="AD17" i="15"/>
  <c r="AC17" i="15"/>
  <c r="AB17" i="15"/>
  <c r="AA17" i="15"/>
  <c r="Z17" i="15"/>
  <c r="Y17" i="15"/>
  <c r="X17" i="15"/>
  <c r="W17" i="15"/>
  <c r="V17" i="15"/>
  <c r="U17" i="15"/>
  <c r="T17" i="15"/>
  <c r="S17" i="15"/>
  <c r="R17" i="15"/>
  <c r="Q17" i="15"/>
  <c r="P17" i="15"/>
  <c r="O17" i="15"/>
  <c r="N17" i="15"/>
  <c r="M17" i="15"/>
  <c r="L17" i="15"/>
  <c r="K17" i="15"/>
  <c r="J17" i="15"/>
  <c r="I17" i="15"/>
  <c r="H17" i="15"/>
  <c r="G17" i="15"/>
  <c r="F17" i="15"/>
  <c r="E17" i="15"/>
  <c r="D17" i="15"/>
  <c r="C17" i="15"/>
  <c r="B17" i="15"/>
  <c r="AF16" i="15"/>
  <c r="AE16" i="15"/>
  <c r="AD16" i="15"/>
  <c r="AC16" i="15"/>
  <c r="AB16" i="15"/>
  <c r="AA16" i="15"/>
  <c r="Z16" i="15"/>
  <c r="Y16" i="15"/>
  <c r="X16" i="15"/>
  <c r="W16" i="15"/>
  <c r="V16" i="15"/>
  <c r="U16" i="15"/>
  <c r="T16" i="15"/>
  <c r="S16" i="15"/>
  <c r="R16" i="15"/>
  <c r="Q16" i="15"/>
  <c r="P16" i="15"/>
  <c r="O16" i="15"/>
  <c r="N16" i="15"/>
  <c r="M16" i="15"/>
  <c r="L16" i="15"/>
  <c r="K16" i="15"/>
  <c r="J16" i="15"/>
  <c r="I16" i="15"/>
  <c r="H16" i="15"/>
  <c r="G16" i="15"/>
  <c r="F16" i="15"/>
  <c r="E16" i="15"/>
  <c r="D16" i="15"/>
  <c r="C16" i="15"/>
  <c r="B16" i="15"/>
  <c r="AD15" i="15"/>
  <c r="AC15" i="15"/>
  <c r="X15" i="15"/>
  <c r="W15" i="15"/>
  <c r="R15" i="15"/>
  <c r="Q15" i="15"/>
  <c r="O15" i="15"/>
  <c r="K15" i="15"/>
  <c r="F15" i="15"/>
  <c r="E15" i="15"/>
  <c r="AE14" i="15"/>
  <c r="AD14" i="15"/>
  <c r="AC14" i="15"/>
  <c r="AB14" i="15"/>
  <c r="AA14" i="15"/>
  <c r="X14" i="15"/>
  <c r="R14" i="15"/>
  <c r="Q14" i="15"/>
  <c r="P14" i="15"/>
  <c r="O14" i="15"/>
  <c r="H14" i="15"/>
  <c r="G14" i="15"/>
  <c r="E14" i="15"/>
  <c r="C14" i="15"/>
  <c r="L13" i="15"/>
  <c r="AD12" i="15"/>
  <c r="AD13" i="15" s="1"/>
  <c r="X12" i="15"/>
  <c r="X13" i="15" s="1"/>
  <c r="W12" i="15"/>
  <c r="W13" i="15" s="1"/>
  <c r="T12" i="15"/>
  <c r="T13" i="15" s="1"/>
  <c r="R12" i="15"/>
  <c r="R13" i="15" s="1"/>
  <c r="Q12" i="15"/>
  <c r="Q13" i="15" s="1"/>
  <c r="L12" i="15"/>
  <c r="K12" i="15"/>
  <c r="K13" i="15" s="1"/>
  <c r="F12" i="15"/>
  <c r="F13" i="15" s="1"/>
  <c r="E12" i="15"/>
  <c r="E13" i="15" s="1"/>
  <c r="D12" i="15"/>
  <c r="D13" i="15" s="1"/>
  <c r="AD11" i="15"/>
  <c r="AC11" i="15"/>
  <c r="AB11" i="15"/>
  <c r="Y11" i="15"/>
  <c r="X11" i="15"/>
  <c r="W11" i="15"/>
  <c r="V11" i="15"/>
  <c r="R11" i="15"/>
  <c r="Q11" i="15"/>
  <c r="P11" i="15"/>
  <c r="L11" i="15"/>
  <c r="K11" i="15"/>
  <c r="J11" i="15"/>
  <c r="I11" i="15"/>
  <c r="F11" i="15"/>
  <c r="D11" i="15"/>
  <c r="C11" i="15"/>
  <c r="AD10" i="15"/>
  <c r="AC10" i="15"/>
  <c r="AB10" i="15"/>
  <c r="Q10" i="15"/>
  <c r="M10" i="15"/>
  <c r="I10" i="15"/>
  <c r="G10" i="15"/>
  <c r="E10" i="15"/>
  <c r="D10" i="15"/>
  <c r="AF9" i="15"/>
  <c r="AF11" i="15" s="1"/>
  <c r="AE9" i="15"/>
  <c r="AD9" i="15"/>
  <c r="AC9" i="15"/>
  <c r="AC12" i="15" s="1"/>
  <c r="AC13" i="15" s="1"/>
  <c r="AB9" i="15"/>
  <c r="AA9" i="15"/>
  <c r="AA11" i="15" s="1"/>
  <c r="Z9" i="15"/>
  <c r="Z11" i="15" s="1"/>
  <c r="Y9" i="15"/>
  <c r="Y15" i="15" s="1"/>
  <c r="X9" i="15"/>
  <c r="W9" i="15"/>
  <c r="V9" i="15"/>
  <c r="U9" i="15"/>
  <c r="U11" i="15" s="1"/>
  <c r="T9" i="15"/>
  <c r="T11" i="15" s="1"/>
  <c r="S9" i="15"/>
  <c r="R9" i="15"/>
  <c r="Q9" i="15"/>
  <c r="P9" i="15"/>
  <c r="O9" i="15"/>
  <c r="O11" i="15" s="1"/>
  <c r="N9" i="15"/>
  <c r="N11" i="15" s="1"/>
  <c r="M9" i="15"/>
  <c r="L9" i="15"/>
  <c r="K9" i="15"/>
  <c r="J9" i="15"/>
  <c r="I9" i="15"/>
  <c r="H9" i="15"/>
  <c r="H11" i="15" s="1"/>
  <c r="G9" i="15"/>
  <c r="F9" i="15"/>
  <c r="E9" i="15"/>
  <c r="E11" i="15" s="1"/>
  <c r="D9" i="15"/>
  <c r="C9" i="15"/>
  <c r="B9" i="15"/>
  <c r="B11" i="15" s="1"/>
  <c r="AF8" i="15"/>
  <c r="AE8" i="15"/>
  <c r="AE10" i="15" s="1"/>
  <c r="AD8" i="15"/>
  <c r="AC8" i="15"/>
  <c r="AB8" i="15"/>
  <c r="AB12" i="15" s="1"/>
  <c r="AB13" i="15" s="1"/>
  <c r="AA8" i="15"/>
  <c r="Z8" i="15"/>
  <c r="Y8" i="15"/>
  <c r="X8" i="15"/>
  <c r="W8" i="15"/>
  <c r="V8" i="15"/>
  <c r="U8" i="15"/>
  <c r="T8" i="15"/>
  <c r="S8" i="15"/>
  <c r="S14" i="15" s="1"/>
  <c r="R8" i="15"/>
  <c r="Q8" i="15"/>
  <c r="P8" i="15"/>
  <c r="P12" i="15" s="1"/>
  <c r="P13" i="15" s="1"/>
  <c r="O8" i="15"/>
  <c r="N8" i="15"/>
  <c r="M8" i="15"/>
  <c r="L8" i="15"/>
  <c r="L15" i="15" s="1"/>
  <c r="K8" i="15"/>
  <c r="J8" i="15"/>
  <c r="I8" i="15"/>
  <c r="H8" i="15"/>
  <c r="G8" i="15"/>
  <c r="F8" i="15"/>
  <c r="F14" i="15" s="1"/>
  <c r="E8" i="15"/>
  <c r="D8" i="15"/>
  <c r="D14" i="15" s="1"/>
  <c r="C8" i="15"/>
  <c r="B8" i="15"/>
  <c r="B33" i="14"/>
  <c r="A16" i="16" s="1"/>
  <c r="C32" i="14"/>
  <c r="B32" i="14"/>
  <c r="B31" i="14"/>
  <c r="A15" i="16" s="1"/>
  <c r="C30" i="14"/>
  <c r="B30" i="14"/>
  <c r="B29" i="14"/>
  <c r="B28" i="14"/>
  <c r="B27" i="14"/>
  <c r="A11" i="16" s="1"/>
  <c r="C26" i="14"/>
  <c r="B17" i="16" s="1"/>
  <c r="B26" i="14"/>
  <c r="A17" i="16" s="1"/>
  <c r="C25" i="14"/>
  <c r="B14" i="16" s="1"/>
  <c r="B25" i="14"/>
  <c r="A14" i="16" s="1"/>
  <c r="C24" i="14"/>
  <c r="B13" i="16" s="1"/>
  <c r="B24" i="14"/>
  <c r="A13" i="16" s="1"/>
  <c r="B23" i="14"/>
  <c r="A12" i="16" s="1"/>
  <c r="B22" i="14"/>
  <c r="B21" i="14"/>
  <c r="A10" i="16" s="1"/>
  <c r="C20" i="14"/>
  <c r="B20" i="14"/>
  <c r="C19" i="14"/>
  <c r="B19" i="14"/>
  <c r="C18" i="14"/>
  <c r="B18" i="14"/>
  <c r="C17" i="14"/>
  <c r="B17" i="14"/>
  <c r="B16" i="14"/>
  <c r="B15" i="14"/>
  <c r="C14" i="14"/>
  <c r="B14" i="14"/>
  <c r="C13" i="14"/>
  <c r="B13" i="14"/>
  <c r="C12" i="14"/>
  <c r="B12" i="14"/>
  <c r="B11" i="14"/>
  <c r="B10" i="14"/>
  <c r="A8" i="16" s="1"/>
  <c r="B9" i="14"/>
  <c r="C8" i="14"/>
  <c r="B9" i="16" s="1"/>
  <c r="B8" i="14"/>
  <c r="A9" i="16" s="1"/>
  <c r="C7" i="14"/>
  <c r="B7" i="14"/>
  <c r="C6" i="14"/>
  <c r="B6" i="14"/>
  <c r="C5" i="14"/>
  <c r="B7" i="16" s="1"/>
  <c r="B5" i="14"/>
  <c r="A7" i="16" s="1"/>
  <c r="B4" i="14"/>
  <c r="B3" i="14"/>
  <c r="A6" i="16" s="1"/>
  <c r="F8" i="11"/>
  <c r="D4" i="10" s="1"/>
  <c r="E8" i="11"/>
  <c r="D8" i="11"/>
  <c r="C8" i="11"/>
  <c r="D7" i="11"/>
  <c r="C7" i="11"/>
  <c r="C6" i="11"/>
  <c r="D6" i="11" s="1"/>
  <c r="B3" i="11"/>
  <c r="B2" i="11"/>
  <c r="B1" i="11"/>
  <c r="E48" i="9"/>
  <c r="F48" i="9" s="1"/>
  <c r="E47" i="9"/>
  <c r="F47" i="9" s="1"/>
  <c r="E46" i="9"/>
  <c r="F46" i="9" s="1"/>
  <c r="E45" i="9"/>
  <c r="F45" i="9" s="1"/>
  <c r="E44" i="9"/>
  <c r="F44" i="9" s="1"/>
  <c r="F39" i="9"/>
  <c r="E39" i="9"/>
  <c r="E37" i="9"/>
  <c r="F37" i="9" s="1"/>
  <c r="E33" i="9"/>
  <c r="F33" i="9" s="1"/>
  <c r="E26" i="9"/>
  <c r="F26" i="9" s="1"/>
  <c r="F19" i="9"/>
  <c r="E19" i="9"/>
  <c r="D12" i="9"/>
  <c r="D9" i="9"/>
  <c r="E23" i="9" s="1"/>
  <c r="F23" i="9" s="1"/>
  <c r="B3" i="8"/>
  <c r="G2501" i="7"/>
  <c r="G2502" i="7" s="1"/>
  <c r="G2500" i="7"/>
  <c r="G2488" i="7"/>
  <c r="H2487" i="7"/>
  <c r="G2487" i="7"/>
  <c r="E2487" i="7"/>
  <c r="H2483" i="7"/>
  <c r="G2483" i="7"/>
  <c r="H2482" i="7"/>
  <c r="H2484" i="7" s="1"/>
  <c r="G2482" i="7"/>
  <c r="G2481" i="7"/>
  <c r="H2481" i="7" s="1"/>
  <c r="F2477" i="7"/>
  <c r="H2477" i="7" s="1"/>
  <c r="F2476" i="7"/>
  <c r="G2461" i="7"/>
  <c r="G2460" i="7"/>
  <c r="G2459" i="7"/>
  <c r="G2447" i="7"/>
  <c r="H2446" i="7"/>
  <c r="G2446" i="7"/>
  <c r="E2446" i="7"/>
  <c r="G2442" i="7"/>
  <c r="H2442" i="7" s="1"/>
  <c r="H2441" i="7"/>
  <c r="G2441" i="7"/>
  <c r="G2440" i="7"/>
  <c r="H2440" i="7" s="1"/>
  <c r="H2439" i="7"/>
  <c r="H2443" i="7" s="1"/>
  <c r="G2439" i="7"/>
  <c r="F2435" i="7"/>
  <c r="H2435" i="7" s="1"/>
  <c r="F2434" i="7"/>
  <c r="H2434" i="7" s="1"/>
  <c r="F2433" i="7"/>
  <c r="G2417" i="7"/>
  <c r="G2416" i="7"/>
  <c r="G2404" i="7"/>
  <c r="G2403" i="7"/>
  <c r="E2403" i="7"/>
  <c r="H2403" i="7" s="1"/>
  <c r="G2399" i="7"/>
  <c r="H2399" i="7" s="1"/>
  <c r="G2398" i="7"/>
  <c r="H2398" i="7" s="1"/>
  <c r="H2394" i="7"/>
  <c r="F2394" i="7"/>
  <c r="F2393" i="7"/>
  <c r="G2377" i="7"/>
  <c r="G2376" i="7"/>
  <c r="G2378" i="7" s="1"/>
  <c r="H2365" i="7"/>
  <c r="G2360" i="7"/>
  <c r="H2360" i="7" s="1"/>
  <c r="G2359" i="7"/>
  <c r="H2359" i="7" s="1"/>
  <c r="H2361" i="7" s="1"/>
  <c r="F2355" i="7"/>
  <c r="G2339" i="7"/>
  <c r="G2338" i="7"/>
  <c r="G2340" i="7" s="1"/>
  <c r="G2326" i="7"/>
  <c r="H2322" i="7"/>
  <c r="G2322" i="7"/>
  <c r="F2317" i="7"/>
  <c r="G2302" i="7"/>
  <c r="G2301" i="7"/>
  <c r="G2300" i="7"/>
  <c r="H2289" i="7"/>
  <c r="H2284" i="7"/>
  <c r="H2285" i="7" s="1"/>
  <c r="G2284" i="7"/>
  <c r="F2280" i="7"/>
  <c r="H2280" i="7" s="1"/>
  <c r="F2279" i="7"/>
  <c r="G2263" i="7"/>
  <c r="G2262" i="7"/>
  <c r="G2264" i="7" s="1"/>
  <c r="G2249" i="7"/>
  <c r="H2248" i="7"/>
  <c r="G2248" i="7"/>
  <c r="E2248" i="7"/>
  <c r="G2244" i="7"/>
  <c r="H2244" i="7" s="1"/>
  <c r="H2242" i="7"/>
  <c r="G2242" i="7"/>
  <c r="G2241" i="7"/>
  <c r="H2241" i="7" s="1"/>
  <c r="G2240" i="7"/>
  <c r="H2240" i="7" s="1"/>
  <c r="G2239" i="7"/>
  <c r="H2239" i="7" s="1"/>
  <c r="F2235" i="7"/>
  <c r="G2219" i="7"/>
  <c r="G2218" i="7"/>
  <c r="G2220" i="7" s="1"/>
  <c r="H2208" i="7"/>
  <c r="H2203" i="7"/>
  <c r="G2203" i="7"/>
  <c r="G2202" i="7"/>
  <c r="H2202" i="7" s="1"/>
  <c r="G2201" i="7"/>
  <c r="H2201" i="7" s="1"/>
  <c r="H2204" i="7" s="1"/>
  <c r="F2197" i="7"/>
  <c r="G2181" i="7"/>
  <c r="G2182" i="7" s="1"/>
  <c r="G2180" i="7"/>
  <c r="H2170" i="7"/>
  <c r="G2164" i="7"/>
  <c r="H2164" i="7" s="1"/>
  <c r="F2160" i="7"/>
  <c r="G2145" i="7"/>
  <c r="G2144" i="7"/>
  <c r="G2143" i="7"/>
  <c r="H2132" i="7"/>
  <c r="H2127" i="7"/>
  <c r="G2127" i="7"/>
  <c r="H2126" i="7"/>
  <c r="H2128" i="7" s="1"/>
  <c r="G2126" i="7"/>
  <c r="F2122" i="7"/>
  <c r="G2107" i="7"/>
  <c r="G2106" i="7"/>
  <c r="G2105" i="7"/>
  <c r="G2093" i="7"/>
  <c r="G2092" i="7"/>
  <c r="E2092" i="7"/>
  <c r="H2092" i="7" s="1"/>
  <c r="G2088" i="7"/>
  <c r="H2088" i="7" s="1"/>
  <c r="G2087" i="7"/>
  <c r="H2087" i="7" s="1"/>
  <c r="F2083" i="7"/>
  <c r="G2068" i="7"/>
  <c r="G2067" i="7"/>
  <c r="G2066" i="7"/>
  <c r="G2053" i="7"/>
  <c r="H2052" i="7"/>
  <c r="G2052" i="7"/>
  <c r="E2052" i="7"/>
  <c r="G2046" i="7"/>
  <c r="H2046" i="7" s="1"/>
  <c r="H2045" i="7"/>
  <c r="G2045" i="7"/>
  <c r="G2044" i="7"/>
  <c r="H2044" i="7" s="1"/>
  <c r="F2040" i="7"/>
  <c r="G2025" i="7"/>
  <c r="G2024" i="7"/>
  <c r="G2023" i="7"/>
  <c r="G2010" i="7"/>
  <c r="G2005" i="7"/>
  <c r="H2005" i="7" s="1"/>
  <c r="G2004" i="7"/>
  <c r="H2004" i="7" s="1"/>
  <c r="H2003" i="7"/>
  <c r="G2003" i="7"/>
  <c r="F1999" i="7"/>
  <c r="G1983" i="7"/>
  <c r="G1984" i="7" s="1"/>
  <c r="G1982" i="7"/>
  <c r="H1971" i="7"/>
  <c r="H1967" i="7"/>
  <c r="G1966" i="7"/>
  <c r="H1966" i="7" s="1"/>
  <c r="H1965" i="7"/>
  <c r="G1965" i="7"/>
  <c r="G1964" i="7"/>
  <c r="H1964" i="7" s="1"/>
  <c r="F1960" i="7"/>
  <c r="G1944" i="7"/>
  <c r="G1943" i="7"/>
  <c r="G1945" i="7" s="1"/>
  <c r="H1932" i="7"/>
  <c r="G1927" i="7"/>
  <c r="H1927" i="7" s="1"/>
  <c r="G1926" i="7"/>
  <c r="H1926" i="7" s="1"/>
  <c r="H1925" i="7"/>
  <c r="G1925" i="7"/>
  <c r="F1921" i="7"/>
  <c r="G1905" i="7"/>
  <c r="G1904" i="7"/>
  <c r="G1906" i="7" s="1"/>
  <c r="H1893" i="7"/>
  <c r="H1888" i="7"/>
  <c r="G1888" i="7"/>
  <c r="G1887" i="7"/>
  <c r="H1887" i="7" s="1"/>
  <c r="G1886" i="7"/>
  <c r="H1886" i="7" s="1"/>
  <c r="H1889" i="7" s="1"/>
  <c r="H1885" i="7"/>
  <c r="G1885" i="7"/>
  <c r="F1881" i="7"/>
  <c r="G1866" i="7"/>
  <c r="G1865" i="7"/>
  <c r="G1864" i="7"/>
  <c r="H1853" i="7"/>
  <c r="H1848" i="7"/>
  <c r="G1848" i="7"/>
  <c r="G1847" i="7"/>
  <c r="H1847" i="7" s="1"/>
  <c r="G1846" i="7"/>
  <c r="H1846" i="7" s="1"/>
  <c r="G1845" i="7"/>
  <c r="H1845" i="7" s="1"/>
  <c r="H1849" i="7" s="1"/>
  <c r="F1841" i="7"/>
  <c r="G1825" i="7"/>
  <c r="G1824" i="7"/>
  <c r="G1826" i="7" s="1"/>
  <c r="H1813" i="7"/>
  <c r="G1808" i="7"/>
  <c r="H1808" i="7" s="1"/>
  <c r="H1807" i="7"/>
  <c r="H1809" i="7" s="1"/>
  <c r="G1807" i="7"/>
  <c r="G1806" i="7"/>
  <c r="H1806" i="7" s="1"/>
  <c r="F1802" i="7"/>
  <c r="G1786" i="7"/>
  <c r="G1787" i="7" s="1"/>
  <c r="G1785" i="7"/>
  <c r="H1774" i="7"/>
  <c r="H1769" i="7"/>
  <c r="G1769" i="7"/>
  <c r="H1768" i="7"/>
  <c r="G1768" i="7"/>
  <c r="G1767" i="7"/>
  <c r="H1767" i="7" s="1"/>
  <c r="G1766" i="7"/>
  <c r="H1766" i="7" s="1"/>
  <c r="F1762" i="7"/>
  <c r="G1746" i="7"/>
  <c r="G1745" i="7"/>
  <c r="H1734" i="7"/>
  <c r="G1729" i="7"/>
  <c r="H1729" i="7" s="1"/>
  <c r="H1728" i="7"/>
  <c r="G1728" i="7"/>
  <c r="G1727" i="7"/>
  <c r="H1727" i="7" s="1"/>
  <c r="H1730" i="7" s="1"/>
  <c r="F1723" i="7"/>
  <c r="G1708" i="7"/>
  <c r="G1707" i="7"/>
  <c r="G1706" i="7"/>
  <c r="G1694" i="7"/>
  <c r="G1693" i="7"/>
  <c r="H1693" i="7" s="1"/>
  <c r="E1693" i="7"/>
  <c r="G1689" i="7"/>
  <c r="H1689" i="7" s="1"/>
  <c r="G1688" i="7"/>
  <c r="H1688" i="7" s="1"/>
  <c r="G1687" i="7"/>
  <c r="H1687" i="7" s="1"/>
  <c r="H1686" i="7"/>
  <c r="G1686" i="7"/>
  <c r="H1682" i="7"/>
  <c r="F1682" i="7"/>
  <c r="F1681" i="7"/>
  <c r="G1665" i="7"/>
  <c r="G1666" i="7" s="1"/>
  <c r="G1664" i="7"/>
  <c r="G1652" i="7"/>
  <c r="G1651" i="7"/>
  <c r="E1651" i="7"/>
  <c r="H1651" i="7" s="1"/>
  <c r="H1647" i="7"/>
  <c r="G1647" i="7"/>
  <c r="G1646" i="7"/>
  <c r="H1646" i="7" s="1"/>
  <c r="F1642" i="7"/>
  <c r="G1627" i="7"/>
  <c r="G1626" i="7"/>
  <c r="G1625" i="7"/>
  <c r="G1613" i="7"/>
  <c r="G1612" i="7"/>
  <c r="E1612" i="7"/>
  <c r="H1612" i="7" s="1"/>
  <c r="G1608" i="7"/>
  <c r="H1608" i="7" s="1"/>
  <c r="G1607" i="7"/>
  <c r="H1607" i="7" s="1"/>
  <c r="H1609" i="7" s="1"/>
  <c r="F1603" i="7"/>
  <c r="G1588" i="7"/>
  <c r="G1587" i="7"/>
  <c r="G1586" i="7"/>
  <c r="G1574" i="7"/>
  <c r="G1573" i="7"/>
  <c r="E1573" i="7"/>
  <c r="H1573" i="7" s="1"/>
  <c r="G1569" i="7"/>
  <c r="H1569" i="7" s="1"/>
  <c r="H1570" i="7" s="1"/>
  <c r="H1568" i="7"/>
  <c r="G1568" i="7"/>
  <c r="F1564" i="7"/>
  <c r="G1548" i="7"/>
  <c r="G1547" i="7"/>
  <c r="G1549" i="7" s="1"/>
  <c r="G1535" i="7"/>
  <c r="G1534" i="7"/>
  <c r="E1534" i="7"/>
  <c r="G1530" i="7"/>
  <c r="H1530" i="7" s="1"/>
  <c r="G1529" i="7"/>
  <c r="H1529" i="7" s="1"/>
  <c r="H1525" i="7"/>
  <c r="F1525" i="7"/>
  <c r="F1524" i="7"/>
  <c r="G1509" i="7"/>
  <c r="G1508" i="7"/>
  <c r="G1507" i="7"/>
  <c r="H1497" i="7"/>
  <c r="G1492" i="7"/>
  <c r="H1492" i="7" s="1"/>
  <c r="G1491" i="7"/>
  <c r="H1491" i="7" s="1"/>
  <c r="H1493" i="7" s="1"/>
  <c r="H1490" i="7"/>
  <c r="G1490" i="7"/>
  <c r="F1486" i="7"/>
  <c r="G1470" i="7"/>
  <c r="G1469" i="7"/>
  <c r="G1471" i="7" s="1"/>
  <c r="G1457" i="7"/>
  <c r="G1456" i="7"/>
  <c r="E1456" i="7"/>
  <c r="G1451" i="7"/>
  <c r="H1451" i="7" s="1"/>
  <c r="G1450" i="7"/>
  <c r="H1450" i="7" s="1"/>
  <c r="F1446" i="7"/>
  <c r="G1431" i="7"/>
  <c r="G1430" i="7"/>
  <c r="G1429" i="7"/>
  <c r="G1417" i="7"/>
  <c r="G1416" i="7"/>
  <c r="E1416" i="7"/>
  <c r="H1416" i="7" s="1"/>
  <c r="G1411" i="7"/>
  <c r="H1411" i="7" s="1"/>
  <c r="G1410" i="7"/>
  <c r="H1410" i="7" s="1"/>
  <c r="F1406" i="7"/>
  <c r="G1390" i="7"/>
  <c r="G1391" i="7" s="1"/>
  <c r="G1389" i="7"/>
  <c r="G1377" i="7"/>
  <c r="G1376" i="7"/>
  <c r="E1376" i="7"/>
  <c r="H1376" i="7" s="1"/>
  <c r="G1371" i="7"/>
  <c r="H1371" i="7" s="1"/>
  <c r="G1370" i="7"/>
  <c r="H1370" i="7" s="1"/>
  <c r="F1366" i="7"/>
  <c r="G1350" i="7"/>
  <c r="G1349" i="7"/>
  <c r="G1351" i="7" s="1"/>
  <c r="H1338" i="7"/>
  <c r="G1333" i="7"/>
  <c r="H1333" i="7" s="1"/>
  <c r="G1332" i="7"/>
  <c r="H1332" i="7" s="1"/>
  <c r="F1328" i="7"/>
  <c r="G1312" i="7"/>
  <c r="G1313" i="7" s="1"/>
  <c r="G1311" i="7"/>
  <c r="H1300" i="7"/>
  <c r="G1295" i="7"/>
  <c r="H1295" i="7" s="1"/>
  <c r="G1294" i="7"/>
  <c r="H1294" i="7" s="1"/>
  <c r="F1290" i="7"/>
  <c r="G1275" i="7"/>
  <c r="G1274" i="7"/>
  <c r="G1273" i="7"/>
  <c r="H1262" i="7"/>
  <c r="G1257" i="7"/>
  <c r="H1257" i="7" s="1"/>
  <c r="G1256" i="7"/>
  <c r="H1256" i="7" s="1"/>
  <c r="G1255" i="7"/>
  <c r="H1255" i="7" s="1"/>
  <c r="G1254" i="7"/>
  <c r="H1254" i="7" s="1"/>
  <c r="H1258" i="7" s="1"/>
  <c r="F1250" i="7"/>
  <c r="H1250" i="7" s="1"/>
  <c r="F1249" i="7"/>
  <c r="G1233" i="7"/>
  <c r="G1232" i="7"/>
  <c r="H1221" i="7"/>
  <c r="G1216" i="7"/>
  <c r="H1216" i="7" s="1"/>
  <c r="G1215" i="7"/>
  <c r="H1215" i="7" s="1"/>
  <c r="G1214" i="7"/>
  <c r="H1214" i="7" s="1"/>
  <c r="F1210" i="7"/>
  <c r="G1195" i="7"/>
  <c r="G1194" i="7"/>
  <c r="G1193" i="7"/>
  <c r="H1182" i="7"/>
  <c r="G1177" i="7"/>
  <c r="H1177" i="7" s="1"/>
  <c r="G1176" i="7"/>
  <c r="H1176" i="7" s="1"/>
  <c r="H1178" i="7" s="1"/>
  <c r="G1175" i="7"/>
  <c r="H1175" i="7" s="1"/>
  <c r="F1171" i="7"/>
  <c r="G1155" i="7"/>
  <c r="G1154" i="7"/>
  <c r="G1156" i="7" s="1"/>
  <c r="H1143" i="7"/>
  <c r="G1138" i="7"/>
  <c r="H1138" i="7" s="1"/>
  <c r="G1137" i="7"/>
  <c r="H1137" i="7" s="1"/>
  <c r="G1136" i="7"/>
  <c r="H1136" i="7" s="1"/>
  <c r="F1132" i="7"/>
  <c r="G1116" i="7"/>
  <c r="G1115" i="7"/>
  <c r="H1104" i="7"/>
  <c r="H1099" i="7"/>
  <c r="G1099" i="7"/>
  <c r="G1098" i="7"/>
  <c r="H1098" i="7" s="1"/>
  <c r="G1097" i="7"/>
  <c r="H1097" i="7" s="1"/>
  <c r="F1093" i="7"/>
  <c r="G1078" i="7"/>
  <c r="G1077" i="7"/>
  <c r="G1076" i="7"/>
  <c r="G1064" i="7"/>
  <c r="G1063" i="7"/>
  <c r="E1063" i="7"/>
  <c r="H1063" i="7" s="1"/>
  <c r="G1059" i="7"/>
  <c r="H1059" i="7" s="1"/>
  <c r="G1058" i="7"/>
  <c r="H1058" i="7" s="1"/>
  <c r="G1057" i="7"/>
  <c r="H1057" i="7" s="1"/>
  <c r="H1056" i="7"/>
  <c r="G1056" i="7"/>
  <c r="F1052" i="7"/>
  <c r="H1052" i="7" s="1"/>
  <c r="F1051" i="7"/>
  <c r="G1035" i="7"/>
  <c r="G1034" i="7"/>
  <c r="G1036" i="7" s="1"/>
  <c r="G1022" i="7"/>
  <c r="G1021" i="7"/>
  <c r="E1021" i="7"/>
  <c r="H1017" i="7"/>
  <c r="G1017" i="7"/>
  <c r="G1016" i="7"/>
  <c r="H1016" i="7" s="1"/>
  <c r="H1015" i="7"/>
  <c r="G1015" i="7"/>
  <c r="G1013" i="7"/>
  <c r="H1013" i="7" s="1"/>
  <c r="F1009" i="7"/>
  <c r="H1009" i="7" s="1"/>
  <c r="F1008" i="7"/>
  <c r="G993" i="7"/>
  <c r="G992" i="7"/>
  <c r="G991" i="7"/>
  <c r="G979" i="7"/>
  <c r="H978" i="7"/>
  <c r="G978" i="7"/>
  <c r="E978" i="7"/>
  <c r="G974" i="7"/>
  <c r="H974" i="7" s="1"/>
  <c r="H973" i="7"/>
  <c r="G973" i="7"/>
  <c r="G972" i="7"/>
  <c r="H972" i="7" s="1"/>
  <c r="H968" i="7"/>
  <c r="F968" i="7"/>
  <c r="F967" i="7"/>
  <c r="G951" i="7"/>
  <c r="G950" i="7"/>
  <c r="G952" i="7" s="1"/>
  <c r="H939" i="7"/>
  <c r="G934" i="7"/>
  <c r="H934" i="7" s="1"/>
  <c r="G933" i="7"/>
  <c r="H933" i="7" s="1"/>
  <c r="G932" i="7"/>
  <c r="H932" i="7" s="1"/>
  <c r="H935" i="7" s="1"/>
  <c r="F928" i="7"/>
  <c r="G912" i="7"/>
  <c r="G913" i="7" s="1"/>
  <c r="G911" i="7"/>
  <c r="H900" i="7"/>
  <c r="H895" i="7"/>
  <c r="G895" i="7"/>
  <c r="G894" i="7"/>
  <c r="H894" i="7" s="1"/>
  <c r="H896" i="7" s="1"/>
  <c r="H890" i="7"/>
  <c r="F890" i="7"/>
  <c r="F889" i="7"/>
  <c r="G873" i="7"/>
  <c r="G872" i="7"/>
  <c r="G874" i="7" s="1"/>
  <c r="H861" i="7"/>
  <c r="G856" i="7"/>
  <c r="H856" i="7" s="1"/>
  <c r="G855" i="7"/>
  <c r="H855" i="7" s="1"/>
  <c r="H857" i="7" s="1"/>
  <c r="F851" i="7"/>
  <c r="G835" i="7"/>
  <c r="G834" i="7"/>
  <c r="G836" i="7" s="1"/>
  <c r="H823" i="7"/>
  <c r="G818" i="7"/>
  <c r="H818" i="7" s="1"/>
  <c r="G817" i="7"/>
  <c r="H817" i="7" s="1"/>
  <c r="H813" i="7"/>
  <c r="F813" i="7"/>
  <c r="F812" i="7"/>
  <c r="G797" i="7"/>
  <c r="G796" i="7"/>
  <c r="G795" i="7"/>
  <c r="G783" i="7"/>
  <c r="F775" i="7"/>
  <c r="H775" i="7" s="1"/>
  <c r="F774" i="7"/>
  <c r="G758" i="7"/>
  <c r="G757" i="7"/>
  <c r="G759" i="7" s="1"/>
  <c r="G745" i="7"/>
  <c r="G740" i="7"/>
  <c r="H740" i="7" s="1"/>
  <c r="H736" i="7"/>
  <c r="F736" i="7"/>
  <c r="F735" i="7"/>
  <c r="G720" i="7"/>
  <c r="G719" i="7"/>
  <c r="G718" i="7"/>
  <c r="G706" i="7"/>
  <c r="H702" i="7"/>
  <c r="G702" i="7"/>
  <c r="G701" i="7"/>
  <c r="H701" i="7" s="1"/>
  <c r="G700" i="7"/>
  <c r="H700" i="7" s="1"/>
  <c r="H698" i="7"/>
  <c r="G698" i="7"/>
  <c r="G697" i="7"/>
  <c r="H697" i="7" s="1"/>
  <c r="F693" i="7"/>
  <c r="H693" i="7" s="1"/>
  <c r="H692" i="7"/>
  <c r="F692" i="7"/>
  <c r="F691" i="7"/>
  <c r="G675" i="7"/>
  <c r="G674" i="7"/>
  <c r="G676" i="7" s="1"/>
  <c r="G662" i="7"/>
  <c r="G657" i="7"/>
  <c r="H657" i="7" s="1"/>
  <c r="H656" i="7"/>
  <c r="G656" i="7"/>
  <c r="F650" i="7"/>
  <c r="H650" i="7" s="1"/>
  <c r="F649" i="7"/>
  <c r="G633" i="7"/>
  <c r="G632" i="7"/>
  <c r="G634" i="7" s="1"/>
  <c r="G620" i="7"/>
  <c r="G616" i="7"/>
  <c r="H616" i="7" s="1"/>
  <c r="H615" i="7"/>
  <c r="G615" i="7"/>
  <c r="F611" i="7"/>
  <c r="G595" i="7"/>
  <c r="G596" i="7" s="1"/>
  <c r="G594" i="7"/>
  <c r="G582" i="7"/>
  <c r="G578" i="7"/>
  <c r="H578" i="7" s="1"/>
  <c r="G577" i="7"/>
  <c r="H577" i="7" s="1"/>
  <c r="H571" i="7"/>
  <c r="F571" i="7"/>
  <c r="F570" i="7"/>
  <c r="H570" i="7" s="1"/>
  <c r="H569" i="7"/>
  <c r="F569" i="7"/>
  <c r="F568" i="7"/>
  <c r="G552" i="7"/>
  <c r="G551" i="7"/>
  <c r="G553" i="7" s="1"/>
  <c r="G539" i="7"/>
  <c r="F530" i="7"/>
  <c r="H530" i="7" s="1"/>
  <c r="H529" i="7"/>
  <c r="F529" i="7"/>
  <c r="F528" i="7"/>
  <c r="G512" i="7"/>
  <c r="G513" i="7" s="1"/>
  <c r="G511" i="7"/>
  <c r="G499" i="7"/>
  <c r="G495" i="7"/>
  <c r="H495" i="7" s="1"/>
  <c r="G494" i="7"/>
  <c r="H494" i="7" s="1"/>
  <c r="H493" i="7"/>
  <c r="G493" i="7"/>
  <c r="F487" i="7"/>
  <c r="G471" i="7"/>
  <c r="G472" i="7" s="1"/>
  <c r="G470" i="7"/>
  <c r="G458" i="7"/>
  <c r="H449" i="7"/>
  <c r="F449" i="7"/>
  <c r="F448" i="7"/>
  <c r="G432" i="7"/>
  <c r="G431" i="7"/>
  <c r="G433" i="7" s="1"/>
  <c r="G419" i="7"/>
  <c r="F410" i="7"/>
  <c r="H410" i="7" s="1"/>
  <c r="H409" i="7"/>
  <c r="F409" i="7"/>
  <c r="F408" i="7"/>
  <c r="H408" i="7" s="1"/>
  <c r="F407" i="7"/>
  <c r="G391" i="7"/>
  <c r="G390" i="7"/>
  <c r="G392" i="7" s="1"/>
  <c r="G378" i="7"/>
  <c r="H369" i="7"/>
  <c r="F369" i="7"/>
  <c r="F368" i="7"/>
  <c r="H368" i="7" s="1"/>
  <c r="F367" i="7"/>
  <c r="G352" i="7"/>
  <c r="G351" i="7"/>
  <c r="G350" i="7"/>
  <c r="G338" i="7"/>
  <c r="F329" i="7"/>
  <c r="H329" i="7" s="1"/>
  <c r="H328" i="7"/>
  <c r="F328" i="7"/>
  <c r="F327" i="7"/>
  <c r="H327" i="7" s="1"/>
  <c r="F326" i="7"/>
  <c r="G311" i="7"/>
  <c r="G310" i="7"/>
  <c r="G309" i="7"/>
  <c r="G297" i="7"/>
  <c r="H293" i="7"/>
  <c r="G293" i="7"/>
  <c r="F287" i="7"/>
  <c r="H287" i="7" s="1"/>
  <c r="H286" i="7"/>
  <c r="F286" i="7"/>
  <c r="F285" i="7"/>
  <c r="H285" i="7" s="1"/>
  <c r="F284" i="7"/>
  <c r="G269" i="7"/>
  <c r="G268" i="7"/>
  <c r="G267" i="7"/>
  <c r="G255" i="7"/>
  <c r="F246" i="7"/>
  <c r="H246" i="7" s="1"/>
  <c r="H245" i="7"/>
  <c r="F245" i="7"/>
  <c r="F244" i="7"/>
  <c r="G228" i="7"/>
  <c r="G229" i="7" s="1"/>
  <c r="G227" i="7"/>
  <c r="G215" i="7"/>
  <c r="H206" i="7"/>
  <c r="F206" i="7"/>
  <c r="F205" i="7"/>
  <c r="H205" i="7" s="1"/>
  <c r="F204" i="7"/>
  <c r="G189" i="7"/>
  <c r="G188" i="7"/>
  <c r="G187" i="7"/>
  <c r="G175" i="7"/>
  <c r="H167" i="7"/>
  <c r="F167" i="7"/>
  <c r="F166" i="7"/>
  <c r="G151" i="7"/>
  <c r="G150" i="7"/>
  <c r="G149" i="7"/>
  <c r="G137" i="7"/>
  <c r="H133" i="7"/>
  <c r="G133" i="7"/>
  <c r="G132" i="7"/>
  <c r="H132" i="7" s="1"/>
  <c r="G131" i="7"/>
  <c r="H131" i="7" s="1"/>
  <c r="H134" i="7" s="1"/>
  <c r="F127" i="7"/>
  <c r="G112" i="7"/>
  <c r="G111" i="7"/>
  <c r="G110" i="7"/>
  <c r="H98" i="7"/>
  <c r="H99" i="7" s="1"/>
  <c r="G98" i="7"/>
  <c r="E98" i="7"/>
  <c r="G94" i="7"/>
  <c r="H94" i="7" s="1"/>
  <c r="H95" i="7" s="1"/>
  <c r="H90" i="7"/>
  <c r="F90" i="7"/>
  <c r="F89" i="7"/>
  <c r="G74" i="7"/>
  <c r="G73" i="7"/>
  <c r="G72" i="7"/>
  <c r="H61" i="7"/>
  <c r="H57" i="7"/>
  <c r="F52" i="7"/>
  <c r="G36" i="7"/>
  <c r="G37" i="7" s="1"/>
  <c r="G35" i="7"/>
  <c r="H24" i="7"/>
  <c r="G19" i="7"/>
  <c r="H19" i="7" s="1"/>
  <c r="H18" i="7"/>
  <c r="G18" i="7"/>
  <c r="G17" i="7"/>
  <c r="H17" i="7" s="1"/>
  <c r="G16" i="7"/>
  <c r="H16" i="7" s="1"/>
  <c r="H20" i="7" s="1"/>
  <c r="F12" i="7"/>
  <c r="B16" i="6"/>
  <c r="G23" i="5"/>
  <c r="G22" i="5"/>
  <c r="C12" i="5"/>
  <c r="G8" i="5"/>
  <c r="G7" i="5"/>
  <c r="D7" i="5"/>
  <c r="G17" i="4"/>
  <c r="G16" i="4"/>
  <c r="G15" i="4"/>
  <c r="G14" i="4"/>
  <c r="G13" i="4"/>
  <c r="G12" i="4"/>
  <c r="G11" i="4"/>
  <c r="G10" i="4"/>
  <c r="G9" i="4"/>
  <c r="G8" i="4"/>
  <c r="G7" i="4"/>
  <c r="B2" i="4"/>
  <c r="E155" i="3"/>
  <c r="G140" i="3"/>
  <c r="G139" i="3"/>
  <c r="G141" i="3" s="1"/>
  <c r="F20" i="2"/>
  <c r="E17" i="2"/>
  <c r="E16" i="2"/>
  <c r="E18" i="2" s="1"/>
  <c r="D11" i="2"/>
  <c r="D10" i="2"/>
  <c r="C82" i="3" s="1"/>
  <c r="D9" i="2"/>
  <c r="D8" i="2"/>
  <c r="C33" i="3" s="1"/>
  <c r="D7" i="2"/>
  <c r="D12" i="2" s="1"/>
  <c r="B4" i="2"/>
  <c r="B30" i="1"/>
  <c r="B27" i="1"/>
  <c r="B4" i="3" s="1"/>
  <c r="B26" i="1"/>
  <c r="B19" i="1"/>
  <c r="AD19" i="15" s="1"/>
  <c r="B8" i="1"/>
  <c r="H2400" i="7" l="1"/>
  <c r="H1100" i="7"/>
  <c r="H1139" i="7"/>
  <c r="H1296" i="7"/>
  <c r="H1531" i="7"/>
  <c r="H975" i="7"/>
  <c r="H1060" i="7"/>
  <c r="H146" i="3"/>
  <c r="G41" i="8"/>
  <c r="H41" i="8" s="1"/>
  <c r="E40" i="3" s="1"/>
  <c r="H1648" i="7"/>
  <c r="G134" i="8"/>
  <c r="H134" i="8" s="1"/>
  <c r="E133" i="3" s="1"/>
  <c r="G128" i="8"/>
  <c r="H128" i="8" s="1"/>
  <c r="E127" i="3" s="1"/>
  <c r="G137" i="8"/>
  <c r="H137" i="8" s="1"/>
  <c r="E136" i="3" s="1"/>
  <c r="G131" i="8"/>
  <c r="H131" i="8" s="1"/>
  <c r="E130" i="3" s="1"/>
  <c r="G136" i="8"/>
  <c r="H136" i="8" s="1"/>
  <c r="E135" i="3" s="1"/>
  <c r="G130" i="8"/>
  <c r="H130" i="8" s="1"/>
  <c r="E129" i="3" s="1"/>
  <c r="G133" i="8"/>
  <c r="H133" i="8" s="1"/>
  <c r="E132" i="3" s="1"/>
  <c r="G132" i="8"/>
  <c r="H132" i="8" s="1"/>
  <c r="E131" i="3" s="1"/>
  <c r="G129" i="8"/>
  <c r="H129" i="8" s="1"/>
  <c r="E128" i="3" s="1"/>
  <c r="G138" i="8"/>
  <c r="H138" i="8" s="1"/>
  <c r="E137" i="3" s="1"/>
  <c r="G135" i="8"/>
  <c r="H135" i="8" s="1"/>
  <c r="E134" i="3" s="1"/>
  <c r="G127" i="8"/>
  <c r="H127" i="8" s="1"/>
  <c r="E126" i="3" s="1"/>
  <c r="C126" i="8"/>
  <c r="B2" i="18"/>
  <c r="B2" i="17"/>
  <c r="A3" i="16"/>
  <c r="A3" i="15"/>
  <c r="B2385" i="7"/>
  <c r="B1754" i="7"/>
  <c r="B2347" i="7"/>
  <c r="B1913" i="7"/>
  <c r="B1833" i="7"/>
  <c r="B2" i="8"/>
  <c r="B2227" i="7"/>
  <c r="B2075" i="7"/>
  <c r="B1715" i="7"/>
  <c r="B2425" i="7"/>
  <c r="B2309" i="7"/>
  <c r="B2189" i="7"/>
  <c r="B2032" i="7"/>
  <c r="B1991" i="7"/>
  <c r="B1163" i="7"/>
  <c r="B843" i="7"/>
  <c r="B1873" i="7"/>
  <c r="B1673" i="7"/>
  <c r="B2152" i="7"/>
  <c r="B1595" i="7"/>
  <c r="B1000" i="7"/>
  <c r="B959" i="7"/>
  <c r="B1358" i="7"/>
  <c r="B1241" i="7"/>
  <c r="B1124" i="7"/>
  <c r="B804" i="7"/>
  <c r="B727" i="7"/>
  <c r="B2468" i="7"/>
  <c r="B1634" i="7"/>
  <c r="B1398" i="7"/>
  <c r="B1320" i="7"/>
  <c r="B920" i="7"/>
  <c r="B2271" i="7"/>
  <c r="B1202" i="7"/>
  <c r="B1085" i="7"/>
  <c r="B683" i="7"/>
  <c r="B440" i="7"/>
  <c r="B641" i="7"/>
  <c r="B1794" i="7"/>
  <c r="B881" i="7"/>
  <c r="B766" i="7"/>
  <c r="B196" i="7"/>
  <c r="B119" i="7"/>
  <c r="B1282" i="7"/>
  <c r="B1043" i="7"/>
  <c r="B2114" i="7"/>
  <c r="B1556" i="7"/>
  <c r="B1478" i="7"/>
  <c r="B479" i="7"/>
  <c r="B236" i="7"/>
  <c r="B44" i="7"/>
  <c r="A3" i="5"/>
  <c r="B603" i="7"/>
  <c r="B520" i="7"/>
  <c r="B318" i="7"/>
  <c r="B158" i="7"/>
  <c r="B81" i="7"/>
  <c r="B1952" i="7"/>
  <c r="B359" i="7"/>
  <c r="B276" i="7"/>
  <c r="B560" i="7"/>
  <c r="B1516" i="7"/>
  <c r="B399" i="7"/>
  <c r="B4" i="7"/>
  <c r="A3" i="6"/>
  <c r="G72" i="8"/>
  <c r="H72" i="8" s="1"/>
  <c r="E71" i="3" s="1"/>
  <c r="G66" i="8"/>
  <c r="H66" i="8" s="1"/>
  <c r="E65" i="3" s="1"/>
  <c r="G60" i="8"/>
  <c r="H60" i="8" s="1"/>
  <c r="E59" i="3" s="1"/>
  <c r="G54" i="8"/>
  <c r="H54" i="8" s="1"/>
  <c r="E53" i="3" s="1"/>
  <c r="G48" i="8"/>
  <c r="H48" i="8" s="1"/>
  <c r="E47" i="3" s="1"/>
  <c r="G42" i="8"/>
  <c r="H42" i="8" s="1"/>
  <c r="E41" i="3" s="1"/>
  <c r="G36" i="8"/>
  <c r="H36" i="8" s="1"/>
  <c r="E35" i="3" s="1"/>
  <c r="G69" i="8"/>
  <c r="H69" i="8" s="1"/>
  <c r="E68" i="3" s="1"/>
  <c r="G63" i="8"/>
  <c r="H63" i="8" s="1"/>
  <c r="E62" i="3" s="1"/>
  <c r="G57" i="8"/>
  <c r="H57" i="8" s="1"/>
  <c r="E56" i="3" s="1"/>
  <c r="G51" i="8"/>
  <c r="H51" i="8" s="1"/>
  <c r="E50" i="3" s="1"/>
  <c r="G45" i="8"/>
  <c r="H45" i="8" s="1"/>
  <c r="E44" i="3" s="1"/>
  <c r="G39" i="8"/>
  <c r="H39" i="8" s="1"/>
  <c r="E38" i="3" s="1"/>
  <c r="G71" i="8"/>
  <c r="H71" i="8" s="1"/>
  <c r="E70" i="3" s="1"/>
  <c r="G61" i="8"/>
  <c r="H61" i="8" s="1"/>
  <c r="E60" i="3" s="1"/>
  <c r="G50" i="8"/>
  <c r="H50" i="8" s="1"/>
  <c r="E49" i="3" s="1"/>
  <c r="G40" i="8"/>
  <c r="H40" i="8" s="1"/>
  <c r="E39" i="3" s="1"/>
  <c r="G70" i="8"/>
  <c r="H70" i="8" s="1"/>
  <c r="E69" i="3" s="1"/>
  <c r="G59" i="8"/>
  <c r="H59" i="8" s="1"/>
  <c r="E58" i="3" s="1"/>
  <c r="G49" i="8"/>
  <c r="H49" i="8" s="1"/>
  <c r="E48" i="3" s="1"/>
  <c r="G38" i="8"/>
  <c r="H38" i="8" s="1"/>
  <c r="E37" i="3" s="1"/>
  <c r="G68" i="8"/>
  <c r="H68" i="8" s="1"/>
  <c r="E67" i="3" s="1"/>
  <c r="G58" i="8"/>
  <c r="H58" i="8" s="1"/>
  <c r="E57" i="3" s="1"/>
  <c r="G47" i="8"/>
  <c r="H47" i="8" s="1"/>
  <c r="E46" i="3" s="1"/>
  <c r="G37" i="8"/>
  <c r="H37" i="8" s="1"/>
  <c r="E36" i="3" s="1"/>
  <c r="G46" i="8"/>
  <c r="H46" i="8" s="1"/>
  <c r="E45" i="3" s="1"/>
  <c r="G35" i="8"/>
  <c r="H35" i="8" s="1"/>
  <c r="E34" i="3" s="1"/>
  <c r="G65" i="8"/>
  <c r="H65" i="8" s="1"/>
  <c r="E64" i="3" s="1"/>
  <c r="G55" i="8"/>
  <c r="H55" i="8" s="1"/>
  <c r="E54" i="3" s="1"/>
  <c r="G44" i="8"/>
  <c r="H44" i="8" s="1"/>
  <c r="E43" i="3" s="1"/>
  <c r="C34" i="8"/>
  <c r="G52" i="8"/>
  <c r="H52" i="8" s="1"/>
  <c r="E51" i="3" s="1"/>
  <c r="G67" i="8"/>
  <c r="H67" i="8" s="1"/>
  <c r="E66" i="3" s="1"/>
  <c r="G43" i="8"/>
  <c r="H43" i="8" s="1"/>
  <c r="E42" i="3" s="1"/>
  <c r="G62" i="8"/>
  <c r="H62" i="8" s="1"/>
  <c r="E61" i="3" s="1"/>
  <c r="G64" i="8"/>
  <c r="H64" i="8" s="1"/>
  <c r="E63" i="3" s="1"/>
  <c r="G56" i="8"/>
  <c r="H56" i="8" s="1"/>
  <c r="E55" i="3" s="1"/>
  <c r="G53" i="8"/>
  <c r="H53" i="8" s="1"/>
  <c r="E52" i="3" s="1"/>
  <c r="C6" i="3"/>
  <c r="B2" i="3"/>
  <c r="E2093" i="7"/>
  <c r="H2093" i="7" s="1"/>
  <c r="H2094" i="7" s="1"/>
  <c r="E2010" i="7"/>
  <c r="H2010" i="7" s="1"/>
  <c r="H2011" i="7" s="1"/>
  <c r="E2488" i="7"/>
  <c r="H2488" i="7" s="1"/>
  <c r="E2249" i="7"/>
  <c r="H2249" i="7" s="1"/>
  <c r="E2404" i="7"/>
  <c r="H2404" i="7" s="1"/>
  <c r="H2405" i="7" s="1"/>
  <c r="E2326" i="7"/>
  <c r="H2326" i="7" s="1"/>
  <c r="H2327" i="7" s="1"/>
  <c r="E1417" i="7"/>
  <c r="H1417" i="7" s="1"/>
  <c r="H1418" i="7" s="1"/>
  <c r="E1064" i="7"/>
  <c r="H1064" i="7" s="1"/>
  <c r="H1065" i="7" s="1"/>
  <c r="E2447" i="7"/>
  <c r="H2447" i="7" s="1"/>
  <c r="E745" i="7"/>
  <c r="H745" i="7" s="1"/>
  <c r="H746" i="7" s="1"/>
  <c r="E1652" i="7"/>
  <c r="H1652" i="7" s="1"/>
  <c r="H1653" i="7" s="1"/>
  <c r="E1535" i="7"/>
  <c r="H1535" i="7" s="1"/>
  <c r="E1457" i="7"/>
  <c r="H1457" i="7" s="1"/>
  <c r="E1022" i="7"/>
  <c r="H1022" i="7" s="1"/>
  <c r="E1574" i="7"/>
  <c r="H1574" i="7" s="1"/>
  <c r="E706" i="7"/>
  <c r="H706" i="7" s="1"/>
  <c r="H707" i="7" s="1"/>
  <c r="E297" i="7"/>
  <c r="H297" i="7" s="1"/>
  <c r="H298" i="7" s="1"/>
  <c r="E137" i="7"/>
  <c r="H137" i="7" s="1"/>
  <c r="H138" i="7" s="1"/>
  <c r="E1613" i="7"/>
  <c r="H1613" i="7" s="1"/>
  <c r="H1614" i="7" s="1"/>
  <c r="E979" i="7"/>
  <c r="H979" i="7" s="1"/>
  <c r="E338" i="7"/>
  <c r="H338" i="7" s="1"/>
  <c r="H339" i="7" s="1"/>
  <c r="E255" i="7"/>
  <c r="H255" i="7" s="1"/>
  <c r="H256" i="7" s="1"/>
  <c r="E539" i="7"/>
  <c r="H539" i="7" s="1"/>
  <c r="H540" i="7" s="1"/>
  <c r="E2053" i="7"/>
  <c r="H2053" i="7" s="1"/>
  <c r="E1377" i="7"/>
  <c r="H1377" i="7" s="1"/>
  <c r="H1378" i="7" s="1"/>
  <c r="E378" i="7"/>
  <c r="H378" i="7" s="1"/>
  <c r="H379" i="7" s="1"/>
  <c r="E662" i="7"/>
  <c r="H662" i="7" s="1"/>
  <c r="H663" i="7" s="1"/>
  <c r="E419" i="7"/>
  <c r="H419" i="7" s="1"/>
  <c r="H420" i="7" s="1"/>
  <c r="E783" i="7"/>
  <c r="H783" i="7" s="1"/>
  <c r="H784" i="7" s="1"/>
  <c r="E620" i="7"/>
  <c r="H620" i="7" s="1"/>
  <c r="H621" i="7" s="1"/>
  <c r="E175" i="7"/>
  <c r="H175" i="7" s="1"/>
  <c r="H176" i="7" s="1"/>
  <c r="E1694" i="7"/>
  <c r="H1694" i="7" s="1"/>
  <c r="H1695" i="7" s="1"/>
  <c r="E582" i="7"/>
  <c r="H582" i="7" s="1"/>
  <c r="H583" i="7" s="1"/>
  <c r="E499" i="7"/>
  <c r="H499" i="7" s="1"/>
  <c r="H500" i="7" s="1"/>
  <c r="H2489" i="7"/>
  <c r="G121" i="8"/>
  <c r="H121" i="8" s="1"/>
  <c r="E120" i="3" s="1"/>
  <c r="G115" i="8"/>
  <c r="H115" i="8" s="1"/>
  <c r="E114" i="3" s="1"/>
  <c r="G109" i="8"/>
  <c r="H109" i="8" s="1"/>
  <c r="E108" i="3" s="1"/>
  <c r="G103" i="8"/>
  <c r="H103" i="8" s="1"/>
  <c r="E102" i="3" s="1"/>
  <c r="G97" i="8"/>
  <c r="H97" i="8" s="1"/>
  <c r="E96" i="3" s="1"/>
  <c r="G91" i="8"/>
  <c r="H91" i="8" s="1"/>
  <c r="E90" i="3" s="1"/>
  <c r="G85" i="8"/>
  <c r="H85" i="8" s="1"/>
  <c r="E84" i="3" s="1"/>
  <c r="G124" i="8"/>
  <c r="H124" i="8" s="1"/>
  <c r="E123" i="3" s="1"/>
  <c r="G118" i="8"/>
  <c r="H118" i="8" s="1"/>
  <c r="E117" i="3" s="1"/>
  <c r="G112" i="8"/>
  <c r="H112" i="8" s="1"/>
  <c r="E111" i="3" s="1"/>
  <c r="G106" i="8"/>
  <c r="H106" i="8" s="1"/>
  <c r="E105" i="3" s="1"/>
  <c r="G100" i="8"/>
  <c r="H100" i="8" s="1"/>
  <c r="E99" i="3" s="1"/>
  <c r="G94" i="8"/>
  <c r="H94" i="8" s="1"/>
  <c r="E93" i="3" s="1"/>
  <c r="G88" i="8"/>
  <c r="H88" i="8" s="1"/>
  <c r="E87" i="3" s="1"/>
  <c r="G123" i="8"/>
  <c r="H123" i="8" s="1"/>
  <c r="E122" i="3" s="1"/>
  <c r="G113" i="8"/>
  <c r="H113" i="8" s="1"/>
  <c r="E112" i="3" s="1"/>
  <c r="G102" i="8"/>
  <c r="H102" i="8" s="1"/>
  <c r="E101" i="3" s="1"/>
  <c r="G92" i="8"/>
  <c r="H92" i="8" s="1"/>
  <c r="E91" i="3" s="1"/>
  <c r="G122" i="8"/>
  <c r="H122" i="8" s="1"/>
  <c r="E121" i="3" s="1"/>
  <c r="G111" i="8"/>
  <c r="H111" i="8" s="1"/>
  <c r="E110" i="3" s="1"/>
  <c r="G101" i="8"/>
  <c r="H101" i="8" s="1"/>
  <c r="E100" i="3" s="1"/>
  <c r="G90" i="8"/>
  <c r="H90" i="8" s="1"/>
  <c r="E89" i="3" s="1"/>
  <c r="G120" i="8"/>
  <c r="H120" i="8" s="1"/>
  <c r="E119" i="3" s="1"/>
  <c r="G110" i="8"/>
  <c r="H110" i="8" s="1"/>
  <c r="E109" i="3" s="1"/>
  <c r="G99" i="8"/>
  <c r="H99" i="8" s="1"/>
  <c r="E98" i="3" s="1"/>
  <c r="G119" i="8"/>
  <c r="H119" i="8" s="1"/>
  <c r="E118" i="3" s="1"/>
  <c r="G108" i="8"/>
  <c r="H108" i="8" s="1"/>
  <c r="E107" i="3" s="1"/>
  <c r="G98" i="8"/>
  <c r="H98" i="8" s="1"/>
  <c r="E97" i="3" s="1"/>
  <c r="G87" i="8"/>
  <c r="H87" i="8" s="1"/>
  <c r="E86" i="3" s="1"/>
  <c r="G117" i="8"/>
  <c r="H117" i="8" s="1"/>
  <c r="E116" i="3" s="1"/>
  <c r="G125" i="8"/>
  <c r="H125" i="8" s="1"/>
  <c r="E124" i="3" s="1"/>
  <c r="G96" i="8"/>
  <c r="H96" i="8" s="1"/>
  <c r="E95" i="3" s="1"/>
  <c r="G95" i="8"/>
  <c r="H95" i="8" s="1"/>
  <c r="E94" i="3" s="1"/>
  <c r="G116" i="8"/>
  <c r="H116" i="8" s="1"/>
  <c r="E115" i="3" s="1"/>
  <c r="G93" i="8"/>
  <c r="H93" i="8" s="1"/>
  <c r="E92" i="3" s="1"/>
  <c r="G114" i="8"/>
  <c r="H114" i="8" s="1"/>
  <c r="E113" i="3" s="1"/>
  <c r="G86" i="8"/>
  <c r="H86" i="8" s="1"/>
  <c r="E85" i="3" s="1"/>
  <c r="G89" i="8"/>
  <c r="H89" i="8" s="1"/>
  <c r="E88" i="3" s="1"/>
  <c r="G84" i="8"/>
  <c r="H84" i="8" s="1"/>
  <c r="E83" i="3" s="1"/>
  <c r="C83" i="8"/>
  <c r="G107" i="8"/>
  <c r="H107" i="8" s="1"/>
  <c r="E106" i="3" s="1"/>
  <c r="G105" i="8"/>
  <c r="H105" i="8" s="1"/>
  <c r="E104" i="3" s="1"/>
  <c r="G104" i="8"/>
  <c r="H104" i="8" s="1"/>
  <c r="E103" i="3" s="1"/>
  <c r="B2" i="2"/>
  <c r="E215" i="7"/>
  <c r="H215" i="7" s="1"/>
  <c r="H216" i="7" s="1"/>
  <c r="H1575" i="7"/>
  <c r="G79" i="8"/>
  <c r="H79" i="8" s="1"/>
  <c r="E78" i="3" s="1"/>
  <c r="G82" i="8"/>
  <c r="H82" i="8" s="1"/>
  <c r="E81" i="3" s="1"/>
  <c r="G76" i="8"/>
  <c r="H76" i="8" s="1"/>
  <c r="E75" i="3" s="1"/>
  <c r="G81" i="8"/>
  <c r="H81" i="8" s="1"/>
  <c r="E80" i="3" s="1"/>
  <c r="G75" i="8"/>
  <c r="H75" i="8" s="1"/>
  <c r="E74" i="3" s="1"/>
  <c r="G80" i="8"/>
  <c r="H80" i="8" s="1"/>
  <c r="E79" i="3" s="1"/>
  <c r="G78" i="8"/>
  <c r="H78" i="8" s="1"/>
  <c r="E77" i="3" s="1"/>
  <c r="G77" i="8"/>
  <c r="H77" i="8" s="1"/>
  <c r="E76" i="3" s="1"/>
  <c r="G74" i="8"/>
  <c r="H74" i="8" s="1"/>
  <c r="E73" i="3" s="1"/>
  <c r="C73" i="8"/>
  <c r="C72" i="3"/>
  <c r="E458" i="7"/>
  <c r="H458" i="7" s="1"/>
  <c r="H459" i="7" s="1"/>
  <c r="H1217" i="7"/>
  <c r="G30" i="8"/>
  <c r="H30" i="8" s="1"/>
  <c r="E29" i="3" s="1"/>
  <c r="G24" i="8"/>
  <c r="H24" i="8" s="1"/>
  <c r="E23" i="3" s="1"/>
  <c r="G18" i="8"/>
  <c r="H18" i="8" s="1"/>
  <c r="E17" i="3" s="1"/>
  <c r="G12" i="8"/>
  <c r="H12" i="8" s="1"/>
  <c r="E11" i="3" s="1"/>
  <c r="G33" i="8"/>
  <c r="H33" i="8" s="1"/>
  <c r="E32" i="3" s="1"/>
  <c r="G27" i="8"/>
  <c r="H27" i="8" s="1"/>
  <c r="E26" i="3" s="1"/>
  <c r="G21" i="8"/>
  <c r="H21" i="8" s="1"/>
  <c r="E20" i="3" s="1"/>
  <c r="G15" i="8"/>
  <c r="H15" i="8" s="1"/>
  <c r="E14" i="3" s="1"/>
  <c r="G9" i="8"/>
  <c r="H9" i="8" s="1"/>
  <c r="E8" i="3" s="1"/>
  <c r="G32" i="8"/>
  <c r="H32" i="8" s="1"/>
  <c r="E31" i="3" s="1"/>
  <c r="G26" i="8"/>
  <c r="H26" i="8" s="1"/>
  <c r="E25" i="3" s="1"/>
  <c r="G20" i="8"/>
  <c r="H20" i="8" s="1"/>
  <c r="E19" i="3" s="1"/>
  <c r="G14" i="8"/>
  <c r="H14" i="8" s="1"/>
  <c r="E13" i="3" s="1"/>
  <c r="G8" i="8"/>
  <c r="H8" i="8" s="1"/>
  <c r="E7" i="3" s="1"/>
  <c r="G29" i="8"/>
  <c r="H29" i="8" s="1"/>
  <c r="E28" i="3" s="1"/>
  <c r="G19" i="8"/>
  <c r="H19" i="8" s="1"/>
  <c r="E18" i="3" s="1"/>
  <c r="C7" i="8"/>
  <c r="G28" i="8"/>
  <c r="H28" i="8" s="1"/>
  <c r="E27" i="3" s="1"/>
  <c r="G17" i="8"/>
  <c r="H17" i="8" s="1"/>
  <c r="E16" i="3" s="1"/>
  <c r="G16" i="8"/>
  <c r="H16" i="8" s="1"/>
  <c r="E15" i="3" s="1"/>
  <c r="G23" i="8"/>
  <c r="H23" i="8" s="1"/>
  <c r="E22" i="3" s="1"/>
  <c r="G13" i="8"/>
  <c r="H13" i="8" s="1"/>
  <c r="E12" i="3" s="1"/>
  <c r="G22" i="8"/>
  <c r="H22" i="8" s="1"/>
  <c r="E21" i="3" s="1"/>
  <c r="G11" i="8"/>
  <c r="H11" i="8" s="1"/>
  <c r="E10" i="3" s="1"/>
  <c r="G31" i="8"/>
  <c r="H31" i="8" s="1"/>
  <c r="E30" i="3" s="1"/>
  <c r="G25" i="8"/>
  <c r="H25" i="8" s="1"/>
  <c r="E24" i="3" s="1"/>
  <c r="G10" i="8"/>
  <c r="H10" i="8" s="1"/>
  <c r="E9" i="3" s="1"/>
  <c r="C125" i="3"/>
  <c r="H617" i="7"/>
  <c r="B1438" i="7"/>
  <c r="H1334" i="7"/>
  <c r="D10" i="9"/>
  <c r="G2047" i="7"/>
  <c r="H2047" i="7" s="1"/>
  <c r="G2006" i="7"/>
  <c r="H2006" i="7" s="1"/>
  <c r="H2007" i="7" s="1"/>
  <c r="B28" i="15"/>
  <c r="F3" i="14" s="1"/>
  <c r="C3" i="14"/>
  <c r="B6" i="16" s="1"/>
  <c r="B10" i="15"/>
  <c r="B12" i="15"/>
  <c r="B13" i="15" s="1"/>
  <c r="B14" i="15"/>
  <c r="N28" i="15"/>
  <c r="F15" i="14" s="1"/>
  <c r="C15" i="14"/>
  <c r="N15" i="15"/>
  <c r="N12" i="15"/>
  <c r="N13" i="15" s="1"/>
  <c r="N14" i="15"/>
  <c r="N10" i="15"/>
  <c r="Z28" i="15"/>
  <c r="F27" i="14" s="1"/>
  <c r="Z14" i="15"/>
  <c r="Z15" i="15"/>
  <c r="Z10" i="15"/>
  <c r="C27" i="14"/>
  <c r="B11" i="16" s="1"/>
  <c r="Z12" i="15"/>
  <c r="Z13" i="15" s="1"/>
  <c r="G11" i="15"/>
  <c r="G26" i="15" s="1"/>
  <c r="G27" i="15" s="1"/>
  <c r="G12" i="15"/>
  <c r="G13" i="15" s="1"/>
  <c r="S12" i="15"/>
  <c r="S13" i="15" s="1"/>
  <c r="S11" i="15"/>
  <c r="S15" i="15"/>
  <c r="AE15" i="15"/>
  <c r="AE11" i="15"/>
  <c r="AE12" i="15"/>
  <c r="AE13" i="15" s="1"/>
  <c r="G24" i="5"/>
  <c r="H1690" i="7"/>
  <c r="H2089" i="7"/>
  <c r="H2054" i="7"/>
  <c r="H1928" i="7"/>
  <c r="I20" i="15"/>
  <c r="I19" i="15"/>
  <c r="I18" i="15"/>
  <c r="H819" i="7"/>
  <c r="H1021" i="7"/>
  <c r="H1023" i="7" s="1"/>
  <c r="G1234" i="7"/>
  <c r="H1456" i="7"/>
  <c r="H1458" i="7" s="1"/>
  <c r="H1534" i="7"/>
  <c r="H1536" i="7" s="1"/>
  <c r="B15" i="15"/>
  <c r="H980" i="7"/>
  <c r="G1117" i="7"/>
  <c r="H1770" i="7"/>
  <c r="F49" i="9"/>
  <c r="D7" i="9" s="1"/>
  <c r="G1747" i="7"/>
  <c r="H2250" i="7"/>
  <c r="H28" i="15"/>
  <c r="F9" i="14" s="1"/>
  <c r="H15" i="15"/>
  <c r="H12" i="15"/>
  <c r="H13" i="15" s="1"/>
  <c r="C9" i="14"/>
  <c r="H10" i="15"/>
  <c r="T28" i="15"/>
  <c r="F21" i="14" s="1"/>
  <c r="T15" i="15"/>
  <c r="C21" i="14"/>
  <c r="B10" i="16" s="1"/>
  <c r="T14" i="15"/>
  <c r="T10" i="15"/>
  <c r="AF28" i="15"/>
  <c r="F33" i="14" s="1"/>
  <c r="AF10" i="15"/>
  <c r="C33" i="14"/>
  <c r="B16" i="16" s="1"/>
  <c r="AF12" i="15"/>
  <c r="AF13" i="15" s="1"/>
  <c r="AF14" i="15"/>
  <c r="AF15" i="15"/>
  <c r="M11" i="15"/>
  <c r="M26" i="15" s="1"/>
  <c r="M27" i="15" s="1"/>
  <c r="M15" i="15"/>
  <c r="M19" i="15"/>
  <c r="M20" i="15"/>
  <c r="M18" i="15"/>
  <c r="H2448" i="7"/>
  <c r="I28" i="15"/>
  <c r="F10" i="14" s="1"/>
  <c r="I12" i="15"/>
  <c r="I13" i="15" s="1"/>
  <c r="C10" i="14"/>
  <c r="B8" i="16" s="1"/>
  <c r="I14" i="15"/>
  <c r="I15" i="15"/>
  <c r="U28" i="15"/>
  <c r="F22" i="14" s="1"/>
  <c r="U15" i="15"/>
  <c r="C22" i="14"/>
  <c r="U12" i="15"/>
  <c r="U13" i="15" s="1"/>
  <c r="U14" i="15"/>
  <c r="U10" i="15"/>
  <c r="J28" i="15"/>
  <c r="F11" i="14" s="1"/>
  <c r="J10" i="15"/>
  <c r="J15" i="15"/>
  <c r="J12" i="15"/>
  <c r="J13" i="15" s="1"/>
  <c r="J14" i="15"/>
  <c r="C11" i="14"/>
  <c r="V28" i="15"/>
  <c r="F23" i="14" s="1"/>
  <c r="V12" i="15"/>
  <c r="V13" i="15" s="1"/>
  <c r="V14" i="15"/>
  <c r="C23" i="14"/>
  <c r="B12" i="16" s="1"/>
  <c r="V15" i="15"/>
  <c r="Q19" i="15"/>
  <c r="Q20" i="15"/>
  <c r="Q18" i="15"/>
  <c r="Q26" i="15" s="1"/>
  <c r="Q27" i="15" s="1"/>
  <c r="V10" i="15"/>
  <c r="E7" i="11"/>
  <c r="E6" i="11"/>
  <c r="F6" i="11" s="1"/>
  <c r="D6" i="10" s="1"/>
  <c r="G655" i="7" s="1"/>
  <c r="H655" i="7" s="1"/>
  <c r="C28" i="15"/>
  <c r="F4" i="14" s="1"/>
  <c r="C10" i="15"/>
  <c r="C12" i="15"/>
  <c r="C13" i="15" s="1"/>
  <c r="C4" i="14"/>
  <c r="O28" i="15"/>
  <c r="F16" i="14" s="1"/>
  <c r="O10" i="15"/>
  <c r="C16" i="14"/>
  <c r="O12" i="15"/>
  <c r="O13" i="15" s="1"/>
  <c r="AA28" i="15"/>
  <c r="F28" i="14" s="1"/>
  <c r="AA10" i="15"/>
  <c r="AA15" i="15"/>
  <c r="AA12" i="15"/>
  <c r="AA13" i="15" s="1"/>
  <c r="C28" i="14"/>
  <c r="C15" i="15"/>
  <c r="D19" i="15"/>
  <c r="D18" i="15"/>
  <c r="AB19" i="15"/>
  <c r="AB18" i="15"/>
  <c r="E30" i="9"/>
  <c r="F30" i="9" s="1"/>
  <c r="E28" i="15"/>
  <c r="F6" i="14" s="1"/>
  <c r="Q28" i="15"/>
  <c r="F18" i="14" s="1"/>
  <c r="AC28" i="15"/>
  <c r="F30" i="14" s="1"/>
  <c r="E16" i="9"/>
  <c r="F16" i="9" s="1"/>
  <c r="F7" i="11"/>
  <c r="D5" i="10" s="1"/>
  <c r="G18" i="15"/>
  <c r="G19" i="15"/>
  <c r="G20" i="15"/>
  <c r="AD20" i="15"/>
  <c r="AD18" i="15"/>
  <c r="AD26" i="15" s="1"/>
  <c r="AD27" i="15" s="1"/>
  <c r="G2418" i="7"/>
  <c r="G15" i="15"/>
  <c r="AE26" i="15"/>
  <c r="AE27" i="15" s="1"/>
  <c r="AE18" i="15"/>
  <c r="AE19" i="15"/>
  <c r="AE20" i="15"/>
  <c r="K28" i="15"/>
  <c r="F12" i="14" s="1"/>
  <c r="K14" i="15"/>
  <c r="W28" i="15"/>
  <c r="F24" i="14" s="1"/>
  <c r="W14" i="15"/>
  <c r="W10" i="15"/>
  <c r="L28" i="15"/>
  <c r="F13" i="14" s="1"/>
  <c r="X28" i="15"/>
  <c r="F25" i="14" s="1"/>
  <c r="K10" i="15"/>
  <c r="X10" i="15"/>
  <c r="M28" i="15"/>
  <c r="F14" i="14" s="1"/>
  <c r="M12" i="15"/>
  <c r="M13" i="15" s="1"/>
  <c r="Y28" i="15"/>
  <c r="F26" i="14" s="1"/>
  <c r="Y12" i="15"/>
  <c r="Y13" i="15" s="1"/>
  <c r="L10" i="15"/>
  <c r="Y10" i="15"/>
  <c r="D28" i="15"/>
  <c r="F5" i="14" s="1"/>
  <c r="D15" i="15"/>
  <c r="D26" i="15" s="1"/>
  <c r="D27" i="15" s="1"/>
  <c r="P28" i="15"/>
  <c r="F17" i="14" s="1"/>
  <c r="P15" i="15"/>
  <c r="AB28" i="15"/>
  <c r="F29" i="14" s="1"/>
  <c r="AB15" i="15"/>
  <c r="P10" i="15"/>
  <c r="AC19" i="15"/>
  <c r="AC20" i="15"/>
  <c r="AC18" i="15"/>
  <c r="AC26" i="15" s="1"/>
  <c r="AC27" i="15" s="1"/>
  <c r="C29" i="14"/>
  <c r="F28" i="15"/>
  <c r="F7" i="14" s="1"/>
  <c r="R28" i="15"/>
  <c r="F19" i="14" s="1"/>
  <c r="C31" i="14"/>
  <c r="B15" i="16" s="1"/>
  <c r="AD28" i="15"/>
  <c r="F31" i="14" s="1"/>
  <c r="E19" i="15"/>
  <c r="E20" i="15"/>
  <c r="E18" i="15"/>
  <c r="E26" i="15" s="1"/>
  <c r="E27" i="15" s="1"/>
  <c r="R10" i="15"/>
  <c r="L14" i="15"/>
  <c r="Y14" i="15"/>
  <c r="Z24" i="15"/>
  <c r="Y24" i="15"/>
  <c r="M24" i="15"/>
  <c r="X24" i="15"/>
  <c r="L24" i="15"/>
  <c r="K24" i="15"/>
  <c r="V24" i="15"/>
  <c r="U24" i="15"/>
  <c r="S24" i="15"/>
  <c r="AD24" i="15"/>
  <c r="R24" i="15"/>
  <c r="AC24" i="15"/>
  <c r="AB24" i="15"/>
  <c r="AB26" i="15" s="1"/>
  <c r="AB27" i="15" s="1"/>
  <c r="AA24" i="15"/>
  <c r="G28" i="15"/>
  <c r="F8" i="14" s="1"/>
  <c r="S28" i="15"/>
  <c r="F20" i="14" s="1"/>
  <c r="AE28" i="15"/>
  <c r="F32" i="14" s="1"/>
  <c r="F10" i="15"/>
  <c r="S10" i="15"/>
  <c r="M14" i="15"/>
  <c r="J24" i="15"/>
  <c r="G29" i="15" l="1"/>
  <c r="G8" i="14" s="1"/>
  <c r="F9" i="16" s="1"/>
  <c r="G30" i="15"/>
  <c r="D8" i="14" s="1"/>
  <c r="C9" i="16" s="1"/>
  <c r="E8" i="14"/>
  <c r="D9" i="16" s="1"/>
  <c r="D29" i="15"/>
  <c r="G5" i="14" s="1"/>
  <c r="F7" i="16" s="1"/>
  <c r="D30" i="15"/>
  <c r="E5" i="14"/>
  <c r="D7" i="16" s="1"/>
  <c r="M30" i="15"/>
  <c r="D14" i="14" s="1"/>
  <c r="M29" i="15"/>
  <c r="G14" i="14" s="1"/>
  <c r="H14" i="14" s="1"/>
  <c r="E14" i="14"/>
  <c r="AB29" i="15"/>
  <c r="G29" i="14" s="1"/>
  <c r="H29" i="14" s="1"/>
  <c r="E29" i="14"/>
  <c r="AB30" i="15"/>
  <c r="D29" i="14" s="1"/>
  <c r="AD29" i="15"/>
  <c r="G31" i="14" s="1"/>
  <c r="F15" i="16" s="1"/>
  <c r="AD30" i="15"/>
  <c r="D31" i="14" s="1"/>
  <c r="C15" i="16" s="1"/>
  <c r="E31" i="14"/>
  <c r="D15" i="16" s="1"/>
  <c r="AC29" i="15"/>
  <c r="G30" i="14" s="1"/>
  <c r="AC30" i="15"/>
  <c r="D30" i="14" s="1"/>
  <c r="E30" i="14"/>
  <c r="Q29" i="15"/>
  <c r="G18" i="14" s="1"/>
  <c r="Q30" i="15"/>
  <c r="D18" i="14" s="1"/>
  <c r="E18" i="14"/>
  <c r="E29" i="15"/>
  <c r="G6" i="14" s="1"/>
  <c r="E30" i="15"/>
  <c r="D6" i="14" s="1"/>
  <c r="E6" i="14"/>
  <c r="G279" i="7"/>
  <c r="Z20" i="15"/>
  <c r="Z18" i="15"/>
  <c r="Z26" i="15" s="1"/>
  <c r="Z27" i="15" s="1"/>
  <c r="Z19" i="15"/>
  <c r="B20" i="15"/>
  <c r="B19" i="15"/>
  <c r="B18" i="15"/>
  <c r="B26" i="15" s="1"/>
  <c r="B27" i="15" s="1"/>
  <c r="G846" i="7"/>
  <c r="G1559" i="7"/>
  <c r="G2230" i="7"/>
  <c r="W18" i="15"/>
  <c r="W19" i="15"/>
  <c r="W26" i="15" s="1"/>
  <c r="W27" i="15" s="1"/>
  <c r="W20" i="15"/>
  <c r="AA20" i="15"/>
  <c r="AA18" i="15"/>
  <c r="AA26" i="15" s="1"/>
  <c r="AA27" i="15" s="1"/>
  <c r="AA19" i="15"/>
  <c r="E12" i="16"/>
  <c r="G454" i="7"/>
  <c r="H454" i="7" s="1"/>
  <c r="G211" i="7"/>
  <c r="H211" i="7" s="1"/>
  <c r="G334" i="7"/>
  <c r="H334" i="7" s="1"/>
  <c r="G251" i="7"/>
  <c r="H251" i="7" s="1"/>
  <c r="G535" i="7"/>
  <c r="H535" i="7" s="1"/>
  <c r="G292" i="7"/>
  <c r="H292" i="7" s="1"/>
  <c r="G576" i="7"/>
  <c r="H576" i="7" s="1"/>
  <c r="G374" i="7"/>
  <c r="H374" i="7" s="1"/>
  <c r="G658" i="7"/>
  <c r="H658" i="7" s="1"/>
  <c r="G492" i="7"/>
  <c r="H492" i="7" s="1"/>
  <c r="G415" i="7"/>
  <c r="H415" i="7" s="1"/>
  <c r="G1205" i="7"/>
  <c r="G7" i="7"/>
  <c r="G1088" i="7"/>
  <c r="G1994" i="7"/>
  <c r="G1519" i="7"/>
  <c r="G321" i="7"/>
  <c r="L18" i="15"/>
  <c r="L19" i="15"/>
  <c r="L20" i="15"/>
  <c r="L26" i="15" s="1"/>
  <c r="L27" i="15" s="1"/>
  <c r="G1757" i="7"/>
  <c r="G2388" i="7"/>
  <c r="H19" i="15"/>
  <c r="H18" i="15"/>
  <c r="H26" i="15" s="1"/>
  <c r="H27" i="15" s="1"/>
  <c r="H20" i="15"/>
  <c r="E11" i="16"/>
  <c r="G644" i="7"/>
  <c r="G1676" i="7"/>
  <c r="G563" i="7"/>
  <c r="G686" i="7"/>
  <c r="G1166" i="7"/>
  <c r="G482" i="7"/>
  <c r="G2471" i="7"/>
  <c r="V20" i="15"/>
  <c r="V19" i="15"/>
  <c r="V18" i="15"/>
  <c r="V26" i="15" s="1"/>
  <c r="V27" i="15" s="1"/>
  <c r="G962" i="7"/>
  <c r="G523" i="7"/>
  <c r="G1955" i="7"/>
  <c r="S18" i="15"/>
  <c r="S19" i="15"/>
  <c r="S26" i="15" s="1"/>
  <c r="S27" i="15" s="1"/>
  <c r="S20" i="15"/>
  <c r="E7" i="16"/>
  <c r="H5" i="14"/>
  <c r="G7" i="16" s="1"/>
  <c r="E13" i="16"/>
  <c r="F26" i="15"/>
  <c r="F27" i="15" s="1"/>
  <c r="F20" i="15"/>
  <c r="F19" i="15"/>
  <c r="F18" i="15"/>
  <c r="N20" i="15"/>
  <c r="N19" i="15"/>
  <c r="N18" i="15"/>
  <c r="N26" i="15" s="1"/>
  <c r="N27" i="15" s="1"/>
  <c r="G1285" i="7"/>
  <c r="G1244" i="7"/>
  <c r="G2350" i="7"/>
  <c r="G1916" i="7"/>
  <c r="G884" i="7"/>
  <c r="Y20" i="15"/>
  <c r="Y19" i="15"/>
  <c r="Y18" i="15"/>
  <c r="Y26" i="15" s="1"/>
  <c r="Y27" i="15" s="1"/>
  <c r="E10" i="16"/>
  <c r="E6" i="16"/>
  <c r="G730" i="7"/>
  <c r="H32" i="14"/>
  <c r="G1441" i="7"/>
  <c r="G1637" i="7"/>
  <c r="J20" i="15"/>
  <c r="J19" i="15"/>
  <c r="J18" i="15"/>
  <c r="J26" i="15" s="1"/>
  <c r="J27" i="15" s="1"/>
  <c r="E8" i="16"/>
  <c r="G1323" i="7"/>
  <c r="G47" i="7"/>
  <c r="G2312" i="7"/>
  <c r="G2192" i="7"/>
  <c r="G1401" i="7"/>
  <c r="G1046" i="7"/>
  <c r="G2428" i="7"/>
  <c r="H6" i="14"/>
  <c r="G606" i="7"/>
  <c r="G1127" i="7"/>
  <c r="E17" i="16"/>
  <c r="E38" i="9"/>
  <c r="F38" i="9" s="1"/>
  <c r="F40" i="9" s="1"/>
  <c r="D6" i="9" s="1"/>
  <c r="E24" i="9"/>
  <c r="F24" i="9" s="1"/>
  <c r="E31" i="9"/>
  <c r="F31" i="9" s="1"/>
  <c r="E17" i="9"/>
  <c r="F17" i="9" s="1"/>
  <c r="R26" i="15"/>
  <c r="R27" i="15" s="1"/>
  <c r="R20" i="15"/>
  <c r="R19" i="15"/>
  <c r="R18" i="15"/>
  <c r="G2035" i="7"/>
  <c r="D11" i="9"/>
  <c r="G2321" i="7"/>
  <c r="H2321" i="7" s="1"/>
  <c r="H2323" i="7" s="1"/>
  <c r="G2048" i="7"/>
  <c r="H2048" i="7" s="1"/>
  <c r="H2049" i="7" s="1"/>
  <c r="I26" i="15"/>
  <c r="I27" i="15" s="1"/>
  <c r="G443" i="7"/>
  <c r="G402" i="7"/>
  <c r="G161" i="7"/>
  <c r="G1836" i="7"/>
  <c r="G199" i="7"/>
  <c r="G1361" i="7"/>
  <c r="O20" i="15"/>
  <c r="O18" i="15"/>
  <c r="O26" i="15" s="1"/>
  <c r="O27" i="15" s="1"/>
  <c r="O19" i="15"/>
  <c r="G362" i="7"/>
  <c r="E9" i="16"/>
  <c r="H8" i="14"/>
  <c r="G9" i="16" s="1"/>
  <c r="X18" i="15"/>
  <c r="X19" i="15"/>
  <c r="X26" i="15" s="1"/>
  <c r="X27" i="15" s="1"/>
  <c r="X20" i="15"/>
  <c r="U20" i="15"/>
  <c r="U19" i="15"/>
  <c r="U18" i="15"/>
  <c r="U26" i="15" s="1"/>
  <c r="U27" i="15" s="1"/>
  <c r="AF26" i="15"/>
  <c r="AF27" i="15" s="1"/>
  <c r="AF19" i="15"/>
  <c r="AF18" i="15"/>
  <c r="AF20" i="15"/>
  <c r="G1598" i="7"/>
  <c r="G1718" i="7"/>
  <c r="G2274" i="7"/>
  <c r="G239" i="7"/>
  <c r="G2117" i="7"/>
  <c r="G923" i="7"/>
  <c r="G122" i="7"/>
  <c r="P19" i="15"/>
  <c r="P26" i="15"/>
  <c r="P27" i="15" s="1"/>
  <c r="P18" i="15"/>
  <c r="P20" i="15"/>
  <c r="K18" i="15"/>
  <c r="K20" i="15"/>
  <c r="K19" i="15"/>
  <c r="K26" i="15" s="1"/>
  <c r="K27" i="15" s="1"/>
  <c r="AE29" i="15"/>
  <c r="G32" i="14" s="1"/>
  <c r="AE30" i="15"/>
  <c r="D32" i="14" s="1"/>
  <c r="E32" i="14"/>
  <c r="H30" i="14"/>
  <c r="C20" i="15"/>
  <c r="C26" i="15" s="1"/>
  <c r="C27" i="15" s="1"/>
  <c r="C19" i="15"/>
  <c r="C18" i="15"/>
  <c r="E16" i="16"/>
  <c r="G807" i="7"/>
  <c r="G769" i="7"/>
  <c r="G2078" i="7"/>
  <c r="G1003" i="7"/>
  <c r="E15" i="16"/>
  <c r="H31" i="14"/>
  <c r="E14" i="16"/>
  <c r="H18" i="14"/>
  <c r="T18" i="15"/>
  <c r="T26" i="15" s="1"/>
  <c r="T27" i="15" s="1"/>
  <c r="T20" i="15"/>
  <c r="T19" i="15"/>
  <c r="G1481" i="7"/>
  <c r="G84" i="7"/>
  <c r="G1876" i="7"/>
  <c r="G1797" i="7"/>
  <c r="G2155" i="7"/>
  <c r="O30" i="15" l="1"/>
  <c r="D16" i="14" s="1"/>
  <c r="O29" i="15"/>
  <c r="G16" i="14" s="1"/>
  <c r="H16" i="14" s="1"/>
  <c r="E16" i="14"/>
  <c r="S29" i="15"/>
  <c r="G20" i="14" s="1"/>
  <c r="H20" i="14" s="1"/>
  <c r="S30" i="15"/>
  <c r="D20" i="14" s="1"/>
  <c r="E20" i="14"/>
  <c r="C30" i="15"/>
  <c r="D4" i="14" s="1"/>
  <c r="C29" i="15"/>
  <c r="G4" i="14" s="1"/>
  <c r="H4" i="14" s="1"/>
  <c r="E4" i="14"/>
  <c r="X30" i="15"/>
  <c r="D25" i="14" s="1"/>
  <c r="C14" i="16" s="1"/>
  <c r="X29" i="15"/>
  <c r="G25" i="14" s="1"/>
  <c r="E25" i="14"/>
  <c r="D14" i="16" s="1"/>
  <c r="N30" i="15"/>
  <c r="D15" i="14" s="1"/>
  <c r="N29" i="15"/>
  <c r="G15" i="14" s="1"/>
  <c r="H15" i="14" s="1"/>
  <c r="E15" i="14"/>
  <c r="B30" i="15"/>
  <c r="B29" i="15"/>
  <c r="G3" i="14" s="1"/>
  <c r="E3" i="14"/>
  <c r="D6" i="16" s="1"/>
  <c r="F34" i="9"/>
  <c r="D5" i="9" s="1"/>
  <c r="AA30" i="15"/>
  <c r="D28" i="14" s="1"/>
  <c r="AA29" i="15"/>
  <c r="G28" i="14" s="1"/>
  <c r="H28" i="14" s="1"/>
  <c r="E28" i="14"/>
  <c r="Z30" i="15"/>
  <c r="D27" i="14" s="1"/>
  <c r="C11" i="16" s="1"/>
  <c r="Z29" i="15"/>
  <c r="G27" i="14" s="1"/>
  <c r="E27" i="14"/>
  <c r="D11" i="16" s="1"/>
  <c r="W30" i="15"/>
  <c r="D24" i="14" s="1"/>
  <c r="C13" i="16" s="1"/>
  <c r="W29" i="15"/>
  <c r="G24" i="14" s="1"/>
  <c r="E24" i="14"/>
  <c r="D13" i="16" s="1"/>
  <c r="U29" i="15"/>
  <c r="G22" i="14" s="1"/>
  <c r="H22" i="14" s="1"/>
  <c r="U30" i="15"/>
  <c r="D22" i="14" s="1"/>
  <c r="E22" i="14"/>
  <c r="V29" i="15"/>
  <c r="G23" i="14" s="1"/>
  <c r="V30" i="15"/>
  <c r="D23" i="14" s="1"/>
  <c r="C12" i="16" s="1"/>
  <c r="E23" i="14"/>
  <c r="D12" i="16" s="1"/>
  <c r="T29" i="15"/>
  <c r="G21" i="14" s="1"/>
  <c r="T30" i="15"/>
  <c r="D21" i="14" s="1"/>
  <c r="C10" i="16" s="1"/>
  <c r="E21" i="14"/>
  <c r="D10" i="16" s="1"/>
  <c r="Y30" i="15"/>
  <c r="D26" i="14" s="1"/>
  <c r="C17" i="16" s="1"/>
  <c r="Y29" i="15"/>
  <c r="G26" i="14" s="1"/>
  <c r="E26" i="14"/>
  <c r="D17" i="16" s="1"/>
  <c r="H29" i="15"/>
  <c r="G9" i="14" s="1"/>
  <c r="H9" i="14" s="1"/>
  <c r="H30" i="15"/>
  <c r="D9" i="14" s="1"/>
  <c r="E9" i="14"/>
  <c r="K30" i="15"/>
  <c r="D12" i="14" s="1"/>
  <c r="K29" i="15"/>
  <c r="G12" i="14" s="1"/>
  <c r="H12" i="14" s="1"/>
  <c r="E12" i="14"/>
  <c r="J29" i="15"/>
  <c r="G11" i="14" s="1"/>
  <c r="H11" i="14" s="1"/>
  <c r="J30" i="15"/>
  <c r="D11" i="14" s="1"/>
  <c r="E11" i="14"/>
  <c r="L30" i="15"/>
  <c r="D13" i="14" s="1"/>
  <c r="L29" i="15"/>
  <c r="G13" i="14" s="1"/>
  <c r="H13" i="14" s="1"/>
  <c r="E13" i="14"/>
  <c r="P29" i="15"/>
  <c r="G17" i="14" s="1"/>
  <c r="H17" i="14" s="1"/>
  <c r="P30" i="15"/>
  <c r="D17" i="14" s="1"/>
  <c r="E17" i="14"/>
  <c r="F29" i="15"/>
  <c r="G7" i="14" s="1"/>
  <c r="H7" i="14" s="1"/>
  <c r="F30" i="15"/>
  <c r="D7" i="14" s="1"/>
  <c r="E7" i="14"/>
  <c r="E18" i="9"/>
  <c r="F18" i="9" s="1"/>
  <c r="F20" i="9" s="1"/>
  <c r="D3" i="9" s="1"/>
  <c r="G171" i="7" s="1"/>
  <c r="H171" i="7" s="1"/>
  <c r="H172" i="7" s="1"/>
  <c r="E32" i="9"/>
  <c r="F32" i="9" s="1"/>
  <c r="E25" i="9"/>
  <c r="F25" i="9" s="1"/>
  <c r="F27" i="9"/>
  <c r="D4" i="9" s="1"/>
  <c r="G2243" i="7"/>
  <c r="H2243" i="7" s="1"/>
  <c r="H2245" i="7" s="1"/>
  <c r="G779" i="7"/>
  <c r="H779" i="7" s="1"/>
  <c r="H780" i="7" s="1"/>
  <c r="G1014" i="7"/>
  <c r="H1014" i="7" s="1"/>
  <c r="H1018" i="7" s="1"/>
  <c r="G1412" i="7"/>
  <c r="H1412" i="7" s="1"/>
  <c r="H1413" i="7" s="1"/>
  <c r="G2165" i="7"/>
  <c r="H2165" i="7" s="1"/>
  <c r="H2166" i="7" s="1"/>
  <c r="G741" i="7"/>
  <c r="H741" i="7" s="1"/>
  <c r="H742" i="7" s="1"/>
  <c r="G1452" i="7"/>
  <c r="H1452" i="7" s="1"/>
  <c r="H1453" i="7" s="1"/>
  <c r="G1372" i="7"/>
  <c r="H1372" i="7" s="1"/>
  <c r="H1373" i="7" s="1"/>
  <c r="D5" i="14"/>
  <c r="C7" i="16" s="1"/>
  <c r="E7" i="5"/>
  <c r="H7" i="5" s="1"/>
  <c r="R29" i="15"/>
  <c r="G19" i="14" s="1"/>
  <c r="H19" i="14" s="1"/>
  <c r="R30" i="15"/>
  <c r="D19" i="14" s="1"/>
  <c r="E19" i="14"/>
  <c r="AF29" i="15"/>
  <c r="G33" i="14" s="1"/>
  <c r="AF30" i="15"/>
  <c r="D33" i="14" s="1"/>
  <c r="C16" i="16" s="1"/>
  <c r="E33" i="14"/>
  <c r="D16" i="16" s="1"/>
  <c r="G15" i="16"/>
  <c r="F1737" i="7"/>
  <c r="H1737" i="7" s="1"/>
  <c r="F2211" i="7"/>
  <c r="H2211" i="7" s="1"/>
  <c r="H2212" i="7" s="1"/>
  <c r="G2197" i="7" s="1"/>
  <c r="H2197" i="7" s="1"/>
  <c r="H2198" i="7" s="1"/>
  <c r="H2214" i="7" s="1"/>
  <c r="F1896" i="7"/>
  <c r="H1896" i="7" s="1"/>
  <c r="F1816" i="7"/>
  <c r="H1816" i="7" s="1"/>
  <c r="F2173" i="7"/>
  <c r="H2173" i="7" s="1"/>
  <c r="H2174" i="7" s="1"/>
  <c r="G2160" i="7" s="1"/>
  <c r="H2160" i="7" s="1"/>
  <c r="H2161" i="7" s="1"/>
  <c r="F2058" i="7"/>
  <c r="H2058" i="7" s="1"/>
  <c r="F2014" i="7"/>
  <c r="H2014" i="7" s="1"/>
  <c r="F2255" i="7"/>
  <c r="H2255" i="7" s="1"/>
  <c r="F1777" i="7"/>
  <c r="H1777" i="7" s="1"/>
  <c r="F2097" i="7"/>
  <c r="H2097" i="7" s="1"/>
  <c r="F1935" i="7"/>
  <c r="H1935" i="7" s="1"/>
  <c r="F1856" i="7"/>
  <c r="H1856" i="7" s="1"/>
  <c r="F2135" i="7"/>
  <c r="H2135" i="7" s="1"/>
  <c r="F1974" i="7"/>
  <c r="H1974" i="7" s="1"/>
  <c r="I29" i="15"/>
  <c r="G10" i="14" s="1"/>
  <c r="I30" i="15"/>
  <c r="E10" i="14"/>
  <c r="D8" i="16" s="1"/>
  <c r="F11" i="16" l="1"/>
  <c r="H27" i="14"/>
  <c r="H2192" i="7"/>
  <c r="H2219" i="7"/>
  <c r="H2218" i="7"/>
  <c r="H2220" i="7" s="1"/>
  <c r="H2222" i="7" s="1"/>
  <c r="G103" i="3"/>
  <c r="F16" i="16"/>
  <c r="H33" i="14"/>
  <c r="F6" i="16"/>
  <c r="H3" i="14"/>
  <c r="G6" i="16" s="1"/>
  <c r="G453" i="7"/>
  <c r="H453" i="7" s="1"/>
  <c r="H455" i="7" s="1"/>
  <c r="G210" i="7"/>
  <c r="H210" i="7" s="1"/>
  <c r="H212" i="7" s="1"/>
  <c r="G654" i="7"/>
  <c r="H654" i="7" s="1"/>
  <c r="H659" i="7" s="1"/>
  <c r="G333" i="7"/>
  <c r="H333" i="7" s="1"/>
  <c r="H335" i="7" s="1"/>
  <c r="G250" i="7"/>
  <c r="H250" i="7" s="1"/>
  <c r="H252" i="7" s="1"/>
  <c r="G534" i="7"/>
  <c r="H534" i="7" s="1"/>
  <c r="H536" i="7" s="1"/>
  <c r="G291" i="7"/>
  <c r="H291" i="7" s="1"/>
  <c r="H294" i="7" s="1"/>
  <c r="G575" i="7"/>
  <c r="H575" i="7" s="1"/>
  <c r="H579" i="7" s="1"/>
  <c r="G699" i="7"/>
  <c r="H699" i="7" s="1"/>
  <c r="H703" i="7" s="1"/>
  <c r="G373" i="7"/>
  <c r="H373" i="7" s="1"/>
  <c r="H375" i="7" s="1"/>
  <c r="G491" i="7"/>
  <c r="H491" i="7" s="1"/>
  <c r="H496" i="7" s="1"/>
  <c r="G414" i="7"/>
  <c r="H414" i="7" s="1"/>
  <c r="H416" i="7" s="1"/>
  <c r="F17" i="16"/>
  <c r="H26" i="14"/>
  <c r="F12" i="16"/>
  <c r="H23" i="14"/>
  <c r="F13" i="16"/>
  <c r="H24" i="14"/>
  <c r="F10" i="16"/>
  <c r="H21" i="14"/>
  <c r="G10" i="16" s="1"/>
  <c r="D10" i="14"/>
  <c r="C8" i="16" s="1"/>
  <c r="H8" i="5"/>
  <c r="F8" i="16"/>
  <c r="H10" i="14"/>
  <c r="G8" i="16" s="1"/>
  <c r="F14" i="16"/>
  <c r="H25" i="14"/>
  <c r="D3" i="14"/>
  <c r="C6" i="16" s="1"/>
  <c r="H2176" i="7"/>
  <c r="H6" i="5" l="1"/>
  <c r="G17" i="16"/>
  <c r="F2493" i="7"/>
  <c r="H2493" i="7" s="1"/>
  <c r="F2409" i="7"/>
  <c r="H2409" i="7" s="1"/>
  <c r="F2452" i="7"/>
  <c r="H2452" i="7" s="1"/>
  <c r="F1579" i="7"/>
  <c r="H1579" i="7" s="1"/>
  <c r="F1657" i="7"/>
  <c r="H1657" i="7" s="1"/>
  <c r="F1618" i="7"/>
  <c r="H1618" i="7" s="1"/>
  <c r="G16" i="16"/>
  <c r="F2492" i="7"/>
  <c r="H2492" i="7" s="1"/>
  <c r="H2494" i="7" s="1"/>
  <c r="G2476" i="7" s="1"/>
  <c r="H2476" i="7" s="1"/>
  <c r="H2478" i="7" s="1"/>
  <c r="H2496" i="7" s="1"/>
  <c r="F2451" i="7"/>
  <c r="H2451" i="7" s="1"/>
  <c r="H2453" i="7" s="1"/>
  <c r="G2433" i="7" s="1"/>
  <c r="H2433" i="7" s="1"/>
  <c r="H2436" i="7" s="1"/>
  <c r="H2455" i="7" s="1"/>
  <c r="F2408" i="7"/>
  <c r="H2408" i="7" s="1"/>
  <c r="F1578" i="7"/>
  <c r="H1578" i="7" s="1"/>
  <c r="F1617" i="7"/>
  <c r="H1617" i="7" s="1"/>
  <c r="F1656" i="7"/>
  <c r="H1656" i="7" s="1"/>
  <c r="G14" i="16"/>
  <c r="F826" i="7"/>
  <c r="H826" i="7" s="1"/>
  <c r="F942" i="7"/>
  <c r="H942" i="7" s="1"/>
  <c r="F1500" i="7"/>
  <c r="H1500" i="7" s="1"/>
  <c r="H1501" i="7" s="1"/>
  <c r="G1486" i="7" s="1"/>
  <c r="H1486" i="7" s="1"/>
  <c r="H1487" i="7" s="1"/>
  <c r="H1503" i="7" s="1"/>
  <c r="F903" i="7"/>
  <c r="H903" i="7" s="1"/>
  <c r="F864" i="7"/>
  <c r="H864" i="7" s="1"/>
  <c r="H866" i="7" s="1"/>
  <c r="G851" i="7" s="1"/>
  <c r="H851" i="7" s="1"/>
  <c r="H852" i="7" s="1"/>
  <c r="H868" i="7" s="1"/>
  <c r="G12" i="16"/>
  <c r="F2331" i="7"/>
  <c r="H2331" i="7" s="1"/>
  <c r="F1897" i="7"/>
  <c r="H1897" i="7" s="1"/>
  <c r="H1898" i="7" s="1"/>
  <c r="G1881" i="7" s="1"/>
  <c r="H1881" i="7" s="1"/>
  <c r="H1882" i="7" s="1"/>
  <c r="H1900" i="7" s="1"/>
  <c r="F1817" i="7"/>
  <c r="H1817" i="7" s="1"/>
  <c r="H1818" i="7" s="1"/>
  <c r="G1802" i="7" s="1"/>
  <c r="H1802" i="7" s="1"/>
  <c r="H1803" i="7" s="1"/>
  <c r="H1820" i="7" s="1"/>
  <c r="F2059" i="7"/>
  <c r="H2059" i="7" s="1"/>
  <c r="F1699" i="7"/>
  <c r="H1699" i="7" s="1"/>
  <c r="F2136" i="7"/>
  <c r="H2136" i="7" s="1"/>
  <c r="H2137" i="7" s="1"/>
  <c r="G2122" i="7" s="1"/>
  <c r="H2122" i="7" s="1"/>
  <c r="H2123" i="7" s="1"/>
  <c r="H2139" i="7" s="1"/>
  <c r="F2293" i="7"/>
  <c r="H2293" i="7" s="1"/>
  <c r="F1778" i="7"/>
  <c r="H1778" i="7" s="1"/>
  <c r="H1779" i="7" s="1"/>
  <c r="G1762" i="7" s="1"/>
  <c r="H1762" i="7" s="1"/>
  <c r="H1763" i="7" s="1"/>
  <c r="H1781" i="7" s="1"/>
  <c r="F984" i="7"/>
  <c r="H984" i="7" s="1"/>
  <c r="F943" i="7"/>
  <c r="H943" i="7" s="1"/>
  <c r="F2254" i="7"/>
  <c r="H2254" i="7" s="1"/>
  <c r="F1342" i="7"/>
  <c r="H1342" i="7" s="1"/>
  <c r="F1225" i="7"/>
  <c r="H1225" i="7" s="1"/>
  <c r="F1108" i="7"/>
  <c r="H1108" i="7" s="1"/>
  <c r="F788" i="7"/>
  <c r="H788" i="7" s="1"/>
  <c r="F1975" i="7"/>
  <c r="H1975" i="7" s="1"/>
  <c r="H1976" i="7" s="1"/>
  <c r="G1960" i="7" s="1"/>
  <c r="H1960" i="7" s="1"/>
  <c r="H1961" i="7" s="1"/>
  <c r="H1978" i="7" s="1"/>
  <c r="F1422" i="7"/>
  <c r="H1422" i="7" s="1"/>
  <c r="F1266" i="7"/>
  <c r="H1266" i="7" s="1"/>
  <c r="F1186" i="7"/>
  <c r="H1186" i="7" s="1"/>
  <c r="F1936" i="7"/>
  <c r="H1936" i="7" s="1"/>
  <c r="H1937" i="7" s="1"/>
  <c r="G1921" i="7" s="1"/>
  <c r="H1921" i="7" s="1"/>
  <c r="H1922" i="7" s="1"/>
  <c r="H1939" i="7" s="1"/>
  <c r="F1382" i="7"/>
  <c r="H1382" i="7" s="1"/>
  <c r="F1147" i="7"/>
  <c r="H1147" i="7" s="1"/>
  <c r="F827" i="7"/>
  <c r="H827" i="7" s="1"/>
  <c r="F625" i="7"/>
  <c r="H625" i="7" s="1"/>
  <c r="F904" i="7"/>
  <c r="H904" i="7" s="1"/>
  <c r="F180" i="7"/>
  <c r="H180" i="7" s="1"/>
  <c r="F103" i="7"/>
  <c r="H103" i="7" s="1"/>
  <c r="F1857" i="7"/>
  <c r="H1857" i="7" s="1"/>
  <c r="H1858" i="7" s="1"/>
  <c r="G1841" i="7" s="1"/>
  <c r="H1841" i="7" s="1"/>
  <c r="H1842" i="7" s="1"/>
  <c r="H1860" i="7" s="1"/>
  <c r="F463" i="7"/>
  <c r="H463" i="7" s="1"/>
  <c r="F220" i="7"/>
  <c r="H220" i="7" s="1"/>
  <c r="F28" i="7"/>
  <c r="H28" i="7" s="1"/>
  <c r="F587" i="7"/>
  <c r="H587" i="7" s="1"/>
  <c r="F504" i="7"/>
  <c r="H504" i="7" s="1"/>
  <c r="F302" i="7"/>
  <c r="H302" i="7" s="1"/>
  <c r="F142" i="7"/>
  <c r="H142" i="7" s="1"/>
  <c r="F65" i="7"/>
  <c r="H65" i="7" s="1"/>
  <c r="F2016" i="7"/>
  <c r="H2016" i="7" s="1"/>
  <c r="F1069" i="7"/>
  <c r="H1069" i="7" s="1"/>
  <c r="F711" i="7"/>
  <c r="H711" i="7" s="1"/>
  <c r="F343" i="7"/>
  <c r="H343" i="7" s="1"/>
  <c r="F260" i="7"/>
  <c r="H260" i="7" s="1"/>
  <c r="F1304" i="7"/>
  <c r="H1304" i="7" s="1"/>
  <c r="F865" i="7"/>
  <c r="H865" i="7" s="1"/>
  <c r="F544" i="7"/>
  <c r="H544" i="7" s="1"/>
  <c r="F2015" i="7"/>
  <c r="H2015" i="7" s="1"/>
  <c r="F1738" i="7"/>
  <c r="H1738" i="7" s="1"/>
  <c r="H1739" i="7" s="1"/>
  <c r="G1723" i="7" s="1"/>
  <c r="H1723" i="7" s="1"/>
  <c r="H1724" i="7" s="1"/>
  <c r="H1741" i="7" s="1"/>
  <c r="F750" i="7"/>
  <c r="H750" i="7" s="1"/>
  <c r="F2098" i="7"/>
  <c r="H2098" i="7" s="1"/>
  <c r="H2099" i="7" s="1"/>
  <c r="G2083" i="7" s="1"/>
  <c r="H2083" i="7" s="1"/>
  <c r="H2084" i="7" s="1"/>
  <c r="H2101" i="7" s="1"/>
  <c r="F667" i="7"/>
  <c r="H667" i="7" s="1"/>
  <c r="F424" i="7"/>
  <c r="H424" i="7" s="1"/>
  <c r="F2369" i="7"/>
  <c r="H2369" i="7" s="1"/>
  <c r="F1462" i="7"/>
  <c r="H1462" i="7" s="1"/>
  <c r="F383" i="7"/>
  <c r="H383" i="7" s="1"/>
  <c r="F1540" i="7"/>
  <c r="H1540" i="7" s="1"/>
  <c r="F1027" i="7"/>
  <c r="H1027" i="7" s="1"/>
  <c r="G11" i="16"/>
  <c r="F2253" i="7"/>
  <c r="H2253" i="7" s="1"/>
  <c r="F2368" i="7"/>
  <c r="H2368" i="7" s="1"/>
  <c r="H2370" i="7" s="1"/>
  <c r="G2355" i="7" s="1"/>
  <c r="H2355" i="7" s="1"/>
  <c r="H2356" i="7" s="1"/>
  <c r="H2372" i="7" s="1"/>
  <c r="F2330" i="7"/>
  <c r="H2330" i="7" s="1"/>
  <c r="F983" i="7"/>
  <c r="H983" i="7" s="1"/>
  <c r="H985" i="7" s="1"/>
  <c r="G967" i="7" s="1"/>
  <c r="H967" i="7" s="1"/>
  <c r="H969" i="7" s="1"/>
  <c r="H987" i="7" s="1"/>
  <c r="F1698" i="7"/>
  <c r="H1698" i="7" s="1"/>
  <c r="H1700" i="7" s="1"/>
  <c r="G1681" i="7" s="1"/>
  <c r="H1681" i="7" s="1"/>
  <c r="H1683" i="7" s="1"/>
  <c r="H1702" i="7" s="1"/>
  <c r="F1381" i="7"/>
  <c r="H1381" i="7" s="1"/>
  <c r="F1539" i="7"/>
  <c r="H1539" i="7" s="1"/>
  <c r="F1461" i="7"/>
  <c r="H1461" i="7" s="1"/>
  <c r="H1463" i="7" s="1"/>
  <c r="G1446" i="7" s="1"/>
  <c r="H1446" i="7" s="1"/>
  <c r="H1447" i="7" s="1"/>
  <c r="H1465" i="7" s="1"/>
  <c r="F1026" i="7"/>
  <c r="H1026" i="7" s="1"/>
  <c r="F382" i="7"/>
  <c r="H382" i="7" s="1"/>
  <c r="H384" i="7" s="1"/>
  <c r="G367" i="7" s="1"/>
  <c r="H367" i="7" s="1"/>
  <c r="H370" i="7" s="1"/>
  <c r="H386" i="7" s="1"/>
  <c r="F666" i="7"/>
  <c r="H666" i="7" s="1"/>
  <c r="F423" i="7"/>
  <c r="H423" i="7" s="1"/>
  <c r="H425" i="7" s="1"/>
  <c r="G407" i="7" s="1"/>
  <c r="H407" i="7" s="1"/>
  <c r="H411" i="7" s="1"/>
  <c r="H427" i="7" s="1"/>
  <c r="F2057" i="7"/>
  <c r="H2057" i="7" s="1"/>
  <c r="H2060" i="7" s="1"/>
  <c r="G2040" i="7" s="1"/>
  <c r="H2040" i="7" s="1"/>
  <c r="H2041" i="7" s="1"/>
  <c r="H2062" i="7" s="1"/>
  <c r="F624" i="7"/>
  <c r="H624" i="7" s="1"/>
  <c r="F787" i="7"/>
  <c r="H787" i="7" s="1"/>
  <c r="H789" i="7" s="1"/>
  <c r="G774" i="7" s="1"/>
  <c r="H774" i="7" s="1"/>
  <c r="H776" i="7" s="1"/>
  <c r="H791" i="7" s="1"/>
  <c r="F179" i="7"/>
  <c r="H179" i="7" s="1"/>
  <c r="H181" i="7" s="1"/>
  <c r="G166" i="7" s="1"/>
  <c r="H166" i="7" s="1"/>
  <c r="H168" i="7" s="1"/>
  <c r="H183" i="7" s="1"/>
  <c r="F102" i="7"/>
  <c r="H102" i="7" s="1"/>
  <c r="H104" i="7" s="1"/>
  <c r="G89" i="7" s="1"/>
  <c r="H89" i="7" s="1"/>
  <c r="H91" i="7" s="1"/>
  <c r="H106" i="7" s="1"/>
  <c r="F2292" i="7"/>
  <c r="H2292" i="7" s="1"/>
  <c r="F1421" i="7"/>
  <c r="H1421" i="7" s="1"/>
  <c r="H1423" i="7" s="1"/>
  <c r="G1406" i="7" s="1"/>
  <c r="H1406" i="7" s="1"/>
  <c r="H1407" i="7" s="1"/>
  <c r="H1425" i="7" s="1"/>
  <c r="F462" i="7"/>
  <c r="H462" i="7" s="1"/>
  <c r="H464" i="7" s="1"/>
  <c r="G448" i="7" s="1"/>
  <c r="H448" i="7" s="1"/>
  <c r="H450" i="7" s="1"/>
  <c r="H466" i="7" s="1"/>
  <c r="F219" i="7"/>
  <c r="H219" i="7" s="1"/>
  <c r="F27" i="7"/>
  <c r="H27" i="7" s="1"/>
  <c r="H29" i="7" s="1"/>
  <c r="G12" i="7" s="1"/>
  <c r="H12" i="7" s="1"/>
  <c r="H13" i="7" s="1"/>
  <c r="H31" i="7" s="1"/>
  <c r="F586" i="7"/>
  <c r="H586" i="7" s="1"/>
  <c r="F503" i="7"/>
  <c r="H503" i="7" s="1"/>
  <c r="F710" i="7"/>
  <c r="H710" i="7" s="1"/>
  <c r="H712" i="7" s="1"/>
  <c r="G691" i="7" s="1"/>
  <c r="H691" i="7" s="1"/>
  <c r="H694" i="7" s="1"/>
  <c r="H714" i="7" s="1"/>
  <c r="F301" i="7"/>
  <c r="H301" i="7" s="1"/>
  <c r="H303" i="7" s="1"/>
  <c r="G284" i="7" s="1"/>
  <c r="H284" i="7" s="1"/>
  <c r="H288" i="7" s="1"/>
  <c r="H305" i="7" s="1"/>
  <c r="F141" i="7"/>
  <c r="H141" i="7" s="1"/>
  <c r="H143" i="7" s="1"/>
  <c r="G127" i="7" s="1"/>
  <c r="H127" i="7" s="1"/>
  <c r="H128" i="7" s="1"/>
  <c r="H145" i="7" s="1"/>
  <c r="F64" i="7"/>
  <c r="H64" i="7" s="1"/>
  <c r="H66" i="7" s="1"/>
  <c r="G52" i="7" s="1"/>
  <c r="H52" i="7" s="1"/>
  <c r="H53" i="7" s="1"/>
  <c r="H68" i="7" s="1"/>
  <c r="F1068" i="7"/>
  <c r="H1068" i="7" s="1"/>
  <c r="H1070" i="7" s="1"/>
  <c r="G1051" i="7" s="1"/>
  <c r="H1051" i="7" s="1"/>
  <c r="H1053" i="7" s="1"/>
  <c r="H1072" i="7" s="1"/>
  <c r="F342" i="7"/>
  <c r="H342" i="7" s="1"/>
  <c r="F259" i="7"/>
  <c r="H259" i="7" s="1"/>
  <c r="H261" i="7" s="1"/>
  <c r="G244" i="7" s="1"/>
  <c r="H244" i="7" s="1"/>
  <c r="H247" i="7" s="1"/>
  <c r="H263" i="7" s="1"/>
  <c r="F749" i="7"/>
  <c r="H749" i="7" s="1"/>
  <c r="F543" i="7"/>
  <c r="H543" i="7" s="1"/>
  <c r="G13" i="16"/>
  <c r="F1146" i="7"/>
  <c r="H1146" i="7" s="1"/>
  <c r="F1303" i="7"/>
  <c r="H1303" i="7" s="1"/>
  <c r="H1305" i="7" s="1"/>
  <c r="G1290" i="7" s="1"/>
  <c r="H1290" i="7" s="1"/>
  <c r="H1291" i="7" s="1"/>
  <c r="H1307" i="7" s="1"/>
  <c r="F1107" i="7"/>
  <c r="H1107" i="7" s="1"/>
  <c r="H1109" i="7" s="1"/>
  <c r="G1093" i="7" s="1"/>
  <c r="H1093" i="7" s="1"/>
  <c r="H1094" i="7" s="1"/>
  <c r="H1111" i="7" s="1"/>
  <c r="F1224" i="7"/>
  <c r="H1224" i="7" s="1"/>
  <c r="F1341" i="7"/>
  <c r="H1341" i="7" s="1"/>
  <c r="F1185" i="7"/>
  <c r="H1185" i="7" s="1"/>
  <c r="H1187" i="7" s="1"/>
  <c r="G1171" i="7" s="1"/>
  <c r="H1171" i="7" s="1"/>
  <c r="H1172" i="7" s="1"/>
  <c r="H1189" i="7" s="1"/>
  <c r="F1265" i="7"/>
  <c r="H1265" i="7" s="1"/>
  <c r="H1267" i="7" s="1"/>
  <c r="G1249" i="7" s="1"/>
  <c r="H1249" i="7" s="1"/>
  <c r="H1251" i="7" s="1"/>
  <c r="H1269" i="7" s="1"/>
  <c r="H103" i="3"/>
  <c r="H2155" i="7"/>
  <c r="H2181" i="7"/>
  <c r="H2180" i="7"/>
  <c r="H2182" i="7" s="1"/>
  <c r="H2184" i="7" s="1"/>
  <c r="G68" i="3"/>
  <c r="G119" i="3"/>
  <c r="H1707" i="7" l="1"/>
  <c r="H1706" i="7"/>
  <c r="H1676" i="7"/>
  <c r="G19" i="3"/>
  <c r="G46" i="3"/>
  <c r="G98" i="3"/>
  <c r="H962" i="7"/>
  <c r="H992" i="7"/>
  <c r="H991" i="7"/>
  <c r="H993" i="7" s="1"/>
  <c r="H995" i="7" s="1"/>
  <c r="G29" i="3"/>
  <c r="H626" i="7"/>
  <c r="G611" i="7" s="1"/>
  <c r="H611" i="7" s="1"/>
  <c r="H612" i="7" s="1"/>
  <c r="H628" i="7" s="1"/>
  <c r="H119" i="3"/>
  <c r="H68" i="3"/>
  <c r="H1785" i="7"/>
  <c r="H1757" i="7"/>
  <c r="H1786" i="7"/>
  <c r="G49" i="3"/>
  <c r="G101" i="3"/>
  <c r="H944" i="7"/>
  <c r="G928" i="7" s="1"/>
  <c r="H928" i="7" s="1"/>
  <c r="H929" i="7" s="1"/>
  <c r="H946" i="7" s="1"/>
  <c r="H1274" i="7"/>
  <c r="H1273" i="7"/>
  <c r="H1244" i="7"/>
  <c r="G60" i="3"/>
  <c r="G114" i="3"/>
  <c r="G25" i="3"/>
  <c r="H2105" i="7"/>
  <c r="H2107" i="7" s="1"/>
  <c r="H2078" i="7"/>
  <c r="H2106" i="7"/>
  <c r="H2109" i="7"/>
  <c r="G66" i="3"/>
  <c r="G117" i="3"/>
  <c r="H873" i="7"/>
  <c r="H872" i="7"/>
  <c r="H874" i="7" s="1"/>
  <c r="H876" i="7" s="1"/>
  <c r="H846" i="7"/>
  <c r="G134" i="3"/>
  <c r="G65" i="3"/>
  <c r="G28" i="3"/>
  <c r="H905" i="7"/>
  <c r="G889" i="7" s="1"/>
  <c r="H889" i="7" s="1"/>
  <c r="H891" i="7" s="1"/>
  <c r="H907" i="7" s="1"/>
  <c r="H2017" i="7"/>
  <c r="G1999" i="7" s="1"/>
  <c r="H1999" i="7" s="1"/>
  <c r="H2000" i="7" s="1"/>
  <c r="H2019" i="7" s="1"/>
  <c r="H432" i="7"/>
  <c r="H431" i="7"/>
  <c r="H402" i="7"/>
  <c r="G93" i="3"/>
  <c r="G14" i="3"/>
  <c r="G41" i="3"/>
  <c r="H668" i="7"/>
  <c r="G649" i="7" s="1"/>
  <c r="H649" i="7" s="1"/>
  <c r="H651" i="7" s="1"/>
  <c r="H670" i="7" s="1"/>
  <c r="H828" i="7"/>
  <c r="G812" i="7" s="1"/>
  <c r="H812" i="7" s="1"/>
  <c r="H814" i="7" s="1"/>
  <c r="H830" i="7" s="1"/>
  <c r="H2428" i="7"/>
  <c r="H2459" i="7"/>
  <c r="H2460" i="7"/>
  <c r="G136" i="3"/>
  <c r="H2332" i="7"/>
  <c r="G2317" i="7" s="1"/>
  <c r="H2317" i="7" s="1"/>
  <c r="H2318" i="7" s="1"/>
  <c r="H2334" i="7" s="1"/>
  <c r="H1718" i="7"/>
  <c r="H1746" i="7"/>
  <c r="H1745" i="7"/>
  <c r="H1747" i="7" s="1"/>
  <c r="H1749" i="7" s="1"/>
  <c r="G47" i="3"/>
  <c r="G99" i="3"/>
  <c r="G20" i="3"/>
  <c r="H2066" i="7"/>
  <c r="H2035" i="7"/>
  <c r="H2067" i="7"/>
  <c r="G108" i="3"/>
  <c r="G55" i="3"/>
  <c r="H1311" i="7"/>
  <c r="H1285" i="7"/>
  <c r="H1312" i="7"/>
  <c r="G56" i="3"/>
  <c r="G109" i="3"/>
  <c r="G21" i="3"/>
  <c r="H391" i="7"/>
  <c r="H390" i="7"/>
  <c r="H362" i="7"/>
  <c r="G39" i="3"/>
  <c r="G91" i="3"/>
  <c r="G12" i="3"/>
  <c r="H2144" i="7"/>
  <c r="H2117" i="7"/>
  <c r="H2143" i="7"/>
  <c r="H2145" i="7" s="1"/>
  <c r="H2147" i="7" s="1"/>
  <c r="G67" i="3"/>
  <c r="G118" i="3"/>
  <c r="H161" i="7"/>
  <c r="H188" i="7"/>
  <c r="H187" i="7"/>
  <c r="G75" i="3"/>
  <c r="H1343" i="7"/>
  <c r="G1328" i="7" s="1"/>
  <c r="H1328" i="7" s="1"/>
  <c r="H1329" i="7" s="1"/>
  <c r="H1345" i="7" s="1"/>
  <c r="H1226" i="7"/>
  <c r="G1210" i="7" s="1"/>
  <c r="H1210" i="7" s="1"/>
  <c r="H1211" i="7" s="1"/>
  <c r="H1228" i="7" s="1"/>
  <c r="H1508" i="7"/>
  <c r="H1507" i="7"/>
  <c r="H1509" i="7" s="1"/>
  <c r="H1511" i="7"/>
  <c r="H1481" i="7"/>
  <c r="G124" i="3"/>
  <c r="G71" i="3"/>
  <c r="G32" i="3"/>
  <c r="H588" i="7"/>
  <c r="G568" i="7" s="1"/>
  <c r="H568" i="7" s="1"/>
  <c r="H572" i="7" s="1"/>
  <c r="H590" i="7" s="1"/>
  <c r="H545" i="7"/>
  <c r="G528" i="7" s="1"/>
  <c r="H528" i="7" s="1"/>
  <c r="H531" i="7" s="1"/>
  <c r="H547" i="7" s="1"/>
  <c r="H221" i="7"/>
  <c r="G204" i="7" s="1"/>
  <c r="H204" i="7" s="1"/>
  <c r="H207" i="7" s="1"/>
  <c r="H223" i="7" s="1"/>
  <c r="H1028" i="7"/>
  <c r="G1008" i="7" s="1"/>
  <c r="H1008" i="7" s="1"/>
  <c r="H1010" i="7" s="1"/>
  <c r="H1030" i="7" s="1"/>
  <c r="H1658" i="7"/>
  <c r="G1642" i="7" s="1"/>
  <c r="H1642" i="7" s="1"/>
  <c r="H1643" i="7" s="1"/>
  <c r="H1660" i="7" s="1"/>
  <c r="H72" i="7"/>
  <c r="H47" i="7"/>
  <c r="H73" i="7"/>
  <c r="G128" i="3"/>
  <c r="G35" i="3"/>
  <c r="G74" i="3"/>
  <c r="G85" i="3"/>
  <c r="G8" i="3"/>
  <c r="H122" i="7"/>
  <c r="H149" i="7"/>
  <c r="H150" i="7"/>
  <c r="G126" i="3"/>
  <c r="H309" i="7"/>
  <c r="H279" i="7"/>
  <c r="H310" i="7"/>
  <c r="G88" i="3"/>
  <c r="H1088" i="7"/>
  <c r="H1115" i="7"/>
  <c r="G23" i="3"/>
  <c r="G111" i="3"/>
  <c r="H1116" i="7"/>
  <c r="H36" i="7"/>
  <c r="H7" i="7"/>
  <c r="H35" i="7"/>
  <c r="G84" i="3"/>
  <c r="G7" i="3"/>
  <c r="G34" i="3"/>
  <c r="G73" i="3"/>
  <c r="H471" i="7"/>
  <c r="H470" i="7"/>
  <c r="H472" i="7" s="1"/>
  <c r="H474" i="7" s="1"/>
  <c r="G15" i="3"/>
  <c r="H443" i="7"/>
  <c r="G42" i="3"/>
  <c r="G94" i="3"/>
  <c r="H1470" i="7"/>
  <c r="H1469" i="7"/>
  <c r="H1471" i="7" s="1"/>
  <c r="H1473" i="7" s="1"/>
  <c r="H1441" i="7"/>
  <c r="G31" i="3"/>
  <c r="G123" i="3"/>
  <c r="G70" i="3"/>
  <c r="H1865" i="7"/>
  <c r="H1836" i="7"/>
  <c r="H1864" i="7"/>
  <c r="H1866" i="7" s="1"/>
  <c r="H1868" i="7"/>
  <c r="G50" i="3"/>
  <c r="G102" i="3"/>
  <c r="H1982" i="7"/>
  <c r="H1984" i="7" s="1"/>
  <c r="H1986" i="7"/>
  <c r="H1983" i="7"/>
  <c r="H1955" i="7"/>
  <c r="G106" i="3"/>
  <c r="G53" i="3"/>
  <c r="H1619" i="7"/>
  <c r="G1603" i="7" s="1"/>
  <c r="H1603" i="7" s="1"/>
  <c r="H1604" i="7" s="1"/>
  <c r="H1621" i="7" s="1"/>
  <c r="H84" i="7"/>
  <c r="H111" i="7"/>
  <c r="H110" i="7"/>
  <c r="G83" i="3"/>
  <c r="G127" i="3"/>
  <c r="H1194" i="7"/>
  <c r="H1193" i="7"/>
  <c r="H1166" i="7"/>
  <c r="G59" i="3"/>
  <c r="G113" i="3"/>
  <c r="H769" i="7"/>
  <c r="H795" i="7"/>
  <c r="H796" i="7"/>
  <c r="G26" i="3"/>
  <c r="G61" i="3"/>
  <c r="H2350" i="7"/>
  <c r="H2377" i="7"/>
  <c r="H2376" i="7"/>
  <c r="H2378" i="7" s="1"/>
  <c r="H2380" i="7" s="1"/>
  <c r="G79" i="3"/>
  <c r="H719" i="7"/>
  <c r="H718" i="7"/>
  <c r="H686" i="7"/>
  <c r="G89" i="3"/>
  <c r="H505" i="7"/>
  <c r="G487" i="7" s="1"/>
  <c r="H487" i="7" s="1"/>
  <c r="H488" i="7" s="1"/>
  <c r="H507" i="7" s="1"/>
  <c r="H1430" i="7"/>
  <c r="H1429" i="7"/>
  <c r="H1431" i="7" s="1"/>
  <c r="H1433" i="7" s="1"/>
  <c r="H1401" i="7"/>
  <c r="G121" i="3"/>
  <c r="H1541" i="7"/>
  <c r="G1524" i="7" s="1"/>
  <c r="H1524" i="7" s="1"/>
  <c r="H1526" i="7" s="1"/>
  <c r="H1543" i="7" s="1"/>
  <c r="H1797" i="7"/>
  <c r="H1825" i="7"/>
  <c r="H1824" i="7"/>
  <c r="H1826" i="7" s="1"/>
  <c r="H1828" i="7" s="1"/>
  <c r="G48" i="3"/>
  <c r="G100" i="3"/>
  <c r="H1580" i="7"/>
  <c r="G1564" i="7" s="1"/>
  <c r="H1564" i="7" s="1"/>
  <c r="H1565" i="7" s="1"/>
  <c r="H1582" i="7" s="1"/>
  <c r="H1077" i="7"/>
  <c r="H1076" i="7"/>
  <c r="H1046" i="7"/>
  <c r="G116" i="3"/>
  <c r="G63" i="3"/>
  <c r="H2500" i="7"/>
  <c r="H2471" i="7"/>
  <c r="H2501" i="7"/>
  <c r="G137" i="3"/>
  <c r="H2256" i="7"/>
  <c r="G2235" i="7" s="1"/>
  <c r="H2235" i="7" s="1"/>
  <c r="H2236" i="7" s="1"/>
  <c r="H2258" i="7" s="1"/>
  <c r="H1916" i="7"/>
  <c r="H1944" i="7"/>
  <c r="H1943" i="7"/>
  <c r="G52" i="3"/>
  <c r="G105" i="3"/>
  <c r="H1148" i="7"/>
  <c r="G1132" i="7" s="1"/>
  <c r="H1132" i="7" s="1"/>
  <c r="H1133" i="7" s="1"/>
  <c r="H1150" i="7" s="1"/>
  <c r="H751" i="7"/>
  <c r="G735" i="7" s="1"/>
  <c r="H735" i="7" s="1"/>
  <c r="H737" i="7" s="1"/>
  <c r="H753" i="7" s="1"/>
  <c r="H268" i="7"/>
  <c r="H267" i="7"/>
  <c r="H239" i="7"/>
  <c r="G86" i="3"/>
  <c r="H344" i="7"/>
  <c r="G326" i="7" s="1"/>
  <c r="H326" i="7" s="1"/>
  <c r="H330" i="7" s="1"/>
  <c r="H346" i="7" s="1"/>
  <c r="H2294" i="7"/>
  <c r="G2279" i="7" s="1"/>
  <c r="H2279" i="7" s="1"/>
  <c r="H2281" i="7" s="1"/>
  <c r="H2296" i="7" s="1"/>
  <c r="H1383" i="7"/>
  <c r="G1366" i="7" s="1"/>
  <c r="H1366" i="7" s="1"/>
  <c r="H1367" i="7" s="1"/>
  <c r="H1385" i="7" s="1"/>
  <c r="H1905" i="7"/>
  <c r="H1904" i="7"/>
  <c r="H1906" i="7" s="1"/>
  <c r="H1908" i="7" s="1"/>
  <c r="H1876" i="7"/>
  <c r="G104" i="3"/>
  <c r="G51" i="3"/>
  <c r="H2410" i="7"/>
  <c r="G2393" i="7" s="1"/>
  <c r="H2393" i="7" s="1"/>
  <c r="H2395" i="7" s="1"/>
  <c r="H2412" i="7" s="1"/>
  <c r="H112" i="7" l="1"/>
  <c r="H114" i="7" s="1"/>
  <c r="H269" i="7"/>
  <c r="H271" i="7" s="1"/>
  <c r="H392" i="7"/>
  <c r="H394" i="7" s="1"/>
  <c r="H923" i="7"/>
  <c r="H951" i="7"/>
  <c r="H950" i="7"/>
  <c r="G133" i="3"/>
  <c r="H84" i="3"/>
  <c r="H35" i="3"/>
  <c r="H71" i="3"/>
  <c r="H101" i="3"/>
  <c r="H2417" i="7"/>
  <c r="H2416" i="7"/>
  <c r="H2388" i="7"/>
  <c r="G132" i="3"/>
  <c r="H137" i="3"/>
  <c r="H100" i="3"/>
  <c r="H511" i="7"/>
  <c r="H482" i="7"/>
  <c r="H512" i="7"/>
  <c r="G129" i="3"/>
  <c r="H26" i="3"/>
  <c r="H83" i="3"/>
  <c r="H102" i="3"/>
  <c r="H37" i="7"/>
  <c r="H39" i="7" s="1"/>
  <c r="H128" i="3"/>
  <c r="H124" i="3"/>
  <c r="H118" i="3"/>
  <c r="H2068" i="7"/>
  <c r="H2070" i="7" s="1"/>
  <c r="H2461" i="7"/>
  <c r="H2463" i="7" s="1"/>
  <c r="H2023" i="7"/>
  <c r="H2025" i="7" s="1"/>
  <c r="H1994" i="7"/>
  <c r="H2027" i="7"/>
  <c r="H2024" i="7"/>
  <c r="G107" i="3"/>
  <c r="G54" i="3"/>
  <c r="H49" i="3"/>
  <c r="H32" i="3"/>
  <c r="H29" i="3"/>
  <c r="H127" i="3"/>
  <c r="H50" i="3"/>
  <c r="H311" i="7"/>
  <c r="H313" i="7" s="1"/>
  <c r="H20" i="3"/>
  <c r="H797" i="7"/>
  <c r="H799" i="7" s="1"/>
  <c r="H838" i="7"/>
  <c r="H807" i="7"/>
  <c r="H835" i="7"/>
  <c r="H834" i="7"/>
  <c r="H836" i="7" s="1"/>
  <c r="G64" i="3"/>
  <c r="G27" i="3"/>
  <c r="H1127" i="7"/>
  <c r="H1155" i="7"/>
  <c r="H1154" i="7"/>
  <c r="H1156" i="7" s="1"/>
  <c r="H1158" i="7" s="1"/>
  <c r="G112" i="3"/>
  <c r="G58" i="3"/>
  <c r="H720" i="7"/>
  <c r="H722" i="7" s="1"/>
  <c r="H15" i="3"/>
  <c r="H74" i="7"/>
  <c r="H76" i="7" s="1"/>
  <c r="H47" i="3"/>
  <c r="H675" i="7"/>
  <c r="H674" i="7"/>
  <c r="H676" i="7" s="1"/>
  <c r="H678" i="7" s="1"/>
  <c r="H644" i="7"/>
  <c r="G10" i="3"/>
  <c r="G37" i="3"/>
  <c r="H134" i="3"/>
  <c r="H114" i="3"/>
  <c r="H1787" i="7"/>
  <c r="H1789" i="7" s="1"/>
  <c r="H46" i="3"/>
  <c r="H99" i="3"/>
  <c r="H63" i="3"/>
  <c r="H113" i="3"/>
  <c r="H1625" i="7"/>
  <c r="H1598" i="7"/>
  <c r="H1626" i="7"/>
  <c r="G43" i="3"/>
  <c r="G16" i="3"/>
  <c r="G130" i="3"/>
  <c r="H111" i="3"/>
  <c r="H1664" i="7"/>
  <c r="H1637" i="7"/>
  <c r="H1665" i="7"/>
  <c r="G95" i="3"/>
  <c r="H1205" i="7"/>
  <c r="H1233" i="7"/>
  <c r="H1232" i="7"/>
  <c r="G24" i="3"/>
  <c r="H41" i="3"/>
  <c r="H60" i="3"/>
  <c r="H19" i="3"/>
  <c r="H74" i="3"/>
  <c r="H66" i="3"/>
  <c r="H61" i="3"/>
  <c r="H21" i="3"/>
  <c r="H42" i="3"/>
  <c r="H56" i="3"/>
  <c r="H25" i="3"/>
  <c r="H1548" i="7"/>
  <c r="H1547" i="7"/>
  <c r="H1519" i="7"/>
  <c r="G18" i="3"/>
  <c r="G97" i="3"/>
  <c r="G45" i="3"/>
  <c r="H79" i="3"/>
  <c r="H59" i="3"/>
  <c r="H53" i="3"/>
  <c r="H70" i="3"/>
  <c r="H23" i="3"/>
  <c r="H151" i="7"/>
  <c r="H153" i="7" s="1"/>
  <c r="H1003" i="7"/>
  <c r="H1035" i="7"/>
  <c r="H1034" i="7"/>
  <c r="H1036" i="7" s="1"/>
  <c r="H1038" i="7" s="1"/>
  <c r="G115" i="3"/>
  <c r="G62" i="3"/>
  <c r="H1323" i="7"/>
  <c r="H1350" i="7"/>
  <c r="H1349" i="7"/>
  <c r="G110" i="3"/>
  <c r="G22" i="3"/>
  <c r="G57" i="3"/>
  <c r="H12" i="3"/>
  <c r="H14" i="3"/>
  <c r="H136" i="3"/>
  <c r="H2263" i="7"/>
  <c r="H2230" i="7"/>
  <c r="H2262" i="7"/>
  <c r="G120" i="3"/>
  <c r="H48" i="3"/>
  <c r="H28" i="3"/>
  <c r="H2502" i="7"/>
  <c r="H2504" i="7" s="1"/>
  <c r="H65" i="3"/>
  <c r="H1389" i="7"/>
  <c r="H1361" i="7"/>
  <c r="H1390" i="7"/>
  <c r="G30" i="3"/>
  <c r="G122" i="3"/>
  <c r="G69" i="3"/>
  <c r="H121" i="3"/>
  <c r="H106" i="3"/>
  <c r="H123" i="3"/>
  <c r="H199" i="7"/>
  <c r="H228" i="7"/>
  <c r="H227" i="7"/>
  <c r="H229" i="7" s="1"/>
  <c r="H231" i="7" s="1"/>
  <c r="G36" i="3"/>
  <c r="G9" i="3"/>
  <c r="H75" i="3"/>
  <c r="H91" i="3"/>
  <c r="H1313" i="7"/>
  <c r="H1315" i="7" s="1"/>
  <c r="H93" i="3"/>
  <c r="H86" i="3"/>
  <c r="H7" i="3"/>
  <c r="H89" i="3"/>
  <c r="H94" i="3"/>
  <c r="H67" i="3"/>
  <c r="H126" i="3"/>
  <c r="H98" i="3"/>
  <c r="H116" i="3"/>
  <c r="H2300" i="7"/>
  <c r="H2274" i="7"/>
  <c r="H2301" i="7"/>
  <c r="G81" i="3"/>
  <c r="H1945" i="7"/>
  <c r="H1947" i="7" s="1"/>
  <c r="H31" i="3"/>
  <c r="H73" i="3"/>
  <c r="H1117" i="7"/>
  <c r="H1119" i="7" s="1"/>
  <c r="H8" i="3"/>
  <c r="H552" i="7"/>
  <c r="H551" i="7"/>
  <c r="H523" i="7"/>
  <c r="G76" i="3"/>
  <c r="H189" i="7"/>
  <c r="H191" i="7" s="1"/>
  <c r="H39" i="3"/>
  <c r="H55" i="3"/>
  <c r="H1275" i="7"/>
  <c r="H1277" i="7" s="1"/>
  <c r="H1708" i="7"/>
  <c r="H1710" i="7" s="1"/>
  <c r="H88" i="3"/>
  <c r="H1587" i="7"/>
  <c r="H1586" i="7"/>
  <c r="H1588" i="7" s="1"/>
  <c r="H1590" i="7" s="1"/>
  <c r="H1559" i="7"/>
  <c r="G44" i="3"/>
  <c r="G96" i="3"/>
  <c r="G131" i="3"/>
  <c r="G17" i="3"/>
  <c r="H51" i="3"/>
  <c r="H911" i="7"/>
  <c r="H884" i="7"/>
  <c r="G135" i="3"/>
  <c r="H912" i="7"/>
  <c r="H104" i="3"/>
  <c r="H109" i="3"/>
  <c r="H758" i="7"/>
  <c r="H730" i="7"/>
  <c r="H757" i="7"/>
  <c r="G40" i="3"/>
  <c r="G92" i="3"/>
  <c r="G13" i="3"/>
  <c r="H105" i="3"/>
  <c r="H52" i="3"/>
  <c r="H351" i="7"/>
  <c r="H350" i="7"/>
  <c r="H321" i="7"/>
  <c r="G87" i="3"/>
  <c r="H1078" i="7"/>
  <c r="H1080" i="7" s="1"/>
  <c r="H1195" i="7"/>
  <c r="H1197" i="7" s="1"/>
  <c r="H34" i="3"/>
  <c r="H85" i="3"/>
  <c r="H594" i="7"/>
  <c r="H563" i="7"/>
  <c r="H595" i="7"/>
  <c r="G77" i="3"/>
  <c r="H108" i="3"/>
  <c r="H2339" i="7"/>
  <c r="H2312" i="7"/>
  <c r="H2338" i="7"/>
  <c r="H2340" i="7" s="1"/>
  <c r="H2342" i="7" s="1"/>
  <c r="G80" i="3"/>
  <c r="H433" i="7"/>
  <c r="H435" i="7" s="1"/>
  <c r="H117" i="3"/>
  <c r="H606" i="7"/>
  <c r="H633" i="7"/>
  <c r="H632" i="7"/>
  <c r="G11" i="3"/>
  <c r="G90" i="3"/>
  <c r="G38" i="3"/>
  <c r="G78" i="3"/>
  <c r="H513" i="7" l="1"/>
  <c r="H515" i="7" s="1"/>
  <c r="H352" i="7"/>
  <c r="H354" i="7" s="1"/>
  <c r="H596" i="7"/>
  <c r="H598" i="7" s="1"/>
  <c r="H17" i="3"/>
  <c r="H120" i="3"/>
  <c r="H107" i="3"/>
  <c r="H96" i="3"/>
  <c r="H2264" i="7"/>
  <c r="H2266" i="7" s="1"/>
  <c r="H1351" i="7"/>
  <c r="H1353" i="7" s="1"/>
  <c r="H24" i="3"/>
  <c r="H130" i="3"/>
  <c r="H97" i="3"/>
  <c r="H54" i="3"/>
  <c r="H78" i="3"/>
  <c r="H1391" i="7"/>
  <c r="H1393" i="7" s="1"/>
  <c r="H1549" i="7"/>
  <c r="H1551" i="7" s="1"/>
  <c r="H1234" i="7"/>
  <c r="H1236" i="7" s="1"/>
  <c r="H43" i="3"/>
  <c r="H27" i="3"/>
  <c r="H80" i="3"/>
  <c r="H90" i="3"/>
  <c r="H13" i="3"/>
  <c r="H135" i="3"/>
  <c r="H76" i="3"/>
  <c r="H81" i="3"/>
  <c r="H62" i="3"/>
  <c r="H132" i="3"/>
  <c r="H115" i="3"/>
  <c r="H95" i="3"/>
  <c r="H133" i="3"/>
  <c r="H38" i="3"/>
  <c r="H11" i="3"/>
  <c r="H92" i="3"/>
  <c r="H634" i="7"/>
  <c r="H636" i="7" s="1"/>
  <c r="H40" i="3"/>
  <c r="H553" i="7"/>
  <c r="H555" i="7" s="1"/>
  <c r="H1627" i="7"/>
  <c r="H1629" i="7" s="1"/>
  <c r="H2418" i="7"/>
  <c r="H2420" i="7" s="1"/>
  <c r="H952" i="7"/>
  <c r="H954" i="7" s="1"/>
  <c r="H110" i="3"/>
  <c r="H64" i="3"/>
  <c r="H129" i="3"/>
  <c r="H30" i="3"/>
  <c r="H87" i="3"/>
  <c r="H77" i="3"/>
  <c r="I72" i="3" s="1"/>
  <c r="E9" i="2" s="1"/>
  <c r="H759" i="7"/>
  <c r="H761" i="7" s="1"/>
  <c r="H2302" i="7"/>
  <c r="H2304" i="7" s="1"/>
  <c r="H9" i="3"/>
  <c r="H69" i="3"/>
  <c r="H37" i="3"/>
  <c r="H58" i="3"/>
  <c r="H22" i="3"/>
  <c r="H131" i="3"/>
  <c r="H18" i="3"/>
  <c r="H44" i="3"/>
  <c r="H16" i="3"/>
  <c r="H913" i="7"/>
  <c r="H915" i="7" s="1"/>
  <c r="H36" i="3"/>
  <c r="H122" i="3"/>
  <c r="H57" i="3"/>
  <c r="H45" i="3"/>
  <c r="H1666" i="7"/>
  <c r="H1668" i="7" s="1"/>
  <c r="H10" i="3"/>
  <c r="H112" i="3"/>
  <c r="I82" i="3" l="1"/>
  <c r="E10" i="2" s="1"/>
  <c r="G10" i="2" s="1"/>
  <c r="J16" i="4" s="1"/>
  <c r="I33" i="3"/>
  <c r="E8" i="2" s="1"/>
  <c r="G8" i="2" s="1"/>
  <c r="I125" i="3"/>
  <c r="E11" i="2" s="1"/>
  <c r="I6" i="3"/>
  <c r="H10" i="4"/>
  <c r="H12" i="4"/>
  <c r="H11" i="4"/>
  <c r="H17" i="4"/>
  <c r="G11" i="2"/>
  <c r="J17" i="4" s="1"/>
  <c r="F11" i="2"/>
  <c r="I17" i="4" s="1"/>
  <c r="H14" i="4"/>
  <c r="H13" i="4"/>
  <c r="G9" i="2"/>
  <c r="F9" i="2"/>
  <c r="H15" i="4"/>
  <c r="H9" i="2"/>
  <c r="H16" i="4"/>
  <c r="F10" i="2"/>
  <c r="I16" i="4" s="1"/>
  <c r="F8" i="2" l="1"/>
  <c r="H8" i="2" s="1"/>
  <c r="H138" i="3"/>
  <c r="H18" i="5" s="1"/>
  <c r="G32" i="5" s="1"/>
  <c r="E7" i="2"/>
  <c r="E12" i="2" s="1"/>
  <c r="H10" i="2"/>
  <c r="C21" i="17"/>
  <c r="K15" i="4"/>
  <c r="K14" i="4"/>
  <c r="K13" i="4"/>
  <c r="I9" i="2"/>
  <c r="I12" i="4"/>
  <c r="I11" i="4"/>
  <c r="H11" i="2"/>
  <c r="J10" i="4"/>
  <c r="J12" i="4"/>
  <c r="J11" i="4"/>
  <c r="I13" i="4"/>
  <c r="I15" i="4"/>
  <c r="I14" i="4"/>
  <c r="J14" i="4"/>
  <c r="J15" i="4"/>
  <c r="J13" i="4"/>
  <c r="H139" i="3" l="1"/>
  <c r="I10" i="4"/>
  <c r="F15" i="2"/>
  <c r="H140" i="3"/>
  <c r="H23" i="5" s="1"/>
  <c r="H9" i="4"/>
  <c r="F7" i="2"/>
  <c r="F12" i="2" s="1"/>
  <c r="H7" i="4"/>
  <c r="G7" i="2"/>
  <c r="J8" i="4" s="1"/>
  <c r="H8" i="4"/>
  <c r="C20" i="17"/>
  <c r="K10" i="4"/>
  <c r="K12" i="4"/>
  <c r="K11" i="4"/>
  <c r="I8" i="2"/>
  <c r="F21" i="17"/>
  <c r="E21" i="17"/>
  <c r="D21" i="17"/>
  <c r="G21" i="17" s="1"/>
  <c r="H141" i="3"/>
  <c r="F16" i="2"/>
  <c r="H22" i="5"/>
  <c r="C23" i="17"/>
  <c r="K17" i="4"/>
  <c r="I11" i="2"/>
  <c r="C22" i="17"/>
  <c r="K16" i="4"/>
  <c r="I10" i="2"/>
  <c r="I7" i="4" l="1"/>
  <c r="F17" i="2"/>
  <c r="I8" i="4"/>
  <c r="I9" i="4"/>
  <c r="H18" i="4"/>
  <c r="H7" i="2"/>
  <c r="C19" i="17" s="1"/>
  <c r="E19" i="17" s="1"/>
  <c r="G12" i="2"/>
  <c r="J9" i="4"/>
  <c r="J7" i="4"/>
  <c r="F18" i="2"/>
  <c r="H142" i="3"/>
  <c r="F22" i="17"/>
  <c r="E22" i="17"/>
  <c r="D22" i="17"/>
  <c r="F20" i="17"/>
  <c r="E20" i="17"/>
  <c r="D20" i="17"/>
  <c r="E23" i="17"/>
  <c r="D23" i="17"/>
  <c r="F23" i="17"/>
  <c r="H24" i="5"/>
  <c r="G23" i="17" l="1"/>
  <c r="I18" i="4"/>
  <c r="I7" i="2"/>
  <c r="K9" i="4"/>
  <c r="K8" i="4"/>
  <c r="H12" i="2"/>
  <c r="K7" i="4"/>
  <c r="K18" i="4" s="1"/>
  <c r="K19" i="4" s="1"/>
  <c r="J18" i="4"/>
  <c r="D19" i="17"/>
  <c r="F19" i="17"/>
  <c r="F24" i="17" s="1"/>
  <c r="C24" i="17"/>
  <c r="G22" i="17"/>
  <c r="G20" i="17"/>
  <c r="E24" i="17"/>
  <c r="H25" i="5"/>
  <c r="D12" i="5"/>
  <c r="H12" i="5" s="1"/>
  <c r="H11" i="5" s="1"/>
  <c r="H148" i="3"/>
  <c r="B5" i="6"/>
  <c r="B6" i="6" s="1"/>
  <c r="F19" i="2"/>
  <c r="H149" i="3"/>
  <c r="G19" i="17" l="1"/>
  <c r="G24" i="17" s="1"/>
  <c r="E25" i="17"/>
  <c r="D24" i="17"/>
  <c r="D25" i="17" s="1"/>
  <c r="J7" i="2"/>
  <c r="J11" i="2"/>
  <c r="J8" i="2"/>
  <c r="J9" i="2"/>
  <c r="J10" i="2"/>
  <c r="I12" i="2"/>
  <c r="F25" i="17"/>
  <c r="F22" i="2"/>
  <c r="F21" i="2"/>
  <c r="C15" i="6"/>
  <c r="C14" i="6"/>
  <c r="C13" i="6"/>
  <c r="C12" i="6"/>
  <c r="C11" i="6"/>
  <c r="C10" i="6"/>
  <c r="J12" i="2" l="1"/>
  <c r="C16" i="6"/>
  <c r="B7" i="6"/>
  <c r="H14" i="5" s="1"/>
  <c r="G31" i="5" l="1"/>
  <c r="G30" i="5"/>
  <c r="H13" i="5"/>
  <c r="H16" i="5" l="1"/>
  <c r="G29" i="5" l="1"/>
  <c r="G19" i="5"/>
  <c r="G28" i="5" s="1"/>
  <c r="H147" i="3" s="1"/>
</calcChain>
</file>

<file path=xl/sharedStrings.xml><?xml version="1.0" encoding="utf-8"?>
<sst xmlns="http://schemas.openxmlformats.org/spreadsheetml/2006/main" count="6442" uniqueCount="1443">
  <si>
    <t>DEPARTAMENTO DE ANTIOQUIA</t>
  </si>
  <si>
    <t>MUNICIPIO DE MACEO</t>
  </si>
  <si>
    <t>DATOS INICIALES Y PARÁMETROS DEL PRESUPUESTO</t>
  </si>
  <si>
    <t>PARÁMETRO</t>
  </si>
  <si>
    <t>VALOR</t>
  </si>
  <si>
    <t>FUENTE / OBSERVACIÓN</t>
  </si>
  <si>
    <t>ENTIDAD</t>
  </si>
  <si>
    <t>NIT 890.980.958-3</t>
  </si>
  <si>
    <t>NOMBRE DEL PROYECTO</t>
  </si>
  <si>
    <t>AJUSTAR al objeto definido en el estudio previo</t>
  </si>
  <si>
    <t>RESPONSABLE (elabora y firma el presupuesto)</t>
  </si>
  <si>
    <t>POR DILIGENCIAR</t>
  </si>
  <si>
    <t>CARGO DEL RESPONSABLE</t>
  </si>
  <si>
    <t>DEPENDENCIA</t>
  </si>
  <si>
    <t>VERIFICAR</t>
  </si>
  <si>
    <t>MATRÍCULA PROFESIONAL DEL RESPONSABLE</t>
  </si>
  <si>
    <t>POR DILIGENCIAR (ingeniero civil o arquitecto)</t>
  </si>
  <si>
    <t>INFORMACIÓN DE CONTACTO (CORREO, TELÉFONO)</t>
  </si>
  <si>
    <t>SALARIO MÍNIMO MENSUAL VIGENTE 2026</t>
  </si>
  <si>
    <t>Decreto de salario mínimo 2026 (valor del libro de parques)</t>
  </si>
  <si>
    <t>AUXILIO DE TRANSPORTE 2026</t>
  </si>
  <si>
    <t>Valor del libro de parques</t>
  </si>
  <si>
    <t>EXONERADO ART. 114-1 E.T. PARA LA OBRA</t>
  </si>
  <si>
    <t>SI</t>
  </si>
  <si>
    <t>Exonera EPS 8,5 %, SENA 2 % e ICBF 3 % a trabajadores con salario &lt; 10 SMMLV (hoja FACTOR PRESTACIONAL)</t>
  </si>
  <si>
    <t>EXONERADO ART. 114-1 E.T. PARA LA INTERVENTORÍA</t>
  </si>
  <si>
    <t>N/A</t>
  </si>
  <si>
    <t>Sin interventoría externa: supervisión a cargo del Municipio</t>
  </si>
  <si>
    <t>NIVEL DE RIESGO ARL APLICABLE</t>
  </si>
  <si>
    <t>V</t>
  </si>
  <si>
    <t>Construcción - riesgo V (Decreto 1607 de 2002)</t>
  </si>
  <si>
    <t>% ARL</t>
  </si>
  <si>
    <t>Decreto 1772 de 1994</t>
  </si>
  <si>
    <t>DURACIÓN ESTIMADA DE LA OBRA (MESES)</t>
  </si>
  <si>
    <t>Debe coincidir con la hoja CRONOGRAMA y con el estudio previo</t>
  </si>
  <si>
    <t>DURACIÓN DE LA INTERVENTORÍA (MESES)</t>
  </si>
  <si>
    <t>Supervisión del Municipio</t>
  </si>
  <si>
    <t>DISTANCIA A SITIO DE DISPOSICIÓN DE SOBRANTES DE EXCAVACIÓN (KM)</t>
  </si>
  <si>
    <t>Los sobrantes de excavación se extienden dentro de cada predio</t>
  </si>
  <si>
    <t>DISTANCIA A SITIO DE DISPOSICIÓN DE ESCOMBROS (KM)</t>
  </si>
  <si>
    <t>ESTIMADO: verificar la escombrera o sitio autorizado más cercano</t>
  </si>
  <si>
    <t>DISTANCIA FUENTE DE MATERIAL DE PLAYA - CABECERA DE MACEO (KM)</t>
  </si>
  <si>
    <t>Valor del libro de parques (arena y triturado)</t>
  </si>
  <si>
    <t>DISTANCIA FUENTE DE MATERIAL GRANULAR - CABECERA DE MACEO (KM)</t>
  </si>
  <si>
    <t>Valor del libro de parques (base granular)</t>
  </si>
  <si>
    <t>DISTANCIA PROMEDIO CABECERA - VIVIENDAS (KM)</t>
  </si>
  <si>
    <t>Promedio de la columna F de BENEFICIARIOS; mientras esté vacía se usa 10 km (ESTIMADO). Afecta el acarreo de todos los APU</t>
  </si>
  <si>
    <t>NÚMERO DE BENEFICIARIOS (VIVIENDAS INTERVENIDAS)</t>
  </si>
  <si>
    <t>Hoja BENEFICIARIOS</t>
  </si>
  <si>
    <t>PROCESO DE CONTRATACIÓN No.</t>
  </si>
  <si>
    <t>SAMC-SP-011-2026</t>
  </si>
  <si>
    <t>Selección abreviada de menor cuantía</t>
  </si>
  <si>
    <t>DÍAS LABORABLES EFECTIVOS AL AÑO</t>
  </si>
  <si>
    <t>365 días - 52 domingos - 18 festivos 2026 - 3 días de permisos / clima</t>
  </si>
  <si>
    <t>DISTANCIA MEDELLÍN - CABECERA MUNICIPAL DE MACEO (KM)</t>
  </si>
  <si>
    <t>Vía Bello - Barbosa - Cisneros - San José del Nus (libro de parques)</t>
  </si>
  <si>
    <t>ADMINISTRACIÓN (A) APLICADA</t>
  </si>
  <si>
    <t>Tope fijado por el usuario: hasta 28 % - 29 %. Soporte en la hoja AU</t>
  </si>
  <si>
    <t>UTILIDAD (U)</t>
  </si>
  <si>
    <t>Fijada por el usuario</t>
  </si>
  <si>
    <t>AU MÁXIMO PERMITIDO</t>
  </si>
  <si>
    <t>29 % de administración + 5 % de utilidad</t>
  </si>
  <si>
    <t>IVA SOBRE LA UTILIDAD</t>
  </si>
  <si>
    <t>NO INCLUIDO</t>
  </si>
  <si>
    <t>VERIFICAR con Hacienda si aplica (19 % de la utilidad ≈ 0,95 % del costo directo). El archivo base tampoco lo incluía</t>
  </si>
  <si>
    <t>PRIMA ESTIMADA DE GARANTÍAS (% DEL VALOR DEL CONTRATO)</t>
  </si>
  <si>
    <t>Seriedad, cumplimiento, salarios, estabilidad y RCE. Estimado de mercado</t>
  </si>
  <si>
    <t>Convenciones: texto azul = dato de entrada; relleno amarillo = dato por diligenciar o verificar por la entidad; texto negro = fórmula. Valores en pesos colombianos, vigencia 2026.</t>
  </si>
  <si>
    <t>RESUMEN DEL PRESUPUESTO POR CAPÍTULOS</t>
  </si>
  <si>
    <t>No.</t>
  </si>
  <si>
    <t>CAPÍTULO</t>
  </si>
  <si>
    <t>UNIDADES (VIVIENDAS)</t>
  </si>
  <si>
    <t>COSTO DIRECTO</t>
  </si>
  <si>
    <t>ADMINISTRACIÓN</t>
  </si>
  <si>
    <t>UTILIDAD</t>
  </si>
  <si>
    <t>VALOR TOTAL</t>
  </si>
  <si>
    <t>VALOR POR UNIDAD</t>
  </si>
  <si>
    <t>% DEL TOTAL</t>
  </si>
  <si>
    <t>MÓDULO HABITACIONAL DE 2,50 x 3,00 m</t>
  </si>
  <si>
    <t>BAÑO DE 1,50 x 2,50 m CON SISTEMA SÉPTICO</t>
  </si>
  <si>
    <t>MURO DE CONTENCIÓN EN CONCRETO REFORZADO (h = 2,00 m; L = 10,00 m)</t>
  </si>
  <si>
    <t>APARTAESTUDIO DE 5,00 x 4,00 m SOBRE ESTRUCTURA APORTICADA</t>
  </si>
  <si>
    <t>PARED EN FIBROCEMENTO SOBRE ESTRUCTURA EN MADERA Y ESCALERA EN MADERA</t>
  </si>
  <si>
    <t>TOTAL</t>
  </si>
  <si>
    <t>CONSOLIDADO</t>
  </si>
  <si>
    <t>ADMINISTRACIÓN (A)</t>
  </si>
  <si>
    <t>TOTAL AU</t>
  </si>
  <si>
    <t>VALOR TOTAL DEL PRESUPUESTO OFICIAL</t>
  </si>
  <si>
    <t>NÚMERO DE VIVIENDAS INTERVENIDAS</t>
  </si>
  <si>
    <t>VALOR PROMEDIO POR VIVIENDA</t>
  </si>
  <si>
    <t>DIFERENCIA POR REDONDEO (PRESUPUESTO - RESUMEN)</t>
  </si>
  <si>
    <t>El valor por unidad de cada capítulo es el valor total del capítulo dividido entre el número de viviendas de ese capítulo. El detalle por beneficiario está en la hoja BENEFICIARIOS. La administración y la utilidad de cada capítulo se calculan en proporción a su costo directo.</t>
  </si>
  <si>
    <t>PRESUPUESTO OFICIAL DE OBRA</t>
  </si>
  <si>
    <t>ÍTEM</t>
  </si>
  <si>
    <t>DESCRIPCIÓN</t>
  </si>
  <si>
    <t>UND</t>
  </si>
  <si>
    <t>CANTIDAD</t>
  </si>
  <si>
    <t>VALOR UNITARIO</t>
  </si>
  <si>
    <t>TOTAL CAPÍTULO</t>
  </si>
  <si>
    <t>1.1</t>
  </si>
  <si>
    <t>Localización, trazado y replanteo de la obra con cinta métrica, escuadra, nivel de manguera, estacas e hilo. Incluye materialización de ejes y niveles, verificación con la supervisión y todo lo necesario para su correcta ejecución.</t>
  </si>
  <si>
    <t>m2</t>
  </si>
  <si>
    <t>1.2</t>
  </si>
  <si>
    <t>Excavación manual en material común, en seco, de 0,00 a 2,00 m de profundidad, para cimentaciones y redes. Incluye perfilado de paredes y fondo, retiro y extendido del material sobrante dentro del predio en el sitio que indique la supervisión.</t>
  </si>
  <si>
    <t>m3</t>
  </si>
  <si>
    <t>1.3</t>
  </si>
  <si>
    <t>Viga de cimentación de 0,25 x 0,20 m en concreto de 21 MPa (3.000 psi) preparado en obra. Incluye formaleta, mezcla, vaciado, vibrado y curado. El acero de refuerzo se paga en su ítem.</t>
  </si>
  <si>
    <t>m</t>
  </si>
  <si>
    <t>1.4</t>
  </si>
  <si>
    <t>Placa de contrapiso en concreto de 21 MPa (3.000 psi), e = 0,10 m, reforzada con malla electrosoldada D-188, sobre base granular compactada e = 0,10 m y polietileno. Acabado escobillado apto para recibir enchape. Incluye formaleta de borde, mezcla, vaciado, curado y todo lo necesario para su correcta ejecución.</t>
  </si>
  <si>
    <t>1.5</t>
  </si>
  <si>
    <t>Suministro, figurado e instalación de acero de refuerzo de 420 MPa (60.000 psi) corrugado. Incluye alambre de amarre, separadores, transporte y colocación según planos estructurales.</t>
  </si>
  <si>
    <t>kg</t>
  </si>
  <si>
    <t>1.6</t>
  </si>
  <si>
    <t>Columna de confinamiento de 0,12 x 0,20 m en concreto de 21 MPa (3.000 psi) a la vista. Incluye formaleta, mezcla, vaciado, vibrado y curado. El acero de refuerzo se paga en su ítem.</t>
  </si>
  <si>
    <t>1.7</t>
  </si>
  <si>
    <t>Muro en mampostería de bloque de arcilla (adobe rayado) de 12 x 20 x 40 cm, perforación vertical (NTC 4205), pegado con mortero 1:4 en juntas de 1,0 cm. Incluye suministro, transporte, andamio y todo lo necesario para su correcta ejecución.</t>
  </si>
  <si>
    <t>1.8</t>
  </si>
  <si>
    <t>Viga de amarre (corona) de 0,12 x 0,20 m en concreto de 21 MPa (3.000 psi) a la vista, sobre mampostería. Incluye formaleta, mezcla, vaciado, vibrado y curado. El acero de refuerzo se paga en su ítem.</t>
  </si>
  <si>
    <t>1.9</t>
  </si>
  <si>
    <t>Viga cinta (culata o dintel) de 0,12 x 0,10 m en concreto de 21 MPa (3.000 psi) a la vista. Incluye formaleta, mezcla, vaciado y curado. El acero de refuerzo se paga en su ítem.</t>
  </si>
  <si>
    <t>1.10</t>
  </si>
  <si>
    <t>Suministro, transporte e instalación de elemento en madera abarco o chanú inmunizada y cepillada de 4" x 4" (alfardas, vigas o parales). Incluye anclajes, tornillería y todo lo necesario para su correcta instalación.</t>
  </si>
  <si>
    <t>1.11</t>
  </si>
  <si>
    <t>Suministro, transporte e instalación de elemento en madera abarco o chanú inmunizada y cepillada de 2" x 4" (correas de cubierta o travesaños de muro). Incluye anclajes, tornillería y todo lo necesario para su correcta instalación.</t>
  </si>
  <si>
    <t>1.12</t>
  </si>
  <si>
    <t>Suministro, transporte e instalación de cubierta en teja termoacústica de UPVC e = 2,5 mm, con fijaciones autoperforantes, arandelas y capuchones, y remates. Medida en verdadera magnitud (en pendiente).</t>
  </si>
  <si>
    <t>1.13</t>
  </si>
  <si>
    <t>Suministro, transporte e instalación de canal (canoa) en PVC con protección UV. Incluye soportes, uniones, tapas, salida a bajante y sellos.</t>
  </si>
  <si>
    <t>1.14</t>
  </si>
  <si>
    <t>Suministro e instalación de bajante de aguas lluvias en tubería PVC-ALL de 2". Incluye codos, abrazaderas y descarga a nivel de terreno.</t>
  </si>
  <si>
    <t>1.15</t>
  </si>
  <si>
    <t>Suministro e instalación de tubería conduit PVC de 1/2" incrustada en muro o placa. Incluye curvas, uniones, adaptadores, regatas y resanes. Certificación RETIE.</t>
  </si>
  <si>
    <t>1.16</t>
  </si>
  <si>
    <t>Suministro e instalación de conductor de cobre THHN/THWN-2 No. 12 AWG, 90 °C, cableado por tubería. Certificación RETIE.</t>
  </si>
  <si>
    <t>1.17</t>
  </si>
  <si>
    <t>Suministro e instalación de tomacorriente doble con polo a tierra, 15 A - 125 V, de incrustar, con caja PVC 2 x 4" y placa. Certificación RETIE.</t>
  </si>
  <si>
    <t>un</t>
  </si>
  <si>
    <t>1.18</t>
  </si>
  <si>
    <t>Suministro e instalación de interruptor conmutable de 15 A - 125 V, de incrustar, con caja PVC 2 x 4" y placa. Certificación RETIE.</t>
  </si>
  <si>
    <t>1.19</t>
  </si>
  <si>
    <t>Salida para iluminación con plafón de baquelita de sobreponer, caja octagonal PVC y bombillo LED de 9 W. Certificación RETIE.</t>
  </si>
  <si>
    <t>1.20</t>
  </si>
  <si>
    <t>Pañete liso sobre muros en mortero 1:4, e = 1,5 cm promedio, a plomo y regla, incluidos filos y dilataciones. Incluye andamio y todo lo necesario para dejar la superficie apta para estuco.</t>
  </si>
  <si>
    <t>1.21</t>
  </si>
  <si>
    <t>Estuco plástico sobre pañete, dos manos, lijado y resanado, para recibir pintura.</t>
  </si>
  <si>
    <t>1.22</t>
  </si>
  <si>
    <t>Pintura en vinilo tipo 1 para interiores, dos manos, color blanco hueso o el que defina la supervisión. Incluye resanes, lijado y preparación de la superficie.</t>
  </si>
  <si>
    <t>1.23</t>
  </si>
  <si>
    <t>Enchape de piso en cerámica semibrillante de tráfico medio, formato a definir con la supervisión, pegada con mortero adhesivo. Incluye boquilla, cortes, remates y limpieza.</t>
  </si>
  <si>
    <t>1.24</t>
  </si>
  <si>
    <t>Suministro e instalación de puerta metálica de 0,80 x 2,10 m en lámina cold rolled cal. 20 con marco cal. 18, bisagras, cerradura de pomo y anticorrosivo. Incluye anclajes y resanes. La pintura de acabado se paga en su ítem.</t>
  </si>
  <si>
    <t>1.25</t>
  </si>
  <si>
    <t>Suministro e instalación de ventana metálica en lámina cold rolled cal. 20 con nave batiente, bisagras, pasador, vidrio crudo de 4 mm y anticorrosivo. Incluye anclajes y resanes. La pintura de acabado se paga en su ítem.</t>
  </si>
  <si>
    <t>1.26</t>
  </si>
  <si>
    <t>Pintura de carpintería metálica (puertas, marcos y ventanas) con anticorrosivo y dos manos de esmalte sintético, color definido por la supervisión. Incluye lijado y limpieza. Se mide el área de las dos caras.</t>
  </si>
  <si>
    <t>2.1</t>
  </si>
  <si>
    <t>2.2</t>
  </si>
  <si>
    <t>2.3</t>
  </si>
  <si>
    <t>2.4</t>
  </si>
  <si>
    <t>2.5</t>
  </si>
  <si>
    <t>2.6</t>
  </si>
  <si>
    <t>2.7</t>
  </si>
  <si>
    <t>2.8</t>
  </si>
  <si>
    <t>2.9</t>
  </si>
  <si>
    <t>2.10</t>
  </si>
  <si>
    <t>2.11</t>
  </si>
  <si>
    <t>2.12</t>
  </si>
  <si>
    <t>2.13</t>
  </si>
  <si>
    <t>2.14</t>
  </si>
  <si>
    <t>2.15</t>
  </si>
  <si>
    <t>Suministro e instalación de tubería PVC-P de 1/2" RDE 13,5 para red de agua fría, con accesorios, limpiador y soldadura. Incluye prueba de presión.</t>
  </si>
  <si>
    <t>2.16</t>
  </si>
  <si>
    <t>Salida (punto) hidráulica de agua fría en PVC-P de 1/2" RDE 13,5, hasta 1,50 m de tubería, con accesorios, limpiador y soldadura. Incluye regatas, resanes y prueba de presión.</t>
  </si>
  <si>
    <t>2.17</t>
  </si>
  <si>
    <t>Suministro e instalación de válvula de bola (registro) PVC de 1/2" de extremos soldados. Se entrega instalada y probada, sin fugas.</t>
  </si>
  <si>
    <t>2.18</t>
  </si>
  <si>
    <t>Salida sanitaria en PVC-S de 2" (lavamanos, ducha o lavaplatos), con accesorios, sifón, limpiador y soldadura.</t>
  </si>
  <si>
    <t>2.19</t>
  </si>
  <si>
    <t>Salida sanitaria en PVC-S de 4" para sanitario, con accesorios, limpiador y soldadura.</t>
  </si>
  <si>
    <t>2.20</t>
  </si>
  <si>
    <t>Suministro e instalación de tubería sanitaria PVC-S de 2" para red de desagüe, con accesorios, limpiador y soldadura, con pendiente mínima de 2 %.</t>
  </si>
  <si>
    <t>2.21</t>
  </si>
  <si>
    <t>Suministro e instalación de tubería sanitaria PVC-S de 4" para red de desagüe hasta el sistema séptico, con accesorios, limpiador y soldadura, pendiente mínima de 2 %. Incluye excavación manual de brecha (0,40 x 0,50 m), cama de arena y relleno compactado.</t>
  </si>
  <si>
    <t>2.22</t>
  </si>
  <si>
    <t>Suministro, transporte e instalación de sistema séptico prefabricado para tratamiento de aguas residuales domésticas: trampa de grasas, tanque séptico de 1.000 L y filtro anaerobio de flujo ascendente (FAFA) de 1.000 L con medio filtrante. Incluye excavación, cama de arena, conexiones, relleno y prueba de funcionamiento.</t>
  </si>
  <si>
    <t>2.23</t>
  </si>
  <si>
    <t>2.24</t>
  </si>
  <si>
    <t>2.25</t>
  </si>
  <si>
    <t>Suministro e instalación de tomacorriente GFCI 15 A - 125 V para zona húmeda, con caja PVC 2 x 4" y placa. Certificación RETIE.</t>
  </si>
  <si>
    <t>2.26</t>
  </si>
  <si>
    <t>Suministro e instalación de interruptor sencillo de 15 A - 125 V, de incrustar, con caja PVC 2 x 4" y placa. Certificación RETIE.</t>
  </si>
  <si>
    <t>2.27</t>
  </si>
  <si>
    <t>2.28</t>
  </si>
  <si>
    <t>2.29</t>
  </si>
  <si>
    <t>Enchape de piso de baño en cerámica antideslizante blanca, formato a definir con la supervisión, sobre mortero de nivelación 1:4 e = 0,02 m con impermeabilizante integral, con pendiente hacia el sifón. Incluye mortero adhesivo, boquilla, cortes y limpieza.</t>
  </si>
  <si>
    <t>2.30</t>
  </si>
  <si>
    <t>Enchape de muros de baño (zona húmeda) en cerámica blanca, formato a definir con la supervisión, pegada con mortero adhesivo. Incluye win o esquinero de remate en PVC, boquilla, cortes y limpieza.</t>
  </si>
  <si>
    <t>2.31</t>
  </si>
  <si>
    <t>2.32</t>
  </si>
  <si>
    <t>2.33</t>
  </si>
  <si>
    <t>Suministro, transporte e instalación de combo sanitario económico, color blanco: sanitario de dos piezas de bajo consumo (4,8 L por descarga), lavamanos de colgar con grifería sencilla y tres accesorios de incrustar (portarrollos, jabonera y toallero). Incluye acoples, sellos y pruebas.</t>
  </si>
  <si>
    <t>2.34</t>
  </si>
  <si>
    <t>Suministro e instalación de ducha sencilla con brazo, regadera ahorradora tipo lluvia direccionable y llave de paso, resistente a la corrosión.</t>
  </si>
  <si>
    <t>2.35</t>
  </si>
  <si>
    <t>Suministro e instalación de rejilla de piso de 2" con sosco anticucarachas para desagüe de ducha.</t>
  </si>
  <si>
    <t>2.36</t>
  </si>
  <si>
    <t>2.37</t>
  </si>
  <si>
    <t>2.38</t>
  </si>
  <si>
    <t>3.1</t>
  </si>
  <si>
    <t>3.2</t>
  </si>
  <si>
    <t>3.3</t>
  </si>
  <si>
    <t>Concreto pobre de 14 MPa (2.000 psi) preparado en obra para solado de limpieza, e = 0,05 m. Incluye suministro de materiales, mezcla, colocación y nivelación.</t>
  </si>
  <si>
    <t>3.4</t>
  </si>
  <si>
    <t>Zapata corrida en concreto de 21 MPa (3.000 psi) preparado en obra para muro de contención. Incluye formaleta lateral, mezcla, vaciado, vibrado y curado. El acero de refuerzo se paga en su ítem.</t>
  </si>
  <si>
    <t>3.5</t>
  </si>
  <si>
    <t>Muro de contención en concreto reforzado de 21 MPa (3.000 psi), espesor 0,20 m y altura hasta 2,00 m. Incluye formaleta a dos caras con tensores y arriostramiento, andamio, mezcla, vaciado por capas, vibrado, curado y desencofrado. El acero de refuerzo y los lloraderos se pagan en sus ítems.</t>
  </si>
  <si>
    <t>3.6</t>
  </si>
  <si>
    <t>3.7</t>
  </si>
  <si>
    <t>Lloradero (dren) en tubería PVC de 2" de 0,40 m de longitud a través del muro de contención, con geotextil en la boca interior.</t>
  </si>
  <si>
    <t>3.8</t>
  </si>
  <si>
    <t>Filtro en material granular (triturado de 3/4" a 1") envuelto en geotextil no tejido NT 1600, en el trasdós del muro de contención. Incluye suministro, colocación y acomodo.</t>
  </si>
  <si>
    <t>3.9</t>
  </si>
  <si>
    <t>Lleno compactado con material seleccionado de la excavación, en capas de 0,20 m con vibrocompactador (canguro), en el trasdós del muro de contención.</t>
  </si>
  <si>
    <t>4.1</t>
  </si>
  <si>
    <t>Demolición y desmonte manual de elementos existentes (mampostería, cubierta, estructura y escaleras en madera, tablas de pared y similares). Incluye selección y entrega al beneficiario del material recuperable, cargue, retiro y disposición final de escombros en sitio autorizado.</t>
  </si>
  <si>
    <t>4.2</t>
  </si>
  <si>
    <t>4.3</t>
  </si>
  <si>
    <t>4.4</t>
  </si>
  <si>
    <t>Viga de cimentación de 0,30 x 0,30 m en concreto de 21 MPa (3.000 psi) preparado en obra. Incluye formaleta, mezcla, vaciado, vibrado y curado. El acero de refuerzo se paga en su ítem.</t>
  </si>
  <si>
    <t>4.5</t>
  </si>
  <si>
    <t>Columna de 0,30 x 0,30 m en concreto de 21 MPa (3.000 psi) preparado en obra, altura hasta 3,00 m. Incluye formaleta, aplome, mezcla, vaciado, vibrado, curado y desencofrado. El acero de refuerzo se paga en su ítem.</t>
  </si>
  <si>
    <t>4.6</t>
  </si>
  <si>
    <t>Viga aérea de entrepiso (entresuelo) de 0,30 x 0,30 m en concreto de 21 MPa (3.000 psi) preparado en obra. Incluye formaleta, obra falsa, mezcla, vaciado, vibrado, curado y desencofrado. El acero de refuerzo se paga en su ítem.</t>
  </si>
  <si>
    <t>4.7</t>
  </si>
  <si>
    <t>Placa de entrepiso aligerada tipo placa fácil: bloquelón de arcilla de 80 x 23 x 8 cm apoyado sobre perfiles de acero galvanizado tipo PHR C de 100 x 50 mm, cal. 16, cada 0,89 m; torta superior en concreto de 21 MPa (3.000 psi) de e = 0,05 m reforzada con malla electrosoldada D-188 y acabado esmaltado. Incluye perfiles, apuntalamiento temporal, mezcla, vaciado y curado.</t>
  </si>
  <si>
    <t>4.8</t>
  </si>
  <si>
    <t>4.9</t>
  </si>
  <si>
    <t>4.10</t>
  </si>
  <si>
    <t>4.11</t>
  </si>
  <si>
    <t>4.12</t>
  </si>
  <si>
    <t>4.13</t>
  </si>
  <si>
    <t>Suministro, transporte e instalación de elemento en madera abarco o chanú inmunizada y cepillada de 4" x 6" (alfardas o vigas de cubierta). Incluye anclajes, tornillería y todo lo necesario para su correcta instalación.</t>
  </si>
  <si>
    <t>4.14</t>
  </si>
  <si>
    <t>4.15</t>
  </si>
  <si>
    <t>4.16</t>
  </si>
  <si>
    <t>4.17</t>
  </si>
  <si>
    <t>4.18</t>
  </si>
  <si>
    <t>4.19</t>
  </si>
  <si>
    <t>4.20</t>
  </si>
  <si>
    <t>4.21</t>
  </si>
  <si>
    <t>Suministro e instalación de llave terminal (de manguera) de 1/2" en bronce o cobre.</t>
  </si>
  <si>
    <t>4.22</t>
  </si>
  <si>
    <t>4.23</t>
  </si>
  <si>
    <t>4.24</t>
  </si>
  <si>
    <t>4.25</t>
  </si>
  <si>
    <t>4.26</t>
  </si>
  <si>
    <t>4.27</t>
  </si>
  <si>
    <t>4.28</t>
  </si>
  <si>
    <t>4.29</t>
  </si>
  <si>
    <t>4.30</t>
  </si>
  <si>
    <t>4.31</t>
  </si>
  <si>
    <t>4.32</t>
  </si>
  <si>
    <t>4.33</t>
  </si>
  <si>
    <t>4.34</t>
  </si>
  <si>
    <t>4.35</t>
  </si>
  <si>
    <t>4.36</t>
  </si>
  <si>
    <t>4.37</t>
  </si>
  <si>
    <t>4.38</t>
  </si>
  <si>
    <t>Suministro e instalación de mesón de cocina en acero inoxidable de 1,20 x 0,50 m con pozuelo, grifería sencilla tipo cuello de ganso, canastilla y sifón, apoyado sobre machón en mampostería de 0,60 x 0,80 m pañetado.</t>
  </si>
  <si>
    <t>4.39</t>
  </si>
  <si>
    <t>Suministro e instalación de puerta metálica de 1,00 x 2,10 m en lámina cold rolled cal. 20 con marco cal. 18, bisagras, cerradura de pomo y anticorrosivo. Incluye anclajes y resanes. La pintura de acabado se paga en su ítem.</t>
  </si>
  <si>
    <t>4.40</t>
  </si>
  <si>
    <t>4.41</t>
  </si>
  <si>
    <t>4.42</t>
  </si>
  <si>
    <t>5.1</t>
  </si>
  <si>
    <t>Apuntalamiento provisional de la cubierta existente con parales de madera, soleras y cuñas, durante el tiempo que dure la intervención. Incluye instalación, revisión periódica y desmonte.</t>
  </si>
  <si>
    <t>gl</t>
  </si>
  <si>
    <t>5.2</t>
  </si>
  <si>
    <t>5.3</t>
  </si>
  <si>
    <t>5.4</t>
  </si>
  <si>
    <t>Pedestal en concreto de 21 MPa (3.000 psi) de 0,20 x 0,20 x 0,40 m para apoyo de poste en madera, reforzado con 4 barras No. 3 y flejes No. 2. Incluye formaleta, acero, platina de anclaje en U de 1/4" con pernos para el poste y todo lo necesario para su correcta ejecución.</t>
  </si>
  <si>
    <t>5.5</t>
  </si>
  <si>
    <t>5.6</t>
  </si>
  <si>
    <t>5.7</t>
  </si>
  <si>
    <t>Suministro e instalación de placa de fibrocemento de 10 mm sobre estructura en madera, con tornillería autorroscante. Medida por cara instalada.</t>
  </si>
  <si>
    <t>5.8</t>
  </si>
  <si>
    <t>Tratamiento de juntas y masillado total de placa de fibrocemento con cinta de malla y masilla para exteriores, dos manos, lijado, para recibir pintura.</t>
  </si>
  <si>
    <t>5.9</t>
  </si>
  <si>
    <t>5.10</t>
  </si>
  <si>
    <t>Pintura acrílica para fachadas tipo Koraza, dos manos, color por definir. Incluye preparación de la superficie y andamio.</t>
  </si>
  <si>
    <t>5.11</t>
  </si>
  <si>
    <t>Suministro, fabricación e instalación de escalera en madera inmunizada de dos tramos con descanso intermedio y cambio de dirección, para acceso al segundo piso, con huella y contrahuella ajustadas al espacio disponible (huella ≥ 0,25 m, contrahuella ≤ 0,18 m). Incluye zancas, huellas, descanso, anclajes, sellador y barniz.</t>
  </si>
  <si>
    <t>5.12</t>
  </si>
  <si>
    <t>Suministro e instalación de baranda en madera inmunizada con pasamanos, parales y balaustres, h = 0,90 m, anclada a la escalera y al entrepiso. Incluye sellador y barniz.</t>
  </si>
  <si>
    <t>TOTAL COSTO DIRECTO</t>
  </si>
  <si>
    <t>VALOR TOTAL PRESUPUESTO OFICIAL DE OBRA</t>
  </si>
  <si>
    <t>CONTROLES DEL PRESUPUESTO</t>
  </si>
  <si>
    <t>AU aplicado frente al máximo permitido (U 5 % y A hasta 29 %)</t>
  </si>
  <si>
    <t>Administración aplicada frente a la administración requerida (hoja AU)</t>
  </si>
  <si>
    <t>Cuadre con la hoja RESUMEN (diferencia por redondeo)</t>
  </si>
  <si>
    <t>Valor promedio por vivienda intervenida</t>
  </si>
  <si>
    <t>NOTAS: (1) Los valores unitarios corresponden al costo directo de cada APU (hoja APUS), aproximado al peso; el AU se liquida sobre el total del costo directo. (2) Las estampillas, contribuciones y garantías se reconocen dentro de la administración (hojas AU y LEGALIZACION DE OBRA). (3) Interventoría no incluida: la vigilancia se ejerce mediante supervisión del Municipio. (4) No incluye IVA sobre la utilidad (ver Datos Iniciales). (5) Las cantidades se soportan en la hoja MEMORIAS DE CALCULO y en los planos PL-00 a PL-05 (octubre de 2026), y dependen del número de unidades por capítulo de la hoja BENEFICIARIOS. (6) El muro de contención (capítulo 3) y el apartaestudio sobre columnas (capítulo 4) requieren diseño estructural firmado; ver cuadro de ajustes del plano PL-00.</t>
  </si>
  <si>
    <t>ELABORÓ:</t>
  </si>
  <si>
    <t>________________________________________</t>
  </si>
  <si>
    <t>LISTADO DE BENEFICIARIOS Y VALOR DE LA INTERVENCIÓN POR VIVIENDA</t>
  </si>
  <si>
    <t>La columna E (capítulo) define cuántas unidades tiene cada capítulo del presupuesto. La columna F alimenta la distancia promedio de acarreo de los APU.</t>
  </si>
  <si>
    <t>BENEFICIARIO(A)</t>
  </si>
  <si>
    <t>VEREDA / SECTOR</t>
  </si>
  <si>
    <t>DIST. CABECERA - VIVIENDA (KM)</t>
  </si>
  <si>
    <t>TIPO DE MEJORAMIENTO</t>
  </si>
  <si>
    <t>VALOR TOTAL INTERVENCIÓN</t>
  </si>
  <si>
    <t>DOCUMENTO / COORDENADAS / OBSERVACIONES</t>
  </si>
  <si>
    <t>Olga Vega</t>
  </si>
  <si>
    <t>Plan #2</t>
  </si>
  <si>
    <t>Documento y coordenadas por diligenciar</t>
  </si>
  <si>
    <t>Doris Amaya</t>
  </si>
  <si>
    <t>Alto Las Ruices</t>
  </si>
  <si>
    <t>Alba Durán</t>
  </si>
  <si>
    <t>Melba (apellido por confirmar)</t>
  </si>
  <si>
    <t>Corrales</t>
  </si>
  <si>
    <t>Rosa Pulgarín</t>
  </si>
  <si>
    <t>Carolina Cadavid</t>
  </si>
  <si>
    <t>La Susana</t>
  </si>
  <si>
    <t>Adela Cuartas</t>
  </si>
  <si>
    <t>La Bonita</t>
  </si>
  <si>
    <t>Clementina Jaramillo</t>
  </si>
  <si>
    <t>Olga Múnera</t>
  </si>
  <si>
    <t>Luz Mila Hurtado</t>
  </si>
  <si>
    <t>Plan #1</t>
  </si>
  <si>
    <t>Olga Luna</t>
  </si>
  <si>
    <t>CONTROL: diferencia frente al valor total del presupuesto (debe ser cero o diferencia de redondeo)</t>
  </si>
  <si>
    <t>Protección de datos personales (Ley 1581 de 2012): antes de publicar en el SECOP II, evaluar si esta hoja se publica con nombres completos o anonimizada. Los nombres, sectores y tipos de mejoramiento provienen del archivo de trabajo del 08-10-2026.</t>
  </si>
  <si>
    <t>ANÁLISIS DE ADMINISTRACIÓN Y UTILIDAD - AU</t>
  </si>
  <si>
    <t>VALOR MENSUAL / UNITARIO</t>
  </si>
  <si>
    <t>FACTOR PRESTACIONAL</t>
  </si>
  <si>
    <t>% DEDICACIÓN</t>
  </si>
  <si>
    <t>PLAZO (meses)</t>
  </si>
  <si>
    <t>VALOR PARCIAL</t>
  </si>
  <si>
    <t>PERSONAL PROFESIONAL Y TÉCNICO</t>
  </si>
  <si>
    <t>RESIDENTE DE OBRA (ingeniero civil o arquitecto)</t>
  </si>
  <si>
    <t>GASTOS GENERALES DE OBRA</t>
  </si>
  <si>
    <t>Papelería, registro fotográfico, informes, actas de vecindad y de entrega (mes)</t>
  </si>
  <si>
    <t>GARANTÍAS (PÓLIZAS DEL CONTRATO)</t>
  </si>
  <si>
    <t>Prima estimada de garantías sobre el valor total del contrato (Datos Iniciales)</t>
  </si>
  <si>
    <t>IMPUESTOS, ESTAMPILLAS Y CONTRIBUCIONES</t>
  </si>
  <si>
    <t>Estampillas y contribuciones sobre el valor total del contrato (hoja LEGALIZACION DE OBRA)</t>
  </si>
  <si>
    <t>TOTAL ADMINISTRACIÓN REQUERIDA</t>
  </si>
  <si>
    <t>COSTO DIRECTO (hoja PRESUPUESTO)</t>
  </si>
  <si>
    <t>ADMINISTRACIÓN REQUERIDA (% DEL COSTO DIRECTO)</t>
  </si>
  <si>
    <t>AU APLICADO AL PRESUPUESTO (U fija 5 %; A hasta 29 %)</t>
  </si>
  <si>
    <t>VALOR TOTAL PRESUPUESTO DE OBRA</t>
  </si>
  <si>
    <t>CONTROLES</t>
  </si>
  <si>
    <t>Administración aplicada frente a la requerida</t>
  </si>
  <si>
    <t>Holgura de la administración (valor aplicado - requerido)</t>
  </si>
  <si>
    <t>Peso de estampillas y contribuciones dentro de la administración</t>
  </si>
  <si>
    <t>Estampillas y contribuciones como % del costo directo</t>
  </si>
  <si>
    <t>Administración requerida sin estampillas ni garantías (% del CD)</t>
  </si>
  <si>
    <t>NOTAS: (1) Los salarios y el factor prestacional provienen de la hoja FACTOR PRESTACIONAL. (2) Las estampillas y contribuciones absorben cerca de tres cuartas partes de la administración; las dedicaciones del personal se fijaron para no superar el tope de A definido por la entidad. (3) Las estampillas y contribuciones se liquidan sobre el valor total del contrato y se reconocen dentro de la administración, por lo que el valor del contrato no se incrementa. (4) Imprevistos no incluidos (esquema AU definido por la entidad). (5) El acompañamiento social a las familias lo realiza el Municipio.</t>
  </si>
  <si>
    <t>GASTOS DE LEGALIZACIÓN - ESTAMPILLAS, TASAS Y CONTRIBUCIONES</t>
  </si>
  <si>
    <t>VALOR TOTAL DE OBRA - BASE (CD + AU)</t>
  </si>
  <si>
    <t>Base para el cálculo de estampillas y contribuciones (= valor total de obra)</t>
  </si>
  <si>
    <t>Total estampillas y contribuciones a reconocer</t>
  </si>
  <si>
    <t>ESTAMPILLA / CONTRIBUCIÓN</t>
  </si>
  <si>
    <t>TARIFA</t>
  </si>
  <si>
    <t>VALOR A RECONOCER</t>
  </si>
  <si>
    <t>OBSERVACIÓN / SOPORTE A VERIFICAR</t>
  </si>
  <si>
    <t>Estampilla Pro Adulto Mayor</t>
  </si>
  <si>
    <t>Ley 1276 de 2009 (hasta 4 %). Verificar acuerdo municipal de Maceo</t>
  </si>
  <si>
    <t>Estampilla Pro Cultura</t>
  </si>
  <si>
    <t>Ley 397 de 1997 (0,5 % a 2 %). Verificar acuerdo municipal de Maceo</t>
  </si>
  <si>
    <t>Estampilla Pro Hospitales</t>
  </si>
  <si>
    <t>Verificar si aplica a contratos municipales (tributo departamental)</t>
  </si>
  <si>
    <t>Estampilla / Tasa Pro Deporte</t>
  </si>
  <si>
    <t>Ley 2023 de 2020. Verificar acto que la adopta en Maceo</t>
  </si>
  <si>
    <t>Contribución especial de obra pública</t>
  </si>
  <si>
    <t>Ley 1106 de 2006 (prorrogada): 5 % del valor del contrato de obra</t>
  </si>
  <si>
    <t>Estampilla Justicia Familiar</t>
  </si>
  <si>
    <t>Verificar acto que la adopta en Maceo</t>
  </si>
  <si>
    <t>Se trasladan al ítem 4.1 de la hoja AU (dentro de la administración)</t>
  </si>
  <si>
    <t>Tarifas tomadas del libro de parques del Municipio. Estas partidas se reconocen DENTRO de la administración, por lo que el valor del contrato no se incrementa. VERIFICAR tarifas y base gravable contra el Estatuto de Rentas del Municipio de Maceo antes de publicar.</t>
  </si>
  <si>
    <t>ANÁLISIS DE PRECIOS UNITARIOS</t>
  </si>
  <si>
    <t>APU No.</t>
  </si>
  <si>
    <t>UNIDAD</t>
  </si>
  <si>
    <t>CANTIDAD TOTAL</t>
  </si>
  <si>
    <t>COSTO DIRECTO UNITARIO</t>
  </si>
  <si>
    <t>APU-01</t>
  </si>
  <si>
    <t>Ítems del presupuesto que utilizan este análisis: 1.1 · 2.1 · 3.1 · 4.2</t>
  </si>
  <si>
    <t>1. COSTOS DIRECTOS</t>
  </si>
  <si>
    <t>I. EQUIPO</t>
  </si>
  <si>
    <t>RENDIMIENTO (día/und)</t>
  </si>
  <si>
    <t>VR. UNITARIO</t>
  </si>
  <si>
    <t>HERRAMIENTA MENOR (5% DE LA MANO DE OBRA)</t>
  </si>
  <si>
    <t>%</t>
  </si>
  <si>
    <t>SUBTOTAL</t>
  </si>
  <si>
    <t>II. MATERIALES</t>
  </si>
  <si>
    <t>DESP.</t>
  </si>
  <si>
    <t>PRECIO UNIT.</t>
  </si>
  <si>
    <t>ESTACA DE MADERA 4 x 4 x 50 cm</t>
  </si>
  <si>
    <t>UN</t>
  </si>
  <si>
    <t>HILO DE NYLON PARA TRAZADO (ROLLO 100 m)</t>
  </si>
  <si>
    <t>PINTURA EN AEROSOL PARA MARCACIÓN</t>
  </si>
  <si>
    <t>PUNTILLA COMÚN DE 2" A 3"</t>
  </si>
  <si>
    <t>LB</t>
  </si>
  <si>
    <t>III. TRANSPORTES</t>
  </si>
  <si>
    <t>No aplica (incluido en el precio del insumo o sin transporte significativo)</t>
  </si>
  <si>
    <t>IV. MANO DE OBRA</t>
  </si>
  <si>
    <t>CARGO</t>
  </si>
  <si>
    <t>JORNAL TOTAL</t>
  </si>
  <si>
    <t>OFICIAL OBRA CIVIL</t>
  </si>
  <si>
    <t>AYUDANTE RASO</t>
  </si>
  <si>
    <t>2. COSTOS INDIRECTOS (referencia; el AU se liquida sobre el costo directo total en la hoja PRESUPUESTO)</t>
  </si>
  <si>
    <t>PORCENTAJE</t>
  </si>
  <si>
    <t>TOTAL COSTO INDIRECTO</t>
  </si>
  <si>
    <t>PRECIO UNITARIO TOTAL CON AU (APROXIMADO AL PESO)</t>
  </si>
  <si>
    <t>APU-02</t>
  </si>
  <si>
    <t>Ítems del presupuesto que utilizan este análisis: 1.2 · 2.2 · 3.2 · 4.3 · 5.3</t>
  </si>
  <si>
    <t>No aplica</t>
  </si>
  <si>
    <t>APU-03</t>
  </si>
  <si>
    <t>Ítems del presupuesto que utilizan este análisis: 4.1 · 5.2</t>
  </si>
  <si>
    <t>MARTILLO DEMOLEDOR ELÉCTRICO</t>
  </si>
  <si>
    <t>DÍA</t>
  </si>
  <si>
    <t>DERECHO DE DISPOSICIÓN DE ESCOMBROS EN SITIO AUTORIZADO</t>
  </si>
  <si>
    <t>M3</t>
  </si>
  <si>
    <t>RETIRO DE ESCOMBROS A SITIO DE DISPOSICIÓN AUTORIZADO (VOLQUETA PEQUEÑA) (1,3 m³ suelto/und x distancia a sitio de disposición)</t>
  </si>
  <si>
    <t>M3-KM</t>
  </si>
  <si>
    <t>APU-04</t>
  </si>
  <si>
    <t>Ítems del presupuesto que utilizan este análisis: 5.1</t>
  </si>
  <si>
    <t>PARAL / VARA DE MADERA DE 3,00 A 4,00 m (PUNTAL)</t>
  </si>
  <si>
    <t>TABLA COMÚN 1" x 10" x 3,00 m (FORMALETA)</t>
  </si>
  <si>
    <t>ACARREO DE MATERIALES CABECERA - VIVIENDA POR VÍA TERCIARIA (VEHÍCULO LIVIANO) (0,15 t/und x distancia promedio cabecera - vivienda)</t>
  </si>
  <si>
    <t>TON-KM</t>
  </si>
  <si>
    <t>APU-05</t>
  </si>
  <si>
    <t>Ítems del presupuesto que utilizan este análisis: 3.3</t>
  </si>
  <si>
    <t>CONCRETADORA DE 1 1/2 SACOS A GASOLINA</t>
  </si>
  <si>
    <t>CONCRETO DE 14 MPa (2.000 PSI) PREPARADO EN OBRA</t>
  </si>
  <si>
    <t>ACARREO DE MATERIALES CABECERA - VIVIENDA POR VÍA TERCIARIA (VEHÍCULO LIVIANO) (2,3 t/und x distancia promedio cabecera - vivienda)</t>
  </si>
  <si>
    <t>APU-06</t>
  </si>
  <si>
    <t>Ítems del presupuesto que utilizan este análisis: 1.3 · 2.3</t>
  </si>
  <si>
    <t>VIBRADOR DE CONCRETO A GASOLINA</t>
  </si>
  <si>
    <t>CONCRETO DE 21 MPa (3.000 PSI) PREPARADO EN OBRA</t>
  </si>
  <si>
    <t>FORMALETA EN MADERA (M² DE CONTACTO, 4 USOS)</t>
  </si>
  <si>
    <t>M2</t>
  </si>
  <si>
    <t>ACARREO DE MATERIALES CABECERA - VIVIENDA POR VÍA TERCIARIA (VEHÍCULO LIVIANO) (0,12 t/und x distancia promedio cabecera - vivienda)</t>
  </si>
  <si>
    <t>APU-07</t>
  </si>
  <si>
    <t>Ítems del presupuesto que utilizan este análisis: 4.4</t>
  </si>
  <si>
    <t>ACARREO DE MATERIALES CABECERA - VIVIENDA POR VÍA TERCIARIA (VEHÍCULO LIVIANO) (0,21 t/und x distancia promedio cabecera - vivienda)</t>
  </si>
  <si>
    <t>APU-08</t>
  </si>
  <si>
    <t>Ítems del presupuesto que utilizan este análisis: 4.6</t>
  </si>
  <si>
    <t>ANDAMIO TUBULAR (SECCIÓN 1,5 x 1,5 m)</t>
  </si>
  <si>
    <t>ACARREO DE MATERIALES CABECERA - VIVIENDA POR VÍA TERCIARIA (VEHÍCULO LIVIANO) (0,22 t/und x distancia promedio cabecera - vivienda)</t>
  </si>
  <si>
    <t>APU-09</t>
  </si>
  <si>
    <t>Ítems del presupuesto que utilizan este análisis: 4.5</t>
  </si>
  <si>
    <t>APU-10</t>
  </si>
  <si>
    <t>Ítems del presupuesto que utilizan este análisis: 1.6 · 2.6 · 4.9</t>
  </si>
  <si>
    <t>ACARREO DE MATERIALES CABECERA - VIVIENDA POR VÍA TERCIARIA (VEHÍCULO LIVIANO) (0,06 t/und x distancia promedio cabecera - vivienda)</t>
  </si>
  <si>
    <t>APU-11</t>
  </si>
  <si>
    <t>Ítems del presupuesto que utilizan este análisis: 1.8 · 2.8 · 4.11</t>
  </si>
  <si>
    <t>APU-12</t>
  </si>
  <si>
    <t>Ítems del presupuesto que utilizan este análisis: 1.9 · 2.9 · 4.12</t>
  </si>
  <si>
    <t>ACARREO DE MATERIALES CABECERA - VIVIENDA POR VÍA TERCIARIA (VEHÍCULO LIVIANO) (0,03 t/und x distancia promedio cabecera - vivienda)</t>
  </si>
  <si>
    <t>APU-13</t>
  </si>
  <si>
    <t>Ítems del presupuesto que utilizan este análisis: 5.4</t>
  </si>
  <si>
    <t>ACERO DE REFUERZO 420 MPa (60.000 PSI) CORRUGADO FIGURADO</t>
  </si>
  <si>
    <t>KG</t>
  </si>
  <si>
    <t>ALAMBRE NEGRO RECOCIDO CAL. 18</t>
  </si>
  <si>
    <t>PLATINA DE ANCLAJE EN U DE 1/4" CON PERNOS (APOYO DE POSTE)</t>
  </si>
  <si>
    <t>ACARREO DE MATERIALES CABECERA - VIVIENDA POR VÍA TERCIARIA (VEHÍCULO LIVIANO) (0,05 t/und x distancia promedio cabecera - vivienda)</t>
  </si>
  <si>
    <t>APU-14</t>
  </si>
  <si>
    <t>Ítems del presupuesto que utilizan este análisis: 3.4</t>
  </si>
  <si>
    <t>ACARREO DE MATERIALES CABECERA - VIVIENDA POR VÍA TERCIARIA (VEHÍCULO LIVIANO) (2,35 t/und x distancia promedio cabecera - vivienda)</t>
  </si>
  <si>
    <t>APU-15</t>
  </si>
  <si>
    <t>Ítems del presupuesto que utilizan este análisis: 3.5</t>
  </si>
  <si>
    <t>LARGUERO MADERA COMÚN 4 x 8 cm x 2,80 m</t>
  </si>
  <si>
    <t>ACARREO DE MATERIALES CABECERA - VIVIENDA POR VÍA TERCIARIA (VEHÍCULO LIVIANO) (2,4 t/und x distancia promedio cabecera - vivienda)</t>
  </si>
  <si>
    <t>APU-16</t>
  </si>
  <si>
    <t>Ítems del presupuesto que utilizan este análisis: 1.5 · 2.5 · 3.6 · 4.8</t>
  </si>
  <si>
    <t>ACARREO DE MATERIALES CABECERA - VIVIENDA POR VÍA TERCIARIA (VEHÍCULO LIVIANO) (0,00105 t/und x distancia promedio cabecera - vivienda)</t>
  </si>
  <si>
    <t>APU-17</t>
  </si>
  <si>
    <t>Ítems del presupuesto que utilizan este análisis: 1.4 · 2.4</t>
  </si>
  <si>
    <t>BASE GRANULAR (RECEBO) PUESTA EN CABECERA DE MACEO</t>
  </si>
  <si>
    <t>MALLA ELECTROSOLDADA D-188 (Ø 6,0 mm c/15 cm)</t>
  </si>
  <si>
    <t>POLIETILENO NEGRO CAL. 4</t>
  </si>
  <si>
    <t>ACARREO DE MATERIALES CABECERA - VIVIENDA POR VÍA TERCIARIA (VEHÍCULO LIVIANO) (0,48 t/und x distancia promedio cabecera - vivienda)</t>
  </si>
  <si>
    <t>APU-18</t>
  </si>
  <si>
    <t>Ítems del presupuesto que utilizan este análisis: 4.7</t>
  </si>
  <si>
    <t>BLOQUELÓN DE ARCILLA 80 x 23 x 8 cm</t>
  </si>
  <si>
    <t>PERFIL DE ACERO GALVANIZADO TIPO PHR C 100 x 50 mm CAL. 16 (PLACA FÁCIL)</t>
  </si>
  <si>
    <t>M</t>
  </si>
  <si>
    <t>CEMENTO GRIS DE USO GENERAL (PORTLAND TIPO I) - BULTO 50 KG</t>
  </si>
  <si>
    <t>BTO</t>
  </si>
  <si>
    <t>ACARREO DE MATERIALES CABECERA - VIVIENDA POR VÍA TERCIARIA (VEHÍCULO LIVIANO) (0,17 t/und x distancia promedio cabecera - vivienda)</t>
  </si>
  <si>
    <t>APU-19</t>
  </si>
  <si>
    <t>Ítems del presupuesto que utilizan este análisis: 1.7 · 2.7 · 4.10</t>
  </si>
  <si>
    <t>BLOQUE DE ARCILLA (ADOBE RAYADO) 12 x 20 x 40 cm, PERFORACIÓN VERTICAL (NTC 4205)</t>
  </si>
  <si>
    <t>MORTERO 1:4 PREPARADO EN OBRA</t>
  </si>
  <si>
    <t>ACARREO DE MATERIALES CABECERA - VIVIENDA POR VÍA TERCIARIA (VEHÍCULO LIVIANO) (0,11 t/und x distancia promedio cabecera - vivienda)</t>
  </si>
  <si>
    <t>APU-20</t>
  </si>
  <si>
    <t>Ítems del presupuesto que utilizan este análisis: 1.20 · 2.28</t>
  </si>
  <si>
    <t>ACARREO DE MATERIALES CABECERA - VIVIENDA POR VÍA TERCIARIA (VEHÍCULO LIVIANO) (0,035 t/und x distancia promedio cabecera - vivienda)</t>
  </si>
  <si>
    <t>APU-21</t>
  </si>
  <si>
    <t>Ítems del presupuesto que utilizan este análisis: 1.21 · 2.31</t>
  </si>
  <si>
    <t>ESTUCO PLÁSTICO - CUÑETE 30 KG</t>
  </si>
  <si>
    <t>LIJA (PLIEGO)</t>
  </si>
  <si>
    <t>OFICIAL PINTOR</t>
  </si>
  <si>
    <t>APU-22</t>
  </si>
  <si>
    <t>Ítems del presupuesto que utilizan este análisis: 1.22 · 2.32 · 5.9</t>
  </si>
  <si>
    <t>PINTURA EN VINILO TIPO 1</t>
  </si>
  <si>
    <t>GL</t>
  </si>
  <si>
    <t>APU-23</t>
  </si>
  <si>
    <t>Ítems del presupuesto que utilizan este análisis: 5.10</t>
  </si>
  <si>
    <t>PINTURA ACRÍLICA PARA FACHADAS TIPO KORAZA</t>
  </si>
  <si>
    <t>APU-24</t>
  </si>
  <si>
    <t>Ítems del presupuesto que utilizan este análisis: 5.8</t>
  </si>
  <si>
    <t>CINTA DE MALLA PARA JUNTAS</t>
  </si>
  <si>
    <t>MASILLA PARA JUNTAS DE FIBROCEMENTO - CUÑETE 28 KG</t>
  </si>
  <si>
    <t>APU-25</t>
  </si>
  <si>
    <t>Ítems del presupuesto que utilizan este análisis: 1.23</t>
  </si>
  <si>
    <t>CORTADORA DE CERÁMICA</t>
  </si>
  <si>
    <t>CERÁMICA DE PISO SEMIBRILLANTE TRÁFICO MEDIO</t>
  </si>
  <si>
    <t>MORTERO ADHESIVO PARA CERÁMICA - BULTO 25 KG</t>
  </si>
  <si>
    <t>BOQUILLA (EMBOQUILLADOR)</t>
  </si>
  <si>
    <t>TRANSPORTE DE INSUMOS COMPRADOS EN MEDELLÍN (MEDELLÍN - CABECERA DE MACEO) (0,025 t/und x distancia Medellín - Maceo)</t>
  </si>
  <si>
    <t>ACARREO DE MATERIALES CABECERA - VIVIENDA POR VÍA TERCIARIA (VEHÍCULO LIVIANO) (0,025 t/und x distancia promedio cabecera - vivienda)</t>
  </si>
  <si>
    <t>APU-26</t>
  </si>
  <si>
    <t>Ítems del presupuesto que utilizan este análisis: 2.29 · 4.33</t>
  </si>
  <si>
    <t>CERÁMICA DE PISO ANTIDESLIZANTE BLANCA</t>
  </si>
  <si>
    <t>IMPERMEABILIZANTE INTEGRAL PARA MORTERO</t>
  </si>
  <si>
    <t>ACARREO DE MATERIALES CABECERA - VIVIENDA POR VÍA TERCIARIA (VEHÍCULO LIVIANO) (0,07 t/und x distancia promedio cabecera - vivienda)</t>
  </si>
  <si>
    <t>APU-27</t>
  </si>
  <si>
    <t>Ítems del presupuesto que utilizan este análisis: 2.30 · 4.34</t>
  </si>
  <si>
    <t>CERÁMICA DE PARED BLANCA</t>
  </si>
  <si>
    <t>WIN / ESQUINERO PVC PARA ENCHAPE</t>
  </si>
  <si>
    <t>TRANSPORTE DE INSUMOS COMPRADOS EN MEDELLÍN (MEDELLÍN - CABECERA DE MACEO) (0,022 t/und x distancia Medellín - Maceo)</t>
  </si>
  <si>
    <t>ACARREO DE MATERIALES CABECERA - VIVIENDA POR VÍA TERCIARIA (VEHÍCULO LIVIANO) (0,022 t/und x distancia promedio cabecera - vivienda)</t>
  </si>
  <si>
    <t>APU-28</t>
  </si>
  <si>
    <t>Ítems del presupuesto que utilizan este análisis: 1.17 · 4.29</t>
  </si>
  <si>
    <t>TOMACORRIENTE DOBLE CON POLO A TIERRA 15 A - 125 V, CON PLACA</t>
  </si>
  <si>
    <t>CAJA PVC RECTANGULAR 2 x 4"</t>
  </si>
  <si>
    <t>CINTA AISLANTE</t>
  </si>
  <si>
    <t>OFICIAL ELECTRICISTA</t>
  </si>
  <si>
    <t>APU-29</t>
  </si>
  <si>
    <t>Ítems del presupuesto que utilizan este análisis: 2.25 · 4.30</t>
  </si>
  <si>
    <t>TOMACORRIENTE GFCI 15 A - 125 V, CON PLACA</t>
  </si>
  <si>
    <t>APU-30</t>
  </si>
  <si>
    <t>Ítems del presupuesto que utilizan este análisis: 2.26 · 4.31</t>
  </si>
  <si>
    <t>INTERRUPTOR SENCILLO 15 A - 125 V, CON PLACA</t>
  </si>
  <si>
    <t>APU-31</t>
  </si>
  <si>
    <t>Ítems del presupuesto que utilizan este análisis: 1.18</t>
  </si>
  <si>
    <t>INTERRUPTOR CONMUTABLE 15 A - 125 V, CON PLACA</t>
  </si>
  <si>
    <t>APU-32</t>
  </si>
  <si>
    <t>Ítems del presupuesto que utilizan este análisis: 1.19 · 2.27 · 4.32</t>
  </si>
  <si>
    <t>ESCALERA DE TIJERA EN ALUMINIO</t>
  </si>
  <si>
    <t>PLAFÓN EN BAQUELITA</t>
  </si>
  <si>
    <t>CAJA PVC OCTAGONAL 4"</t>
  </si>
  <si>
    <t>BOMBILLO LED 9 W</t>
  </si>
  <si>
    <t>APU-33</t>
  </si>
  <si>
    <t>Ítems del presupuesto que utilizan este análisis: 1.15 · 2.23 · 4.27</t>
  </si>
  <si>
    <t>TUBO CONDUIT PVC 1/2"</t>
  </si>
  <si>
    <t>ACCESORIO CONDUIT 1/2" (CURVA, UNIÓN, ADAPTADOR)</t>
  </si>
  <si>
    <t>APU-34</t>
  </si>
  <si>
    <t>Ítems del presupuesto que utilizan este análisis: 1.16 · 2.24 · 4.28</t>
  </si>
  <si>
    <t>CABLE DE COBRE THHN/THWN-2 No. 12 AWG</t>
  </si>
  <si>
    <t>APU-35</t>
  </si>
  <si>
    <t>Ítems del presupuesto que utilizan este análisis: 1.24 · 2.36 · 4.40</t>
  </si>
  <si>
    <t>PUERTA METÁLICA 0,80 x 2,10 m EN LÁMINA CR CAL. 20, MARCO CAL. 18, BISAGRAS Y ANTICORROSIVO</t>
  </si>
  <si>
    <t>CERRADURA DE POMO / SOBREPONER</t>
  </si>
  <si>
    <t>TRANSPORTE DE INSUMOS COMPRADOS EN MEDELLÍN (MEDELLÍN - CABECERA DE MACEO) (0,035 t/und x distancia Medellín - Maceo)</t>
  </si>
  <si>
    <t>APU-36</t>
  </si>
  <si>
    <t>Ítems del presupuesto que utilizan este análisis: 4.39</t>
  </si>
  <si>
    <t>PUERTA METÁLICA 1,00 x 2,10 m EN LÁMINA CR CAL. 20, MARCO CAL. 18, BISAGRAS Y ANTICORROSIVO</t>
  </si>
  <si>
    <t>TRANSPORTE DE INSUMOS COMPRADOS EN MEDELLÍN (MEDELLÍN - CABECERA DE MACEO) (0,045 t/und x distancia Medellín - Maceo)</t>
  </si>
  <si>
    <t>ACARREO DE MATERIALES CABECERA - VIVIENDA POR VÍA TERCIARIA (VEHÍCULO LIVIANO) (0,045 t/und x distancia promedio cabecera - vivienda)</t>
  </si>
  <si>
    <t>APU-37</t>
  </si>
  <si>
    <t>Ítems del presupuesto que utilizan este análisis: 1.25 · 2.37 · 4.41</t>
  </si>
  <si>
    <t>VENTANA METÁLICA EN LÁMINA CR CAL. 20 CON NAVE BATIENTE, BISAGRAS, PASADOR Y ANTICORROSIVO</t>
  </si>
  <si>
    <t>VIDRIO CRUDO 4 mm INSTALADO CON PISAVIDRIO</t>
  </si>
  <si>
    <t>APU-38</t>
  </si>
  <si>
    <t>Ítems del presupuesto que utilizan este análisis: 1.26 · 2.38 · 4.42</t>
  </si>
  <si>
    <t>ANTICORROSIVO + ESMALTE SINTÉTICO</t>
  </si>
  <si>
    <t>THINNER / VARSOL</t>
  </si>
  <si>
    <t>APU-39</t>
  </si>
  <si>
    <t>Ítems del presupuesto que utilizan este análisis: 1.12 · 2.12 · 4.15</t>
  </si>
  <si>
    <t>TEJA TERMOACÚSTICA UPVC e = 2,5 mm (POR M² ÚTIL)</t>
  </si>
  <si>
    <t>FIJACIÓN PARA TEJA (TORNILLO AUTOPERFORANTE + ARANDELA + CAPUCHÓN)</t>
  </si>
  <si>
    <t>TRANSPORTE DE INSUMOS COMPRADOS EN MEDELLÍN (MEDELLÍN - CABECERA DE MACEO) (0,005 t/und x distancia Medellín - Maceo)</t>
  </si>
  <si>
    <t>ACARREO DE MATERIALES CABECERA - VIVIENDA POR VÍA TERCIARIA (VEHÍCULO LIVIANO) (0,005 t/und x distancia promedio cabecera - vivienda)</t>
  </si>
  <si>
    <t>APU-40</t>
  </si>
  <si>
    <t>Ítems del presupuesto que utilizan este análisis: 1.11 · 2.11 · 4.14 · 5.6</t>
  </si>
  <si>
    <t>MADERA ABARCO / CHANÚ INMUNIZADA Y CEPILLADA</t>
  </si>
  <si>
    <t>PT</t>
  </si>
  <si>
    <t>HERRAJES Y TORNILLERÍA PARA MADERA (PERNO, ARANDELA, TUERCA, PLATINA)</t>
  </si>
  <si>
    <t>TRANSPORTE DE INSUMOS COMPRADOS EN MEDELLÍN (MEDELLÍN - CABECERA DE MACEO) (0,0033 t/und x distancia Medellín - Maceo)</t>
  </si>
  <si>
    <t>ACARREO DE MATERIALES CABECERA - VIVIENDA POR VÍA TERCIARIA (VEHÍCULO LIVIANO) (0,0033 t/und x distancia promedio cabecera - vivienda)</t>
  </si>
  <si>
    <t>OFICIAL CARPINTERO</t>
  </si>
  <si>
    <t>AYUDANTE CARPINTERO</t>
  </si>
  <si>
    <t>APU-41</t>
  </si>
  <si>
    <t>Ítems del presupuesto que utilizan este análisis: 1.10 · 2.10 · 5.5</t>
  </si>
  <si>
    <t>TRANSPORTE DE INSUMOS COMPRADOS EN MEDELLÍN (MEDELLÍN - CABECERA DE MACEO) (0,0067 t/und x distancia Medellín - Maceo)</t>
  </si>
  <si>
    <t>ACARREO DE MATERIALES CABECERA - VIVIENDA POR VÍA TERCIARIA (VEHÍCULO LIVIANO) (0,0067 t/und x distancia promedio cabecera - vivienda)</t>
  </si>
  <si>
    <t>APU-42</t>
  </si>
  <si>
    <t>Ítems del presupuesto que utilizan este análisis: 4.13</t>
  </si>
  <si>
    <t>TRANSPORTE DE INSUMOS COMPRADOS EN MEDELLÍN (MEDELLÍN - CABECERA DE MACEO) (0,01 t/und x distancia Medellín - Maceo)</t>
  </si>
  <si>
    <t>ACARREO DE MATERIALES CABECERA - VIVIENDA POR VÍA TERCIARIA (VEHÍCULO LIVIANO) (0,01 t/und x distancia promedio cabecera - vivienda)</t>
  </si>
  <si>
    <t>APU-43</t>
  </si>
  <si>
    <t>Ítems del presupuesto que utilizan este análisis: 1.13 · 2.13 · 4.16</t>
  </si>
  <si>
    <t>CANAL (CANOA) EN PVC CON PROTECCIÓN UV</t>
  </si>
  <si>
    <t>SOPORTE PARA CANAL PVC</t>
  </si>
  <si>
    <t>ACCESORIO PARA CANAL PVC (UNIÓN, TAPA, SALIDA)</t>
  </si>
  <si>
    <t>KIT LIMPIADOR + SOLDADURA PVC (1/4 GL c/u)</t>
  </si>
  <si>
    <t>TRANSPORTE DE INSUMOS COMPRADOS EN MEDELLÍN (MEDELLÍN - CABECERA DE MACEO) (0,002 t/und x distancia Medellín - Maceo)</t>
  </si>
  <si>
    <t>ACARREO DE MATERIALES CABECERA - VIVIENDA POR VÍA TERCIARIA (VEHÍCULO LIVIANO) (0,002 t/und x distancia promedio cabecera - vivienda)</t>
  </si>
  <si>
    <t>APU-44</t>
  </si>
  <si>
    <t>Ítems del presupuesto que utilizan este análisis: 1.14 · 2.14 · 4.17</t>
  </si>
  <si>
    <t>TUBO PVC AGUAS LLUVIAS (ALL) 2"</t>
  </si>
  <si>
    <t>ACCESORIO ALL 2" (CODO, ABRAZADERA)</t>
  </si>
  <si>
    <t>OFICIAL HIDROSANITARIO (PLOMERO)</t>
  </si>
  <si>
    <t>APU-45</t>
  </si>
  <si>
    <t>Ítems del presupuesto que utilizan este análisis: 2.16 · 4.19</t>
  </si>
  <si>
    <t>TUBO PVC PRESIÓN 1/2" RDE 13,5</t>
  </si>
  <si>
    <t>ACCESORIO PVC PRESIÓN 1/2" (CODO, TEE, UNIÓN, ADAPTADOR)</t>
  </si>
  <si>
    <t>CINTA TEFLÓN</t>
  </si>
  <si>
    <t>APU-46</t>
  </si>
  <si>
    <t>Ítems del presupuesto que utilizan este análisis: 2.15 · 4.18</t>
  </si>
  <si>
    <t>APU-47</t>
  </si>
  <si>
    <t>Ítems del presupuesto que utilizan este análisis: 2.17 · 4.20</t>
  </si>
  <si>
    <t>VÁLVULA DE BOLA PVC 1/2" EXTREMOS SOLDADOS</t>
  </si>
  <si>
    <t>APU-48</t>
  </si>
  <si>
    <t>Ítems del presupuesto que utilizan este análisis: 2.18 · 4.22</t>
  </si>
  <si>
    <t>TUBO PVC SANITARIO 2"</t>
  </si>
  <si>
    <t>ACCESORIO PVC SANITARIO 2" (CODO, YEE, TEE)</t>
  </si>
  <si>
    <t>SIFÓN PVC 2"</t>
  </si>
  <si>
    <t>APU-49</t>
  </si>
  <si>
    <t>Ítems del presupuesto que utilizan este análisis: 2.19 · 4.23</t>
  </si>
  <si>
    <t>TUBO PVC SANITARIO 4"</t>
  </si>
  <si>
    <t>ACCESORIO PVC SANITARIO 4" (CODO, YEE)</t>
  </si>
  <si>
    <t>APU-50</t>
  </si>
  <si>
    <t>Ítems del presupuesto que utilizan este análisis: 2.20 · 4.24</t>
  </si>
  <si>
    <t>APU-51</t>
  </si>
  <si>
    <t>Ítems del presupuesto que utilizan este análisis: 2.21 · 4.25</t>
  </si>
  <si>
    <t>ARENA DE CONCRETO (LAVADA) PUESTA EN CABECERA DE MACEO</t>
  </si>
  <si>
    <t>AYUDANTE RASO (excavación y relleno de brecha)</t>
  </si>
  <si>
    <t>APU-52</t>
  </si>
  <si>
    <t>Ítems del presupuesto que utilizan este análisis: 2.22 · 4.26</t>
  </si>
  <si>
    <t>SISTEMA SÉPTICO PREFABRICADO: TANQUE SÉPTICO 1.000 L + FILTRO ANAEROBIO 1.000 L + TRAMPA DE GRASAS 250 L</t>
  </si>
  <si>
    <t>TRITURADO DE 3/4" PUESTO EN CABECERA DE MACEO</t>
  </si>
  <si>
    <t>TRANSPORTE DE INSUMOS COMPRADOS EN MEDELLÍN (MEDELLÍN - CABECERA DE MACEO) (0,09 t/und x distancia Medellín - Maceo)</t>
  </si>
  <si>
    <t>ACARREO DE MATERIALES CABECERA - VIVIENDA POR VÍA TERCIARIA (VEHÍCULO LIVIANO) (1,6 t/und x distancia promedio cabecera - vivienda)</t>
  </si>
  <si>
    <t>APU-53</t>
  </si>
  <si>
    <t>Ítems del presupuesto que utilizan este análisis: 2.33 · 4.35</t>
  </si>
  <si>
    <t>COMBO SANITARIO ECONÓMICO: SANITARIO 2 PIEZAS 4,8 L + LAVAMANOS DE COLGAR + GRIFERÍA SENCILLA + 3 ACCESORIOS</t>
  </si>
  <si>
    <t>KIT DE INSTALACIÓN SANITARIO Y LAVAMANOS (ACOPLES, EMPAQUES, TORNILLOS, SILICONA)</t>
  </si>
  <si>
    <t>TRANSPORTE DE INSUMOS COMPRADOS EN MEDELLÍN (MEDELLÍN - CABECERA DE MACEO) (0,04 t/und x distancia Medellín - Maceo)</t>
  </si>
  <si>
    <t>ACARREO DE MATERIALES CABECERA - VIVIENDA POR VÍA TERCIARIA (VEHÍCULO LIVIANO) (0,04 t/und x distancia promedio cabecera - vivienda)</t>
  </si>
  <si>
    <t>APU-54</t>
  </si>
  <si>
    <t>Ítems del presupuesto que utilizan este análisis: 2.34 · 4.36</t>
  </si>
  <si>
    <t>DUCHA SENCILLA CON BRAZO, REGADERA AHORRADORA Y LLAVE</t>
  </si>
  <si>
    <t>APU-55</t>
  </si>
  <si>
    <t>Ítems del presupuesto que utilizan este análisis: 2.35 · 4.37</t>
  </si>
  <si>
    <t>REJILLA DE PISO 2" CON SOSCO ANTICUCARACHAS</t>
  </si>
  <si>
    <t>APU-56</t>
  </si>
  <si>
    <t>Ítems del presupuesto que utilizan este análisis: 4.21</t>
  </si>
  <si>
    <t>LLAVE TERMINAL (DE MANGUERA) 1/2" EN BRONCE</t>
  </si>
  <si>
    <t>APU-57</t>
  </si>
  <si>
    <t>Ítems del presupuesto que utilizan este análisis: 4.38</t>
  </si>
  <si>
    <t>MESÓN EN ACERO INOXIDABLE 1,20 x 0,50 m CON POZUELO</t>
  </si>
  <si>
    <t>GRIFERÍA SENCILLA PARA LAVAPLATOS (CUELLO DE GANSO)</t>
  </si>
  <si>
    <t>CANASTILLA 4" + SIFÓN PARA LAVAPLATOS</t>
  </si>
  <si>
    <t>ACARREO DE MATERIALES CABECERA - VIVIENDA POR VÍA TERCIARIA (VEHÍCULO LIVIANO) (0,13 t/und x distancia promedio cabecera - vivienda)</t>
  </si>
  <si>
    <t>APU-58</t>
  </si>
  <si>
    <t>Ítems del presupuesto que utilizan este análisis: 3.9</t>
  </si>
  <si>
    <t>VIBROCOMPACTADOR TIPO CANGURO</t>
  </si>
  <si>
    <t>AGUA (INCLUYE ALMACENAMIENTO Y ACARREO EN SITIO)</t>
  </si>
  <si>
    <t>L</t>
  </si>
  <si>
    <t>APU-59</t>
  </si>
  <si>
    <t>Ítems del presupuesto que utilizan este análisis: 3.8</t>
  </si>
  <si>
    <t>GEOTEXTIL NO TEJIDO NT 1600</t>
  </si>
  <si>
    <t>ACARREO DE MATERIALES CABECERA - VIVIENDA POR VÍA TERCIARIA (VEHÍCULO LIVIANO) (1,75 t/und x distancia promedio cabecera - vivienda)</t>
  </si>
  <si>
    <t>APU-60</t>
  </si>
  <si>
    <t>Ítems del presupuesto que utilizan este análisis: 3.7</t>
  </si>
  <si>
    <t>APU-61</t>
  </si>
  <si>
    <t>Ítems del presupuesto que utilizan este análisis: 5.7</t>
  </si>
  <si>
    <t>TALADRO PERCUTOR / ATORNILLADOR</t>
  </si>
  <si>
    <t>PLACA DE FIBROCEMENTO 10 mm DE 1,22 x 2,44 m</t>
  </si>
  <si>
    <t>TORNILLO AUTORROSCANTE PARA FIBROCEMENTO</t>
  </si>
  <si>
    <t>TRANSPORTE DE INSUMOS COMPRADOS EN MEDELLÍN (MEDELLÍN - CABECERA DE MACEO) (0,014 t/und x distancia Medellín - Maceo)</t>
  </si>
  <si>
    <t>ACARREO DE MATERIALES CABECERA - VIVIENDA POR VÍA TERCIARIA (VEHÍCULO LIVIANO) (0,014 t/und x distancia promedio cabecera - vivienda)</t>
  </si>
  <si>
    <t>APU-62</t>
  </si>
  <si>
    <t>Ítems del presupuesto que utilizan este análisis: 5.11</t>
  </si>
  <si>
    <t>PULIDORA / CORTADORA DE DISCO</t>
  </si>
  <si>
    <t>SELLADOR Y BARNIZ PARA MADERA</t>
  </si>
  <si>
    <t>TRANSPORTE DE INSUMOS COMPRADOS EN MEDELLÍN (MEDELLÍN - CABECERA DE MACEO) (0,22 t/und x distancia Medellín - Maceo)</t>
  </si>
  <si>
    <t>APU-63</t>
  </si>
  <si>
    <t>Ítems del presupuesto que utilizan este análisis: 5.12</t>
  </si>
  <si>
    <t>MEMORIAS DE CÁLCULO DE CANTIDADES</t>
  </si>
  <si>
    <t>CÁLCULO / SUSTENTO DE LA CANTIDAD POR UNIDAD</t>
  </si>
  <si>
    <t>CANT. POR UNIDAD</t>
  </si>
  <si>
    <t>No. UNIDADES</t>
  </si>
  <si>
    <t>CAMBIO FRENTE AL ARCHIVO 08-10-2026</t>
  </si>
  <si>
    <t>Localización, trazado y replanteo</t>
  </si>
  <si>
    <t>PL-01: huella del módulo 2,50 x 3,00 m</t>
  </si>
  <si>
    <t>Ajustado al plano PL-01 (antes 11,16: se medía la cubierta)</t>
  </si>
  <si>
    <t>Excavación manual en material común (0 - 2 m)</t>
  </si>
  <si>
    <t>Brecha de viga de cimentación (cantidad de diseño)</t>
  </si>
  <si>
    <t>Viga de cimentación 0,25 x 0,20 m - concreto 21 MPa</t>
  </si>
  <si>
    <t>PL-01: perímetro de ejes (2,38 + 2,88) x 2</t>
  </si>
  <si>
    <t>Ajustado al plano PL-01 (antes 11,00)</t>
  </si>
  <si>
    <t>Placa de contrapiso e = 0,10 m con malla D-188 sobre base granular</t>
  </si>
  <si>
    <t>PL-01: placa entre muros 2,26 x 2,76 m</t>
  </si>
  <si>
    <t>Ajustado al plano PL-01 (antes 7,50)</t>
  </si>
  <si>
    <t>Acero de refuerzo 420 MPa</t>
  </si>
  <si>
    <t>Despiece de diseño (archivo 08-10-2026)</t>
  </si>
  <si>
    <t>Columna de confinamiento 0,12 x 0,20 m - concreto 21 MPa</t>
  </si>
  <si>
    <t>PL-01: 4 columnas x 2,30 m (mampostería 2,10 + viga 0,20)</t>
  </si>
  <si>
    <t>Ajustado al plano PL-01 (antes 8,80 con h = 2,20)</t>
  </si>
  <si>
    <t>Mampostería en bloque de arcilla 12 x 20 x 40 cm</t>
  </si>
  <si>
    <t>PL-01: (10,52 - 4 x 0,20) x 2,10 - puerta 1,68 - ventana 1,00 + culatas 1,58</t>
  </si>
  <si>
    <t>Ajustado al plano PL-01 (antes 22,62): mampostería neta</t>
  </si>
  <si>
    <t>Viga de amarre 0,12 x 0,20 m - concreto 21 MPa</t>
  </si>
  <si>
    <t>Viga cinta 0,12 x 0,10 m - concreto 21 MPa</t>
  </si>
  <si>
    <t>PL-01: muro alto 2,38 + 2 culatas inclinadas de 2,91 m</t>
  </si>
  <si>
    <t>Ajustado al plano PL-01 (antes 7,20)</t>
  </si>
  <si>
    <t>Elemento en madera inmunizada 4" x 4" (alfarda, viga o paral)</t>
  </si>
  <si>
    <t>PL-01: alfarda central de 3,60 m</t>
  </si>
  <si>
    <t>Elemento en madera inmunizada 2" x 4" (correa o travesaño)</t>
  </si>
  <si>
    <t>PL-01: 5 correas (c/ ≤ 0,95 m) x 3,10 m</t>
  </si>
  <si>
    <t>Ajustado al plano PL-01 (antes 12,00)</t>
  </si>
  <si>
    <t>Cubierta en teja termoacústica UPVC e = 2,5 mm</t>
  </si>
  <si>
    <t>PL-01: 3,10 x 3,60 m con alero de 0,30, en verdadera magnitud (pend. 14 %)</t>
  </si>
  <si>
    <t>Ajustado al plano PL-01 (antes 11,16)</t>
  </si>
  <si>
    <t>Canal (canoa) en PVC</t>
  </si>
  <si>
    <t>PL-01: ancho de cubierta con aleros</t>
  </si>
  <si>
    <t>Ajustado al plano PL-01 (antes 2,50)</t>
  </si>
  <si>
    <t>Bajante de aguas lluvias PVC-ALL 2"</t>
  </si>
  <si>
    <t>PL-01: altura de alero + empalme a desagüe</t>
  </si>
  <si>
    <t>Tubería conduit PVC 1/2"</t>
  </si>
  <si>
    <t>Cantidad de diseño</t>
  </si>
  <si>
    <t>Cable de cobre THHN/THWN-2 No. 12 AWG</t>
  </si>
  <si>
    <t>3 conductores x 12,00 m</t>
  </si>
  <si>
    <t>Tomacorriente doble con polo a tierra 15 A</t>
  </si>
  <si>
    <t>Interruptor conmutable 15 A</t>
  </si>
  <si>
    <t>Salida para iluminación con plafón y bombillo LED</t>
  </si>
  <si>
    <t>Pañete liso sobre muros, mortero 1:4</t>
  </si>
  <si>
    <t>PL-01: caras interiores h = 2,30 + culatas + fachada frontal - vanos</t>
  </si>
  <si>
    <t>Ajustado al plano PL-01 (antes 29,89)</t>
  </si>
  <si>
    <t>Estuco plástico sobre pañete</t>
  </si>
  <si>
    <t>Igual al pañete (PL-01)</t>
  </si>
  <si>
    <t>Pintura en vinilo tipo 1, dos manos (interior)</t>
  </si>
  <si>
    <t>Enchape de piso en cerámica semibrillante</t>
  </si>
  <si>
    <t>PL-01: piso interior 6,24 + umbral 0,10</t>
  </si>
  <si>
    <t>Ajustado al plano PL-01 (el archivo traía 11,00 m²)</t>
  </si>
  <si>
    <t>Puerta metálica 0,80 x 2,10 m cal. 20</t>
  </si>
  <si>
    <t>Puerta de acceso</t>
  </si>
  <si>
    <t>Ventana metálica en lámina cal. 20 con vidrio 4 mm</t>
  </si>
  <si>
    <t>PL-01: ventana V1 de 1,00 x 1,00 m</t>
  </si>
  <si>
    <t>Ítem nuevo: la habitación no tenía ventana</t>
  </si>
  <si>
    <t>Pintura en esmalte sobre carpintería metálica</t>
  </si>
  <si>
    <t>Puerta 3,96 (dos caras + marco) + ventana 2,40 (dos caras + marco)</t>
  </si>
  <si>
    <t>Se agrega la ventana nueva</t>
  </si>
  <si>
    <t>1,50 x 2,50 m</t>
  </si>
  <si>
    <t>PL-02: perímetro de ejes (1,38 + 2,38) x 2</t>
  </si>
  <si>
    <t>Ajustado al plano PL-02 (antes 8,00)</t>
  </si>
  <si>
    <t>PL-02: placa entre muros 1,26 x 2,26 m</t>
  </si>
  <si>
    <t>Ajustado al plano PL-02 (antes 3,75)</t>
  </si>
  <si>
    <t>PL-02: 4 columnas x 2,30 m</t>
  </si>
  <si>
    <t>Ajustado al plano PL-02 (antes 8,80 con h = 2,20)</t>
  </si>
  <si>
    <t>PL-02: (7,52 - 4 x 0,20) x 2,10 - puerta 1,68 - ventana 0,24 + culatas</t>
  </si>
  <si>
    <t>Ajustado al plano PL-02 (antes 16,48): mampostería neta</t>
  </si>
  <si>
    <t>PL-02: muro alto 1,38 + 2 culatas inclinadas de 2,41 m</t>
  </si>
  <si>
    <t>PL-02: alfarda central de 3,10 m</t>
  </si>
  <si>
    <t>PL-02: 5 correas (c/ ≤ 0,95 m) x 2,10 m</t>
  </si>
  <si>
    <t>Ajustado al plano PL-02 (antes 7,20)</t>
  </si>
  <si>
    <t>PL-02: 2,10 x 3,10 m con alero de 0,30, en verdadera magnitud</t>
  </si>
  <si>
    <t>Ajustado al plano PL-02 (antes 6,51)</t>
  </si>
  <si>
    <t>PL-02: ancho de cubierta con aleros</t>
  </si>
  <si>
    <t>Ajustado al plano PL-02 (antes 1,50)</t>
  </si>
  <si>
    <t>Tubería PVC-P 1/2" RDE 13,5</t>
  </si>
  <si>
    <t>Acometida desde la red existente (cantidad de diseño)</t>
  </si>
  <si>
    <t>Salida (punto) hidráulica PVC-P 1/2"</t>
  </si>
  <si>
    <t>Sanitario, lavamanos y ducha</t>
  </si>
  <si>
    <t>Válvula de bola PVC 1/2"</t>
  </si>
  <si>
    <t>Registro de corte del baño</t>
  </si>
  <si>
    <t>Salida sanitaria PVC 2"</t>
  </si>
  <si>
    <t>Lavamanos y ducha</t>
  </si>
  <si>
    <t>Salida sanitaria PVC 4"</t>
  </si>
  <si>
    <t>Sanitario</t>
  </si>
  <si>
    <t>Tubería sanitaria PVC-S 2"</t>
  </si>
  <si>
    <t>Cantidad de diseño (verificar en campo)</t>
  </si>
  <si>
    <t>Tubería sanitaria PVC-S 4" (incluye brecha)</t>
  </si>
  <si>
    <t>Hasta el sistema séptico (cantidad de diseño; verificar en campo)</t>
  </si>
  <si>
    <t>Incluye ahora excavación y relleno de brecha</t>
  </si>
  <si>
    <t>Sistema séptico prefabricado (trampa de grasas + tanque 1.000 L + FAFA)</t>
  </si>
  <si>
    <t>Un sistema por baño</t>
  </si>
  <si>
    <t>Tomacorriente GFCI 15 A</t>
  </si>
  <si>
    <t>Zona de lavamanos</t>
  </si>
  <si>
    <t>Interruptor sencillo 15 A</t>
  </si>
  <si>
    <t>PL-02: caras interiores h = 2,30 + culatas + fachada frontal - vanos</t>
  </si>
  <si>
    <t>Ajustado al plano PL-02 (antes 19,85)</t>
  </si>
  <si>
    <t>Enchape de piso de baño en cerámica antideslizante</t>
  </si>
  <si>
    <t>PL-02: piso interior 2,85 + umbral 0,10</t>
  </si>
  <si>
    <t>Enchape de muros de baño en cerámica</t>
  </si>
  <si>
    <t>PL-02: ducha h = 2,10 (3 caras) + salpicadero h = 0,60</t>
  </si>
  <si>
    <t>Ajustado al plano PL-02 (antes 7,35)</t>
  </si>
  <si>
    <t>PL-02: pañete 18,05 - enchape de muros 7,24</t>
  </si>
  <si>
    <t>Ajustado al plano PL-02 (antes 12,50)</t>
  </si>
  <si>
    <t>Igual al estuco (PL-02)</t>
  </si>
  <si>
    <t>Combo sanitario económico (sanitario + lavamanos + accesorios)</t>
  </si>
  <si>
    <t>Un combo por baño</t>
  </si>
  <si>
    <t>Ducha sencilla</t>
  </si>
  <si>
    <t>Una ducha por baño</t>
  </si>
  <si>
    <t>Rejilla de piso 2" con sosco</t>
  </si>
  <si>
    <t>Desagüe de ducha</t>
  </si>
  <si>
    <t>Puerta del baño</t>
  </si>
  <si>
    <t>PL-02: ventana V2 de 0,60 x 0,40 m</t>
  </si>
  <si>
    <t>Ítem nuevo: el baño no tenía ventilación</t>
  </si>
  <si>
    <t>Puerta 3,96 + ventana 0,68 (dos caras + marco)</t>
  </si>
  <si>
    <t>PL-03: zapata 1,00 x 10,00 m</t>
  </si>
  <si>
    <t>Cantidad de diseño (zapata y sobreancho de trabajo)</t>
  </si>
  <si>
    <t>Concreto pobre 14 MPa para solado de limpieza</t>
  </si>
  <si>
    <t>PL-03: 1,00 x 10,00 x 0,05 m</t>
  </si>
  <si>
    <t>Ítem nuevo: solado de limpieza bajo la zapata</t>
  </si>
  <si>
    <t>Zapata corrida en concreto 21 MPa</t>
  </si>
  <si>
    <t>PL-03: 1,00 x 10,00 x 0,25 m (sujeto al diseño estructural)</t>
  </si>
  <si>
    <t>Corregido: el archivo traía 10 m² con precio de viga de cimentación por metro</t>
  </si>
  <si>
    <t>Muro de contención en concreto reforzado 21 MPa, e = 0,20 m</t>
  </si>
  <si>
    <t>PL-03: 10,00 x 2,00 x 0,20 m</t>
  </si>
  <si>
    <t>Despiece de diseño, doble parrilla (archivo 08-10-2026)</t>
  </si>
  <si>
    <t>Lloradero en tubería PVC 2"</t>
  </si>
  <si>
    <t>PL-03: 10,00 m / 1,50 m</t>
  </si>
  <si>
    <t>Ítem nuevo: drenaje del muro (NSR-10 H.6)</t>
  </si>
  <si>
    <t>Filtro en material granular con geotextil NT 1600</t>
  </si>
  <si>
    <t>PL-03: 10,00 x 0,30 x 1,20 m</t>
  </si>
  <si>
    <t>Ítem nuevo: filtro del trasdós</t>
  </si>
  <si>
    <t>Lleno compactado con material de la excavación</t>
  </si>
  <si>
    <t>Lleno de diseño 10,00 m³ - filtro 3,60 m³</t>
  </si>
  <si>
    <t>Se descuenta el filtro; el archivo no sumaba este ítem en el total</t>
  </si>
  <si>
    <t>Demolición y desmonte de elementos existentes</t>
  </si>
  <si>
    <t>Cantidad de diseño (estructura existente)</t>
  </si>
  <si>
    <t>PL-04: 5,00 x 4,00 m</t>
  </si>
  <si>
    <t>Viga de cimentación 0,30 x 0,30 m - concreto 21 MPa</t>
  </si>
  <si>
    <t>PL-04: retícula de ejes 2 x (4,70 + 3,70) + viga central 3,70</t>
  </si>
  <si>
    <t>Ajustado al plano PL-04 (antes 22,00)</t>
  </si>
  <si>
    <t>Columna 0,30 x 0,30 m - concreto 21 MPa</t>
  </si>
  <si>
    <t>PL-04: 6 columnas x 3,00 m</t>
  </si>
  <si>
    <t>Cambio de unidad: de unidad (un) a metro (m); el croquis mostraba 4 columnas</t>
  </si>
  <si>
    <t>Viga aérea de entrepiso 0,30 x 0,30 m - concreto 21 MPa</t>
  </si>
  <si>
    <t>Placa de entrepiso aligerada tipo placa fácil (bloquelón)</t>
  </si>
  <si>
    <t>PL-04: dos paños entre caras de vigas (4,40 x 3,40 - viga central 0,30 x 3,40)</t>
  </si>
  <si>
    <t>Ajustado al plano PL-04 (antes 20,00); placa fácil sujeta al diseño estructural</t>
  </si>
  <si>
    <t>PL-04: 6 columnas x 2,30 m en muros perimetrales</t>
  </si>
  <si>
    <t>Ajustado al plano PL-04 (antes 12,60 con h = 2,10)</t>
  </si>
  <si>
    <t>PL-04: muros perimetrales + tabiques del baño, neta de columnas y vanos, + culatas</t>
  </si>
  <si>
    <t>Ajustado al plano PL-04 (antes 44,05): mampostería neta</t>
  </si>
  <si>
    <t>PL-04: perímetro de ejes 17,52 + tabiques del baño 3,88</t>
  </si>
  <si>
    <t>PL-04: muro alto 4,88 + 2 culatas inclinadas de 3,90 m</t>
  </si>
  <si>
    <t>Ajustado al plano PL-04 (antes 8,00); sección unificada a 0,12 x 0,10 m</t>
  </si>
  <si>
    <t>Elemento en madera inmunizada 4" x 6" (alfarda o viga)</t>
  </si>
  <si>
    <t>PL-04: alfarda central de 4,60 m</t>
  </si>
  <si>
    <t>PL-04: 6 correas (c/ ≤ 0,95 m) x 5,60 m</t>
  </si>
  <si>
    <t>Ajustado al plano PL-04 (antes 28,00)</t>
  </si>
  <si>
    <t>PL-04: 5,60 x 4,60 m con alero de 0,30, en verdadera magnitud</t>
  </si>
  <si>
    <t>Ajustado al plano PL-04 (antes 25,76)</t>
  </si>
  <si>
    <t>PL-04: ancho de cubierta con aleros</t>
  </si>
  <si>
    <t>PL-04: columna 3,00 + viga 0,30 + muro 2,30</t>
  </si>
  <si>
    <t>Ajustado al plano PL-04 (antes 5,00)</t>
  </si>
  <si>
    <t>Sanitario, lavamanos, ducha, lavaplatos y llave terminal</t>
  </si>
  <si>
    <t>Registro general</t>
  </si>
  <si>
    <t>Llave terminal de manguera 1/2"</t>
  </si>
  <si>
    <t>Llave terminal</t>
  </si>
  <si>
    <t>Un sistema</t>
  </si>
  <si>
    <t>3 conductores x 24,00 m</t>
  </si>
  <si>
    <t>PL-04: 4 tomas dobles en estar-alcoba y cocina</t>
  </si>
  <si>
    <t>Ajustado al plano PL-04: 2 de las 6 tomas pasan a GFCI (RETIE)</t>
  </si>
  <si>
    <t>PL-04: baño y junto al lavaplatos</t>
  </si>
  <si>
    <t>Ítem nuevo: protección GFCI en zonas húmedas (RETIE)</t>
  </si>
  <si>
    <t>PL-04: 5 interruptores</t>
  </si>
  <si>
    <t>PL-04: 4 salidas interiores + 1 exterior</t>
  </si>
  <si>
    <t>PL-04: baño 1,32 x 2,32 m + umbral 0,10</t>
  </si>
  <si>
    <t>Ajustado al plano PL-04 (antes 3,75)</t>
  </si>
  <si>
    <t>PL-04: ducha h = 2,10 (3 caras) + salpicadero h = 0,60</t>
  </si>
  <si>
    <t>Ajustado al plano PL-04 (antes 7,35)</t>
  </si>
  <si>
    <t>Baño</t>
  </si>
  <si>
    <t>Mesón en acero inoxidable 1,20 x 0,50 m con pozuelo y grifería</t>
  </si>
  <si>
    <t>Cocina</t>
  </si>
  <si>
    <t>Puerta metálica 1,00 x 2,10 m cal. 20</t>
  </si>
  <si>
    <t>Puerta del baño (vano ya descontado en la mampostería)</t>
  </si>
  <si>
    <t>Ítem nuevo: el baño no tenía puerta</t>
  </si>
  <si>
    <t>PL-04: 2 ventanas V1 de 1,00 x 1,00 + ventana V2 del baño 0,60 x 0,40</t>
  </si>
  <si>
    <t>Ajustado al plano PL-04: se agrega ventilación del baño (antes 2,00)</t>
  </si>
  <si>
    <t>PL-04: puerta acceso 4,82 + 2 ventanas 4,80 + puerta baño 3,96 + ventana baño 0,68</t>
  </si>
  <si>
    <t>Corregido: el archivo solo incluía la puerta de acceso (4,20 m²)</t>
  </si>
  <si>
    <t>Apuntalamiento provisional de cubierta existente</t>
  </si>
  <si>
    <t>Cubierta existente durante la intervención</t>
  </si>
  <si>
    <t>Escalera, vigas, parales y tablas existentes (cantidad de diseño)</t>
  </si>
  <si>
    <t>Pedestales (cantidad de diseño)</t>
  </si>
  <si>
    <t>Pedestal en concreto 0,20 x 0,20 x 0,40 m para poste de madera</t>
  </si>
  <si>
    <t>PL-05: 4 pedestales de 0,20 x 0,20 x 0,40 m</t>
  </si>
  <si>
    <t>Cambio de unidad: de metro (m) a unidad (un); incluye refuerzo y platina</t>
  </si>
  <si>
    <t>PL-05: 4 parales x 2,50 + solera y viga 2 x 6,40 + riostras</t>
  </si>
  <si>
    <t>PL-05: 3 travesaños x 6,40 m + desperdicio de cortes</t>
  </si>
  <si>
    <t>Placa de fibrocemento 10 mm sobre estructura en madera</t>
  </si>
  <si>
    <t>PL-05: pared 6,40 x 2,50 = 16,00 m² x 2 caras (confirmar en sitio)</t>
  </si>
  <si>
    <t>Tratamiento de juntas y masillado de placa de fibrocemento</t>
  </si>
  <si>
    <t>Igual a la placa (dos caras)</t>
  </si>
  <si>
    <t>Redefinido: sobre fibrocemento corresponde tratamiento de juntas, no estuco</t>
  </si>
  <si>
    <t>Cara interior</t>
  </si>
  <si>
    <t>Pintura acrílica para fachadas tipo Koraza, dos manos</t>
  </si>
  <si>
    <t>Cara exterior</t>
  </si>
  <si>
    <t>Escalera en madera de dos tramos con descanso</t>
  </si>
  <si>
    <t>PL-05: escalera en U de 1,50 x 3,00 m, 15 contrahuellas</t>
  </si>
  <si>
    <t>Cambio de unidad: de global (gl) a unidad (un)</t>
  </si>
  <si>
    <t>Baranda (pasamanos) en madera h = 0,90 m</t>
  </si>
  <si>
    <t>PL-05: baranda central y pasamanos (6,87 m medidos)</t>
  </si>
  <si>
    <t>Cambio de unidad: de global (gl) a metro (m)</t>
  </si>
  <si>
    <t>CONCRETOS, MORTEROS Y FORMALETA (PREPARADOS EN OBRA)</t>
  </si>
  <si>
    <t>V. UNITARIO</t>
  </si>
  <si>
    <t>CONCRETO DE 17,5 MPa (2.500 PSI) PREPARADO EN OBRA</t>
  </si>
  <si>
    <t>PRECIO CEMENTO POR KG</t>
  </si>
  <si>
    <t>PRECIO ARENA DE CONCRETO</t>
  </si>
  <si>
    <t>PRECIO TRITURADO 3/4"</t>
  </si>
  <si>
    <t>PRECIO AGUA</t>
  </si>
  <si>
    <t>Concreto 14 MPa (2.000 psi) - proporción aprox. 1:3:4</t>
  </si>
  <si>
    <t>Material</t>
  </si>
  <si>
    <t>Unidad</t>
  </si>
  <si>
    <t>Cantidad</t>
  </si>
  <si>
    <t>Valor unitario</t>
  </si>
  <si>
    <t>Valor parcial</t>
  </si>
  <si>
    <t>Cemento</t>
  </si>
  <si>
    <t>Arena de concreto</t>
  </si>
  <si>
    <t>m³</t>
  </si>
  <si>
    <t>Triturado 3/4"</t>
  </si>
  <si>
    <t>Agua</t>
  </si>
  <si>
    <t>TOTAL MATERIALES POR UNIDAD (sin desperdicio; el desperdicio se aplica en cada APU)</t>
  </si>
  <si>
    <t>Concreto 17,5 MPa (2.500 psi) - proporción aprox. 1:2,5:3,5</t>
  </si>
  <si>
    <t>Concreto 21 MPa (3.000 psi) - proporción aprox. 1:2:3</t>
  </si>
  <si>
    <t>Mortero 1:4 (pega de mampostería, pañetes y nivelaciones)</t>
  </si>
  <si>
    <t>Formaleta en madera por m² de contacto (4 usos)</t>
  </si>
  <si>
    <t>Tabla común 1" x 10" x 3,00 m (1,40 un/m² ÷ 4 usos)</t>
  </si>
  <si>
    <t>Larguero madera común 4 x 8 cm x 2,80 m (1,50 un/m² ÷ 4 usos)</t>
  </si>
  <si>
    <t>Puntilla común</t>
  </si>
  <si>
    <t>lb</t>
  </si>
  <si>
    <t>Alambre negro cal. 18</t>
  </si>
  <si>
    <t>ACPM / desmoldante</t>
  </si>
  <si>
    <t>Dosificaciones de referencia por volumen para concreto y mortero preparados en obra con concretadora (volúmenes pequeños y dispersos). El contratista debe presentar diseño de mezcla o verificar resistencia con cilindros (NSR-10 C.5). Las cantidades de formaleta se expresan por m² de contacto.</t>
  </si>
  <si>
    <t>INSUMOS - MATERIALES (PRECIOS 2026 CON IVA, PUESTOS EN CABECERA DE MACEO O EN MEDELLÍN SEGÚN SE INDIQUE)</t>
  </si>
  <si>
    <t>CÓD.</t>
  </si>
  <si>
    <t>VALOR UNITARIO (IVA incluido)</t>
  </si>
  <si>
    <t>M01</t>
  </si>
  <si>
    <t>Libro PO parques (SAMC-SP-010-2026), precio en cabecera de Maceo</t>
  </si>
  <si>
    <t>M02</t>
  </si>
  <si>
    <t>Hoja MATERIAL (precio en fuente + IVA + transporte a cabecera)</t>
  </si>
  <si>
    <t>M03</t>
  </si>
  <si>
    <t>Hoja MATERIAL</t>
  </si>
  <si>
    <t>M04</t>
  </si>
  <si>
    <t>M05</t>
  </si>
  <si>
    <t>M06</t>
  </si>
  <si>
    <t>M07</t>
  </si>
  <si>
    <t>M08</t>
  </si>
  <si>
    <t>M09</t>
  </si>
  <si>
    <t>Precio de mercado estimado 2026 (Medellín / cabecera de Maceo). VERIFICAR con cotización</t>
  </si>
  <si>
    <t>M10</t>
  </si>
  <si>
    <t>M11</t>
  </si>
  <si>
    <t>ACPM / DESMOLDANTE PARA FORMALETA</t>
  </si>
  <si>
    <t>M12</t>
  </si>
  <si>
    <t>M13</t>
  </si>
  <si>
    <t>M14</t>
  </si>
  <si>
    <t>M15</t>
  </si>
  <si>
    <t>Precio de mercado estimado 2026 (Medellín / cabecera de Maceo). VERIFICAR con cotización. Ref. Homecenter / Falabella Colombia, consulta oct-2026: malla Ø 4,0 mm $5.790/m²; D-188 ≈ 2,96 kg/m²</t>
  </si>
  <si>
    <t>M16</t>
  </si>
  <si>
    <t>M17</t>
  </si>
  <si>
    <t>Precio de mercado estimado 2026 (Medellín / cabecera de Maceo). VERIFICAR con cotización. Ref. Homecenter / Falabella Colombia, consulta oct-2026: bloque N5 12x20x30 $1.950</t>
  </si>
  <si>
    <t>M18</t>
  </si>
  <si>
    <t>Homecenter / Falabella Colombia, consulta oct-2026 (Ceranova)</t>
  </si>
  <si>
    <t>M19</t>
  </si>
  <si>
    <t>M20</t>
  </si>
  <si>
    <t>M21</t>
  </si>
  <si>
    <t>M22</t>
  </si>
  <si>
    <t>M23</t>
  </si>
  <si>
    <t>M24</t>
  </si>
  <si>
    <t>M25</t>
  </si>
  <si>
    <t>M26</t>
  </si>
  <si>
    <t>M27</t>
  </si>
  <si>
    <t>M28</t>
  </si>
  <si>
    <t>M29</t>
  </si>
  <si>
    <t>M30</t>
  </si>
  <si>
    <t>M31</t>
  </si>
  <si>
    <t>M32</t>
  </si>
  <si>
    <t>Homecenter / Falabella Colombia, consulta oct-2026 (Rotoplast, puesto en Medellín)</t>
  </si>
  <si>
    <t>M33</t>
  </si>
  <si>
    <t>Homecenter / Falabella Colombia, consulta oct-2026 (Corona Ecoline)</t>
  </si>
  <si>
    <t>M34</t>
  </si>
  <si>
    <t>M35</t>
  </si>
  <si>
    <t>M36</t>
  </si>
  <si>
    <t>M37</t>
  </si>
  <si>
    <t>M38</t>
  </si>
  <si>
    <t>M39</t>
  </si>
  <si>
    <t>Homecenter / Falabella Colombia, consulta oct-2026</t>
  </si>
  <si>
    <t>M40</t>
  </si>
  <si>
    <t>Precio de mercado estimado 2026 (Medellín / cabecera de Maceo). VERIFICAR con cotización. Ref. Homecenter / Falabella Colombia, consulta oct-2026: $28.900 a $46.000/m²</t>
  </si>
  <si>
    <t>M41</t>
  </si>
  <si>
    <t>M42</t>
  </si>
  <si>
    <t>M43</t>
  </si>
  <si>
    <t>M44</t>
  </si>
  <si>
    <t>M45</t>
  </si>
  <si>
    <t>M46</t>
  </si>
  <si>
    <t>M47</t>
  </si>
  <si>
    <t>Precio de mercado estimado 2026 (Medellín / cabecera de Maceo). VERIFICAR con cotización. Ref. Homecenter / Falabella Colombia, consulta oct-2026: $85.900 a $117.900</t>
  </si>
  <si>
    <t>M48</t>
  </si>
  <si>
    <t>M49</t>
  </si>
  <si>
    <t>M50</t>
  </si>
  <si>
    <t>Precio de mercado estimado 2026 (Medellín / cabecera de Maceo). VERIFICAR con cotización. Ref. Homecenter / Falabella Colombia, consulta oct-2026: cuñete 5 gal $399.900</t>
  </si>
  <si>
    <t>M51</t>
  </si>
  <si>
    <t>Precio de mercado estimado 2026 (Medellín / cabecera de Maceo). VERIFICAR con cotización. Ref. Homecenter / Falabella Colombia, consulta oct-2026: $99.900/gal</t>
  </si>
  <si>
    <t>M52</t>
  </si>
  <si>
    <t>M53</t>
  </si>
  <si>
    <t>M54</t>
  </si>
  <si>
    <t>M55</t>
  </si>
  <si>
    <t>Precio de mercado estimado 2026 (Medellín / cabecera de Maceo). VERIFICAR con cotización (taller). Ref. Homecenter / Falabella Colombia, consulta oct-2026: 0,80 x 2,10 cal. 20 $689.900</t>
  </si>
  <si>
    <t>M56</t>
  </si>
  <si>
    <t>Precio de mercado estimado 2026 (Medellín / cabecera de Maceo). VERIFICAR con cotización (taller)</t>
  </si>
  <si>
    <t>M57</t>
  </si>
  <si>
    <t>M58</t>
  </si>
  <si>
    <t>M59</t>
  </si>
  <si>
    <t>M60</t>
  </si>
  <si>
    <t>Homecenter / Falabella Colombia, consulta oct-2026: UPVC 2,5 mm ≈ $41.300/m² útil; termoacústica Ajover ≈ $50.800/m² útil</t>
  </si>
  <si>
    <t>M61</t>
  </si>
  <si>
    <t>M62</t>
  </si>
  <si>
    <t>Precio de mercado estimado 2026 (Medellín / cabecera de Maceo). VERIFICAR con cotización (pie tablar)</t>
  </si>
  <si>
    <t>M63</t>
  </si>
  <si>
    <t>M64</t>
  </si>
  <si>
    <t>M65</t>
  </si>
  <si>
    <t>M66</t>
  </si>
  <si>
    <t>M67</t>
  </si>
  <si>
    <t>M68</t>
  </si>
  <si>
    <t>M69</t>
  </si>
  <si>
    <t>M70</t>
  </si>
  <si>
    <t>M71</t>
  </si>
  <si>
    <t>M72</t>
  </si>
  <si>
    <t>Homecenter / Falabella Colombia, consulta oct-2026 (Centelsa, rollo 100 m $258.900)</t>
  </si>
  <si>
    <t>M73</t>
  </si>
  <si>
    <t>M74</t>
  </si>
  <si>
    <t>M75</t>
  </si>
  <si>
    <t>M76</t>
  </si>
  <si>
    <t>M77</t>
  </si>
  <si>
    <t>M78</t>
  </si>
  <si>
    <t>M79</t>
  </si>
  <si>
    <t>M80</t>
  </si>
  <si>
    <t>M81</t>
  </si>
  <si>
    <t>M82</t>
  </si>
  <si>
    <t>M83</t>
  </si>
  <si>
    <t>M84</t>
  </si>
  <si>
    <t>M85</t>
  </si>
  <si>
    <t>M86</t>
  </si>
  <si>
    <t>DISTANCIA FUENTE MATERIAL DE PLAYA - CABECERA [KM]</t>
  </si>
  <si>
    <t>DISTANCIA FUENTE MATERIAL GRANULAR - CABECERA [KM]</t>
  </si>
  <si>
    <t>TARIFA DE TRANSPORTE [$/M3-KM]</t>
  </si>
  <si>
    <t>DESCRIPCIÓN MATERIAL</t>
  </si>
  <si>
    <t>VALOR M3 EN FUENTE</t>
  </si>
  <si>
    <t>IVA 19%</t>
  </si>
  <si>
    <t>VALOR CON IVA</t>
  </si>
  <si>
    <t>TRANSPORTE A CABECERA</t>
  </si>
  <si>
    <t>VALOR PUESTO EN CABECERA</t>
  </si>
  <si>
    <t>FUENTE</t>
  </si>
  <si>
    <t>BASE GRANULAR (RECEBO)</t>
  </si>
  <si>
    <t>Precio en fuente: libro de parques (hoja MATERIAL)</t>
  </si>
  <si>
    <t>TRITURADO 3/4"</t>
  </si>
  <si>
    <t>ARENA DE CONCRETO (LAVADA)</t>
  </si>
  <si>
    <t>EQUIPOS Y HERRAMIENTA</t>
  </si>
  <si>
    <t>E01</t>
  </si>
  <si>
    <t>E02</t>
  </si>
  <si>
    <t>E03</t>
  </si>
  <si>
    <t>E04</t>
  </si>
  <si>
    <t>E05</t>
  </si>
  <si>
    <t>E06</t>
  </si>
  <si>
    <t>E07</t>
  </si>
  <si>
    <t>E08</t>
  </si>
  <si>
    <t>E09</t>
  </si>
  <si>
    <t>E10</t>
  </si>
  <si>
    <t>TRANSPORTE</t>
  </si>
  <si>
    <t>T01</t>
  </si>
  <si>
    <t>TRANSPORTE DE MATERIALES DE PLAYA Y GRANULARES (FUENTE - CABECERA DE MACEO)</t>
  </si>
  <si>
    <t>T02</t>
  </si>
  <si>
    <t>TRANSPORTE DE INSUMOS COMPRADOS EN MEDELLÍN (MEDELLÍN - CABECERA DE MACEO)</t>
  </si>
  <si>
    <t>T03</t>
  </si>
  <si>
    <t>ACARREO DE MATERIALES CABECERA - VIVIENDA POR VÍA TERCIARIA (VEHÍCULO LIVIANO)</t>
  </si>
  <si>
    <t>T04</t>
  </si>
  <si>
    <t>RETIRO DE ESCOMBROS A SITIO DE DISPOSICIÓN AUTORIZADO (VOLQUETA PEQUEÑA)</t>
  </si>
  <si>
    <t>MANO DE OBRA - JORNALES CON PRESTACIONES (VIGENCIA 2026)</t>
  </si>
  <si>
    <t>SALARIO MENSUAL</t>
  </si>
  <si>
    <t>SALARIO MENSUAL + PRESTACIONES</t>
  </si>
  <si>
    <t>JORNAL (día laborable)</t>
  </si>
  <si>
    <t>PRESTACIONES (día)</t>
  </si>
  <si>
    <t>Jornal total = (salario mensual + prestaciones) / días laborables efectivos del mes (hoja FACTOR PRESTACIONAL). Las filas usadas en los APU son: oficial obra civil, ayudante raso, oficial electricista, oficial pintor, ayudante carpintero, oficial hidrosanitario y oficial carpintero.</t>
  </si>
  <si>
    <t xml:space="preserve">MUNICIPIO DE MACEO </t>
  </si>
  <si>
    <t>CÁLCULO DEL FACTOR PRESTACIONAL (VIGENCIA 2026)</t>
  </si>
  <si>
    <t xml:space="preserve">CARGO </t>
  </si>
  <si>
    <t>DIRECTOR DE OBRA</t>
  </si>
  <si>
    <t>DIRECTOR DE INTERVENTORÍA</t>
  </si>
  <si>
    <t>RESIDENTE DE OBRA</t>
  </si>
  <si>
    <t>RESIDENTE DE INTERVENTORÍA</t>
  </si>
  <si>
    <t>RESIDENTE AMBIENTAL</t>
  </si>
  <si>
    <t>RESIDENTE SOCIAL</t>
  </si>
  <si>
    <t>AUXILIAR DE RESIDENCIA</t>
  </si>
  <si>
    <t>PROFESIONAL SST</t>
  </si>
  <si>
    <t>SECRETARIA</t>
  </si>
  <si>
    <t>MENSAJERO</t>
  </si>
  <si>
    <t>VIGILANTE</t>
  </si>
  <si>
    <t>AUXILIAR PARE- SIGA</t>
  </si>
  <si>
    <t>INGENIERO SIG</t>
  </si>
  <si>
    <t>TECNÓLOGO SIG</t>
  </si>
  <si>
    <t>TOPÓGRAFO</t>
  </si>
  <si>
    <t>CADENERO 1</t>
  </si>
  <si>
    <t>CADENERO 2</t>
  </si>
  <si>
    <t>OPERADOR EQUIPO LIVIANO</t>
  </si>
  <si>
    <t xml:space="preserve">MAESTRO DE OBRA </t>
  </si>
  <si>
    <t xml:space="preserve">AYUDANTE ENTENDIDO </t>
  </si>
  <si>
    <t xml:space="preserve">AYUDANTE RASO  </t>
  </si>
  <si>
    <t>ALMACENISTA</t>
  </si>
  <si>
    <t>RASTRILLERO ASFALTO</t>
  </si>
  <si>
    <t>OFICIAL ASFALTO</t>
  </si>
  <si>
    <t>OFICIAL SOLDADOR</t>
  </si>
  <si>
    <t>CLASE</t>
  </si>
  <si>
    <t>ADMON</t>
  </si>
  <si>
    <t>OBRA</t>
  </si>
  <si>
    <t>SALARIO MENSUAL (No. SMMLV)</t>
  </si>
  <si>
    <t>(A) SALARIO MES</t>
  </si>
  <si>
    <t>(B) AUXILIO TRANSPORTE MES</t>
  </si>
  <si>
    <t>(C) SUELDO ANUAL 
(A x 12)</t>
  </si>
  <si>
    <t>(D) AUXILIO TRANSPORTE ANUAL 
(B x 12)</t>
  </si>
  <si>
    <t>(F) CESANTÍAS 
(A + B) x 1 mes por año (8,33%) - Art. 249 CST</t>
  </si>
  <si>
    <t>INTERESES DE CESANTÍAS 
(F x 12%)</t>
  </si>
  <si>
    <t>VACACIONES COMPENSADAS 
(A x 15 días/año = 4,17%)</t>
  </si>
  <si>
    <t>PRIMA DE SERVICIOS
(A + B) x 1 mes por año</t>
  </si>
  <si>
    <t>FONDO INDUSTRIA DE LA CONSTRUCCIÓN - FIC
(SMMLV x 12 / 40)</t>
  </si>
  <si>
    <t>EPS (SALUD) 8,5% x C
(0 si exonerado art. 114-1 ET y &lt; 10 SMMLV)</t>
  </si>
  <si>
    <t>AFP (PENSIÓN)
C x 12%</t>
  </si>
  <si>
    <t>RIESGOS LABORALES (ARL)
C x % ARL</t>
  </si>
  <si>
    <t>CAJA DE COMPENSACIÓN 
C x 4%</t>
  </si>
  <si>
    <t>SENA 2% x C
(0 si exonerado art. 114-1 ET y &lt; 10 SMMLV)</t>
  </si>
  <si>
    <t>ICBF 3% x C
(0 si exonerado art. 114-1 ET y &lt; 10 SMMLV)</t>
  </si>
  <si>
    <t>EXAMEN MÉDICO DE INGRESO - EGRESO</t>
  </si>
  <si>
    <t>DOTACIÓN (3 entregas/año si devenga ≤ 2 SMMLV; fila 49)</t>
  </si>
  <si>
    <t>KIT ELEMENTOS DE PROTECCIÓN PERSONAL</t>
  </si>
  <si>
    <t>TOTAL ANUAL</t>
  </si>
  <si>
    <t>JORNAL (A / días laborables mes)</t>
  </si>
  <si>
    <t>PRESTACIONES DIARIAS</t>
  </si>
  <si>
    <t>CÁLCULO DE DÍAS LABORABLES EFECTIVOS 2026</t>
  </si>
  <si>
    <t>(G) DÍAS TOTALES ANUALES</t>
  </si>
  <si>
    <t>(H) DOMINGOS</t>
  </si>
  <si>
    <t>(I) FESTIVOS 2026 (Ley 51 de 1983)</t>
  </si>
  <si>
    <t>(J) PERMISOS / DÍAS NO LABORADOS POR CLIMA</t>
  </si>
  <si>
    <t>(K) DÍAS LABORABLES EFECTIVOS AL AÑO</t>
  </si>
  <si>
    <t>Debe coincidir con Datos Iniciales B30</t>
  </si>
  <si>
    <t>(L) DÍAS LABORABLES EFECTIVOS AL MES</t>
  </si>
  <si>
    <t>Divisor del jornal (hoja MANO DE OBRA)</t>
  </si>
  <si>
    <t>NOTAS: (1) Cesantías corregidas a un (1) mes de salario por año (8,33%); el libro original liquidaba 12%. (2) Aportes a seguridad social sobre el salario, sin incluir el auxilio de transporte (no es IBC). (3) Exoneración art. 114-1 ET aplicada según Datos Iniciales B16. (4) Vacaciones compensadas en dinero al personal de obra (contratos por la duración de la obra); por eso el jornal se divide por días laborables sin restar vacaciones. (5) Jornal = salario mensual / días laborables del mes; Ley 2101/2021 (jornada de 42 h semanales desde 15-jul-2026) no cambia el costo diario. (6) Dotación por fórmula para todo cargo con salario ≤ 2 SMMLV. (7) Oficial electricista ajustado a 2,5 SMMLV para el ámbito rural del proyecto.</t>
  </si>
  <si>
    <t>CÁLCULO DOTACIÓN</t>
  </si>
  <si>
    <t>VALOR / UN</t>
  </si>
  <si>
    <t>OBSERVACIONES</t>
  </si>
  <si>
    <t>CALZADO</t>
  </si>
  <si>
    <t>PAR</t>
  </si>
  <si>
    <t>BOTA TRABAJO PUNTA ACERO</t>
  </si>
  <si>
    <t>PANTALÓN</t>
  </si>
  <si>
    <t>JEAN CLÁSICO LABORAL</t>
  </si>
  <si>
    <t>CAMISA</t>
  </si>
  <si>
    <t>CAMISA MANGA LARGA</t>
  </si>
  <si>
    <t>TOTAL DOTACIÓN</t>
  </si>
  <si>
    <t>FRECUENCIA (entregas por año)</t>
  </si>
  <si>
    <t>CÁLCULO EPP PARA PERSONAL DE OBRA</t>
  </si>
  <si>
    <t>CANTIDAD/AÑO</t>
  </si>
  <si>
    <t>VR. UNIT.</t>
  </si>
  <si>
    <t>VR. TOTAL</t>
  </si>
  <si>
    <t>CASCO</t>
  </si>
  <si>
    <t>TAFILETES</t>
  </si>
  <si>
    <t>GUANTES CARNAZA</t>
  </si>
  <si>
    <t>GUANTES GENERALES</t>
  </si>
  <si>
    <t>GUANTES LARGOS</t>
  </si>
  <si>
    <t>CHALECOS REFLECTIVOS</t>
  </si>
  <si>
    <t>DELANTAL IMPERMEABLE</t>
  </si>
  <si>
    <t>MONOGAFAS</t>
  </si>
  <si>
    <t>TAPONES AUDITIVOS SENCILLOS</t>
  </si>
  <si>
    <t>PROTECTORES AUDITIVOS DE COPA</t>
  </si>
  <si>
    <t>ARNÉS DE SEGURIDAD + ESLINGA</t>
  </si>
  <si>
    <t>TOTAL EPP ANUAL (valor del libro original adoptado en fila 25: $662.200)</t>
  </si>
  <si>
    <t>LISTADO DE INSUMOS DE MANO DE OBRA UTILIZADOS EN EL PRESUPUESTO</t>
  </si>
  <si>
    <t>JORNAL</t>
  </si>
  <si>
    <t>PRESTACIONES</t>
  </si>
  <si>
    <t>USO EN EL PRESUPUESTO</t>
  </si>
  <si>
    <t>AU - personal profesional</t>
  </si>
  <si>
    <t>AU - SG-SST</t>
  </si>
  <si>
    <t>AU - componente social</t>
  </si>
  <si>
    <t>AU - maestro de obra</t>
  </si>
  <si>
    <t>APU de obra civil</t>
  </si>
  <si>
    <t>APU de todos los capítulos</t>
  </si>
  <si>
    <t>APU eléctricos</t>
  </si>
  <si>
    <t>APU de estuco y pinturas</t>
  </si>
  <si>
    <t>APU hidrosanitarios</t>
  </si>
  <si>
    <t>APU de carpintería en madera y fibrocemento</t>
  </si>
  <si>
    <t>CRONOGRAMA DE ACTIVIDADES</t>
  </si>
  <si>
    <t>Fecha estimada de inicio (acta de inicio):</t>
  </si>
  <si>
    <t>Plazo (días):</t>
  </si>
  <si>
    <t>ACTIVIDAD</t>
  </si>
  <si>
    <t>CAPÍTULO / ÍTEMS</t>
  </si>
  <si>
    <t>DÍA INICIO</t>
  </si>
  <si>
    <t>DURACIÓN (días)</t>
  </si>
  <si>
    <t>FECHA INICIO</t>
  </si>
  <si>
    <t>FECHA FIN</t>
  </si>
  <si>
    <t>Socialización con beneficiarios, actas de vecindad y replanteo en cada vivienda</t>
  </si>
  <si>
    <t>Todos (ítems de replanteo)</t>
  </si>
  <si>
    <t>Muros de contención (3 unidades)</t>
  </si>
  <si>
    <t>Cap. 3</t>
  </si>
  <si>
    <t>Módulos habitacionales (3 unidades)</t>
  </si>
  <si>
    <t>Cap. 1</t>
  </si>
  <si>
    <t>Baños con sistema séptico (3 unidades)</t>
  </si>
  <si>
    <t>Cap. 2</t>
  </si>
  <si>
    <t>Apartaestudio sobre estructura aporticada (1 unidad)</t>
  </si>
  <si>
    <t>Cap. 4</t>
  </si>
  <si>
    <t>Pared en fibrocemento y escalera en madera (1 unidad)</t>
  </si>
  <si>
    <t>Cap. 5</t>
  </si>
  <si>
    <t>Pruebas de instalaciones, aseo, entrega a cada familia y actas de recibo</t>
  </si>
  <si>
    <t>Todos</t>
  </si>
  <si>
    <t>PLAZO TOTAL DE OBRA (MESES)</t>
  </si>
  <si>
    <t>PROGRAMACIÓN DE INVERSIÓN (VALORES CON AU)</t>
  </si>
  <si>
    <t>MES 1</t>
  </si>
  <si>
    <t>MES 2</t>
  </si>
  <si>
    <t>MES 3</t>
  </si>
  <si>
    <t>CONTROL</t>
  </si>
  <si>
    <t>1. MÓDULO HABITACIONAL</t>
  </si>
  <si>
    <t>2. BAÑO</t>
  </si>
  <si>
    <t>3. MURO DE CONTENCIÓN</t>
  </si>
  <si>
    <t>4. APARTAESTUDIO + COLUMNAS</t>
  </si>
  <si>
    <t>5. PARED + ESCALAS</t>
  </si>
  <si>
    <t>% DE AVANCE MENSUAL</t>
  </si>
  <si>
    <t>NOTAS: (1) Las viviendas se atienden con frentes simultáneos por vereda. (2) Los muros de contención se programan primero para estabilizar los terrenos antes de las demás obras. (3) Los elementos de concreto requieren mínimo 7 días de curado antes de cargar. (4) Si el acta de inicio se firma después de mediados de noviembre de 2026, el plazo pasa a 2027.</t>
  </si>
  <si>
    <t>ESPECIFICACIONES TÉCNICAS DE CONSTRUCCIÓN</t>
  </si>
  <si>
    <t>NORMAS DE REFERENCIA</t>
  </si>
  <si>
    <t>NSR-10 (Título C concreto estructural, Título D mampostería, Título E casas de uno y dos pisos, Título G madera, Título H estudios geotécnicos y estructuras de contención); RETIE (Resolución 40117 de 2024 o la vigente) para instalaciones eléctricas; NTC 1500 (Código Colombiano de Fontanería); Resolución 0330 de 2017 (RAS) para sistemas de tratamiento in situ; Resolución 0312 de 2019 (SG-SST) y Resolución 4272 de 2021 (trabajo seguro en alturas).</t>
  </si>
  <si>
    <t>ALCANCE</t>
  </si>
  <si>
    <t>Las obras se ejecutan en viviendas habitadas: el contratista coordinará con cada familia el acceso, el manejo de enseres y la conservación de servicios, y levantará acta de vecindad antes de intervenir y acta de recibo al terminar.</t>
  </si>
  <si>
    <t>MATERIALES</t>
  </si>
  <si>
    <t>Todos los materiales serán nuevos, de primera calidad y con certificado de conformidad cuando la norma lo exija (acero, tubería, aparatos eléctricos, cerámica, fibrocemento, madera inmunizada). Las marcas y referencias citadas en los APU son de referencia; se aceptan equivalentes técnicos aprobados por la supervisión.</t>
  </si>
  <si>
    <t>MEDIDA Y PAGO</t>
  </si>
  <si>
    <t>Se pagan las cantidades realmente ejecutadas y recibidas, a los precios unitarios del contrato, que incluyen materiales, equipo, transporte, mano de obra con prestaciones, desperdicios y todo lo necesario para la correcta ejecución del ítem.</t>
  </si>
  <si>
    <t>PROCEDIMIENTO DE EJECUCIÓN</t>
  </si>
  <si>
    <t>MATERIALES, TOLERANCIAS Y CONTROL</t>
  </si>
  <si>
    <t>MEDIDA Y FORMA DE PAGO</t>
  </si>
  <si>
    <t>ÍTEMS</t>
  </si>
  <si>
    <t>Materializar ejes, paramentos y niveles según planos; verificar con la supervisión y el beneficiario la localización dentro del predio antes de excavar.</t>
  </si>
  <si>
    <t>Tolerancia ± 1 cm en ejes y ± 0,5 cm en niveles. Registro fotográfico.</t>
  </si>
  <si>
    <t>Metro cuadrado (m²) de área replanteada y aprobada.</t>
  </si>
  <si>
    <t>1.1, 2.1, 3.1, 4.2</t>
  </si>
  <si>
    <t>Excavar a mano hasta las cotas de diseño; perfilar paredes y nivelar el fondo; proteger la excavación de la lluvia; conservar el material apto para llenos.</t>
  </si>
  <si>
    <t>Dimensiones y cota de fondo verificadas por la supervisión antes de fundir. Taludes estables; entibado si la profundidad o el suelo lo exigen.</t>
  </si>
  <si>
    <t>Metro cúbico (m³) medido en sitio según secciones de diseño (sin sobreexcavaciones).</t>
  </si>
  <si>
    <t>1.2, 2.2, 3.2, 4.3, 5.3</t>
  </si>
  <si>
    <t>Desconectar y proteger redes; apuntalar lo que deba conservarse; demoler de arriba hacia abajo; separar el material recuperable y entregarlo al beneficiario mediante acta.</t>
  </si>
  <si>
    <t>Escombros dispuestos en sitio autorizado (soporte de disposición). Señalización y EPP; no afectar elementos que se conservan.</t>
  </si>
  <si>
    <t>Metro cúbico (m³) medido en sitio antes de demoler. Incluye retiro y disposición.</t>
  </si>
  <si>
    <t>4.1, 5.2</t>
  </si>
  <si>
    <t>Instalar parales aplomados sobre soleras repartidoras y cuñas antes de desmontar los apoyos existentes; revisar diariamente; desmontar solo cuando la nueva estructura esté en servicio.</t>
  </si>
  <si>
    <t>Sin deformaciones visibles de la cubierta; parales sanos, sin fisuras.</t>
  </si>
  <si>
    <t>Global (gl) ejecutado y recibido a satisfacción.</t>
  </si>
  <si>
    <t>Colocar sobre el fondo de excavación limpio y compactado, nivelado, en el espesor indicado.</t>
  </si>
  <si>
    <t>Concreto preparado en obra con dosificación de la hoja CONCRETOS Y MORTEROS (o diseño de mezcla del contratista aprobado por la supervisión). Toma de cilindros por cada vaciado según NSR-10 C.5.6. Curado húmedo mínimo 7 días. Tolerancias NSR-10 C.6 / C.26.</t>
  </si>
  <si>
    <t>Metro cúbico (m³) colocado según dimensiones de diseño.</t>
  </si>
  <si>
    <t>Armar formaleta alineada y nivelada sobre el fondo de excavación; colocar el refuerzo con recubrimiento de 5 cm; vaciar y vibrar en una sola operación.</t>
  </si>
  <si>
    <t>Metro lineal (m) de viga ejecutada y recibida.</t>
  </si>
  <si>
    <t>1.3, 2.3</t>
  </si>
  <si>
    <t>Armar formaleta alineada y nivelada; colocar el refuerzo con recubrimiento de 5 cm; vaciar y vibrar en una sola operación.</t>
  </si>
  <si>
    <t>Montar obra falsa y formaleta de fondo y costados; colocar el refuerzo con recubrimiento de 4 cm; vaciar y vibrar; desencofrar costados a las 24 h y fondo a los 14 días.</t>
  </si>
  <si>
    <t>Aplomar y arriostrar la formaleta; colocar el refuerzo con recubrimiento de 4 cm; vaciar por capas y vibrar.</t>
  </si>
  <si>
    <t>Concreto preparado en obra con dosificación de la hoja CONCRETOS Y MORTEROS (o diseño de mezcla del contratista aprobado por la supervisión). Toma de cilindros por cada vaciado según NSR-10 C.5.6. Curado húmedo mínimo 7 días. Tolerancias NSR-10 C.6 / C.26. Desplome máximo 1/500.</t>
  </si>
  <si>
    <t>Metro lineal (m) de columna medido entre cara superior de la cimentación y cara inferior de la viga.</t>
  </si>
  <si>
    <t>Vaciar después de levantar la mampostería, con dentado en los bordes del muro (NSR-10 Título E); formaleta a dos caras.</t>
  </si>
  <si>
    <t>Metro lineal (m) de columna ejecutada.</t>
  </si>
  <si>
    <t>1.6, 2.6, 4.9</t>
  </si>
  <si>
    <t>Vaciar de forma continua sobre todos los muros, amarrada a las columnas de confinamiento (NSR-10 Título E).</t>
  </si>
  <si>
    <t>Metro lineal (m) de viga ejecutada.</t>
  </si>
  <si>
    <t>1.8, 2.8, 4.11</t>
  </si>
  <si>
    <t>Vaciar sobre culatas y vanos de puertas y ventanas, con apoyo mínimo de 0,20 m a cada lado del vano.</t>
  </si>
  <si>
    <t>1.9, 2.9, 4.12</t>
  </si>
  <si>
    <t>Fundir sobre excavación compactada, dejando embebida la platina en U nivelada y alineada con el eje del poste.</t>
  </si>
  <si>
    <t>Unidad (un) de pedestal ejecutado con su anclaje.</t>
  </si>
  <si>
    <t>Fundir sobre solado de limpieza; dejar las barras de arranque del muro en posición; construir llave de cortante si el diseño la exige.</t>
  </si>
  <si>
    <t>Metro cúbico (m³) según dimensiones de diseño.</t>
  </si>
  <si>
    <t>Formaleta a dos caras aplomada, con tensores y arriostramiento; dejar pases para lloraderos; vaciar en capas de máximo 0,50 m con vibrado; no rellenar el trasdós antes de 7 días.</t>
  </si>
  <si>
    <t>Metro cúbico (m³) de muro según dimensiones de diseño.</t>
  </si>
  <si>
    <t>Figurar en frío según cartilla de despiece; amarrar en todos los cruces; garantizar recubrimientos con panelas o separadores.</t>
  </si>
  <si>
    <t>Certificado de calidad del acero (NTC 2289). Traslapos y ganchos según NSR-10 C.12. Revisión de la supervisión antes de cada vaciado.</t>
  </si>
  <si>
    <t>Kilogramo (kg) colocado según cartilla de despiece (sin desperdicios ni traslapos adicionales).</t>
  </si>
  <si>
    <t>1.5, 2.5, 3.6, 4.8</t>
  </si>
  <si>
    <t>Compactar la subrasante y la base granular con pisón; extender polietileno; colocar la malla sobre panelas; vaciar, reglear y escobillar; curar 7 días.</t>
  </si>
  <si>
    <t>Metro cuadrado (m²) de placa ejecutada.</t>
  </si>
  <si>
    <t>1.4, 2.4</t>
  </si>
  <si>
    <t>Montar los perfiles sobre las vigas de entrepiso con apuntalamiento central; colocar el bloquelón; instalar la malla; vaciar la torta, reglear y esmaltar con cemento; curar 7 días.</t>
  </si>
  <si>
    <t>Concreto preparado en obra con dosificación de la hoja CONCRETOS Y MORTEROS (o diseño de mezcla del contratista aprobado por la supervisión). Toma de cilindros por cada vaciado según NSR-10 C.5.6. Curado húmedo mínimo 7 días. Tolerancias NSR-10 C.6 / C.26. Sistema según manual del fabricante.</t>
  </si>
  <si>
    <t>Metro cuadrado (m²) de placa ejecutada, medida entre caras internas de vigas.</t>
  </si>
  <si>
    <t>Humedecer el bloque; levantar a plomo, nivel e hilo, con traba; dejar dentado para columnas de confinamiento; máximo 1,50 m de altura por jornada.</t>
  </si>
  <si>
    <t>Bloques sanos (NTC 4205); juntas llenas de 1 cm; desplome máximo 1/300.</t>
  </si>
  <si>
    <t>Metro cuadrado (m²) neto; se descuentan vanos y elementos de concreto.</t>
  </si>
  <si>
    <t>1.7, 2.7, 4.10</t>
  </si>
  <si>
    <t>Limpiar y humedecer el muro; colocar guías maestras; aplicar en dos capas; reglear y afinar con llana; curar 3 días.</t>
  </si>
  <si>
    <t>Planitud ± 3 mm en 2 m; sin fisuras ni sopladuras.</t>
  </si>
  <si>
    <t>Metro cuadrado (m²) neto ejecutado; se descuentan vanos.</t>
  </si>
  <si>
    <t>1.20, 2.28</t>
  </si>
  <si>
    <t>Aplicar sobre pañete seco y limpio; dos manos con llana; lijar entre manos.</t>
  </si>
  <si>
    <t>Superficie lisa, uniforme, sin marcas de llana.</t>
  </si>
  <si>
    <t>Metro cuadrado (m²) neto ejecutado.</t>
  </si>
  <si>
    <t>1.21, 2.31</t>
  </si>
  <si>
    <t>Aplicar sobre estuco seco; dos manos con rodillo o brocha; esperar el secado entre manos.</t>
  </si>
  <si>
    <t>Pintura tipo 1 (NTC 1335); acabado uniforme, sin chorreaduras.</t>
  </si>
  <si>
    <t>1.22, 2.32, 5.9</t>
  </si>
  <si>
    <t>Aplicar sobre superficie limpia, seca y masillada; dos manos.</t>
  </si>
  <si>
    <t>Pintura para exteriores (NTC 1335 tipo 1, uso exterior); acabado uniforme.</t>
  </si>
  <si>
    <t>Encintar juntas, masillar cabezas de tornillo y juntas; aplicar masillado total en dos manos; lijar.</t>
  </si>
  <si>
    <t>Juntas invisibles después de pintar; superficie plana.</t>
  </si>
  <si>
    <t>Metro cuadrado (m²) por cara tratada.</t>
  </si>
  <si>
    <t>Instalar sobre placa limpia y nivelada con llana dentada; juntas uniformes; emboquillar a las 24 h.</t>
  </si>
  <si>
    <t>Cerámica NTC 919 (absorción y tráfico declarados); sin piezas sueltas (prueba de sonido) ni desniveles &gt; 1 mm entre piezas.</t>
  </si>
  <si>
    <t>Metro cuadrado (m²) neto instalado.</t>
  </si>
  <si>
    <t>Nivelar con mortero impermeabilizado dando pendiente del 1 % al sifón; instalar con llana dentada; emboquillar.</t>
  </si>
  <si>
    <t>Cerámica antideslizante NTC 919; pendiente verificada con agua, sin empozamientos.</t>
  </si>
  <si>
    <t>2.29, 4.33</t>
  </si>
  <si>
    <t>Instalar sobre pañete rayado y aplomado; juntas a hilo; remates con win; emboquillar.</t>
  </si>
  <si>
    <t>Cerámica NTC 919; plomo ± 2 mm en 2 m.</t>
  </si>
  <si>
    <t>2.30, 4.34</t>
  </si>
  <si>
    <t>Instalar a 0,30 m del piso (o según planos); conectar fase, neutro y tierra con el código de colores RETIE.</t>
  </si>
  <si>
    <t>Productos con certificado de conformidad RETIE; prueba de polaridad y continuidad de tierra.</t>
  </si>
  <si>
    <t>Unidad (un) instalada y probada.</t>
  </si>
  <si>
    <t>1.17, 4.29</t>
  </si>
  <si>
    <t>Instalar a 1,10 m del piso, alejado de la ducha; probar el disparo.</t>
  </si>
  <si>
    <t>Certificado RETIE; prueba de disparo del GFCI.</t>
  </si>
  <si>
    <t>2.25, 4.30</t>
  </si>
  <si>
    <t>Instalar a 1,20 m del piso junto a la puerta; interrumpir la fase.</t>
  </si>
  <si>
    <t>Certificado RETIE; prueba de funcionamiento.</t>
  </si>
  <si>
    <t>2.26, 4.31</t>
  </si>
  <si>
    <t>Instalar a 1,20 m del piso; conexión en conmutación desde dos puntos.</t>
  </si>
  <si>
    <t>Certificado RETIE; prueba de funcionamiento desde ambos puntos.</t>
  </si>
  <si>
    <t>Fijar la caja a la estructura de cubierta o placa; conectar y probar.</t>
  </si>
  <si>
    <t>Certificado RETIE; prueba de encendido.</t>
  </si>
  <si>
    <t>1.19, 2.27, 4.32</t>
  </si>
  <si>
    <t>Regatear, instalar y fijar la tubería; resanar con mortero; máximo 360° de curvas entre cajas.</t>
  </si>
  <si>
    <t>Tubería con certificado RETIE; sin aplastamientos.</t>
  </si>
  <si>
    <t>Metro lineal (m) instalado.</t>
  </si>
  <si>
    <t>1.15, 2.23, 4.27</t>
  </si>
  <si>
    <t>Cablear por tubería con guía; código de colores RETIE (fase, neutro blanco, tierra verde); empalmes solo en cajas.</t>
  </si>
  <si>
    <t>Certificado RETIE; prueba de aislamiento y continuidad.</t>
  </si>
  <si>
    <t>Metro lineal (m) de conductor instalado.</t>
  </si>
  <si>
    <t>1.16, 2.24, 4.28</t>
  </si>
  <si>
    <t>Anclar el marco con chazos o grapas y mortero; aplomar y nivelar; ajustar la hoja y la cerradura.</t>
  </si>
  <si>
    <t>Lámina cal. 20 verificada; cierre suave, sin roces; plomo ± 2 mm.</t>
  </si>
  <si>
    <t>Unidad (un) instalada y funcionando.</t>
  </si>
  <si>
    <t>1.24, 2.36, 4.40</t>
  </si>
  <si>
    <t>Anclar el marco al vano con chazos y mortero; instalar el vidrio con pisavidrio; sellar.</t>
  </si>
  <si>
    <t>Lámina cal. 20; vidrio sin fisuras; apertura y cierre suaves.</t>
  </si>
  <si>
    <t>Metro cuadrado (m²) de ventana instalada (dimensiones del vano).</t>
  </si>
  <si>
    <t>1.25, 2.37, 4.41</t>
  </si>
  <si>
    <t>Lijar y desengrasar; retocar anticorrosivo; aplicar dos manos de esmalte.</t>
  </si>
  <si>
    <t>Acabado uniforme, sin chorreaduras ni zonas sin cubrir.</t>
  </si>
  <si>
    <t>Metro cuadrado (m²) medido a dos caras, incluido el marco.</t>
  </si>
  <si>
    <t>1.26, 2.38, 4.42</t>
  </si>
  <si>
    <t>Instalar sobre correas según manual del fabricante (traslapos, pendiente mínima y separación de apoyos); fijar en la cresta de la onda.</t>
  </si>
  <si>
    <t>Ficha técnica del fabricante; sin goteras (prueba con agua).</t>
  </si>
  <si>
    <t>Metro cuadrado (m²) medido en verdadera magnitud.</t>
  </si>
  <si>
    <t>1.12, 2.12, 4.15</t>
  </si>
  <si>
    <t>Instalar a la separación indicada en planos o por el fabricante de la teja; anclar con pernos o tornillos.</t>
  </si>
  <si>
    <t>Madera inmunizada (certificado), seca, sin nudos sueltos ni rajaduras; humedad ≤ 19 % (NSR-10 Título G).</t>
  </si>
  <si>
    <t>1.11, 2.11, 4.14, 5.6</t>
  </si>
  <si>
    <t>Anclar a vigas de amarre o pedestales con pernos y platinas; aplomar y nivelar.</t>
  </si>
  <si>
    <t>Madera inmunizada (certificado), seca; NSR-10 Título G.</t>
  </si>
  <si>
    <t>1.10, 2.10, 5.5</t>
  </si>
  <si>
    <t>Anclar a vigas de amarre con pernos y platinas; aplomar y nivelar.</t>
  </si>
  <si>
    <t>Instalar con pendiente mínima de 0,5 % hacia la bajante; soportes cada 0,60 m.</t>
  </si>
  <si>
    <t>Sin fugas en uniones (prueba con agua).</t>
  </si>
  <si>
    <t>1.13, 2.13, 4.16</t>
  </si>
  <si>
    <t>Fijar a muro con abrazaderas cada 1,50 m; descargar lejos de la cimentación.</t>
  </si>
  <si>
    <t>Sin fugas; aplomada.</t>
  </si>
  <si>
    <t>1.14, 2.14, 4.17</t>
  </si>
  <si>
    <t>Instalar a la altura del aparato; probar a 150 psi durante 2 h antes de resanar.</t>
  </si>
  <si>
    <t>Tubería NTC 382; sin fugas en la prueba de presión.</t>
  </si>
  <si>
    <t>Unidad (un) de salida instalada y probada.</t>
  </si>
  <si>
    <t>2.16, 4.19</t>
  </si>
  <si>
    <t>Instalar enterrada a 0,30 m mínimo o por muro; probar a 150 psi.</t>
  </si>
  <si>
    <t>Tubería NTC 382; sin fugas.</t>
  </si>
  <si>
    <t>Metro lineal (m) instalado y probado.</t>
  </si>
  <si>
    <t>2.15, 4.18</t>
  </si>
  <si>
    <t>Instalar en el arranque de la red, en sitio accesible.</t>
  </si>
  <si>
    <t>Sin fugas; apertura y cierre completos.</t>
  </si>
  <si>
    <t>2.17, 4.20</t>
  </si>
  <si>
    <t>Instalar con sifón y pendiente; probar con agua.</t>
  </si>
  <si>
    <t>Tubería NTC 1087; sin fugas.</t>
  </si>
  <si>
    <t>2.18, 4.22</t>
  </si>
  <si>
    <t>Dejar la salida a la distancia de muro del sanitario; probar con agua.</t>
  </si>
  <si>
    <t>2.19, 4.23</t>
  </si>
  <si>
    <t>Instalar sobre cama firme con pendiente mínima de 2 %; probar con agua antes de tapar.</t>
  </si>
  <si>
    <t>Tubería NTC 1087; sin fugas ni contrapendientes.</t>
  </si>
  <si>
    <t>2.20, 4.24</t>
  </si>
  <si>
    <t>Excavar la brecha, colocar cama de arena de 0,10 m, instalar con pendiente mínima de 2 %, probar y rellenar compactando por capas.</t>
  </si>
  <si>
    <t>Metro lineal (m) instalado, probado y tapado.</t>
  </si>
  <si>
    <t>2.21, 4.25</t>
  </si>
  <si>
    <t>Ubicar a más de 1,5 m de la vivienda y 15 m de fuentes de agua; excavar, nivelar sobre cama de arena, conectar, llenar con agua y rellenar por capas.</t>
  </si>
  <si>
    <t>Sistema con ficha técnica del fabricante; cumplimiento Res. 0330 de 2017 (RAS). La disposición del efluente debe contar con la solución aprobada por la autoridad ambiental.</t>
  </si>
  <si>
    <t>Unidad (un) instalada, probada y funcionando.</t>
  </si>
  <si>
    <t>2.22, 4.26</t>
  </si>
  <si>
    <t>Instalar según manual del fabricante; sellar la base del sanitario; probar descargas y estanqueidad.</t>
  </si>
  <si>
    <t>Aparatos de bajo consumo (NTC 920); sin fugas.</t>
  </si>
  <si>
    <t>Unidad (un) de combo instalada y funcionando.</t>
  </si>
  <si>
    <t>2.33, 4.35</t>
  </si>
  <si>
    <t>Instalar a 2,00 m del piso; probar.</t>
  </si>
  <si>
    <t>Grifería con regadera ahorradora; sin fugas.</t>
  </si>
  <si>
    <t>2.34, 4.36</t>
  </si>
  <si>
    <t>Instalar a ras del enchape en el punto más bajo.</t>
  </si>
  <si>
    <t>Sin empozamientos.</t>
  </si>
  <si>
    <t>Unidad (un) instalada.</t>
  </si>
  <si>
    <t>2.35, 4.37</t>
  </si>
  <si>
    <t>Instalar en el sitio indicado por la supervisión; probar.</t>
  </si>
  <si>
    <t>Sin fugas.</t>
  </si>
  <si>
    <t>Construir el machón, nivelar y fijar el mesón; instalar grifería, canastilla y sifón; probar.</t>
  </si>
  <si>
    <t>Mesón a 0,90 m del piso, nivelado; sin fugas.</t>
  </si>
  <si>
    <t>Colocar en capas de 0,20 m con humedad óptima y compactar; no iniciar antes de 7 días del vaciado del muro.</t>
  </si>
  <si>
    <t>Material sin materia orgánica; compactación ≥ 90 % del Proctor modificado (verificación de campo).</t>
  </si>
  <si>
    <t>Metro cúbico (m³) compactado medido en sitio.</t>
  </si>
  <si>
    <t>Colocar el geotextil contra el terreno y el muro, llenar con el granular y cerrar el geotextil con traslapo de 0,30 m.</t>
  </si>
  <si>
    <t>Granular limpio, sin finos; geotextil NT 1600 (ficha técnica).</t>
  </si>
  <si>
    <t>Metro cúbico (m³) colocado según sección de diseño.</t>
  </si>
  <si>
    <t>Dejar los pases antes de vaciar, cada 1,50 m y a 0,30 m sobre el terreno exterior, con pendiente hacia afuera.</t>
  </si>
  <si>
    <t>Pases libres y conectados al filtro.</t>
  </si>
  <si>
    <t>Fijar a la estructura con tornillos cada 0,20 m en bordes y 0,30 m en el centro; juntas de 3 mm.</t>
  </si>
  <si>
    <t>Placa de fibrocemento NTC 4373; plomo y planitud ± 3 mm.</t>
  </si>
  <si>
    <t>Metro cuadrado (m²) por cara instalada.</t>
  </si>
  <si>
    <t>Tomar medidas en sitio; fabricar zancas de 2" x 10", huellas de 1 1/2" y descanso sobre parales 4" x 4"; anclar a placa y entrepiso; sellar y barnizar.</t>
  </si>
  <si>
    <t>Madera inmunizada y seca; huellas y contrahuellas uniformes; sin vibraciones.</t>
  </si>
  <si>
    <t>Unidad (un) de escalera instalada y recibida.</t>
  </si>
  <si>
    <t>Anclar parales a zancas y entrepiso; balaustres con separación libre ≤ 0,10 m.</t>
  </si>
  <si>
    <t>Resistencia a empuje lateral (prueba manual); sin astillas.</t>
  </si>
  <si>
    <t>Metro lineal (m) de baranda medido sobre el eje del pasamanos.</t>
  </si>
  <si>
    <t>|</t>
  </si>
  <si>
    <t>CANTIDAD X BENEFICIARIO</t>
  </si>
  <si>
    <t>Secretario De Planeación, Infraestructura Y Desarrollo Rural</t>
  </si>
  <si>
    <t>Secretaría De Planeación, Infraestructura Y Desarrollo Rural</t>
  </si>
  <si>
    <t>planeacion@maceo-antioquia.gov.co</t>
  </si>
  <si>
    <t>RESIDENTE AMBIENTAL (Ingeniero ambiental)</t>
  </si>
  <si>
    <t>OBRA PÚBLICA PARA LA EJECUCIÓN DE DIFERENTES MEJORAMIENTOS DE VIVIENDA EN EL CASCO URBANO Y RURAL DEL MUNICIPIO DE MACEO -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</si>
</sst>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 #,##0_);_(\$* \(#,##0\);_(\$* \-??_);_(@_)"/>
    <numFmt numFmtId="165" formatCode="0.0000"/>
    <numFmt numFmtId="166" formatCode="_(\$* #,##0.00_);_(\$* \(#,##0.00\);_(\$* \-??_);_(@_)"/>
    <numFmt numFmtId="167" formatCode="#,##0.0000"/>
    <numFmt numFmtId="168" formatCode="0.0"/>
    <numFmt numFmtId="169" formatCode="dd/mm/yyyy"/>
    <numFmt numFmtId="170" formatCode="dd\-mmm"/>
  </numFmts>
  <fonts count="26" x14ac:knownFonts="1">
    <font>
      <sz val="11"/>
      <color theme="1"/>
      <name val="Calibri"/>
      <family val="2"/>
      <charset val="1"/>
    </font>
    <font>
      <b/>
      <sz val="11"/>
      <color rgb="FF000000"/>
      <name val="Century Gothic"/>
      <charset val="1"/>
    </font>
    <font>
      <b/>
      <sz val="10"/>
      <color rgb="FF000000"/>
      <name val="Century Gothic"/>
      <charset val="1"/>
    </font>
    <font>
      <b/>
      <sz val="9"/>
      <color rgb="FF000000"/>
      <name val="Century Gothic"/>
      <charset val="1"/>
    </font>
    <font>
      <i/>
      <sz val="8"/>
      <color rgb="FF000000"/>
      <name val="Century Gothic"/>
      <charset val="1"/>
    </font>
    <font>
      <b/>
      <sz val="12"/>
      <color rgb="FF000000"/>
      <name val="Century Gothic"/>
      <charset val="1"/>
    </font>
    <font>
      <b/>
      <sz val="8"/>
      <color rgb="FF000000"/>
      <name val="Century Gothic"/>
      <charset val="1"/>
    </font>
    <font>
      <sz val="8"/>
      <color rgb="FF0000FF"/>
      <name val="Century Gothic"/>
      <charset val="1"/>
    </font>
    <font>
      <sz val="8"/>
      <color rgb="FF000000"/>
      <name val="Century Gothic"/>
      <charset val="1"/>
    </font>
    <font>
      <sz val="9"/>
      <color rgb="FF000000"/>
      <name val="Century Gothic"/>
      <charset val="1"/>
    </font>
    <font>
      <sz val="9"/>
      <color rgb="FF0000FF"/>
      <name val="Century Gothic"/>
      <charset val="1"/>
    </font>
    <font>
      <sz val="11"/>
      <color theme="1"/>
      <name val="Calibri"/>
      <family val="2"/>
      <charset val="1"/>
    </font>
    <font>
      <b/>
      <sz val="12"/>
      <color rgb="FF000000"/>
      <name val="Century Gothic"/>
    </font>
    <font>
      <b/>
      <sz val="11"/>
      <color rgb="FF000000"/>
      <name val="Century Gothic"/>
    </font>
    <font>
      <b/>
      <sz val="10"/>
      <color rgb="FF000000"/>
      <name val="Century Gothic"/>
    </font>
    <font>
      <b/>
      <sz val="9"/>
      <color rgb="FF000000"/>
      <name val="Century Gothic"/>
    </font>
    <font>
      <sz val="9"/>
      <color rgb="FF0000FF"/>
      <name val="Century Gothic"/>
    </font>
    <font>
      <sz val="8"/>
      <color rgb="FF000000"/>
      <name val="Century Gothic"/>
    </font>
    <font>
      <sz val="9"/>
      <color rgb="FF000000"/>
      <name val="Century Gothic"/>
    </font>
    <font>
      <i/>
      <sz val="8"/>
      <color rgb="FF000000"/>
      <name val="Century Gothic"/>
    </font>
    <font>
      <b/>
      <sz val="8"/>
      <color rgb="FF000000"/>
      <name val="Century Gothic"/>
    </font>
    <font>
      <sz val="10"/>
      <color rgb="FF000000"/>
      <name val="Century Gothic"/>
    </font>
    <font>
      <sz val="7"/>
      <color rgb="FF000000"/>
      <name val="Century Gothic"/>
    </font>
    <font>
      <u/>
      <sz val="11"/>
      <color theme="10"/>
      <name val="Calibri"/>
      <family val="2"/>
      <charset val="1"/>
    </font>
    <font>
      <sz val="9"/>
      <color rgb="FFFF0000"/>
      <name val="Century Gothic"/>
      <family val="2"/>
    </font>
    <font>
      <sz val="9"/>
      <color rgb="FF000000"/>
      <name val="Century Gothic"/>
      <family val="2"/>
    </font>
  </fonts>
  <fills count="10">
    <fill>
      <patternFill patternType="none"/>
    </fill>
    <fill>
      <patternFill patternType="gray125"/>
    </fill>
    <fill>
      <patternFill patternType="solid">
        <fgColor rgb="FFD9D9D9"/>
        <bgColor rgb="FFDDEBF7"/>
      </patternFill>
    </fill>
    <fill>
      <patternFill patternType="solid">
        <fgColor rgb="FFD9D9D9"/>
      </patternFill>
    </fill>
    <fill>
      <patternFill patternType="solid">
        <fgColor rgb="FFFFF2CC"/>
      </patternFill>
    </fill>
    <fill>
      <patternFill patternType="solid">
        <fgColor rgb="FFFBE5D6"/>
      </patternFill>
    </fill>
    <fill>
      <patternFill patternType="solid">
        <fgColor rgb="FFA6A6A6"/>
      </patternFill>
    </fill>
    <fill>
      <patternFill patternType="solid">
        <fgColor rgb="FFE2EFD9"/>
      </patternFill>
    </fill>
    <fill>
      <patternFill patternType="solid">
        <fgColor rgb="FFC6E0B4"/>
      </patternFill>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44" fontId="11" fillId="0" borderId="0"/>
    <xf numFmtId="0" fontId="23" fillId="0" borderId="0" applyNumberFormat="0" applyFill="0" applyBorder="0" applyAlignment="0" applyProtection="0"/>
  </cellStyleXfs>
  <cellXfs count="153">
    <xf numFmtId="0" fontId="0" fillId="0" borderId="0" xfId="0"/>
    <xf numFmtId="0" fontId="6" fillId="2" borderId="1" xfId="0" applyFont="1" applyFill="1" applyBorder="1" applyAlignment="1">
      <alignment horizontal="left" vertical="center" wrapText="1"/>
    </xf>
    <xf numFmtId="2" fontId="7" fillId="0" borderId="1" xfId="0" applyNumberFormat="1" applyFont="1" applyBorder="1" applyAlignment="1">
      <alignment horizontal="center" vertical="center" wrapText="1"/>
    </xf>
    <xf numFmtId="2" fontId="8"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2" fontId="9" fillId="0" borderId="1" xfId="0" applyNumberFormat="1" applyFont="1" applyBorder="1" applyAlignment="1">
      <alignment horizontal="center" vertical="center" wrapText="1"/>
    </xf>
    <xf numFmtId="0" fontId="3" fillId="2"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6" fillId="0" borderId="1" xfId="0" applyFont="1" applyBorder="1" applyAlignment="1">
      <alignment horizontal="left" vertical="center" wrapText="1"/>
    </xf>
    <xf numFmtId="43" fontId="0" fillId="0" borderId="0" xfId="0" applyNumberFormat="1"/>
    <xf numFmtId="0" fontId="14" fillId="3" borderId="5"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5" fillId="0" borderId="5" xfId="0" applyFont="1" applyBorder="1" applyAlignment="1">
      <alignment horizontal="left" vertical="center" wrapText="1"/>
    </xf>
    <xf numFmtId="0" fontId="16" fillId="0" borderId="5" xfId="0" applyFont="1" applyBorder="1" applyAlignment="1">
      <alignment horizontal="center" vertical="center" wrapText="1"/>
    </xf>
    <xf numFmtId="0" fontId="17" fillId="0" borderId="5" xfId="0" applyFont="1" applyBorder="1" applyAlignment="1">
      <alignment horizontal="left" vertical="center" wrapText="1"/>
    </xf>
    <xf numFmtId="0" fontId="18" fillId="0" borderId="5" xfId="0" applyFont="1" applyBorder="1" applyAlignment="1">
      <alignment horizontal="center" vertical="center" wrapText="1"/>
    </xf>
    <xf numFmtId="0" fontId="17" fillId="4" borderId="5" xfId="0" applyFont="1" applyFill="1" applyBorder="1" applyAlignment="1">
      <alignment horizontal="left" vertical="center" wrapText="1"/>
    </xf>
    <xf numFmtId="0" fontId="18" fillId="4" borderId="5" xfId="0" applyFont="1" applyFill="1" applyBorder="1" applyAlignment="1">
      <alignment horizontal="center" vertical="center" wrapText="1"/>
    </xf>
    <xf numFmtId="0" fontId="16" fillId="4" borderId="5" xfId="0" applyFont="1" applyFill="1" applyBorder="1" applyAlignment="1">
      <alignment horizontal="center" vertical="center" wrapText="1"/>
    </xf>
    <xf numFmtId="164" fontId="16" fillId="0" borderId="5" xfId="0" applyNumberFormat="1" applyFont="1" applyBorder="1" applyAlignment="1">
      <alignment horizontal="center" vertical="center" wrapText="1"/>
    </xf>
    <xf numFmtId="10" fontId="18" fillId="0" borderId="5" xfId="0" applyNumberFormat="1" applyFont="1" applyBorder="1" applyAlignment="1">
      <alignment horizontal="center" vertical="center" wrapText="1"/>
    </xf>
    <xf numFmtId="168" fontId="16" fillId="4" borderId="5" xfId="0" applyNumberFormat="1" applyFont="1" applyFill="1" applyBorder="1" applyAlignment="1">
      <alignment horizontal="center" vertical="center" wrapText="1"/>
    </xf>
    <xf numFmtId="168" fontId="16" fillId="0" borderId="5" xfId="0" applyNumberFormat="1" applyFont="1" applyBorder="1" applyAlignment="1">
      <alignment horizontal="center" vertical="center" wrapText="1"/>
    </xf>
    <xf numFmtId="168" fontId="18" fillId="0" borderId="5" xfId="0" applyNumberFormat="1" applyFont="1" applyBorder="1" applyAlignment="1">
      <alignment horizontal="center" vertical="center" wrapText="1"/>
    </xf>
    <xf numFmtId="1" fontId="18" fillId="0" borderId="5" xfId="0" applyNumberFormat="1" applyFont="1" applyBorder="1" applyAlignment="1">
      <alignment horizontal="center" vertical="center" wrapText="1"/>
    </xf>
    <xf numFmtId="10" fontId="16" fillId="0" borderId="5" xfId="0" applyNumberFormat="1" applyFont="1" applyBorder="1" applyAlignment="1">
      <alignment horizontal="center" vertical="center" wrapText="1"/>
    </xf>
    <xf numFmtId="10" fontId="16" fillId="4" borderId="5" xfId="0" applyNumberFormat="1" applyFont="1" applyFill="1" applyBorder="1" applyAlignment="1">
      <alignment horizontal="center" vertical="center" wrapText="1"/>
    </xf>
    <xf numFmtId="0" fontId="18" fillId="0" borderId="5" xfId="0" applyFont="1" applyBorder="1" applyAlignment="1">
      <alignment horizontal="left" vertical="center" wrapText="1"/>
    </xf>
    <xf numFmtId="0" fontId="17" fillId="0" borderId="5" xfId="0" applyFont="1" applyBorder="1" applyAlignment="1">
      <alignment horizontal="center" vertical="center" wrapText="1"/>
    </xf>
    <xf numFmtId="0" fontId="15" fillId="0" borderId="5" xfId="0" applyFont="1" applyBorder="1" applyAlignment="1">
      <alignment horizontal="center" vertical="center" wrapText="1"/>
    </xf>
    <xf numFmtId="164" fontId="18" fillId="0" borderId="5" xfId="0" applyNumberFormat="1" applyFont="1" applyBorder="1" applyAlignment="1">
      <alignment horizontal="left" vertical="center" wrapText="1"/>
    </xf>
    <xf numFmtId="164" fontId="15" fillId="0" borderId="5" xfId="0" applyNumberFormat="1" applyFont="1" applyBorder="1" applyAlignment="1">
      <alignment horizontal="left" vertical="center" wrapText="1"/>
    </xf>
    <xf numFmtId="1" fontId="15" fillId="3" borderId="5" xfId="0" applyNumberFormat="1" applyFont="1" applyFill="1" applyBorder="1" applyAlignment="1">
      <alignment horizontal="center" vertical="center" wrapText="1"/>
    </xf>
    <xf numFmtId="164" fontId="15" fillId="3" borderId="5" xfId="0" applyNumberFormat="1" applyFont="1" applyFill="1" applyBorder="1" applyAlignment="1">
      <alignment horizontal="left" vertical="center" wrapText="1"/>
    </xf>
    <xf numFmtId="10" fontId="15" fillId="3" borderId="5" xfId="0" applyNumberFormat="1" applyFont="1" applyFill="1" applyBorder="1" applyAlignment="1">
      <alignment horizontal="center" vertical="center" wrapText="1"/>
    </xf>
    <xf numFmtId="164" fontId="15" fillId="6" borderId="5" xfId="0" applyNumberFormat="1" applyFont="1" applyFill="1" applyBorder="1" applyAlignment="1">
      <alignment horizontal="left" vertical="center" wrapText="1"/>
    </xf>
    <xf numFmtId="0" fontId="14" fillId="5" borderId="5" xfId="0" applyFont="1" applyFill="1" applyBorder="1" applyAlignment="1">
      <alignment horizontal="center" vertical="center" wrapText="1"/>
    </xf>
    <xf numFmtId="164" fontId="14" fillId="5" borderId="5" xfId="0" applyNumberFormat="1" applyFont="1" applyFill="1" applyBorder="1" applyAlignment="1">
      <alignment horizontal="left" vertical="center" wrapText="1"/>
    </xf>
    <xf numFmtId="0" fontId="17" fillId="0" borderId="5" xfId="0" applyFont="1" applyBorder="1" applyAlignment="1">
      <alignment horizontal="justify" vertical="center" wrapText="1"/>
    </xf>
    <xf numFmtId="4" fontId="18" fillId="0" borderId="5" xfId="0" applyNumberFormat="1" applyFont="1" applyBorder="1" applyAlignment="1">
      <alignment horizontal="center" vertical="center" wrapText="1"/>
    </xf>
    <xf numFmtId="164" fontId="14" fillId="3" borderId="5" xfId="0" applyNumberFormat="1" applyFont="1" applyFill="1" applyBorder="1" applyAlignment="1">
      <alignment horizontal="left" vertical="center" wrapText="1"/>
    </xf>
    <xf numFmtId="0" fontId="18" fillId="3" borderId="5" xfId="0" applyFont="1" applyFill="1" applyBorder="1" applyAlignment="1">
      <alignment horizontal="left" vertical="center" wrapText="1"/>
    </xf>
    <xf numFmtId="0" fontId="21" fillId="0" borderId="5" xfId="0" applyFont="1" applyBorder="1" applyAlignment="1">
      <alignment horizontal="right" vertical="center" wrapText="1"/>
    </xf>
    <xf numFmtId="10" fontId="21" fillId="0" borderId="5" xfId="0" applyNumberFormat="1" applyFont="1" applyBorder="1" applyAlignment="1">
      <alignment horizontal="center" vertical="center" wrapText="1"/>
    </xf>
    <xf numFmtId="164" fontId="21" fillId="0" borderId="5" xfId="0" applyNumberFormat="1" applyFont="1" applyBorder="1" applyAlignment="1">
      <alignment horizontal="left" vertical="center" wrapText="1"/>
    </xf>
    <xf numFmtId="0" fontId="14" fillId="0" borderId="5" xfId="0" applyFont="1" applyBorder="1" applyAlignment="1">
      <alignment horizontal="right" vertical="center" wrapText="1"/>
    </xf>
    <xf numFmtId="10" fontId="14" fillId="0" borderId="5" xfId="0" applyNumberFormat="1" applyFont="1" applyBorder="1" applyAlignment="1">
      <alignment horizontal="center" vertical="center" wrapText="1"/>
    </xf>
    <xf numFmtId="164" fontId="14" fillId="0" borderId="5" xfId="0" applyNumberFormat="1" applyFont="1" applyBorder="1" applyAlignment="1">
      <alignment horizontal="left" vertical="center" wrapText="1"/>
    </xf>
    <xf numFmtId="164" fontId="13" fillId="6" borderId="5" xfId="0" applyNumberFormat="1" applyFont="1" applyFill="1" applyBorder="1" applyAlignment="1">
      <alignment horizontal="left" vertical="center" wrapText="1"/>
    </xf>
    <xf numFmtId="0" fontId="18" fillId="6" borderId="5" xfId="0" applyFont="1" applyFill="1" applyBorder="1" applyAlignment="1">
      <alignment horizontal="left" vertical="center" wrapText="1"/>
    </xf>
    <xf numFmtId="0" fontId="15" fillId="0" borderId="4" xfId="0" applyFont="1" applyBorder="1" applyAlignment="1">
      <alignment horizontal="left" vertical="center"/>
    </xf>
    <xf numFmtId="0" fontId="16" fillId="0" borderId="5" xfId="0" applyFont="1" applyBorder="1" applyAlignment="1">
      <alignment horizontal="left" vertical="center" wrapText="1"/>
    </xf>
    <xf numFmtId="168" fontId="18" fillId="4" borderId="5" xfId="0" applyNumberFormat="1" applyFont="1" applyFill="1" applyBorder="1" applyAlignment="1">
      <alignment horizontal="center" vertical="center" wrapText="1"/>
    </xf>
    <xf numFmtId="0" fontId="16" fillId="4" borderId="5" xfId="0" applyFont="1" applyFill="1" applyBorder="1" applyAlignment="1">
      <alignment horizontal="left" vertical="center" wrapText="1"/>
    </xf>
    <xf numFmtId="164" fontId="15" fillId="7" borderId="5" xfId="0" applyNumberFormat="1" applyFont="1" applyFill="1" applyBorder="1" applyAlignment="1">
      <alignment horizontal="left" vertical="center" wrapText="1"/>
    </xf>
    <xf numFmtId="0" fontId="15" fillId="5" borderId="5" xfId="0" applyFont="1" applyFill="1" applyBorder="1" applyAlignment="1">
      <alignment horizontal="center" vertical="center" wrapText="1"/>
    </xf>
    <xf numFmtId="164" fontId="15" fillId="5" borderId="5" xfId="0" applyNumberFormat="1" applyFont="1" applyFill="1" applyBorder="1" applyAlignment="1">
      <alignment horizontal="left" vertical="center" wrapText="1"/>
    </xf>
    <xf numFmtId="164" fontId="16" fillId="0" borderId="5" xfId="0" applyNumberFormat="1" applyFont="1" applyBorder="1" applyAlignment="1">
      <alignment horizontal="left" vertical="center" wrapText="1"/>
    </xf>
    <xf numFmtId="10" fontId="15" fillId="0" borderId="5" xfId="0" applyNumberFormat="1" applyFont="1" applyBorder="1" applyAlignment="1">
      <alignment horizontal="center" vertical="center" wrapText="1"/>
    </xf>
    <xf numFmtId="0" fontId="15" fillId="3" borderId="5" xfId="0" applyFont="1" applyFill="1" applyBorder="1" applyAlignment="1">
      <alignment horizontal="left" vertical="center" wrapText="1"/>
    </xf>
    <xf numFmtId="0" fontId="17" fillId="3" borderId="5" xfId="0" applyFont="1" applyFill="1" applyBorder="1" applyAlignment="1">
      <alignment horizontal="left" vertical="center" wrapText="1"/>
    </xf>
    <xf numFmtId="0" fontId="15" fillId="8" borderId="5" xfId="0" applyFont="1" applyFill="1" applyBorder="1" applyAlignment="1">
      <alignment horizontal="center" vertical="center" wrapText="1"/>
    </xf>
    <xf numFmtId="0" fontId="15" fillId="0" borderId="4" xfId="0" applyFont="1" applyBorder="1" applyAlignment="1">
      <alignment horizontal="left" vertical="center" wrapText="1"/>
    </xf>
    <xf numFmtId="164" fontId="18" fillId="0" borderId="5" xfId="0" applyNumberFormat="1" applyFont="1" applyBorder="1" applyAlignment="1">
      <alignment horizontal="center" vertical="center" wrapText="1"/>
    </xf>
    <xf numFmtId="166" fontId="18" fillId="0" borderId="5" xfId="0" applyNumberFormat="1" applyFont="1" applyBorder="1" applyAlignment="1">
      <alignment horizontal="left" vertical="center" wrapText="1"/>
    </xf>
    <xf numFmtId="166" fontId="15" fillId="0" borderId="5" xfId="0" applyNumberFormat="1" applyFont="1" applyBorder="1" applyAlignment="1">
      <alignment horizontal="left" vertical="center" wrapText="1"/>
    </xf>
    <xf numFmtId="167" fontId="16" fillId="0" borderId="5" xfId="0" applyNumberFormat="1" applyFont="1" applyBorder="1" applyAlignment="1">
      <alignment horizontal="center" vertical="center" wrapText="1"/>
    </xf>
    <xf numFmtId="2" fontId="16" fillId="0" borderId="5" xfId="0" applyNumberFormat="1" applyFont="1" applyBorder="1" applyAlignment="1">
      <alignment horizontal="center" vertical="center" wrapText="1"/>
    </xf>
    <xf numFmtId="166" fontId="15" fillId="3" borderId="5" xfId="0" applyNumberFormat="1" applyFont="1" applyFill="1" applyBorder="1" applyAlignment="1">
      <alignment horizontal="left" vertical="center" wrapText="1"/>
    </xf>
    <xf numFmtId="0" fontId="20" fillId="0" borderId="4" xfId="0" applyFont="1" applyBorder="1" applyAlignment="1">
      <alignment horizontal="left" vertical="center"/>
    </xf>
    <xf numFmtId="167" fontId="18" fillId="0" borderId="5" xfId="0" applyNumberFormat="1" applyFont="1" applyBorder="1" applyAlignment="1">
      <alignment horizontal="center" vertical="center" wrapText="1"/>
    </xf>
    <xf numFmtId="4" fontId="16" fillId="0" borderId="5" xfId="0" applyNumberFormat="1" applyFont="1" applyBorder="1" applyAlignment="1">
      <alignment horizontal="center" vertical="center" wrapText="1"/>
    </xf>
    <xf numFmtId="4" fontId="15" fillId="0" borderId="5" xfId="0" applyNumberFormat="1" applyFont="1" applyBorder="1" applyAlignment="1">
      <alignment horizontal="center" vertical="center" wrapText="1"/>
    </xf>
    <xf numFmtId="0" fontId="20" fillId="0" borderId="5" xfId="0" applyFont="1" applyBorder="1" applyAlignment="1">
      <alignment horizontal="left" vertical="center" wrapText="1"/>
    </xf>
    <xf numFmtId="164" fontId="16" fillId="0" borderId="5" xfId="0" applyNumberFormat="1" applyFont="1" applyBorder="1" applyAlignment="1">
      <alignment horizontal="right" vertical="center" wrapText="1"/>
    </xf>
    <xf numFmtId="164" fontId="18" fillId="0" borderId="5" xfId="0" applyNumberFormat="1" applyFont="1" applyBorder="1" applyAlignment="1">
      <alignment horizontal="right" vertical="center" wrapText="1"/>
    </xf>
    <xf numFmtId="10" fontId="16" fillId="0" borderId="5" xfId="0" applyNumberFormat="1" applyFont="1" applyBorder="1" applyAlignment="1">
      <alignment horizontal="right" vertical="center" wrapText="1"/>
    </xf>
    <xf numFmtId="164" fontId="8" fillId="0" borderId="1" xfId="0" applyNumberFormat="1" applyFont="1" applyBorder="1" applyAlignment="1">
      <alignment horizontal="right" vertical="center" wrapText="1"/>
    </xf>
    <xf numFmtId="164" fontId="7" fillId="0" borderId="1" xfId="0" applyNumberFormat="1" applyFont="1" applyBorder="1" applyAlignment="1">
      <alignment horizontal="right" vertical="center" wrapText="1"/>
    </xf>
    <xf numFmtId="164" fontId="6" fillId="0" borderId="1" xfId="0" applyNumberFormat="1" applyFont="1" applyBorder="1" applyAlignment="1">
      <alignment horizontal="right" vertical="center" wrapText="1"/>
    </xf>
    <xf numFmtId="165" fontId="6" fillId="2" borderId="1" xfId="0" applyNumberFormat="1" applyFont="1" applyFill="1" applyBorder="1" applyAlignment="1">
      <alignment horizontal="center" vertical="center" wrapText="1"/>
    </xf>
    <xf numFmtId="164" fontId="10" fillId="0" borderId="1" xfId="0" applyNumberFormat="1" applyFont="1" applyBorder="1" applyAlignment="1">
      <alignment horizontal="left" vertical="center" wrapText="1"/>
    </xf>
    <xf numFmtId="164" fontId="3" fillId="0" borderId="1" xfId="0" applyNumberFormat="1" applyFont="1" applyBorder="1" applyAlignment="1">
      <alignment horizontal="left" vertical="center" wrapText="1"/>
    </xf>
    <xf numFmtId="164" fontId="9" fillId="0" borderId="1" xfId="0" applyNumberFormat="1" applyFont="1" applyBorder="1" applyAlignment="1">
      <alignment horizontal="left" vertical="center" wrapText="1"/>
    </xf>
    <xf numFmtId="169" fontId="16" fillId="4" borderId="5" xfId="0" applyNumberFormat="1" applyFont="1" applyFill="1" applyBorder="1" applyAlignment="1">
      <alignment horizontal="center" vertical="center" wrapText="1"/>
    </xf>
    <xf numFmtId="0" fontId="20" fillId="3" borderId="5" xfId="0" applyFont="1" applyFill="1" applyBorder="1" applyAlignment="1">
      <alignment horizontal="center" vertical="center" wrapText="1"/>
    </xf>
    <xf numFmtId="170" fontId="22" fillId="0" borderId="5" xfId="0" applyNumberFormat="1" applyFont="1" applyBorder="1" applyAlignment="1">
      <alignment horizontal="center" vertical="center" wrapText="1"/>
    </xf>
    <xf numFmtId="169" fontId="18" fillId="0" borderId="5" xfId="0" applyNumberFormat="1" applyFont="1" applyBorder="1" applyAlignment="1">
      <alignment horizontal="center" vertical="center" wrapText="1"/>
    </xf>
    <xf numFmtId="2" fontId="15" fillId="0" borderId="5" xfId="0" applyNumberFormat="1" applyFont="1" applyBorder="1" applyAlignment="1">
      <alignment horizontal="center" vertical="center" wrapText="1"/>
    </xf>
    <xf numFmtId="164" fontId="17" fillId="0" borderId="5" xfId="0" applyNumberFormat="1" applyFont="1" applyBorder="1" applyAlignment="1">
      <alignment horizontal="left" vertical="center" wrapText="1"/>
    </xf>
    <xf numFmtId="4" fontId="0" fillId="0" borderId="0" xfId="0" applyNumberFormat="1"/>
    <xf numFmtId="44" fontId="11" fillId="0" borderId="4" xfId="1" applyBorder="1"/>
    <xf numFmtId="44" fontId="0" fillId="0" borderId="0" xfId="0" applyNumberFormat="1"/>
    <xf numFmtId="0" fontId="23" fillId="4" borderId="5" xfId="2" applyFill="1" applyBorder="1" applyAlignment="1">
      <alignment horizontal="center" vertical="center" wrapText="1"/>
    </xf>
    <xf numFmtId="10" fontId="24" fillId="9" borderId="5" xfId="0" applyNumberFormat="1" applyFont="1" applyFill="1" applyBorder="1" applyAlignment="1">
      <alignment horizontal="center" vertical="center" wrapText="1"/>
    </xf>
    <xf numFmtId="164" fontId="0" fillId="0" borderId="0" xfId="0" applyNumberFormat="1"/>
    <xf numFmtId="0" fontId="25" fillId="0" borderId="5" xfId="0" applyFont="1" applyBorder="1" applyAlignment="1">
      <alignment horizontal="left" vertical="center" wrapText="1"/>
    </xf>
    <xf numFmtId="166" fontId="16" fillId="0" borderId="5" xfId="0" applyNumberFormat="1" applyFont="1" applyBorder="1" applyAlignment="1">
      <alignment horizontal="left" vertical="center" wrapText="1"/>
    </xf>
    <xf numFmtId="0" fontId="12" fillId="0" borderId="4" xfId="0" applyFont="1" applyBorder="1" applyAlignment="1">
      <alignment horizontal="center" vertical="center" wrapText="1"/>
    </xf>
    <xf numFmtId="0" fontId="0" fillId="0" borderId="0" xfId="0"/>
    <xf numFmtId="0" fontId="14" fillId="3" borderId="5" xfId="0" applyFont="1" applyFill="1" applyBorder="1" applyAlignment="1">
      <alignment horizontal="center" vertical="center" wrapText="1"/>
    </xf>
    <xf numFmtId="0" fontId="14" fillId="0" borderId="4" xfId="0" applyFont="1" applyBorder="1" applyAlignment="1">
      <alignment horizontal="center" vertical="center" wrapText="1"/>
    </xf>
    <xf numFmtId="0" fontId="19" fillId="0" borderId="4" xfId="0" applyFont="1" applyBorder="1" applyAlignment="1">
      <alignment horizontal="left" vertical="center" wrapText="1"/>
    </xf>
    <xf numFmtId="0" fontId="13" fillId="0" borderId="4" xfId="0" applyFont="1" applyBorder="1" applyAlignment="1">
      <alignment horizontal="center" vertical="center" wrapText="1"/>
    </xf>
    <xf numFmtId="0" fontId="17" fillId="0" borderId="4" xfId="0" applyFont="1" applyBorder="1" applyAlignment="1">
      <alignment horizontal="left" vertical="center" wrapText="1"/>
    </xf>
    <xf numFmtId="0" fontId="15" fillId="0" borderId="5" xfId="0" applyFont="1" applyBorder="1" applyAlignment="1">
      <alignment horizontal="right" vertical="center" wrapText="1"/>
    </xf>
    <xf numFmtId="0" fontId="18" fillId="0" borderId="5" xfId="0" applyFont="1" applyBorder="1" applyAlignment="1">
      <alignment horizontal="right" vertical="center" wrapText="1"/>
    </xf>
    <xf numFmtId="0" fontId="14" fillId="0" borderId="5" xfId="0" applyFont="1" applyBorder="1" applyAlignment="1">
      <alignment horizontal="center" vertical="center" wrapText="1"/>
    </xf>
    <xf numFmtId="0" fontId="18" fillId="0" borderId="5" xfId="0" applyFont="1" applyBorder="1" applyAlignment="1">
      <alignment horizontal="left" vertical="center" wrapText="1"/>
    </xf>
    <xf numFmtId="0" fontId="13" fillId="3" borderId="5"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7" fillId="0" borderId="5" xfId="0" applyFont="1" applyBorder="1" applyAlignment="1">
      <alignment horizontal="center" vertical="center" wrapText="1"/>
    </xf>
    <xf numFmtId="0" fontId="15" fillId="3" borderId="5" xfId="0" applyFont="1" applyFill="1" applyBorder="1" applyAlignment="1">
      <alignment horizontal="right" vertical="center" wrapText="1"/>
    </xf>
    <xf numFmtId="0" fontId="14" fillId="5" borderId="5" xfId="0" applyFont="1" applyFill="1" applyBorder="1" applyAlignment="1">
      <alignment horizontal="left" vertical="center" wrapText="1"/>
    </xf>
    <xf numFmtId="0" fontId="13" fillId="3" borderId="5" xfId="0" applyFont="1" applyFill="1" applyBorder="1" applyAlignment="1">
      <alignment horizontal="right" vertical="center" wrapText="1"/>
    </xf>
    <xf numFmtId="0" fontId="15" fillId="7" borderId="5" xfId="0" applyFont="1" applyFill="1" applyBorder="1" applyAlignment="1">
      <alignment horizontal="center" vertical="center" wrapText="1"/>
    </xf>
    <xf numFmtId="164" fontId="15" fillId="0" borderId="5" xfId="0" applyNumberFormat="1" applyFont="1" applyBorder="1" applyAlignment="1">
      <alignment horizontal="center" vertical="center" wrapText="1"/>
    </xf>
    <xf numFmtId="0" fontId="14" fillId="3" borderId="5" xfId="0" applyFont="1" applyFill="1" applyBorder="1" applyAlignment="1">
      <alignment horizontal="right" vertical="center" wrapText="1"/>
    </xf>
    <xf numFmtId="0" fontId="18" fillId="0" borderId="4" xfId="0" applyFont="1" applyBorder="1" applyAlignment="1">
      <alignment horizontal="left" vertical="center" wrapText="1"/>
    </xf>
    <xf numFmtId="0" fontId="21" fillId="0" borderId="5" xfId="0" applyFont="1" applyBorder="1" applyAlignment="1">
      <alignment horizontal="right" vertical="center" wrapText="1"/>
    </xf>
    <xf numFmtId="0" fontId="15" fillId="0" borderId="5" xfId="0" applyFont="1" applyBorder="1" applyAlignment="1">
      <alignment horizontal="center" vertical="center" wrapText="1"/>
    </xf>
    <xf numFmtId="0" fontId="14" fillId="0" borderId="5" xfId="0" applyFont="1" applyBorder="1" applyAlignment="1">
      <alignment horizontal="right" vertical="center" wrapText="1"/>
    </xf>
    <xf numFmtId="0" fontId="13" fillId="0" borderId="5" xfId="0" applyFont="1" applyBorder="1" applyAlignment="1">
      <alignment horizontal="center" vertical="center" wrapText="1"/>
    </xf>
    <xf numFmtId="0" fontId="15" fillId="5" borderId="5" xfId="0" applyFont="1" applyFill="1" applyBorder="1" applyAlignment="1">
      <alignment horizontal="left" vertical="center" wrapText="1"/>
    </xf>
    <xf numFmtId="10" fontId="15" fillId="0" borderId="5" xfId="0" applyNumberFormat="1" applyFont="1" applyBorder="1" applyAlignment="1">
      <alignment horizontal="center" vertical="center" wrapText="1"/>
    </xf>
    <xf numFmtId="0" fontId="15" fillId="5" borderId="6" xfId="0" applyFont="1" applyFill="1" applyBorder="1" applyAlignment="1">
      <alignment horizontal="left" vertical="center" wrapText="1"/>
    </xf>
    <xf numFmtId="0" fontId="15" fillId="5" borderId="7" xfId="0" applyFont="1" applyFill="1" applyBorder="1" applyAlignment="1">
      <alignment horizontal="left" vertical="center" wrapText="1"/>
    </xf>
    <xf numFmtId="0" fontId="15" fillId="5" borderId="8" xfId="0" applyFont="1" applyFill="1" applyBorder="1" applyAlignment="1">
      <alignment horizontal="left" vertical="center" wrapText="1"/>
    </xf>
    <xf numFmtId="164" fontId="18" fillId="0" borderId="5" xfId="0" applyNumberFormat="1" applyFont="1" applyBorder="1" applyAlignment="1">
      <alignment horizontal="left" vertical="center" wrapText="1"/>
    </xf>
    <xf numFmtId="0" fontId="17" fillId="4" borderId="4" xfId="0" applyFont="1" applyFill="1" applyBorder="1" applyAlignment="1">
      <alignment horizontal="left" vertical="center" wrapText="1"/>
    </xf>
    <xf numFmtId="164" fontId="15" fillId="0" borderId="5" xfId="0" applyNumberFormat="1" applyFont="1" applyBorder="1" applyAlignment="1">
      <alignment horizontal="left" vertical="center" wrapText="1"/>
    </xf>
    <xf numFmtId="0" fontId="17" fillId="0" borderId="5" xfId="0" applyFont="1" applyBorder="1" applyAlignment="1">
      <alignment horizontal="left" vertical="center" wrapText="1"/>
    </xf>
    <xf numFmtId="0" fontId="15" fillId="3" borderId="5" xfId="0" applyFont="1" applyFill="1" applyBorder="1" applyAlignment="1">
      <alignment horizontal="left" vertical="center" wrapText="1"/>
    </xf>
    <xf numFmtId="0" fontId="20" fillId="0" borderId="5" xfId="0" applyFont="1" applyBorder="1" applyAlignment="1">
      <alignment horizontal="center" vertical="center" wrapText="1"/>
    </xf>
    <xf numFmtId="0" fontId="19" fillId="0" borderId="5" xfId="0" applyFont="1" applyBorder="1" applyAlignment="1">
      <alignment horizontal="left" vertical="center" wrapText="1"/>
    </xf>
    <xf numFmtId="0" fontId="15" fillId="0" borderId="5" xfId="0" applyFont="1" applyBorder="1" applyAlignment="1">
      <alignment horizontal="left" vertical="center" wrapText="1"/>
    </xf>
    <xf numFmtId="0" fontId="15" fillId="6" borderId="5" xfId="0" applyFont="1" applyFill="1" applyBorder="1" applyAlignment="1">
      <alignment horizontal="left" vertical="center" wrapText="1"/>
    </xf>
    <xf numFmtId="0" fontId="17" fillId="0" borderId="5" xfId="0" applyFont="1" applyBorder="1" applyAlignment="1">
      <alignment horizontal="justify" vertical="center" wrapText="1"/>
    </xf>
    <xf numFmtId="0" fontId="5" fillId="0" borderId="1" xfId="0" applyFont="1" applyBorder="1" applyAlignment="1">
      <alignment horizontal="center" vertical="center" wrapText="1"/>
    </xf>
    <xf numFmtId="0" fontId="0" fillId="0" borderId="2" xfId="0" applyBorder="1"/>
    <xf numFmtId="0" fontId="0" fillId="0" borderId="3" xfId="0" applyBorder="1"/>
    <xf numFmtId="0" fontId="4" fillId="0" borderId="1" xfId="0" applyFont="1" applyBorder="1" applyAlignment="1">
      <alignment horizontal="left" vertical="center" wrapText="1"/>
    </xf>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0" fillId="4" borderId="5" xfId="0" applyFont="1" applyFill="1" applyBorder="1" applyAlignment="1">
      <alignment horizontal="left" vertical="center" wrapText="1"/>
    </xf>
    <xf numFmtId="0" fontId="20" fillId="0" borderId="5" xfId="0" applyFont="1" applyBorder="1" applyAlignment="1">
      <alignment horizontal="left" vertical="center" wrapText="1"/>
    </xf>
    <xf numFmtId="0" fontId="20" fillId="3" borderId="5" xfId="0" applyFont="1" applyFill="1" applyBorder="1" applyAlignment="1">
      <alignment horizontal="left" vertical="center" wrapText="1"/>
    </xf>
    <xf numFmtId="4" fontId="18" fillId="0" borderId="5" xfId="0" applyNumberFormat="1" applyFont="1" applyFill="1" applyBorder="1" applyAlignment="1">
      <alignment horizontal="center" vertical="center" wrapText="1"/>
    </xf>
  </cellXfs>
  <cellStyles count="3">
    <cellStyle name="Hipervínculo" xfId="2" builtinId="8"/>
    <cellStyle name="Moneda" xfId="1" builtinId="4"/>
    <cellStyle name="Normal" xfId="0" builtinId="0"/>
  </cellStyles>
  <dxfs count="1">
    <dxf>
      <font>
        <color rgb="FF8EA9DB"/>
      </font>
      <fill>
        <patternFill patternType="solid">
          <fgColor rgb="FF8EA9DB"/>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5B9BD5"/>
      <rgbColor rgb="FF993366"/>
      <rgbColor rgb="FFFFF2CC"/>
      <rgbColor rgb="FFDDEBF7"/>
      <rgbColor rgb="FF660066"/>
      <rgbColor rgb="FFFF8080"/>
      <rgbColor rgb="FF0563C1"/>
      <rgbColor rgb="FFD9D9D9"/>
      <rgbColor rgb="FF000080"/>
      <rgbColor rgb="FFFF00FF"/>
      <rgbColor rgb="FFFFFF00"/>
      <rgbColor rgb="FF00FFFF"/>
      <rgbColor rgb="FF800080"/>
      <rgbColor rgb="FF800000"/>
      <rgbColor rgb="FF008080"/>
      <rgbColor rgb="FF0000FF"/>
      <rgbColor rgb="FF00CCFF"/>
      <rgbColor rgb="FFCCFFFF"/>
      <rgbColor rgb="FFE2EFD9"/>
      <rgbColor rgb="FFFBE5D6"/>
      <rgbColor rgb="FF99CCFF"/>
      <rgbColor rgb="FFFF99CC"/>
      <rgbColor rgb="FFCC99FF"/>
      <rgbColor rgb="FFF8CBAD"/>
      <rgbColor rgb="FF3366FF"/>
      <rgbColor rgb="FF33CCCC"/>
      <rgbColor rgb="FF92D050"/>
      <rgbColor rgb="FFFFCC00"/>
      <rgbColor rgb="FFFF9900"/>
      <rgbColor rgb="FFFF6600"/>
      <rgbColor rgb="FF595959"/>
      <rgbColor rgb="FFA6A6A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38100</xdr:colOff>
      <xdr:row>1</xdr:row>
      <xdr:rowOff>16323</xdr:rowOff>
    </xdr:from>
    <xdr:to>
      <xdr:col>9</xdr:col>
      <xdr:colOff>742950</xdr:colOff>
      <xdr:row>2</xdr:row>
      <xdr:rowOff>212276</xdr:rowOff>
    </xdr:to>
    <xdr:pic>
      <xdr:nvPicPr>
        <xdr:cNvPr id="2" name="Image 1" descr="Picture">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50557</xdr:colOff>
      <xdr:row>0</xdr:row>
      <xdr:rowOff>38100</xdr:rowOff>
    </xdr:from>
    <xdr:to>
      <xdr:col>8</xdr:col>
      <xdr:colOff>1330567</xdr:colOff>
      <xdr:row>3</xdr:row>
      <xdr:rowOff>209550</xdr:rowOff>
    </xdr:to>
    <xdr:pic>
      <xdr:nvPicPr>
        <xdr:cNvPr id="2" name="Image 1" descr="Picture">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395569</xdr:colOff>
      <xdr:row>0</xdr:row>
      <xdr:rowOff>38100</xdr:rowOff>
    </xdr:from>
    <xdr:to>
      <xdr:col>11</xdr:col>
      <xdr:colOff>1652305</xdr:colOff>
      <xdr:row>3</xdr:row>
      <xdr:rowOff>190500</xdr:rowOff>
    </xdr:to>
    <xdr:pic>
      <xdr:nvPicPr>
        <xdr:cNvPr id="2" name="Image 1" descr="Picture">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73830</xdr:colOff>
      <xdr:row>0</xdr:row>
      <xdr:rowOff>38100</xdr:rowOff>
    </xdr:from>
    <xdr:to>
      <xdr:col>7</xdr:col>
      <xdr:colOff>1307294</xdr:colOff>
      <xdr:row>3</xdr:row>
      <xdr:rowOff>209550</xdr:rowOff>
    </xdr:to>
    <xdr:pic>
      <xdr:nvPicPr>
        <xdr:cNvPr id="2" name="Image 1" descr="Picture">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151039</xdr:colOff>
      <xdr:row>1</xdr:row>
      <xdr:rowOff>38100</xdr:rowOff>
    </xdr:from>
    <xdr:to>
      <xdr:col>7</xdr:col>
      <xdr:colOff>1163410</xdr:colOff>
      <xdr:row>4</xdr:row>
      <xdr:rowOff>161925</xdr:rowOff>
    </xdr:to>
    <xdr:pic>
      <xdr:nvPicPr>
        <xdr:cNvPr id="2" name="Image 1" descr="Picture">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41</xdr:row>
      <xdr:rowOff>38100</xdr:rowOff>
    </xdr:from>
    <xdr:to>
      <xdr:col>7</xdr:col>
      <xdr:colOff>1163410</xdr:colOff>
      <xdr:row>44</xdr:row>
      <xdr:rowOff>161925</xdr:rowOff>
    </xdr:to>
    <xdr:pic>
      <xdr:nvPicPr>
        <xdr:cNvPr id="3" name="Image 2" descr="Picture">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78</xdr:row>
      <xdr:rowOff>38100</xdr:rowOff>
    </xdr:from>
    <xdr:to>
      <xdr:col>7</xdr:col>
      <xdr:colOff>1163410</xdr:colOff>
      <xdr:row>81</xdr:row>
      <xdr:rowOff>161925</xdr:rowOff>
    </xdr:to>
    <xdr:pic>
      <xdr:nvPicPr>
        <xdr:cNvPr id="4" name="Image 3" descr="Picture">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116</xdr:row>
      <xdr:rowOff>38100</xdr:rowOff>
    </xdr:from>
    <xdr:to>
      <xdr:col>7</xdr:col>
      <xdr:colOff>1163410</xdr:colOff>
      <xdr:row>119</xdr:row>
      <xdr:rowOff>161925</xdr:rowOff>
    </xdr:to>
    <xdr:pic>
      <xdr:nvPicPr>
        <xdr:cNvPr id="5" name="Image 4" descr="Picture">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155</xdr:row>
      <xdr:rowOff>38100</xdr:rowOff>
    </xdr:from>
    <xdr:to>
      <xdr:col>7</xdr:col>
      <xdr:colOff>1163410</xdr:colOff>
      <xdr:row>158</xdr:row>
      <xdr:rowOff>161925</xdr:rowOff>
    </xdr:to>
    <xdr:pic>
      <xdr:nvPicPr>
        <xdr:cNvPr id="6" name="Image 5" descr="Picture">
          <a:extLst>
            <a:ext uri="{FF2B5EF4-FFF2-40B4-BE49-F238E27FC236}">
              <a16:creationId xmlns:a16="http://schemas.microsoft.com/office/drawing/2014/main" id="{00000000-0008-0000-0600-000006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193</xdr:row>
      <xdr:rowOff>38100</xdr:rowOff>
    </xdr:from>
    <xdr:to>
      <xdr:col>7</xdr:col>
      <xdr:colOff>1163410</xdr:colOff>
      <xdr:row>196</xdr:row>
      <xdr:rowOff>161925</xdr:rowOff>
    </xdr:to>
    <xdr:pic>
      <xdr:nvPicPr>
        <xdr:cNvPr id="7" name="Image 6" descr="Picture">
          <a:extLst>
            <a:ext uri="{FF2B5EF4-FFF2-40B4-BE49-F238E27FC236}">
              <a16:creationId xmlns:a16="http://schemas.microsoft.com/office/drawing/2014/main" id="{00000000-0008-0000-0600-000007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233</xdr:row>
      <xdr:rowOff>38100</xdr:rowOff>
    </xdr:from>
    <xdr:to>
      <xdr:col>7</xdr:col>
      <xdr:colOff>1163410</xdr:colOff>
      <xdr:row>236</xdr:row>
      <xdr:rowOff>161925</xdr:rowOff>
    </xdr:to>
    <xdr:pic>
      <xdr:nvPicPr>
        <xdr:cNvPr id="8" name="Image 7" descr="Picture">
          <a:extLst>
            <a:ext uri="{FF2B5EF4-FFF2-40B4-BE49-F238E27FC236}">
              <a16:creationId xmlns:a16="http://schemas.microsoft.com/office/drawing/2014/main" id="{00000000-0008-0000-0600-000008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273</xdr:row>
      <xdr:rowOff>38100</xdr:rowOff>
    </xdr:from>
    <xdr:to>
      <xdr:col>7</xdr:col>
      <xdr:colOff>1163410</xdr:colOff>
      <xdr:row>276</xdr:row>
      <xdr:rowOff>161925</xdr:rowOff>
    </xdr:to>
    <xdr:pic>
      <xdr:nvPicPr>
        <xdr:cNvPr id="9" name="Image 8" descr="Picture">
          <a:extLst>
            <a:ext uri="{FF2B5EF4-FFF2-40B4-BE49-F238E27FC236}">
              <a16:creationId xmlns:a16="http://schemas.microsoft.com/office/drawing/2014/main" id="{00000000-0008-0000-0600-000009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315</xdr:row>
      <xdr:rowOff>38100</xdr:rowOff>
    </xdr:from>
    <xdr:to>
      <xdr:col>7</xdr:col>
      <xdr:colOff>1163410</xdr:colOff>
      <xdr:row>318</xdr:row>
      <xdr:rowOff>161925</xdr:rowOff>
    </xdr:to>
    <xdr:pic>
      <xdr:nvPicPr>
        <xdr:cNvPr id="10" name="Image 9" descr="Picture">
          <a:extLst>
            <a:ext uri="{FF2B5EF4-FFF2-40B4-BE49-F238E27FC236}">
              <a16:creationId xmlns:a16="http://schemas.microsoft.com/office/drawing/2014/main" id="{00000000-0008-0000-0600-00000A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356</xdr:row>
      <xdr:rowOff>38100</xdr:rowOff>
    </xdr:from>
    <xdr:to>
      <xdr:col>7</xdr:col>
      <xdr:colOff>1163410</xdr:colOff>
      <xdr:row>359</xdr:row>
      <xdr:rowOff>161925</xdr:rowOff>
    </xdr:to>
    <xdr:pic>
      <xdr:nvPicPr>
        <xdr:cNvPr id="11" name="Image 10" descr="Picture">
          <a:extLst>
            <a:ext uri="{FF2B5EF4-FFF2-40B4-BE49-F238E27FC236}">
              <a16:creationId xmlns:a16="http://schemas.microsoft.com/office/drawing/2014/main" id="{00000000-0008-0000-0600-00000B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396</xdr:row>
      <xdr:rowOff>38100</xdr:rowOff>
    </xdr:from>
    <xdr:to>
      <xdr:col>7</xdr:col>
      <xdr:colOff>1163410</xdr:colOff>
      <xdr:row>399</xdr:row>
      <xdr:rowOff>161925</xdr:rowOff>
    </xdr:to>
    <xdr:pic>
      <xdr:nvPicPr>
        <xdr:cNvPr id="12" name="Image 11" descr="Picture">
          <a:extLst>
            <a:ext uri="{FF2B5EF4-FFF2-40B4-BE49-F238E27FC236}">
              <a16:creationId xmlns:a16="http://schemas.microsoft.com/office/drawing/2014/main" id="{00000000-0008-0000-0600-00000C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437</xdr:row>
      <xdr:rowOff>38100</xdr:rowOff>
    </xdr:from>
    <xdr:to>
      <xdr:col>7</xdr:col>
      <xdr:colOff>1163410</xdr:colOff>
      <xdr:row>440</xdr:row>
      <xdr:rowOff>161925</xdr:rowOff>
    </xdr:to>
    <xdr:pic>
      <xdr:nvPicPr>
        <xdr:cNvPr id="13" name="Image 12" descr="Picture">
          <a:extLst>
            <a:ext uri="{FF2B5EF4-FFF2-40B4-BE49-F238E27FC236}">
              <a16:creationId xmlns:a16="http://schemas.microsoft.com/office/drawing/2014/main" id="{00000000-0008-0000-0600-00000D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476</xdr:row>
      <xdr:rowOff>38100</xdr:rowOff>
    </xdr:from>
    <xdr:to>
      <xdr:col>7</xdr:col>
      <xdr:colOff>1163410</xdr:colOff>
      <xdr:row>479</xdr:row>
      <xdr:rowOff>161925</xdr:rowOff>
    </xdr:to>
    <xdr:pic>
      <xdr:nvPicPr>
        <xdr:cNvPr id="14" name="Image 13" descr="Picture">
          <a:extLst>
            <a:ext uri="{FF2B5EF4-FFF2-40B4-BE49-F238E27FC236}">
              <a16:creationId xmlns:a16="http://schemas.microsoft.com/office/drawing/2014/main" id="{00000000-0008-0000-0600-00000E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517</xdr:row>
      <xdr:rowOff>38100</xdr:rowOff>
    </xdr:from>
    <xdr:to>
      <xdr:col>7</xdr:col>
      <xdr:colOff>1163410</xdr:colOff>
      <xdr:row>520</xdr:row>
      <xdr:rowOff>161925</xdr:rowOff>
    </xdr:to>
    <xdr:pic>
      <xdr:nvPicPr>
        <xdr:cNvPr id="15" name="Image 14" descr="Picture">
          <a:extLst>
            <a:ext uri="{FF2B5EF4-FFF2-40B4-BE49-F238E27FC236}">
              <a16:creationId xmlns:a16="http://schemas.microsoft.com/office/drawing/2014/main" id="{00000000-0008-0000-0600-00000F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557</xdr:row>
      <xdr:rowOff>38100</xdr:rowOff>
    </xdr:from>
    <xdr:to>
      <xdr:col>7</xdr:col>
      <xdr:colOff>1163410</xdr:colOff>
      <xdr:row>560</xdr:row>
      <xdr:rowOff>161925</xdr:rowOff>
    </xdr:to>
    <xdr:pic>
      <xdr:nvPicPr>
        <xdr:cNvPr id="16" name="Image 15" descr="Picture">
          <a:extLst>
            <a:ext uri="{FF2B5EF4-FFF2-40B4-BE49-F238E27FC236}">
              <a16:creationId xmlns:a16="http://schemas.microsoft.com/office/drawing/2014/main" id="{00000000-0008-0000-0600-000010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600</xdr:row>
      <xdr:rowOff>38100</xdr:rowOff>
    </xdr:from>
    <xdr:to>
      <xdr:col>7</xdr:col>
      <xdr:colOff>1163410</xdr:colOff>
      <xdr:row>603</xdr:row>
      <xdr:rowOff>161925</xdr:rowOff>
    </xdr:to>
    <xdr:pic>
      <xdr:nvPicPr>
        <xdr:cNvPr id="17" name="Image 16" descr="Picture">
          <a:extLst>
            <a:ext uri="{FF2B5EF4-FFF2-40B4-BE49-F238E27FC236}">
              <a16:creationId xmlns:a16="http://schemas.microsoft.com/office/drawing/2014/main" id="{00000000-0008-0000-0600-000011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638</xdr:row>
      <xdr:rowOff>38100</xdr:rowOff>
    </xdr:from>
    <xdr:to>
      <xdr:col>7</xdr:col>
      <xdr:colOff>1163410</xdr:colOff>
      <xdr:row>641</xdr:row>
      <xdr:rowOff>161925</xdr:rowOff>
    </xdr:to>
    <xdr:pic>
      <xdr:nvPicPr>
        <xdr:cNvPr id="18" name="Image 17" descr="Picture">
          <a:extLst>
            <a:ext uri="{FF2B5EF4-FFF2-40B4-BE49-F238E27FC236}">
              <a16:creationId xmlns:a16="http://schemas.microsoft.com/office/drawing/2014/main" id="{00000000-0008-0000-0600-00001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680</xdr:row>
      <xdr:rowOff>38100</xdr:rowOff>
    </xdr:from>
    <xdr:to>
      <xdr:col>7</xdr:col>
      <xdr:colOff>1163410</xdr:colOff>
      <xdr:row>683</xdr:row>
      <xdr:rowOff>161925</xdr:rowOff>
    </xdr:to>
    <xdr:pic>
      <xdr:nvPicPr>
        <xdr:cNvPr id="19" name="Image 18" descr="Picture">
          <a:extLst>
            <a:ext uri="{FF2B5EF4-FFF2-40B4-BE49-F238E27FC236}">
              <a16:creationId xmlns:a16="http://schemas.microsoft.com/office/drawing/2014/main" id="{00000000-0008-0000-0600-000013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724</xdr:row>
      <xdr:rowOff>38100</xdr:rowOff>
    </xdr:from>
    <xdr:to>
      <xdr:col>7</xdr:col>
      <xdr:colOff>1163410</xdr:colOff>
      <xdr:row>727</xdr:row>
      <xdr:rowOff>161925</xdr:rowOff>
    </xdr:to>
    <xdr:pic>
      <xdr:nvPicPr>
        <xdr:cNvPr id="20" name="Image 19" descr="Picture">
          <a:extLst>
            <a:ext uri="{FF2B5EF4-FFF2-40B4-BE49-F238E27FC236}">
              <a16:creationId xmlns:a16="http://schemas.microsoft.com/office/drawing/2014/main" id="{00000000-0008-0000-0600-000014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763</xdr:row>
      <xdr:rowOff>38100</xdr:rowOff>
    </xdr:from>
    <xdr:to>
      <xdr:col>7</xdr:col>
      <xdr:colOff>1163410</xdr:colOff>
      <xdr:row>766</xdr:row>
      <xdr:rowOff>161925</xdr:rowOff>
    </xdr:to>
    <xdr:pic>
      <xdr:nvPicPr>
        <xdr:cNvPr id="21" name="Image 20" descr="Picture">
          <a:extLst>
            <a:ext uri="{FF2B5EF4-FFF2-40B4-BE49-F238E27FC236}">
              <a16:creationId xmlns:a16="http://schemas.microsoft.com/office/drawing/2014/main" id="{00000000-0008-0000-0600-000015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801</xdr:row>
      <xdr:rowOff>38100</xdr:rowOff>
    </xdr:from>
    <xdr:to>
      <xdr:col>7</xdr:col>
      <xdr:colOff>1163410</xdr:colOff>
      <xdr:row>804</xdr:row>
      <xdr:rowOff>161925</xdr:rowOff>
    </xdr:to>
    <xdr:pic>
      <xdr:nvPicPr>
        <xdr:cNvPr id="22" name="Image 21" descr="Picture">
          <a:extLst>
            <a:ext uri="{FF2B5EF4-FFF2-40B4-BE49-F238E27FC236}">
              <a16:creationId xmlns:a16="http://schemas.microsoft.com/office/drawing/2014/main" id="{00000000-0008-0000-0600-000016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840</xdr:row>
      <xdr:rowOff>38100</xdr:rowOff>
    </xdr:from>
    <xdr:to>
      <xdr:col>7</xdr:col>
      <xdr:colOff>1163410</xdr:colOff>
      <xdr:row>843</xdr:row>
      <xdr:rowOff>161925</xdr:rowOff>
    </xdr:to>
    <xdr:pic>
      <xdr:nvPicPr>
        <xdr:cNvPr id="23" name="Image 22" descr="Picture">
          <a:extLst>
            <a:ext uri="{FF2B5EF4-FFF2-40B4-BE49-F238E27FC236}">
              <a16:creationId xmlns:a16="http://schemas.microsoft.com/office/drawing/2014/main" id="{00000000-0008-0000-0600-000017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878</xdr:row>
      <xdr:rowOff>38100</xdr:rowOff>
    </xdr:from>
    <xdr:to>
      <xdr:col>7</xdr:col>
      <xdr:colOff>1163410</xdr:colOff>
      <xdr:row>881</xdr:row>
      <xdr:rowOff>161925</xdr:rowOff>
    </xdr:to>
    <xdr:pic>
      <xdr:nvPicPr>
        <xdr:cNvPr id="24" name="Image 23" descr="Picture">
          <a:extLst>
            <a:ext uri="{FF2B5EF4-FFF2-40B4-BE49-F238E27FC236}">
              <a16:creationId xmlns:a16="http://schemas.microsoft.com/office/drawing/2014/main" id="{00000000-0008-0000-0600-000018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917</xdr:row>
      <xdr:rowOff>38100</xdr:rowOff>
    </xdr:from>
    <xdr:to>
      <xdr:col>7</xdr:col>
      <xdr:colOff>1163410</xdr:colOff>
      <xdr:row>920</xdr:row>
      <xdr:rowOff>161925</xdr:rowOff>
    </xdr:to>
    <xdr:pic>
      <xdr:nvPicPr>
        <xdr:cNvPr id="25" name="Image 24" descr="Picture">
          <a:extLst>
            <a:ext uri="{FF2B5EF4-FFF2-40B4-BE49-F238E27FC236}">
              <a16:creationId xmlns:a16="http://schemas.microsoft.com/office/drawing/2014/main" id="{00000000-0008-0000-0600-000019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956</xdr:row>
      <xdr:rowOff>38100</xdr:rowOff>
    </xdr:from>
    <xdr:to>
      <xdr:col>7</xdr:col>
      <xdr:colOff>1163410</xdr:colOff>
      <xdr:row>959</xdr:row>
      <xdr:rowOff>161925</xdr:rowOff>
    </xdr:to>
    <xdr:pic>
      <xdr:nvPicPr>
        <xdr:cNvPr id="26" name="Image 25" descr="Picture">
          <a:extLst>
            <a:ext uri="{FF2B5EF4-FFF2-40B4-BE49-F238E27FC236}">
              <a16:creationId xmlns:a16="http://schemas.microsoft.com/office/drawing/2014/main" id="{00000000-0008-0000-0600-00001A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997</xdr:row>
      <xdr:rowOff>38100</xdr:rowOff>
    </xdr:from>
    <xdr:to>
      <xdr:col>7</xdr:col>
      <xdr:colOff>1163410</xdr:colOff>
      <xdr:row>1000</xdr:row>
      <xdr:rowOff>161925</xdr:rowOff>
    </xdr:to>
    <xdr:pic>
      <xdr:nvPicPr>
        <xdr:cNvPr id="27" name="Image 26" descr="Picture">
          <a:extLst>
            <a:ext uri="{FF2B5EF4-FFF2-40B4-BE49-F238E27FC236}">
              <a16:creationId xmlns:a16="http://schemas.microsoft.com/office/drawing/2014/main" id="{00000000-0008-0000-0600-00001B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1040</xdr:row>
      <xdr:rowOff>38100</xdr:rowOff>
    </xdr:from>
    <xdr:to>
      <xdr:col>7</xdr:col>
      <xdr:colOff>1163410</xdr:colOff>
      <xdr:row>1043</xdr:row>
      <xdr:rowOff>161925</xdr:rowOff>
    </xdr:to>
    <xdr:pic>
      <xdr:nvPicPr>
        <xdr:cNvPr id="28" name="Image 27" descr="Picture">
          <a:extLst>
            <a:ext uri="{FF2B5EF4-FFF2-40B4-BE49-F238E27FC236}">
              <a16:creationId xmlns:a16="http://schemas.microsoft.com/office/drawing/2014/main" id="{00000000-0008-0000-0600-00001C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1082</xdr:row>
      <xdr:rowOff>38100</xdr:rowOff>
    </xdr:from>
    <xdr:to>
      <xdr:col>7</xdr:col>
      <xdr:colOff>1163410</xdr:colOff>
      <xdr:row>1085</xdr:row>
      <xdr:rowOff>161925</xdr:rowOff>
    </xdr:to>
    <xdr:pic>
      <xdr:nvPicPr>
        <xdr:cNvPr id="29" name="Image 28" descr="Picture">
          <a:extLst>
            <a:ext uri="{FF2B5EF4-FFF2-40B4-BE49-F238E27FC236}">
              <a16:creationId xmlns:a16="http://schemas.microsoft.com/office/drawing/2014/main" id="{00000000-0008-0000-0600-00001D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1121</xdr:row>
      <xdr:rowOff>38100</xdr:rowOff>
    </xdr:from>
    <xdr:to>
      <xdr:col>7</xdr:col>
      <xdr:colOff>1163410</xdr:colOff>
      <xdr:row>1124</xdr:row>
      <xdr:rowOff>161925</xdr:rowOff>
    </xdr:to>
    <xdr:pic>
      <xdr:nvPicPr>
        <xdr:cNvPr id="30" name="Image 29" descr="Picture">
          <a:extLst>
            <a:ext uri="{FF2B5EF4-FFF2-40B4-BE49-F238E27FC236}">
              <a16:creationId xmlns:a16="http://schemas.microsoft.com/office/drawing/2014/main" id="{00000000-0008-0000-0600-00001E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1160</xdr:row>
      <xdr:rowOff>38100</xdr:rowOff>
    </xdr:from>
    <xdr:to>
      <xdr:col>7</xdr:col>
      <xdr:colOff>1163410</xdr:colOff>
      <xdr:row>1163</xdr:row>
      <xdr:rowOff>161925</xdr:rowOff>
    </xdr:to>
    <xdr:pic>
      <xdr:nvPicPr>
        <xdr:cNvPr id="31" name="Image 30" descr="Picture">
          <a:extLst>
            <a:ext uri="{FF2B5EF4-FFF2-40B4-BE49-F238E27FC236}">
              <a16:creationId xmlns:a16="http://schemas.microsoft.com/office/drawing/2014/main" id="{00000000-0008-0000-0600-00001F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1199</xdr:row>
      <xdr:rowOff>38100</xdr:rowOff>
    </xdr:from>
    <xdr:to>
      <xdr:col>7</xdr:col>
      <xdr:colOff>1163410</xdr:colOff>
      <xdr:row>1202</xdr:row>
      <xdr:rowOff>161925</xdr:rowOff>
    </xdr:to>
    <xdr:pic>
      <xdr:nvPicPr>
        <xdr:cNvPr id="32" name="Image 31" descr="Picture">
          <a:extLst>
            <a:ext uri="{FF2B5EF4-FFF2-40B4-BE49-F238E27FC236}">
              <a16:creationId xmlns:a16="http://schemas.microsoft.com/office/drawing/2014/main" id="{00000000-0008-0000-0600-000020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1238</xdr:row>
      <xdr:rowOff>38100</xdr:rowOff>
    </xdr:from>
    <xdr:to>
      <xdr:col>7</xdr:col>
      <xdr:colOff>1163410</xdr:colOff>
      <xdr:row>1241</xdr:row>
      <xdr:rowOff>161925</xdr:rowOff>
    </xdr:to>
    <xdr:pic>
      <xdr:nvPicPr>
        <xdr:cNvPr id="33" name="Image 32" descr="Picture">
          <a:extLst>
            <a:ext uri="{FF2B5EF4-FFF2-40B4-BE49-F238E27FC236}">
              <a16:creationId xmlns:a16="http://schemas.microsoft.com/office/drawing/2014/main" id="{00000000-0008-0000-0600-000021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1279</xdr:row>
      <xdr:rowOff>38100</xdr:rowOff>
    </xdr:from>
    <xdr:to>
      <xdr:col>7</xdr:col>
      <xdr:colOff>1163410</xdr:colOff>
      <xdr:row>1282</xdr:row>
      <xdr:rowOff>161925</xdr:rowOff>
    </xdr:to>
    <xdr:pic>
      <xdr:nvPicPr>
        <xdr:cNvPr id="34" name="Image 33" descr="Picture">
          <a:extLst>
            <a:ext uri="{FF2B5EF4-FFF2-40B4-BE49-F238E27FC236}">
              <a16:creationId xmlns:a16="http://schemas.microsoft.com/office/drawing/2014/main" id="{00000000-0008-0000-0600-00002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1317</xdr:row>
      <xdr:rowOff>38100</xdr:rowOff>
    </xdr:from>
    <xdr:to>
      <xdr:col>7</xdr:col>
      <xdr:colOff>1163410</xdr:colOff>
      <xdr:row>1320</xdr:row>
      <xdr:rowOff>161925</xdr:rowOff>
    </xdr:to>
    <xdr:pic>
      <xdr:nvPicPr>
        <xdr:cNvPr id="35" name="Image 34" descr="Picture">
          <a:extLst>
            <a:ext uri="{FF2B5EF4-FFF2-40B4-BE49-F238E27FC236}">
              <a16:creationId xmlns:a16="http://schemas.microsoft.com/office/drawing/2014/main" id="{00000000-0008-0000-0600-000023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1355</xdr:row>
      <xdr:rowOff>38100</xdr:rowOff>
    </xdr:from>
    <xdr:to>
      <xdr:col>7</xdr:col>
      <xdr:colOff>1163410</xdr:colOff>
      <xdr:row>1358</xdr:row>
      <xdr:rowOff>161925</xdr:rowOff>
    </xdr:to>
    <xdr:pic>
      <xdr:nvPicPr>
        <xdr:cNvPr id="36" name="Image 35" descr="Picture">
          <a:extLst>
            <a:ext uri="{FF2B5EF4-FFF2-40B4-BE49-F238E27FC236}">
              <a16:creationId xmlns:a16="http://schemas.microsoft.com/office/drawing/2014/main" id="{00000000-0008-0000-0600-000024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1395</xdr:row>
      <xdr:rowOff>38100</xdr:rowOff>
    </xdr:from>
    <xdr:to>
      <xdr:col>7</xdr:col>
      <xdr:colOff>1163410</xdr:colOff>
      <xdr:row>1398</xdr:row>
      <xdr:rowOff>161925</xdr:rowOff>
    </xdr:to>
    <xdr:pic>
      <xdr:nvPicPr>
        <xdr:cNvPr id="37" name="Image 36" descr="Picture">
          <a:extLst>
            <a:ext uri="{FF2B5EF4-FFF2-40B4-BE49-F238E27FC236}">
              <a16:creationId xmlns:a16="http://schemas.microsoft.com/office/drawing/2014/main" id="{00000000-0008-0000-0600-000025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1435</xdr:row>
      <xdr:rowOff>38100</xdr:rowOff>
    </xdr:from>
    <xdr:to>
      <xdr:col>7</xdr:col>
      <xdr:colOff>1163410</xdr:colOff>
      <xdr:row>1438</xdr:row>
      <xdr:rowOff>161925</xdr:rowOff>
    </xdr:to>
    <xdr:pic>
      <xdr:nvPicPr>
        <xdr:cNvPr id="38" name="Image 37" descr="Picture">
          <a:extLst>
            <a:ext uri="{FF2B5EF4-FFF2-40B4-BE49-F238E27FC236}">
              <a16:creationId xmlns:a16="http://schemas.microsoft.com/office/drawing/2014/main" id="{00000000-0008-0000-0600-000026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1475</xdr:row>
      <xdr:rowOff>38100</xdr:rowOff>
    </xdr:from>
    <xdr:to>
      <xdr:col>7</xdr:col>
      <xdr:colOff>1163410</xdr:colOff>
      <xdr:row>1478</xdr:row>
      <xdr:rowOff>161925</xdr:rowOff>
    </xdr:to>
    <xdr:pic>
      <xdr:nvPicPr>
        <xdr:cNvPr id="39" name="Image 38" descr="Picture">
          <a:extLst>
            <a:ext uri="{FF2B5EF4-FFF2-40B4-BE49-F238E27FC236}">
              <a16:creationId xmlns:a16="http://schemas.microsoft.com/office/drawing/2014/main" id="{00000000-0008-0000-0600-000027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1513</xdr:row>
      <xdr:rowOff>38100</xdr:rowOff>
    </xdr:from>
    <xdr:to>
      <xdr:col>7</xdr:col>
      <xdr:colOff>1163410</xdr:colOff>
      <xdr:row>1516</xdr:row>
      <xdr:rowOff>161925</xdr:rowOff>
    </xdr:to>
    <xdr:pic>
      <xdr:nvPicPr>
        <xdr:cNvPr id="40" name="Image 39" descr="Picture">
          <a:extLst>
            <a:ext uri="{FF2B5EF4-FFF2-40B4-BE49-F238E27FC236}">
              <a16:creationId xmlns:a16="http://schemas.microsoft.com/office/drawing/2014/main" id="{00000000-0008-0000-0600-000028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1553</xdr:row>
      <xdr:rowOff>38100</xdr:rowOff>
    </xdr:from>
    <xdr:to>
      <xdr:col>7</xdr:col>
      <xdr:colOff>1163410</xdr:colOff>
      <xdr:row>1556</xdr:row>
      <xdr:rowOff>161925</xdr:rowOff>
    </xdr:to>
    <xdr:pic>
      <xdr:nvPicPr>
        <xdr:cNvPr id="41" name="Image 40" descr="Picture">
          <a:extLst>
            <a:ext uri="{FF2B5EF4-FFF2-40B4-BE49-F238E27FC236}">
              <a16:creationId xmlns:a16="http://schemas.microsoft.com/office/drawing/2014/main" id="{00000000-0008-0000-0600-000029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1592</xdr:row>
      <xdr:rowOff>38100</xdr:rowOff>
    </xdr:from>
    <xdr:to>
      <xdr:col>7</xdr:col>
      <xdr:colOff>1163410</xdr:colOff>
      <xdr:row>1595</xdr:row>
      <xdr:rowOff>161925</xdr:rowOff>
    </xdr:to>
    <xdr:pic>
      <xdr:nvPicPr>
        <xdr:cNvPr id="42" name="Image 41" descr="Picture">
          <a:extLst>
            <a:ext uri="{FF2B5EF4-FFF2-40B4-BE49-F238E27FC236}">
              <a16:creationId xmlns:a16="http://schemas.microsoft.com/office/drawing/2014/main" id="{00000000-0008-0000-0600-00002A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1631</xdr:row>
      <xdr:rowOff>38100</xdr:rowOff>
    </xdr:from>
    <xdr:to>
      <xdr:col>7</xdr:col>
      <xdr:colOff>1163410</xdr:colOff>
      <xdr:row>1634</xdr:row>
      <xdr:rowOff>161925</xdr:rowOff>
    </xdr:to>
    <xdr:pic>
      <xdr:nvPicPr>
        <xdr:cNvPr id="43" name="Image 42" descr="Picture">
          <a:extLst>
            <a:ext uri="{FF2B5EF4-FFF2-40B4-BE49-F238E27FC236}">
              <a16:creationId xmlns:a16="http://schemas.microsoft.com/office/drawing/2014/main" id="{00000000-0008-0000-0600-00002B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1670</xdr:row>
      <xdr:rowOff>38100</xdr:rowOff>
    </xdr:from>
    <xdr:to>
      <xdr:col>7</xdr:col>
      <xdr:colOff>1163410</xdr:colOff>
      <xdr:row>1673</xdr:row>
      <xdr:rowOff>161925</xdr:rowOff>
    </xdr:to>
    <xdr:pic>
      <xdr:nvPicPr>
        <xdr:cNvPr id="44" name="Image 43" descr="Picture">
          <a:extLst>
            <a:ext uri="{FF2B5EF4-FFF2-40B4-BE49-F238E27FC236}">
              <a16:creationId xmlns:a16="http://schemas.microsoft.com/office/drawing/2014/main" id="{00000000-0008-0000-0600-00002C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1712</xdr:row>
      <xdr:rowOff>38100</xdr:rowOff>
    </xdr:from>
    <xdr:to>
      <xdr:col>7</xdr:col>
      <xdr:colOff>1163410</xdr:colOff>
      <xdr:row>1715</xdr:row>
      <xdr:rowOff>161925</xdr:rowOff>
    </xdr:to>
    <xdr:pic>
      <xdr:nvPicPr>
        <xdr:cNvPr id="45" name="Image 44" descr="Picture">
          <a:extLst>
            <a:ext uri="{FF2B5EF4-FFF2-40B4-BE49-F238E27FC236}">
              <a16:creationId xmlns:a16="http://schemas.microsoft.com/office/drawing/2014/main" id="{00000000-0008-0000-0600-00002D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1751</xdr:row>
      <xdr:rowOff>38100</xdr:rowOff>
    </xdr:from>
    <xdr:to>
      <xdr:col>7</xdr:col>
      <xdr:colOff>1163410</xdr:colOff>
      <xdr:row>1754</xdr:row>
      <xdr:rowOff>161925</xdr:rowOff>
    </xdr:to>
    <xdr:pic>
      <xdr:nvPicPr>
        <xdr:cNvPr id="46" name="Image 45" descr="Picture">
          <a:extLst>
            <a:ext uri="{FF2B5EF4-FFF2-40B4-BE49-F238E27FC236}">
              <a16:creationId xmlns:a16="http://schemas.microsoft.com/office/drawing/2014/main" id="{00000000-0008-0000-0600-00002E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1791</xdr:row>
      <xdr:rowOff>38100</xdr:rowOff>
    </xdr:from>
    <xdr:to>
      <xdr:col>7</xdr:col>
      <xdr:colOff>1163410</xdr:colOff>
      <xdr:row>1794</xdr:row>
      <xdr:rowOff>161925</xdr:rowOff>
    </xdr:to>
    <xdr:pic>
      <xdr:nvPicPr>
        <xdr:cNvPr id="47" name="Image 46" descr="Picture">
          <a:extLst>
            <a:ext uri="{FF2B5EF4-FFF2-40B4-BE49-F238E27FC236}">
              <a16:creationId xmlns:a16="http://schemas.microsoft.com/office/drawing/2014/main" id="{00000000-0008-0000-0600-00002F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1830</xdr:row>
      <xdr:rowOff>38100</xdr:rowOff>
    </xdr:from>
    <xdr:to>
      <xdr:col>7</xdr:col>
      <xdr:colOff>1163410</xdr:colOff>
      <xdr:row>1833</xdr:row>
      <xdr:rowOff>161925</xdr:rowOff>
    </xdr:to>
    <xdr:pic>
      <xdr:nvPicPr>
        <xdr:cNvPr id="48" name="Image 47" descr="Picture">
          <a:extLst>
            <a:ext uri="{FF2B5EF4-FFF2-40B4-BE49-F238E27FC236}">
              <a16:creationId xmlns:a16="http://schemas.microsoft.com/office/drawing/2014/main" id="{00000000-0008-0000-0600-000030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1870</xdr:row>
      <xdr:rowOff>38100</xdr:rowOff>
    </xdr:from>
    <xdr:to>
      <xdr:col>7</xdr:col>
      <xdr:colOff>1163410</xdr:colOff>
      <xdr:row>1873</xdr:row>
      <xdr:rowOff>161925</xdr:rowOff>
    </xdr:to>
    <xdr:pic>
      <xdr:nvPicPr>
        <xdr:cNvPr id="49" name="Image 48" descr="Picture">
          <a:extLst>
            <a:ext uri="{FF2B5EF4-FFF2-40B4-BE49-F238E27FC236}">
              <a16:creationId xmlns:a16="http://schemas.microsoft.com/office/drawing/2014/main" id="{00000000-0008-0000-0600-000031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1910</xdr:row>
      <xdr:rowOff>38100</xdr:rowOff>
    </xdr:from>
    <xdr:to>
      <xdr:col>7</xdr:col>
      <xdr:colOff>1163410</xdr:colOff>
      <xdr:row>1913</xdr:row>
      <xdr:rowOff>161925</xdr:rowOff>
    </xdr:to>
    <xdr:pic>
      <xdr:nvPicPr>
        <xdr:cNvPr id="50" name="Image 49" descr="Picture">
          <a:extLst>
            <a:ext uri="{FF2B5EF4-FFF2-40B4-BE49-F238E27FC236}">
              <a16:creationId xmlns:a16="http://schemas.microsoft.com/office/drawing/2014/main" id="{00000000-0008-0000-0600-00003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1949</xdr:row>
      <xdr:rowOff>38100</xdr:rowOff>
    </xdr:from>
    <xdr:to>
      <xdr:col>7</xdr:col>
      <xdr:colOff>1163410</xdr:colOff>
      <xdr:row>1952</xdr:row>
      <xdr:rowOff>161925</xdr:rowOff>
    </xdr:to>
    <xdr:pic>
      <xdr:nvPicPr>
        <xdr:cNvPr id="51" name="Image 50" descr="Picture">
          <a:extLst>
            <a:ext uri="{FF2B5EF4-FFF2-40B4-BE49-F238E27FC236}">
              <a16:creationId xmlns:a16="http://schemas.microsoft.com/office/drawing/2014/main" id="{00000000-0008-0000-0600-000033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1988</xdr:row>
      <xdr:rowOff>38100</xdr:rowOff>
    </xdr:from>
    <xdr:to>
      <xdr:col>7</xdr:col>
      <xdr:colOff>1163410</xdr:colOff>
      <xdr:row>1991</xdr:row>
      <xdr:rowOff>161925</xdr:rowOff>
    </xdr:to>
    <xdr:pic>
      <xdr:nvPicPr>
        <xdr:cNvPr id="52" name="Image 51" descr="Picture">
          <a:extLst>
            <a:ext uri="{FF2B5EF4-FFF2-40B4-BE49-F238E27FC236}">
              <a16:creationId xmlns:a16="http://schemas.microsoft.com/office/drawing/2014/main" id="{00000000-0008-0000-0600-000034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2029</xdr:row>
      <xdr:rowOff>38100</xdr:rowOff>
    </xdr:from>
    <xdr:to>
      <xdr:col>7</xdr:col>
      <xdr:colOff>1163410</xdr:colOff>
      <xdr:row>2032</xdr:row>
      <xdr:rowOff>161925</xdr:rowOff>
    </xdr:to>
    <xdr:pic>
      <xdr:nvPicPr>
        <xdr:cNvPr id="53" name="Image 52" descr="Picture">
          <a:extLst>
            <a:ext uri="{FF2B5EF4-FFF2-40B4-BE49-F238E27FC236}">
              <a16:creationId xmlns:a16="http://schemas.microsoft.com/office/drawing/2014/main" id="{00000000-0008-0000-0600-000035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2072</xdr:row>
      <xdr:rowOff>38100</xdr:rowOff>
    </xdr:from>
    <xdr:to>
      <xdr:col>7</xdr:col>
      <xdr:colOff>1163410</xdr:colOff>
      <xdr:row>2075</xdr:row>
      <xdr:rowOff>161925</xdr:rowOff>
    </xdr:to>
    <xdr:pic>
      <xdr:nvPicPr>
        <xdr:cNvPr id="54" name="Image 53" descr="Picture">
          <a:extLst>
            <a:ext uri="{FF2B5EF4-FFF2-40B4-BE49-F238E27FC236}">
              <a16:creationId xmlns:a16="http://schemas.microsoft.com/office/drawing/2014/main" id="{00000000-0008-0000-0600-000036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2111</xdr:row>
      <xdr:rowOff>38100</xdr:rowOff>
    </xdr:from>
    <xdr:to>
      <xdr:col>7</xdr:col>
      <xdr:colOff>1163410</xdr:colOff>
      <xdr:row>2114</xdr:row>
      <xdr:rowOff>161925</xdr:rowOff>
    </xdr:to>
    <xdr:pic>
      <xdr:nvPicPr>
        <xdr:cNvPr id="55" name="Image 54" descr="Picture">
          <a:extLst>
            <a:ext uri="{FF2B5EF4-FFF2-40B4-BE49-F238E27FC236}">
              <a16:creationId xmlns:a16="http://schemas.microsoft.com/office/drawing/2014/main" id="{00000000-0008-0000-0600-000037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2149</xdr:row>
      <xdr:rowOff>38100</xdr:rowOff>
    </xdr:from>
    <xdr:to>
      <xdr:col>7</xdr:col>
      <xdr:colOff>1163410</xdr:colOff>
      <xdr:row>2152</xdr:row>
      <xdr:rowOff>161925</xdr:rowOff>
    </xdr:to>
    <xdr:pic>
      <xdr:nvPicPr>
        <xdr:cNvPr id="56" name="Image 55" descr="Picture">
          <a:extLst>
            <a:ext uri="{FF2B5EF4-FFF2-40B4-BE49-F238E27FC236}">
              <a16:creationId xmlns:a16="http://schemas.microsoft.com/office/drawing/2014/main" id="{00000000-0008-0000-0600-000038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2186</xdr:row>
      <xdr:rowOff>38100</xdr:rowOff>
    </xdr:from>
    <xdr:to>
      <xdr:col>7</xdr:col>
      <xdr:colOff>1163410</xdr:colOff>
      <xdr:row>2189</xdr:row>
      <xdr:rowOff>161925</xdr:rowOff>
    </xdr:to>
    <xdr:pic>
      <xdr:nvPicPr>
        <xdr:cNvPr id="57" name="Image 56" descr="Picture">
          <a:extLst>
            <a:ext uri="{FF2B5EF4-FFF2-40B4-BE49-F238E27FC236}">
              <a16:creationId xmlns:a16="http://schemas.microsoft.com/office/drawing/2014/main" id="{00000000-0008-0000-0600-000039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2224</xdr:row>
      <xdr:rowOff>38100</xdr:rowOff>
    </xdr:from>
    <xdr:to>
      <xdr:col>7</xdr:col>
      <xdr:colOff>1163410</xdr:colOff>
      <xdr:row>2227</xdr:row>
      <xdr:rowOff>161925</xdr:rowOff>
    </xdr:to>
    <xdr:pic>
      <xdr:nvPicPr>
        <xdr:cNvPr id="58" name="Image 57" descr="Picture">
          <a:extLst>
            <a:ext uri="{FF2B5EF4-FFF2-40B4-BE49-F238E27FC236}">
              <a16:creationId xmlns:a16="http://schemas.microsoft.com/office/drawing/2014/main" id="{00000000-0008-0000-0600-00003A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2268</xdr:row>
      <xdr:rowOff>38100</xdr:rowOff>
    </xdr:from>
    <xdr:to>
      <xdr:col>7</xdr:col>
      <xdr:colOff>1163410</xdr:colOff>
      <xdr:row>2271</xdr:row>
      <xdr:rowOff>161925</xdr:rowOff>
    </xdr:to>
    <xdr:pic>
      <xdr:nvPicPr>
        <xdr:cNvPr id="59" name="Image 58" descr="Picture">
          <a:extLst>
            <a:ext uri="{FF2B5EF4-FFF2-40B4-BE49-F238E27FC236}">
              <a16:creationId xmlns:a16="http://schemas.microsoft.com/office/drawing/2014/main" id="{00000000-0008-0000-0600-00003B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2306</xdr:row>
      <xdr:rowOff>38100</xdr:rowOff>
    </xdr:from>
    <xdr:to>
      <xdr:col>7</xdr:col>
      <xdr:colOff>1163410</xdr:colOff>
      <xdr:row>2309</xdr:row>
      <xdr:rowOff>161925</xdr:rowOff>
    </xdr:to>
    <xdr:pic>
      <xdr:nvPicPr>
        <xdr:cNvPr id="60" name="Image 59" descr="Picture">
          <a:extLst>
            <a:ext uri="{FF2B5EF4-FFF2-40B4-BE49-F238E27FC236}">
              <a16:creationId xmlns:a16="http://schemas.microsoft.com/office/drawing/2014/main" id="{00000000-0008-0000-0600-00003C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2344</xdr:row>
      <xdr:rowOff>38100</xdr:rowOff>
    </xdr:from>
    <xdr:to>
      <xdr:col>7</xdr:col>
      <xdr:colOff>1163410</xdr:colOff>
      <xdr:row>2347</xdr:row>
      <xdr:rowOff>161925</xdr:rowOff>
    </xdr:to>
    <xdr:pic>
      <xdr:nvPicPr>
        <xdr:cNvPr id="61" name="Image 60" descr="Picture">
          <a:extLst>
            <a:ext uri="{FF2B5EF4-FFF2-40B4-BE49-F238E27FC236}">
              <a16:creationId xmlns:a16="http://schemas.microsoft.com/office/drawing/2014/main" id="{00000000-0008-0000-0600-00003D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2382</xdr:row>
      <xdr:rowOff>38100</xdr:rowOff>
    </xdr:from>
    <xdr:to>
      <xdr:col>7</xdr:col>
      <xdr:colOff>1163410</xdr:colOff>
      <xdr:row>2385</xdr:row>
      <xdr:rowOff>161925</xdr:rowOff>
    </xdr:to>
    <xdr:pic>
      <xdr:nvPicPr>
        <xdr:cNvPr id="62" name="Image 61" descr="Picture">
          <a:extLst>
            <a:ext uri="{FF2B5EF4-FFF2-40B4-BE49-F238E27FC236}">
              <a16:creationId xmlns:a16="http://schemas.microsoft.com/office/drawing/2014/main" id="{00000000-0008-0000-0600-00003E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2422</xdr:row>
      <xdr:rowOff>38100</xdr:rowOff>
    </xdr:from>
    <xdr:to>
      <xdr:col>7</xdr:col>
      <xdr:colOff>1163410</xdr:colOff>
      <xdr:row>2425</xdr:row>
      <xdr:rowOff>161925</xdr:rowOff>
    </xdr:to>
    <xdr:pic>
      <xdr:nvPicPr>
        <xdr:cNvPr id="63" name="Image 62" descr="Picture">
          <a:extLst>
            <a:ext uri="{FF2B5EF4-FFF2-40B4-BE49-F238E27FC236}">
              <a16:creationId xmlns:a16="http://schemas.microsoft.com/office/drawing/2014/main" id="{00000000-0008-0000-0600-00003F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editAs="oneCell">
    <xdr:from>
      <xdr:col>7</xdr:col>
      <xdr:colOff>151039</xdr:colOff>
      <xdr:row>2465</xdr:row>
      <xdr:rowOff>38100</xdr:rowOff>
    </xdr:from>
    <xdr:to>
      <xdr:col>7</xdr:col>
      <xdr:colOff>1163410</xdr:colOff>
      <xdr:row>2468</xdr:row>
      <xdr:rowOff>161925</xdr:rowOff>
    </xdr:to>
    <xdr:pic>
      <xdr:nvPicPr>
        <xdr:cNvPr id="64" name="Image 63" descr="Picture">
          <a:extLst>
            <a:ext uri="{FF2B5EF4-FFF2-40B4-BE49-F238E27FC236}">
              <a16:creationId xmlns:a16="http://schemas.microsoft.com/office/drawing/2014/main" id="{00000000-0008-0000-0600-000040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laneacion@maceo-antioquia.gov.co"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38"/>
  <sheetViews>
    <sheetView showGridLines="0" topLeftCell="A10" workbookViewId="0">
      <selection activeCell="B8" sqref="B8"/>
    </sheetView>
  </sheetViews>
  <sheetFormatPr baseColWidth="10" defaultColWidth="8.88671875" defaultRowHeight="14.4" x14ac:dyDescent="0.3"/>
  <cols>
    <col min="1" max="1" width="60" customWidth="1"/>
    <col min="2" max="2" width="50.77734375" customWidth="1"/>
    <col min="3" max="3" width="82" customWidth="1"/>
  </cols>
  <sheetData>
    <row r="1" spans="1:3" x14ac:dyDescent="0.3">
      <c r="A1" s="100" t="s">
        <v>0</v>
      </c>
      <c r="B1" s="101"/>
      <c r="C1" s="101"/>
    </row>
    <row r="2" spans="1:3" x14ac:dyDescent="0.3">
      <c r="A2" s="105" t="s">
        <v>1</v>
      </c>
      <c r="B2" s="101"/>
      <c r="C2" s="101"/>
    </row>
    <row r="3" spans="1:3" ht="30" customHeight="1" x14ac:dyDescent="0.3">
      <c r="A3" s="103" t="s">
        <v>1442</v>
      </c>
      <c r="B3" s="101"/>
      <c r="C3" s="101"/>
    </row>
    <row r="5" spans="1:3" x14ac:dyDescent="0.3">
      <c r="A5" s="102" t="s">
        <v>2</v>
      </c>
      <c r="B5" s="102"/>
      <c r="C5" s="102"/>
    </row>
    <row r="6" spans="1:3" x14ac:dyDescent="0.3">
      <c r="A6" s="13" t="s">
        <v>3</v>
      </c>
      <c r="B6" s="13" t="s">
        <v>4</v>
      </c>
      <c r="C6" s="13" t="s">
        <v>5</v>
      </c>
    </row>
    <row r="7" spans="1:3" x14ac:dyDescent="0.3">
      <c r="A7" s="14" t="s">
        <v>6</v>
      </c>
      <c r="B7" s="15" t="s">
        <v>1</v>
      </c>
      <c r="C7" s="16" t="s">
        <v>7</v>
      </c>
    </row>
    <row r="8" spans="1:3" ht="47.4" customHeight="1" x14ac:dyDescent="0.3">
      <c r="A8" s="14" t="s">
        <v>8</v>
      </c>
      <c r="B8" s="17" t="str">
        <f>A3</f>
        <v>OBRA PÚBLICA PARA LA EJECUCIÓN DE DIFERENTES MEJORAMIENTOS DE VIVIENDA EN EL CASCO URBANO Y RURAL DEL MUNICIPIO DE MACEO - ANTIOQUIA</v>
      </c>
      <c r="C8" s="18" t="s">
        <v>9</v>
      </c>
    </row>
    <row r="9" spans="1:3" x14ac:dyDescent="0.3">
      <c r="A9" s="14" t="s">
        <v>10</v>
      </c>
      <c r="B9" s="19"/>
      <c r="C9" s="18" t="s">
        <v>11</v>
      </c>
    </row>
    <row r="10" spans="1:3" x14ac:dyDescent="0.3">
      <c r="A10" s="14" t="s">
        <v>12</v>
      </c>
      <c r="B10" s="20" t="s">
        <v>1438</v>
      </c>
      <c r="C10" s="18" t="s">
        <v>11</v>
      </c>
    </row>
    <row r="11" spans="1:3" x14ac:dyDescent="0.3">
      <c r="A11" s="14" t="s">
        <v>13</v>
      </c>
      <c r="B11" s="20" t="s">
        <v>1439</v>
      </c>
      <c r="C11" s="18" t="s">
        <v>14</v>
      </c>
    </row>
    <row r="12" spans="1:3" x14ac:dyDescent="0.3">
      <c r="A12" s="14" t="s">
        <v>15</v>
      </c>
      <c r="B12" s="19"/>
      <c r="C12" s="18" t="s">
        <v>16</v>
      </c>
    </row>
    <row r="13" spans="1:3" x14ac:dyDescent="0.3">
      <c r="A13" s="14" t="s">
        <v>17</v>
      </c>
      <c r="B13" s="95" t="s">
        <v>1440</v>
      </c>
      <c r="C13" s="18" t="s">
        <v>11</v>
      </c>
    </row>
    <row r="14" spans="1:3" x14ac:dyDescent="0.3">
      <c r="A14" s="14" t="s">
        <v>18</v>
      </c>
      <c r="B14" s="21">
        <v>1750905</v>
      </c>
      <c r="C14" s="16" t="s">
        <v>19</v>
      </c>
    </row>
    <row r="15" spans="1:3" x14ac:dyDescent="0.3">
      <c r="A15" s="14" t="s">
        <v>20</v>
      </c>
      <c r="B15" s="21">
        <v>249095</v>
      </c>
      <c r="C15" s="16" t="s">
        <v>21</v>
      </c>
    </row>
    <row r="16" spans="1:3" x14ac:dyDescent="0.3">
      <c r="A16" s="14" t="s">
        <v>22</v>
      </c>
      <c r="B16" s="15" t="s">
        <v>23</v>
      </c>
      <c r="C16" s="16" t="s">
        <v>24</v>
      </c>
    </row>
    <row r="17" spans="1:3" x14ac:dyDescent="0.3">
      <c r="A17" s="14" t="s">
        <v>25</v>
      </c>
      <c r="B17" s="15" t="s">
        <v>26</v>
      </c>
      <c r="C17" s="16" t="s">
        <v>27</v>
      </c>
    </row>
    <row r="18" spans="1:3" x14ac:dyDescent="0.3">
      <c r="A18" s="14" t="s">
        <v>28</v>
      </c>
      <c r="B18" s="15" t="s">
        <v>29</v>
      </c>
      <c r="C18" s="16" t="s">
        <v>30</v>
      </c>
    </row>
    <row r="19" spans="1:3" x14ac:dyDescent="0.3">
      <c r="A19" s="14" t="s">
        <v>31</v>
      </c>
      <c r="B19" s="22">
        <f>IF(B18="I",0.522%,IF(B18="II",1.044%,IF(B18="III",2.436%,IF(B18="IV",4.35%,6.96%))))</f>
        <v>6.9599999999999995E-2</v>
      </c>
      <c r="C19" s="16" t="s">
        <v>32</v>
      </c>
    </row>
    <row r="20" spans="1:3" x14ac:dyDescent="0.3">
      <c r="A20" s="14" t="s">
        <v>33</v>
      </c>
      <c r="B20" s="23">
        <v>3</v>
      </c>
      <c r="C20" s="18" t="s">
        <v>34</v>
      </c>
    </row>
    <row r="21" spans="1:3" x14ac:dyDescent="0.3">
      <c r="A21" s="14" t="s">
        <v>35</v>
      </c>
      <c r="B21" s="15" t="s">
        <v>26</v>
      </c>
      <c r="C21" s="16" t="s">
        <v>36</v>
      </c>
    </row>
    <row r="22" spans="1:3" ht="22.8" x14ac:dyDescent="0.3">
      <c r="A22" s="14" t="s">
        <v>37</v>
      </c>
      <c r="B22" s="15" t="s">
        <v>26</v>
      </c>
      <c r="C22" s="16" t="s">
        <v>38</v>
      </c>
    </row>
    <row r="23" spans="1:3" x14ac:dyDescent="0.3">
      <c r="A23" s="14" t="s">
        <v>39</v>
      </c>
      <c r="B23" s="23">
        <v>10</v>
      </c>
      <c r="C23" s="18" t="s">
        <v>40</v>
      </c>
    </row>
    <row r="24" spans="1:3" x14ac:dyDescent="0.3">
      <c r="A24" s="14" t="s">
        <v>41</v>
      </c>
      <c r="B24" s="24">
        <v>50</v>
      </c>
      <c r="C24" s="16" t="s">
        <v>42</v>
      </c>
    </row>
    <row r="25" spans="1:3" ht="22.8" x14ac:dyDescent="0.3">
      <c r="A25" s="14" t="s">
        <v>43</v>
      </c>
      <c r="B25" s="24">
        <v>80</v>
      </c>
      <c r="C25" s="16" t="s">
        <v>44</v>
      </c>
    </row>
    <row r="26" spans="1:3" ht="21.6" x14ac:dyDescent="0.3">
      <c r="A26" s="14" t="s">
        <v>45</v>
      </c>
      <c r="B26" s="25">
        <f>IF(COUNT(BENEFICIARIOS!$F$7:$F$17)&gt;0,AVERAGE(BENEFICIARIOS!$F$7:$F$17),10)</f>
        <v>10</v>
      </c>
      <c r="C26" s="18" t="s">
        <v>46</v>
      </c>
    </row>
    <row r="27" spans="1:3" x14ac:dyDescent="0.3">
      <c r="A27" s="14" t="s">
        <v>47</v>
      </c>
      <c r="B27" s="26">
        <f>COUNTA(BENEFICIARIOS!$C$7:$C$17)</f>
        <v>11</v>
      </c>
      <c r="C27" s="16" t="s">
        <v>48</v>
      </c>
    </row>
    <row r="29" spans="1:3" x14ac:dyDescent="0.3">
      <c r="A29" s="14" t="s">
        <v>49</v>
      </c>
      <c r="B29" s="15" t="s">
        <v>50</v>
      </c>
      <c r="C29" s="16" t="s">
        <v>51</v>
      </c>
    </row>
    <row r="30" spans="1:3" x14ac:dyDescent="0.3">
      <c r="A30" s="14" t="s">
        <v>52</v>
      </c>
      <c r="B30" s="26">
        <f>365-52-18-3</f>
        <v>292</v>
      </c>
      <c r="C30" s="16" t="s">
        <v>53</v>
      </c>
    </row>
    <row r="31" spans="1:3" x14ac:dyDescent="0.3">
      <c r="A31" s="14" t="s">
        <v>54</v>
      </c>
      <c r="B31" s="24">
        <v>126.5</v>
      </c>
      <c r="C31" s="16" t="s">
        <v>55</v>
      </c>
    </row>
    <row r="32" spans="1:3" x14ac:dyDescent="0.3">
      <c r="A32" s="14" t="s">
        <v>56</v>
      </c>
      <c r="B32" s="96">
        <v>0.28999999999999998</v>
      </c>
      <c r="C32" s="16" t="s">
        <v>57</v>
      </c>
    </row>
    <row r="33" spans="1:3" x14ac:dyDescent="0.3">
      <c r="A33" s="14" t="s">
        <v>58</v>
      </c>
      <c r="B33" s="96">
        <v>0.05</v>
      </c>
      <c r="C33" s="16" t="s">
        <v>59</v>
      </c>
    </row>
    <row r="34" spans="1:3" x14ac:dyDescent="0.3">
      <c r="A34" s="14" t="s">
        <v>60</v>
      </c>
      <c r="B34" s="27">
        <v>0.34</v>
      </c>
      <c r="C34" s="16" t="s">
        <v>61</v>
      </c>
    </row>
    <row r="35" spans="1:3" ht="21.6" x14ac:dyDescent="0.3">
      <c r="A35" s="14" t="s">
        <v>62</v>
      </c>
      <c r="B35" s="20" t="s">
        <v>63</v>
      </c>
      <c r="C35" s="18" t="s">
        <v>64</v>
      </c>
    </row>
    <row r="36" spans="1:3" x14ac:dyDescent="0.3">
      <c r="A36" s="14" t="s">
        <v>65</v>
      </c>
      <c r="B36" s="28">
        <v>8.0000000000000002E-3</v>
      </c>
      <c r="C36" s="18" t="s">
        <v>66</v>
      </c>
    </row>
    <row r="38" spans="1:3" ht="24" customHeight="1" x14ac:dyDescent="0.3">
      <c r="A38" s="104" t="s">
        <v>67</v>
      </c>
      <c r="B38" s="101"/>
      <c r="C38" s="101"/>
    </row>
  </sheetData>
  <mergeCells count="5">
    <mergeCell ref="A1:C1"/>
    <mergeCell ref="A5:C5"/>
    <mergeCell ref="A3:C3"/>
    <mergeCell ref="A38:C38"/>
    <mergeCell ref="A2:C2"/>
  </mergeCells>
  <hyperlinks>
    <hyperlink ref="B13" r:id="rId1" xr:uid="{7645EBB8-232D-47F4-86EE-CC8726EED663}"/>
  </hyperlinks>
  <pageMargins left="0.4" right="0.4" top="0.5" bottom="0.5" header="0.5" footer="0.5"/>
  <pageSetup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M24"/>
  <sheetViews>
    <sheetView showGridLines="0" topLeftCell="A4" workbookViewId="0">
      <selection activeCell="F21" sqref="F21"/>
    </sheetView>
  </sheetViews>
  <sheetFormatPr baseColWidth="10" defaultColWidth="8.88671875" defaultRowHeight="14.4" x14ac:dyDescent="0.3"/>
  <cols>
    <col min="1" max="1" width="2" customWidth="1"/>
    <col min="2" max="2" width="7" customWidth="1"/>
    <col min="3" max="3" width="54" customWidth="1"/>
    <col min="4" max="4" width="12" customWidth="1"/>
    <col min="5" max="5" width="19" customWidth="1"/>
    <col min="6" max="6" width="18" customWidth="1"/>
    <col min="7" max="7" width="17" customWidth="1"/>
    <col min="8" max="9" width="19" customWidth="1"/>
    <col min="10" max="10" width="11" customWidth="1"/>
    <col min="11" max="11" width="15.33203125" style="93" bestFit="1" customWidth="1"/>
    <col min="12" max="12" width="14.33203125" bestFit="1" customWidth="1"/>
    <col min="13" max="13" width="16.44140625" bestFit="1" customWidth="1"/>
  </cols>
  <sheetData>
    <row r="1" spans="2:13" ht="19.5" customHeight="1" x14ac:dyDescent="0.3">
      <c r="B1" s="113" t="s">
        <v>1</v>
      </c>
      <c r="C1" s="113"/>
      <c r="D1" s="113"/>
      <c r="E1" s="113"/>
      <c r="F1" s="113"/>
      <c r="G1" s="113"/>
      <c r="H1" s="113"/>
      <c r="I1" s="113"/>
      <c r="J1" s="110"/>
    </row>
    <row r="2" spans="2:13" ht="30" customHeight="1" x14ac:dyDescent="0.3">
      <c r="B2" s="109" t="str">
        <f>'Datos Iniciales'!$B$8</f>
        <v>OBRA PÚBLICA PARA LA EJECUCIÓN DE DIFERENTES MEJORAMIENTOS DE VIVIENDA EN EL CASCO URBANO Y RURAL DEL MUNICIPIO DE MACEO - ANTIOQUIA</v>
      </c>
      <c r="C2" s="109"/>
      <c r="D2" s="109"/>
      <c r="E2" s="109"/>
      <c r="F2" s="109"/>
      <c r="G2" s="109"/>
      <c r="H2" s="109"/>
      <c r="I2" s="109"/>
      <c r="J2" s="110"/>
    </row>
    <row r="3" spans="2:13" ht="19.5" customHeight="1" x14ac:dyDescent="0.3">
      <c r="B3" s="111" t="s">
        <v>68</v>
      </c>
      <c r="C3" s="111"/>
      <c r="D3" s="111"/>
      <c r="E3" s="111"/>
      <c r="F3" s="111"/>
      <c r="G3" s="111"/>
      <c r="H3" s="111"/>
      <c r="I3" s="111"/>
      <c r="J3" s="110"/>
    </row>
    <row r="4" spans="2:13" ht="18" customHeight="1" x14ac:dyDescent="0.3">
      <c r="B4" s="114" t="str">
        <f>"Proceso: "&amp;'Datos Iniciales'!$B$29&amp;"   |   Plazo: "&amp;'Datos Iniciales'!$B$20&amp;" meses   |   A = "&amp;ROUND('Datos Iniciales'!$B$32*100,2)&amp;" %  ·  U = "&amp;ROUND('Datos Iniciales'!$B$33*100,2)&amp;" %"</f>
        <v>Proceso: SAMC-SP-011-2026   |   Plazo: 3 meses   |   A = 29 %  ·  U = 5 %</v>
      </c>
      <c r="C4" s="114"/>
      <c r="D4" s="114"/>
      <c r="E4" s="114"/>
      <c r="F4" s="114"/>
      <c r="G4" s="114"/>
      <c r="H4" s="114"/>
      <c r="I4" s="114"/>
      <c r="J4" s="110"/>
    </row>
    <row r="6" spans="2:13" ht="30" customHeight="1" x14ac:dyDescent="0.3">
      <c r="B6" s="13" t="s">
        <v>69</v>
      </c>
      <c r="C6" s="13" t="s">
        <v>70</v>
      </c>
      <c r="D6" s="13" t="s">
        <v>71</v>
      </c>
      <c r="E6" s="13" t="s">
        <v>72</v>
      </c>
      <c r="F6" s="13" t="s">
        <v>73</v>
      </c>
      <c r="G6" s="13" t="s">
        <v>74</v>
      </c>
      <c r="H6" s="13" t="s">
        <v>75</v>
      </c>
      <c r="I6" s="13" t="s">
        <v>76</v>
      </c>
      <c r="J6" s="13" t="s">
        <v>77</v>
      </c>
      <c r="L6" s="94"/>
    </row>
    <row r="7" spans="2:13" ht="24" customHeight="1" x14ac:dyDescent="0.3">
      <c r="B7" s="31">
        <v>1</v>
      </c>
      <c r="C7" s="14" t="s">
        <v>78</v>
      </c>
      <c r="D7" s="26">
        <f>COUNTIF(BENEFICIARIOS!$E$7:$E$17,B7)</f>
        <v>3</v>
      </c>
      <c r="E7" s="32">
        <f>PRESUPUESTO!$I$6</f>
        <v>38133550</v>
      </c>
      <c r="F7" s="32">
        <f>E7*'Datos Iniciales'!$B$32</f>
        <v>11058729.5</v>
      </c>
      <c r="G7" s="32">
        <f>E7*'Datos Iniciales'!$B$33</f>
        <v>1906677.5</v>
      </c>
      <c r="H7" s="33">
        <f>E7+F7+G7</f>
        <v>51098957</v>
      </c>
      <c r="I7" s="32">
        <f>IF(D7&gt;0,H7/D7,0)</f>
        <v>17032985.666666668</v>
      </c>
      <c r="J7" s="22">
        <f>IF($H$12&gt;0,H7/$H$12,0)</f>
        <v>0.20100453589635012</v>
      </c>
      <c r="L7" s="94"/>
      <c r="M7" s="94"/>
    </row>
    <row r="8" spans="2:13" ht="24" customHeight="1" x14ac:dyDescent="0.3">
      <c r="B8" s="31">
        <v>2</v>
      </c>
      <c r="C8" s="14" t="s">
        <v>79</v>
      </c>
      <c r="D8" s="26">
        <f>COUNTIF(BENEFICIARIOS!$E$7:$E$17,B8)</f>
        <v>3</v>
      </c>
      <c r="E8" s="32">
        <f>PRESUPUESTO!$I$33</f>
        <v>46987307</v>
      </c>
      <c r="F8" s="32">
        <f>E8*'Datos Iniciales'!$B$32</f>
        <v>13626319.029999999</v>
      </c>
      <c r="G8" s="32">
        <f>E8*'Datos Iniciales'!$B$33</f>
        <v>2349365.35</v>
      </c>
      <c r="H8" s="33">
        <f>E8+F8+G8</f>
        <v>62962991.380000003</v>
      </c>
      <c r="I8" s="32">
        <f t="shared" ref="I8:I12" si="0">IF(D8&gt;0,H8/D8,0)</f>
        <v>20987663.793333333</v>
      </c>
      <c r="J8" s="22">
        <f>IF($H$12&gt;0,H8/$H$12,0)</f>
        <v>0.24767329127643042</v>
      </c>
      <c r="L8" s="94"/>
      <c r="M8" s="94"/>
    </row>
    <row r="9" spans="2:13" ht="24" customHeight="1" x14ac:dyDescent="0.3">
      <c r="B9" s="31">
        <v>3</v>
      </c>
      <c r="C9" s="14" t="s">
        <v>80</v>
      </c>
      <c r="D9" s="26">
        <f>COUNTIF(BENEFICIARIOS!$E$7:$E$17,B9)</f>
        <v>3</v>
      </c>
      <c r="E9" s="32">
        <f>PRESUPUESTO!$I$72</f>
        <v>51985500</v>
      </c>
      <c r="F9" s="32">
        <f>E9*'Datos Iniciales'!$B$32</f>
        <v>15075794.999999998</v>
      </c>
      <c r="G9" s="32">
        <f>E9*'Datos Iniciales'!$B$33</f>
        <v>2599275</v>
      </c>
      <c r="H9" s="33">
        <f>E9+F9+G9</f>
        <v>69660570</v>
      </c>
      <c r="I9" s="32">
        <f t="shared" si="0"/>
        <v>23220190</v>
      </c>
      <c r="J9" s="22">
        <f>IF($H$12&gt;0,H9/$H$12,0)</f>
        <v>0.27401910655681699</v>
      </c>
      <c r="L9" s="94"/>
      <c r="M9" s="94"/>
    </row>
    <row r="10" spans="2:13" ht="24" customHeight="1" x14ac:dyDescent="0.3">
      <c r="B10" s="31">
        <v>4</v>
      </c>
      <c r="C10" s="14" t="s">
        <v>81</v>
      </c>
      <c r="D10" s="26">
        <f>COUNTIF(BENEFICIARIOS!$E$7:$E$17,B10)</f>
        <v>1</v>
      </c>
      <c r="E10" s="32">
        <f>PRESUPUESTO!$I$82</f>
        <v>41655977</v>
      </c>
      <c r="F10" s="32">
        <f>E10*'Datos Iniciales'!$B$32</f>
        <v>12080233.33</v>
      </c>
      <c r="G10" s="32">
        <f>E10*'Datos Iniciales'!$B$33</f>
        <v>2082798.85</v>
      </c>
      <c r="H10" s="33">
        <f>E10+F10+G10</f>
        <v>55819009.18</v>
      </c>
      <c r="I10" s="32">
        <f t="shared" si="0"/>
        <v>55819009.18</v>
      </c>
      <c r="J10" s="22">
        <f>IF($H$12&gt;0,H10/$H$12,0)</f>
        <v>0.21957148820904515</v>
      </c>
      <c r="L10" s="94"/>
      <c r="M10" s="94"/>
    </row>
    <row r="11" spans="2:13" ht="24" customHeight="1" x14ac:dyDescent="0.3">
      <c r="B11" s="31">
        <v>5</v>
      </c>
      <c r="C11" s="14" t="s">
        <v>82</v>
      </c>
      <c r="D11" s="26">
        <f>COUNTIF(BENEFICIARIOS!$E$7:$E$17,B11)</f>
        <v>1</v>
      </c>
      <c r="E11" s="32">
        <f>PRESUPUESTO!$I$125</f>
        <v>10952539</v>
      </c>
      <c r="F11" s="32">
        <f>E11*'Datos Iniciales'!$B$32</f>
        <v>3176236.3099999996</v>
      </c>
      <c r="G11" s="32">
        <f>E11*'Datos Iniciales'!$B$33</f>
        <v>547626.95000000007</v>
      </c>
      <c r="H11" s="33">
        <f>E11+F11+G11</f>
        <v>14676402.259999998</v>
      </c>
      <c r="I11" s="32">
        <f t="shared" si="0"/>
        <v>14676402.259999998</v>
      </c>
      <c r="J11" s="22">
        <f>IF($H$12&gt;0,H11/$H$12,0)</f>
        <v>5.7731578061357362E-2</v>
      </c>
      <c r="L11" s="94"/>
      <c r="M11" s="94"/>
    </row>
    <row r="12" spans="2:13" x14ac:dyDescent="0.3">
      <c r="B12" s="115" t="s">
        <v>83</v>
      </c>
      <c r="C12" s="115"/>
      <c r="D12" s="34">
        <f>SUM(D7:D11)</f>
        <v>11</v>
      </c>
      <c r="E12" s="35">
        <f>SUM(E7:E11)</f>
        <v>189714873</v>
      </c>
      <c r="F12" s="35">
        <f>SUM(F7:F11)</f>
        <v>55017313.170000002</v>
      </c>
      <c r="G12" s="35">
        <f>SUM(G7:G11)</f>
        <v>9485743.6499999985</v>
      </c>
      <c r="H12" s="35">
        <f>SUM(H7:H11)</f>
        <v>254217929.81999999</v>
      </c>
      <c r="I12" s="35">
        <f t="shared" si="0"/>
        <v>23110720.892727271</v>
      </c>
      <c r="J12" s="36">
        <f>SUM(J7:J11)</f>
        <v>1</v>
      </c>
      <c r="L12" s="94"/>
      <c r="M12" s="94"/>
    </row>
    <row r="14" spans="2:13" x14ac:dyDescent="0.3">
      <c r="B14" s="112" t="s">
        <v>84</v>
      </c>
      <c r="C14" s="112"/>
      <c r="D14" s="112"/>
      <c r="E14" s="112"/>
      <c r="F14" s="112"/>
    </row>
    <row r="15" spans="2:13" x14ac:dyDescent="0.3">
      <c r="B15" s="108" t="s">
        <v>72</v>
      </c>
      <c r="C15" s="108"/>
      <c r="D15" s="108"/>
      <c r="E15" s="22"/>
      <c r="F15" s="32">
        <f>PRESUPUESTO!$H$138</f>
        <v>189714873</v>
      </c>
    </row>
    <row r="16" spans="2:13" x14ac:dyDescent="0.3">
      <c r="B16" s="108" t="s">
        <v>85</v>
      </c>
      <c r="C16" s="108"/>
      <c r="D16" s="108"/>
      <c r="E16" s="22">
        <f>'Datos Iniciales'!$B$32</f>
        <v>0.28999999999999998</v>
      </c>
      <c r="F16" s="32">
        <f>PRESUPUESTO!$H$139</f>
        <v>55017313</v>
      </c>
    </row>
    <row r="17" spans="2:10" x14ac:dyDescent="0.3">
      <c r="B17" s="108" t="s">
        <v>58</v>
      </c>
      <c r="C17" s="108"/>
      <c r="D17" s="108"/>
      <c r="E17" s="22">
        <f>'Datos Iniciales'!$B$33</f>
        <v>0.05</v>
      </c>
      <c r="F17" s="32">
        <f>PRESUPUESTO!$H$140</f>
        <v>9485744</v>
      </c>
    </row>
    <row r="18" spans="2:10" x14ac:dyDescent="0.3">
      <c r="B18" s="108" t="s">
        <v>86</v>
      </c>
      <c r="C18" s="108"/>
      <c r="D18" s="108"/>
      <c r="E18" s="22">
        <f>E16+E17</f>
        <v>0.33999999999999997</v>
      </c>
      <c r="F18" s="32">
        <f>PRESUPUESTO!$H$141</f>
        <v>64503057</v>
      </c>
    </row>
    <row r="19" spans="2:10" x14ac:dyDescent="0.3">
      <c r="B19" s="107" t="s">
        <v>87</v>
      </c>
      <c r="C19" s="107"/>
      <c r="D19" s="107"/>
      <c r="E19" s="22"/>
      <c r="F19" s="37">
        <f>PRESUPUESTO!$H$142</f>
        <v>254217930</v>
      </c>
    </row>
    <row r="20" spans="2:10" x14ac:dyDescent="0.3">
      <c r="B20" s="108" t="s">
        <v>88</v>
      </c>
      <c r="C20" s="108"/>
      <c r="D20" s="108"/>
      <c r="E20" s="22"/>
      <c r="F20" s="26">
        <f>'Datos Iniciales'!$B$27</f>
        <v>11</v>
      </c>
    </row>
    <row r="21" spans="2:10" x14ac:dyDescent="0.3">
      <c r="B21" s="108" t="s">
        <v>89</v>
      </c>
      <c r="C21" s="108"/>
      <c r="D21" s="108"/>
      <c r="E21" s="22"/>
      <c r="F21" s="32">
        <f>F19/F20</f>
        <v>23110720.90909091</v>
      </c>
    </row>
    <row r="22" spans="2:10" x14ac:dyDescent="0.3">
      <c r="B22" s="108" t="s">
        <v>90</v>
      </c>
      <c r="C22" s="108"/>
      <c r="D22" s="108"/>
      <c r="E22" s="22"/>
      <c r="F22" s="32">
        <f>F19-H12</f>
        <v>0.18000000715255737</v>
      </c>
    </row>
    <row r="24" spans="2:10" ht="30" customHeight="1" x14ac:dyDescent="0.3">
      <c r="B24" s="106" t="s">
        <v>91</v>
      </c>
      <c r="C24" s="101"/>
      <c r="D24" s="101"/>
      <c r="E24" s="101"/>
      <c r="F24" s="101"/>
      <c r="G24" s="101"/>
      <c r="H24" s="101"/>
      <c r="I24" s="101"/>
      <c r="J24" s="101"/>
    </row>
  </sheetData>
  <mergeCells count="16">
    <mergeCell ref="B24:J24"/>
    <mergeCell ref="B19:D19"/>
    <mergeCell ref="B22:D22"/>
    <mergeCell ref="B2:I2"/>
    <mergeCell ref="B16:D16"/>
    <mergeCell ref="B17:D17"/>
    <mergeCell ref="J1:J4"/>
    <mergeCell ref="B3:I3"/>
    <mergeCell ref="B18:D18"/>
    <mergeCell ref="B21:D21"/>
    <mergeCell ref="B14:F14"/>
    <mergeCell ref="B15:D15"/>
    <mergeCell ref="B1:I1"/>
    <mergeCell ref="B4:I4"/>
    <mergeCell ref="B20:D20"/>
    <mergeCell ref="B12:C12"/>
  </mergeCells>
  <pageMargins left="0.4" right="0.4" top="0.5" bottom="0.5" header="0.5" footer="0.5"/>
  <pageSetup fitToHeight="0"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L155"/>
  <sheetViews>
    <sheetView showGridLines="0" tabSelected="1" workbookViewId="0">
      <pane ySplit="5" topLeftCell="A30" activePane="bottomLeft" state="frozen"/>
      <selection pane="bottomLeft" activeCell="E31" sqref="E31"/>
    </sheetView>
  </sheetViews>
  <sheetFormatPr baseColWidth="10" defaultColWidth="8.88671875" defaultRowHeight="14.4" x14ac:dyDescent="0.3"/>
  <cols>
    <col min="1" max="1" width="2" customWidth="1"/>
    <col min="2" max="2" width="8" customWidth="1"/>
    <col min="3" max="3" width="92" customWidth="1"/>
    <col min="4" max="4" width="8" customWidth="1"/>
    <col min="5" max="5" width="12" customWidth="1"/>
    <col min="6" max="6" width="14.6640625" customWidth="1"/>
    <col min="7" max="7" width="17" customWidth="1"/>
    <col min="8" max="8" width="19" customWidth="1"/>
    <col min="9" max="9" width="20" customWidth="1"/>
    <col min="12" max="12" width="10.33203125" bestFit="1" customWidth="1"/>
  </cols>
  <sheetData>
    <row r="1" spans="2:12" ht="19.5" customHeight="1" x14ac:dyDescent="0.3">
      <c r="B1" s="113" t="s">
        <v>1</v>
      </c>
      <c r="C1" s="113"/>
      <c r="D1" s="113"/>
      <c r="E1" s="113"/>
      <c r="F1" s="113"/>
      <c r="G1" s="113"/>
      <c r="H1" s="113"/>
      <c r="I1" s="110"/>
    </row>
    <row r="2" spans="2:12" ht="30" customHeight="1" x14ac:dyDescent="0.3">
      <c r="B2" s="109" t="str">
        <f>'Datos Iniciales'!$B$8</f>
        <v>OBRA PÚBLICA PARA LA EJECUCIÓN DE DIFERENTES MEJORAMIENTOS DE VIVIENDA EN EL CASCO URBANO Y RURAL DEL MUNICIPIO DE MACEO - ANTIOQUIA</v>
      </c>
      <c r="C2" s="109"/>
      <c r="D2" s="109"/>
      <c r="E2" s="109"/>
      <c r="F2" s="109"/>
      <c r="G2" s="109"/>
      <c r="H2" s="109"/>
      <c r="I2" s="110"/>
    </row>
    <row r="3" spans="2:12" ht="19.5" customHeight="1" x14ac:dyDescent="0.3">
      <c r="B3" s="111" t="s">
        <v>92</v>
      </c>
      <c r="C3" s="111"/>
      <c r="D3" s="111"/>
      <c r="E3" s="111"/>
      <c r="F3" s="111"/>
      <c r="G3" s="111"/>
      <c r="H3" s="111"/>
      <c r="I3" s="110"/>
    </row>
    <row r="4" spans="2:12" ht="19.5" customHeight="1" x14ac:dyDescent="0.3">
      <c r="B4" s="114" t="str">
        <f>"Proceso: "&amp;'Datos Iniciales'!$B$29&amp;"   |   Beneficiarios: "&amp;'Datos Iniciales'!$B$27&amp;" viviendas (hoja BENEFICIARIOS)   |   Plazo: "&amp;'Datos Iniciales'!$B$20&amp;" meses   |   Valores en pesos 2026"</f>
        <v>Proceso: SAMC-SP-011-2026   |   Beneficiarios: 11 viviendas (hoja BENEFICIARIOS)   |   Plazo: 3 meses   |   Valores en pesos 2026</v>
      </c>
      <c r="C4" s="114"/>
      <c r="D4" s="114"/>
      <c r="E4" s="114"/>
      <c r="F4" s="114"/>
      <c r="G4" s="114"/>
      <c r="H4" s="114"/>
      <c r="I4" s="110"/>
    </row>
    <row r="5" spans="2:12" ht="27.6" customHeight="1" x14ac:dyDescent="0.3">
      <c r="B5" s="12" t="s">
        <v>93</v>
      </c>
      <c r="C5" s="12" t="s">
        <v>94</v>
      </c>
      <c r="D5" s="12" t="s">
        <v>95</v>
      </c>
      <c r="E5" s="12" t="s">
        <v>96</v>
      </c>
      <c r="F5" s="12" t="s">
        <v>1437</v>
      </c>
      <c r="G5" s="12" t="s">
        <v>97</v>
      </c>
      <c r="H5" s="12" t="s">
        <v>75</v>
      </c>
      <c r="I5" s="12" t="s">
        <v>98</v>
      </c>
    </row>
    <row r="6" spans="2:12" ht="18" customHeight="1" x14ac:dyDescent="0.3">
      <c r="B6" s="38">
        <v>1</v>
      </c>
      <c r="C6" s="116" t="str">
        <f>"MÓDULO HABITACIONAL DE 2,50 x 3,00 m ("&amp;RESUMEN!$D$7&amp;" UNIDAD"&amp;IF(RESUMEN!$D$7=1,"","ES")&amp;")"</f>
        <v>MÓDULO HABITACIONAL DE 2,50 x 3,00 m (3 UNIDADES)</v>
      </c>
      <c r="D6" s="116"/>
      <c r="E6" s="116"/>
      <c r="F6" s="116"/>
      <c r="G6" s="116"/>
      <c r="H6" s="116"/>
      <c r="I6" s="39">
        <f>SUM(H7:H32)</f>
        <v>38133550</v>
      </c>
    </row>
    <row r="7" spans="2:12" ht="31.2" customHeight="1" x14ac:dyDescent="0.3">
      <c r="B7" s="17" t="s">
        <v>99</v>
      </c>
      <c r="C7" s="40" t="s">
        <v>100</v>
      </c>
      <c r="D7" s="17" t="s">
        <v>101</v>
      </c>
      <c r="E7" s="41">
        <f>'MEMORIAS DE CALCULO'!$H$8</f>
        <v>22.5</v>
      </c>
      <c r="F7" s="152">
        <f>E7/3</f>
        <v>7.5</v>
      </c>
      <c r="G7" s="32">
        <f>ROUND(APUS!$H$31,0)</f>
        <v>3578</v>
      </c>
      <c r="H7" s="33">
        <f t="shared" ref="H7:H32" si="0">ROUND(E7*G7,0)</f>
        <v>80505</v>
      </c>
      <c r="I7" s="29"/>
      <c r="K7" s="92"/>
      <c r="L7" s="11"/>
    </row>
    <row r="8" spans="2:12" ht="31.2" customHeight="1" x14ac:dyDescent="0.3">
      <c r="B8" s="17" t="s">
        <v>102</v>
      </c>
      <c r="C8" s="40" t="s">
        <v>103</v>
      </c>
      <c r="D8" s="17" t="s">
        <v>104</v>
      </c>
      <c r="E8" s="41">
        <f>'MEMORIAS DE CALCULO'!$H$9</f>
        <v>6.99</v>
      </c>
      <c r="F8" s="152">
        <f t="shared" ref="F8:F32" si="1">E8/3</f>
        <v>2.33</v>
      </c>
      <c r="G8" s="32">
        <f>ROUND(APUS!$H$68,0)</f>
        <v>56233</v>
      </c>
      <c r="H8" s="33">
        <f t="shared" si="0"/>
        <v>393069</v>
      </c>
      <c r="I8" s="29"/>
    </row>
    <row r="9" spans="2:12" ht="31.2" customHeight="1" x14ac:dyDescent="0.3">
      <c r="B9" s="17" t="s">
        <v>105</v>
      </c>
      <c r="C9" s="40" t="s">
        <v>106</v>
      </c>
      <c r="D9" s="17" t="s">
        <v>107</v>
      </c>
      <c r="E9" s="41">
        <f>'MEMORIAS DE CALCULO'!$H$10</f>
        <v>31.56</v>
      </c>
      <c r="F9" s="152">
        <f t="shared" si="1"/>
        <v>10.52</v>
      </c>
      <c r="G9" s="32">
        <f>ROUND(APUS!$H$223,0)</f>
        <v>79831</v>
      </c>
      <c r="H9" s="33">
        <f t="shared" si="0"/>
        <v>2519466</v>
      </c>
      <c r="I9" s="29"/>
    </row>
    <row r="10" spans="2:12" ht="43.8" customHeight="1" x14ac:dyDescent="0.3">
      <c r="B10" s="17" t="s">
        <v>108</v>
      </c>
      <c r="C10" s="40" t="s">
        <v>109</v>
      </c>
      <c r="D10" s="17" t="s">
        <v>101</v>
      </c>
      <c r="E10" s="41">
        <f>'MEMORIAS DE CALCULO'!$H$11</f>
        <v>18.72</v>
      </c>
      <c r="F10" s="152">
        <f t="shared" si="1"/>
        <v>6.2399999999999993</v>
      </c>
      <c r="G10" s="32">
        <f>ROUND(APUS!$H$670,0)</f>
        <v>155779</v>
      </c>
      <c r="H10" s="33">
        <f t="shared" si="0"/>
        <v>2916183</v>
      </c>
      <c r="I10" s="29"/>
    </row>
    <row r="11" spans="2:12" ht="31.8" customHeight="1" x14ac:dyDescent="0.3">
      <c r="B11" s="17" t="s">
        <v>110</v>
      </c>
      <c r="C11" s="40" t="s">
        <v>111</v>
      </c>
      <c r="D11" s="17" t="s">
        <v>112</v>
      </c>
      <c r="E11" s="41">
        <f>'MEMORIAS DE CALCULO'!$H$12</f>
        <v>425.04</v>
      </c>
      <c r="F11" s="152">
        <f t="shared" si="1"/>
        <v>141.68</v>
      </c>
      <c r="G11" s="32">
        <f>ROUND(APUS!$H$628,0)</f>
        <v>8946</v>
      </c>
      <c r="H11" s="33">
        <f t="shared" si="0"/>
        <v>3802408</v>
      </c>
      <c r="I11" s="29"/>
    </row>
    <row r="12" spans="2:12" ht="31.8" customHeight="1" x14ac:dyDescent="0.3">
      <c r="B12" s="17" t="s">
        <v>113</v>
      </c>
      <c r="C12" s="40" t="s">
        <v>114</v>
      </c>
      <c r="D12" s="17" t="s">
        <v>107</v>
      </c>
      <c r="E12" s="41">
        <f>'MEMORIAS DE CALCULO'!$H$13</f>
        <v>27.6</v>
      </c>
      <c r="F12" s="152">
        <f t="shared" si="1"/>
        <v>9.2000000000000011</v>
      </c>
      <c r="G12" s="32">
        <f>ROUND(APUS!$H$386,0)</f>
        <v>48725</v>
      </c>
      <c r="H12" s="33">
        <f t="shared" si="0"/>
        <v>1344810</v>
      </c>
      <c r="I12" s="29"/>
    </row>
    <row r="13" spans="2:12" ht="31.8" customHeight="1" x14ac:dyDescent="0.3">
      <c r="B13" s="17" t="s">
        <v>115</v>
      </c>
      <c r="C13" s="40" t="s">
        <v>116</v>
      </c>
      <c r="D13" s="17" t="s">
        <v>101</v>
      </c>
      <c r="E13" s="41">
        <f>'MEMORIAS DE CALCULO'!$H$14</f>
        <v>57.93</v>
      </c>
      <c r="F13" s="152">
        <f t="shared" si="1"/>
        <v>19.309999999999999</v>
      </c>
      <c r="G13" s="32">
        <f>ROUND(APUS!$H$753,0)</f>
        <v>81039</v>
      </c>
      <c r="H13" s="33">
        <f t="shared" si="0"/>
        <v>4694589</v>
      </c>
      <c r="I13" s="29"/>
    </row>
    <row r="14" spans="2:12" ht="31.8" customHeight="1" x14ac:dyDescent="0.3">
      <c r="B14" s="17" t="s">
        <v>117</v>
      </c>
      <c r="C14" s="40" t="s">
        <v>118</v>
      </c>
      <c r="D14" s="17" t="s">
        <v>107</v>
      </c>
      <c r="E14" s="41">
        <f>'MEMORIAS DE CALCULO'!$H$15</f>
        <v>31.56</v>
      </c>
      <c r="F14" s="152">
        <f t="shared" si="1"/>
        <v>10.52</v>
      </c>
      <c r="G14" s="32">
        <f>ROUND(APUS!$H$427,0)</f>
        <v>49170</v>
      </c>
      <c r="H14" s="33">
        <f t="shared" si="0"/>
        <v>1551805</v>
      </c>
      <c r="I14" s="29"/>
    </row>
    <row r="15" spans="2:12" ht="31.8" customHeight="1" x14ac:dyDescent="0.3">
      <c r="B15" s="17" t="s">
        <v>119</v>
      </c>
      <c r="C15" s="40" t="s">
        <v>120</v>
      </c>
      <c r="D15" s="17" t="s">
        <v>107</v>
      </c>
      <c r="E15" s="41">
        <f>'MEMORIAS DE CALCULO'!$H$16</f>
        <v>24.6</v>
      </c>
      <c r="F15" s="152">
        <f t="shared" si="1"/>
        <v>8.2000000000000011</v>
      </c>
      <c r="G15" s="32">
        <f>ROUND(APUS!$H$466,0)</f>
        <v>27906</v>
      </c>
      <c r="H15" s="33">
        <f t="shared" si="0"/>
        <v>686488</v>
      </c>
      <c r="I15" s="29"/>
    </row>
    <row r="16" spans="2:12" ht="31.8" customHeight="1" x14ac:dyDescent="0.3">
      <c r="B16" s="17" t="s">
        <v>121</v>
      </c>
      <c r="C16" s="40" t="s">
        <v>122</v>
      </c>
      <c r="D16" s="17" t="s">
        <v>107</v>
      </c>
      <c r="E16" s="41">
        <f>'MEMORIAS DE CALCULO'!$H$17</f>
        <v>10.8</v>
      </c>
      <c r="F16" s="152">
        <f t="shared" si="1"/>
        <v>3.6</v>
      </c>
      <c r="G16" s="32">
        <f>ROUND(APUS!$H$1621,0)</f>
        <v>63004</v>
      </c>
      <c r="H16" s="33">
        <f t="shared" si="0"/>
        <v>680443</v>
      </c>
      <c r="I16" s="29"/>
    </row>
    <row r="17" spans="2:9" ht="31.8" customHeight="1" x14ac:dyDescent="0.3">
      <c r="B17" s="17" t="s">
        <v>123</v>
      </c>
      <c r="C17" s="40" t="s">
        <v>124</v>
      </c>
      <c r="D17" s="17" t="s">
        <v>107</v>
      </c>
      <c r="E17" s="41">
        <f>'MEMORIAS DE CALCULO'!$H$18</f>
        <v>46.5</v>
      </c>
      <c r="F17" s="152">
        <f t="shared" si="1"/>
        <v>15.5</v>
      </c>
      <c r="G17" s="32">
        <f>ROUND(APUS!$H$1582,0)</f>
        <v>33400</v>
      </c>
      <c r="H17" s="33">
        <f t="shared" si="0"/>
        <v>1553100</v>
      </c>
      <c r="I17" s="29"/>
    </row>
    <row r="18" spans="2:9" ht="31.8" customHeight="1" x14ac:dyDescent="0.3">
      <c r="B18" s="17" t="s">
        <v>125</v>
      </c>
      <c r="C18" s="40" t="s">
        <v>126</v>
      </c>
      <c r="D18" s="17" t="s">
        <v>101</v>
      </c>
      <c r="E18" s="41">
        <f>'MEMORIAS DE CALCULO'!$H$19</f>
        <v>33.81</v>
      </c>
      <c r="F18" s="152">
        <f t="shared" si="1"/>
        <v>11.270000000000001</v>
      </c>
      <c r="G18" s="32">
        <f>ROUND(APUS!$H$1543,0)</f>
        <v>79221</v>
      </c>
      <c r="H18" s="33">
        <f t="shared" si="0"/>
        <v>2678462</v>
      </c>
      <c r="I18" s="29"/>
    </row>
    <row r="19" spans="2:9" ht="31.8" customHeight="1" x14ac:dyDescent="0.3">
      <c r="B19" s="17" t="s">
        <v>127</v>
      </c>
      <c r="C19" s="40" t="s">
        <v>128</v>
      </c>
      <c r="D19" s="17" t="s">
        <v>107</v>
      </c>
      <c r="E19" s="41">
        <f>'MEMORIAS DE CALCULO'!$H$20</f>
        <v>9.3000000000000007</v>
      </c>
      <c r="F19" s="152">
        <f t="shared" si="1"/>
        <v>3.1</v>
      </c>
      <c r="G19" s="32">
        <f>ROUND(APUS!$H$1702,0)</f>
        <v>61944</v>
      </c>
      <c r="H19" s="33">
        <f t="shared" si="0"/>
        <v>576079</v>
      </c>
      <c r="I19" s="29"/>
    </row>
    <row r="20" spans="2:9" ht="31.8" customHeight="1" x14ac:dyDescent="0.3">
      <c r="B20" s="17" t="s">
        <v>129</v>
      </c>
      <c r="C20" s="40" t="s">
        <v>130</v>
      </c>
      <c r="D20" s="17" t="s">
        <v>107</v>
      </c>
      <c r="E20" s="41">
        <f>'MEMORIAS DE CALCULO'!$H$21</f>
        <v>7.5</v>
      </c>
      <c r="F20" s="152">
        <f t="shared" si="1"/>
        <v>2.5</v>
      </c>
      <c r="G20" s="32">
        <f>ROUND(APUS!$H$1741,0)</f>
        <v>27217</v>
      </c>
      <c r="H20" s="33">
        <f t="shared" si="0"/>
        <v>204128</v>
      </c>
      <c r="I20" s="29"/>
    </row>
    <row r="21" spans="2:9" ht="31.8" customHeight="1" x14ac:dyDescent="0.3">
      <c r="B21" s="17" t="s">
        <v>131</v>
      </c>
      <c r="C21" s="40" t="s">
        <v>132</v>
      </c>
      <c r="D21" s="17" t="s">
        <v>107</v>
      </c>
      <c r="E21" s="41">
        <f>'MEMORIAS DE CALCULO'!$H$22</f>
        <v>36</v>
      </c>
      <c r="F21" s="152">
        <f t="shared" si="1"/>
        <v>12</v>
      </c>
      <c r="G21" s="32">
        <f>ROUND(APUS!$H$1307,0)</f>
        <v>9193</v>
      </c>
      <c r="H21" s="33">
        <f t="shared" si="0"/>
        <v>330948</v>
      </c>
      <c r="I21" s="29"/>
    </row>
    <row r="22" spans="2:9" ht="24" customHeight="1" x14ac:dyDescent="0.3">
      <c r="B22" s="17" t="s">
        <v>133</v>
      </c>
      <c r="C22" s="40" t="s">
        <v>134</v>
      </c>
      <c r="D22" s="17" t="s">
        <v>107</v>
      </c>
      <c r="E22" s="41">
        <f>'MEMORIAS DE CALCULO'!$H$23</f>
        <v>108</v>
      </c>
      <c r="F22" s="152">
        <f t="shared" si="1"/>
        <v>36</v>
      </c>
      <c r="G22" s="32">
        <f>ROUND(APUS!$H$1345,0)</f>
        <v>5887</v>
      </c>
      <c r="H22" s="33">
        <f t="shared" si="0"/>
        <v>635796</v>
      </c>
      <c r="I22" s="29"/>
    </row>
    <row r="23" spans="2:9" ht="28.2" customHeight="1" x14ac:dyDescent="0.3">
      <c r="B23" s="17" t="s">
        <v>135</v>
      </c>
      <c r="C23" s="40" t="s">
        <v>136</v>
      </c>
      <c r="D23" s="17" t="s">
        <v>137</v>
      </c>
      <c r="E23" s="41">
        <f>'MEMORIAS DE CALCULO'!$H$24</f>
        <v>9</v>
      </c>
      <c r="F23" s="152">
        <f t="shared" si="1"/>
        <v>3</v>
      </c>
      <c r="G23" s="32">
        <f>ROUND(APUS!$H$1111,0)</f>
        <v>34710</v>
      </c>
      <c r="H23" s="33">
        <f t="shared" si="0"/>
        <v>312390</v>
      </c>
      <c r="I23" s="29"/>
    </row>
    <row r="24" spans="2:9" ht="24" customHeight="1" x14ac:dyDescent="0.3">
      <c r="B24" s="17" t="s">
        <v>138</v>
      </c>
      <c r="C24" s="40" t="s">
        <v>139</v>
      </c>
      <c r="D24" s="17" t="s">
        <v>137</v>
      </c>
      <c r="E24" s="41">
        <f>'MEMORIAS DE CALCULO'!$H$25</f>
        <v>6</v>
      </c>
      <c r="F24" s="152">
        <f t="shared" si="1"/>
        <v>2</v>
      </c>
      <c r="G24" s="32">
        <f>ROUND(APUS!$H$1228,0)</f>
        <v>37210</v>
      </c>
      <c r="H24" s="33">
        <f t="shared" si="0"/>
        <v>223260</v>
      </c>
      <c r="I24" s="29"/>
    </row>
    <row r="25" spans="2:9" ht="31.2" customHeight="1" x14ac:dyDescent="0.3">
      <c r="B25" s="17" t="s">
        <v>140</v>
      </c>
      <c r="C25" s="40" t="s">
        <v>141</v>
      </c>
      <c r="D25" s="17" t="s">
        <v>137</v>
      </c>
      <c r="E25" s="41">
        <f>'MEMORIAS DE CALCULO'!$H$26</f>
        <v>3</v>
      </c>
      <c r="F25" s="152">
        <f t="shared" si="1"/>
        <v>1</v>
      </c>
      <c r="G25" s="32">
        <f>ROUND(APUS!$H$1269,0)</f>
        <v>40310</v>
      </c>
      <c r="H25" s="33">
        <f t="shared" si="0"/>
        <v>120930</v>
      </c>
      <c r="I25" s="29"/>
    </row>
    <row r="26" spans="2:9" ht="31.2" customHeight="1" x14ac:dyDescent="0.3">
      <c r="B26" s="17" t="s">
        <v>142</v>
      </c>
      <c r="C26" s="40" t="s">
        <v>143</v>
      </c>
      <c r="D26" s="17" t="s">
        <v>101</v>
      </c>
      <c r="E26" s="41">
        <f>'MEMORIAS DE CALCULO'!$H$27</f>
        <v>82.47</v>
      </c>
      <c r="F26" s="152">
        <f t="shared" si="1"/>
        <v>27.49</v>
      </c>
      <c r="G26" s="32">
        <f>ROUND(APUS!$H$791,0)</f>
        <v>36391</v>
      </c>
      <c r="H26" s="33">
        <f t="shared" si="0"/>
        <v>3001166</v>
      </c>
      <c r="I26" s="29"/>
    </row>
    <row r="27" spans="2:9" ht="24" customHeight="1" x14ac:dyDescent="0.3">
      <c r="B27" s="17" t="s">
        <v>144</v>
      </c>
      <c r="C27" s="40" t="s">
        <v>145</v>
      </c>
      <c r="D27" s="17" t="s">
        <v>101</v>
      </c>
      <c r="E27" s="41">
        <f>'MEMORIAS DE CALCULO'!$H$28</f>
        <v>82.47</v>
      </c>
      <c r="F27" s="152">
        <f t="shared" si="1"/>
        <v>27.49</v>
      </c>
      <c r="G27" s="32">
        <f>ROUND(APUS!$H$830,0)</f>
        <v>19303</v>
      </c>
      <c r="H27" s="33">
        <f t="shared" si="0"/>
        <v>1591918</v>
      </c>
      <c r="I27" s="29"/>
    </row>
    <row r="28" spans="2:9" ht="31.8" customHeight="1" x14ac:dyDescent="0.3">
      <c r="B28" s="17" t="s">
        <v>146</v>
      </c>
      <c r="C28" s="40" t="s">
        <v>147</v>
      </c>
      <c r="D28" s="17" t="s">
        <v>101</v>
      </c>
      <c r="E28" s="41">
        <f>'MEMORIAS DE CALCULO'!$H$29</f>
        <v>82.47</v>
      </c>
      <c r="F28" s="152">
        <f t="shared" si="1"/>
        <v>27.49</v>
      </c>
      <c r="G28" s="32">
        <f>ROUND(APUS!$H$868,0)</f>
        <v>17410</v>
      </c>
      <c r="H28" s="33">
        <f t="shared" si="0"/>
        <v>1435803</v>
      </c>
      <c r="I28" s="29"/>
    </row>
    <row r="29" spans="2:9" ht="31.8" customHeight="1" x14ac:dyDescent="0.3">
      <c r="B29" s="17" t="s">
        <v>148</v>
      </c>
      <c r="C29" s="40" t="s">
        <v>149</v>
      </c>
      <c r="D29" s="17" t="s">
        <v>101</v>
      </c>
      <c r="E29" s="41">
        <f>'MEMORIAS DE CALCULO'!$H$30</f>
        <v>21.21</v>
      </c>
      <c r="F29" s="152">
        <f t="shared" si="1"/>
        <v>7.07</v>
      </c>
      <c r="G29" s="32">
        <f>ROUND(APUS!$H$987,0)</f>
        <v>87541</v>
      </c>
      <c r="H29" s="33">
        <f t="shared" si="0"/>
        <v>1856745</v>
      </c>
      <c r="I29" s="29"/>
    </row>
    <row r="30" spans="2:9" ht="31.8" customHeight="1" x14ac:dyDescent="0.3">
      <c r="B30" s="17" t="s">
        <v>150</v>
      </c>
      <c r="C30" s="40" t="s">
        <v>151</v>
      </c>
      <c r="D30" s="17" t="s">
        <v>137</v>
      </c>
      <c r="E30" s="41">
        <f>'MEMORIAS DE CALCULO'!$H$31</f>
        <v>3</v>
      </c>
      <c r="F30" s="152">
        <f t="shared" si="1"/>
        <v>1</v>
      </c>
      <c r="G30" s="32">
        <f>ROUND(APUS!$H$1385,0)</f>
        <v>1027792</v>
      </c>
      <c r="H30" s="33">
        <f t="shared" si="0"/>
        <v>3083376</v>
      </c>
      <c r="I30" s="29"/>
    </row>
    <row r="31" spans="2:9" ht="31.8" customHeight="1" x14ac:dyDescent="0.3">
      <c r="B31" s="17" t="s">
        <v>152</v>
      </c>
      <c r="C31" s="40" t="s">
        <v>153</v>
      </c>
      <c r="D31" s="17" t="s">
        <v>101</v>
      </c>
      <c r="E31" s="41">
        <f>'MEMORIAS DE CALCULO'!$H$32</f>
        <v>3</v>
      </c>
      <c r="F31" s="152">
        <f t="shared" si="1"/>
        <v>1</v>
      </c>
      <c r="G31" s="32">
        <f>ROUND(APUS!$H$1465,0)</f>
        <v>479669</v>
      </c>
      <c r="H31" s="33">
        <f t="shared" si="0"/>
        <v>1439007</v>
      </c>
      <c r="I31" s="29"/>
    </row>
    <row r="32" spans="2:9" ht="31.8" customHeight="1" x14ac:dyDescent="0.3">
      <c r="B32" s="17" t="s">
        <v>154</v>
      </c>
      <c r="C32" s="40" t="s">
        <v>155</v>
      </c>
      <c r="D32" s="17" t="s">
        <v>101</v>
      </c>
      <c r="E32" s="41">
        <f>'MEMORIAS DE CALCULO'!$H$33</f>
        <v>19.079999999999998</v>
      </c>
      <c r="F32" s="152">
        <f t="shared" si="1"/>
        <v>6.3599999999999994</v>
      </c>
      <c r="G32" s="32">
        <f>ROUND(APUS!$H$1503,0)</f>
        <v>22048</v>
      </c>
      <c r="H32" s="33">
        <f t="shared" si="0"/>
        <v>420676</v>
      </c>
      <c r="I32" s="29"/>
    </row>
    <row r="33" spans="2:9" ht="18" customHeight="1" x14ac:dyDescent="0.3">
      <c r="B33" s="38">
        <v>2</v>
      </c>
      <c r="C33" s="116" t="str">
        <f>"BAÑO DE 1,50 x 2,50 m CON SISTEMA SÉPTICO ("&amp;RESUMEN!$D$8&amp;" UNIDAD"&amp;IF(RESUMEN!$D$8=1,"","ES")&amp;")"</f>
        <v>BAÑO DE 1,50 x 2,50 m CON SISTEMA SÉPTICO (3 UNIDADES)</v>
      </c>
      <c r="D33" s="116"/>
      <c r="E33" s="116"/>
      <c r="F33" s="116"/>
      <c r="G33" s="116"/>
      <c r="H33" s="116"/>
      <c r="I33" s="39">
        <f>SUM(H34:H71)</f>
        <v>46987307</v>
      </c>
    </row>
    <row r="34" spans="2:9" ht="33" customHeight="1" x14ac:dyDescent="0.3">
      <c r="B34" s="17" t="s">
        <v>156</v>
      </c>
      <c r="C34" s="40" t="s">
        <v>100</v>
      </c>
      <c r="D34" s="17" t="s">
        <v>101</v>
      </c>
      <c r="E34" s="41">
        <f>'MEMORIAS DE CALCULO'!$H$35</f>
        <v>11.25</v>
      </c>
      <c r="F34" s="41">
        <f>E34/3</f>
        <v>3.75</v>
      </c>
      <c r="G34" s="32">
        <f>ROUND(APUS!$H$31,0)</f>
        <v>3578</v>
      </c>
      <c r="H34" s="33">
        <f t="shared" ref="H34:H71" si="2">ROUND(E34*G34,0)</f>
        <v>40253</v>
      </c>
      <c r="I34" s="29"/>
    </row>
    <row r="35" spans="2:9" ht="33" customHeight="1" x14ac:dyDescent="0.3">
      <c r="B35" s="17" t="s">
        <v>157</v>
      </c>
      <c r="C35" s="40" t="s">
        <v>103</v>
      </c>
      <c r="D35" s="17" t="s">
        <v>104</v>
      </c>
      <c r="E35" s="41">
        <f>'MEMORIAS DE CALCULO'!$H$36</f>
        <v>5.4</v>
      </c>
      <c r="F35" s="41">
        <f t="shared" ref="F35:F71" si="3">E35/3</f>
        <v>1.8</v>
      </c>
      <c r="G35" s="32">
        <f>ROUND(APUS!$H$68,0)</f>
        <v>56233</v>
      </c>
      <c r="H35" s="33">
        <f t="shared" si="2"/>
        <v>303658</v>
      </c>
      <c r="I35" s="29"/>
    </row>
    <row r="36" spans="2:9" ht="33" customHeight="1" x14ac:dyDescent="0.3">
      <c r="B36" s="17" t="s">
        <v>158</v>
      </c>
      <c r="C36" s="40" t="s">
        <v>106</v>
      </c>
      <c r="D36" s="17" t="s">
        <v>107</v>
      </c>
      <c r="E36" s="41">
        <f>'MEMORIAS DE CALCULO'!$H$37</f>
        <v>22.56</v>
      </c>
      <c r="F36" s="41">
        <f t="shared" si="3"/>
        <v>7.52</v>
      </c>
      <c r="G36" s="32">
        <f>ROUND(APUS!$H$223,0)</f>
        <v>79831</v>
      </c>
      <c r="H36" s="33">
        <f t="shared" si="2"/>
        <v>1800987</v>
      </c>
      <c r="I36" s="29"/>
    </row>
    <row r="37" spans="2:9" ht="40.799999999999997" customHeight="1" x14ac:dyDescent="0.3">
      <c r="B37" s="17" t="s">
        <v>159</v>
      </c>
      <c r="C37" s="40" t="s">
        <v>109</v>
      </c>
      <c r="D37" s="17" t="s">
        <v>101</v>
      </c>
      <c r="E37" s="41">
        <f>'MEMORIAS DE CALCULO'!$H$38</f>
        <v>8.5500000000000007</v>
      </c>
      <c r="F37" s="41">
        <f t="shared" si="3"/>
        <v>2.85</v>
      </c>
      <c r="G37" s="32">
        <f>ROUND(APUS!$H$670,0)</f>
        <v>155779</v>
      </c>
      <c r="H37" s="33">
        <f t="shared" si="2"/>
        <v>1331910</v>
      </c>
      <c r="I37" s="29"/>
    </row>
    <row r="38" spans="2:9" ht="33.6" customHeight="1" x14ac:dyDescent="0.3">
      <c r="B38" s="17" t="s">
        <v>160</v>
      </c>
      <c r="C38" s="40" t="s">
        <v>111</v>
      </c>
      <c r="D38" s="17" t="s">
        <v>112</v>
      </c>
      <c r="E38" s="41">
        <f>'MEMORIAS DE CALCULO'!$H$39</f>
        <v>349.29</v>
      </c>
      <c r="F38" s="41">
        <f t="shared" si="3"/>
        <v>116.43</v>
      </c>
      <c r="G38" s="32">
        <f>ROUND(APUS!$H$628,0)</f>
        <v>8946</v>
      </c>
      <c r="H38" s="33">
        <f t="shared" si="2"/>
        <v>3124748</v>
      </c>
      <c r="I38" s="29"/>
    </row>
    <row r="39" spans="2:9" ht="33.6" customHeight="1" x14ac:dyDescent="0.3">
      <c r="B39" s="17" t="s">
        <v>161</v>
      </c>
      <c r="C39" s="40" t="s">
        <v>114</v>
      </c>
      <c r="D39" s="17" t="s">
        <v>107</v>
      </c>
      <c r="E39" s="41">
        <f>'MEMORIAS DE CALCULO'!$H$40</f>
        <v>27.6</v>
      </c>
      <c r="F39" s="41">
        <f t="shared" si="3"/>
        <v>9.2000000000000011</v>
      </c>
      <c r="G39" s="32">
        <f>ROUND(APUS!$H$386,0)</f>
        <v>48725</v>
      </c>
      <c r="H39" s="33">
        <f t="shared" si="2"/>
        <v>1344810</v>
      </c>
      <c r="I39" s="29"/>
    </row>
    <row r="40" spans="2:9" ht="33.6" customHeight="1" x14ac:dyDescent="0.3">
      <c r="B40" s="17" t="s">
        <v>162</v>
      </c>
      <c r="C40" s="40" t="s">
        <v>116</v>
      </c>
      <c r="D40" s="17" t="s">
        <v>101</v>
      </c>
      <c r="E40" s="41">
        <f>'MEMORIAS DE CALCULO'!$H$41</f>
        <v>39.96</v>
      </c>
      <c r="F40" s="41">
        <f t="shared" si="3"/>
        <v>13.32</v>
      </c>
      <c r="G40" s="32">
        <f>ROUND(APUS!$H$753,0)</f>
        <v>81039</v>
      </c>
      <c r="H40" s="33">
        <f t="shared" si="2"/>
        <v>3238318</v>
      </c>
      <c r="I40" s="29"/>
    </row>
    <row r="41" spans="2:9" ht="33.6" customHeight="1" x14ac:dyDescent="0.3">
      <c r="B41" s="17" t="s">
        <v>163</v>
      </c>
      <c r="C41" s="40" t="s">
        <v>118</v>
      </c>
      <c r="D41" s="17" t="s">
        <v>107</v>
      </c>
      <c r="E41" s="41">
        <f>'MEMORIAS DE CALCULO'!$H$42</f>
        <v>22.56</v>
      </c>
      <c r="F41" s="41">
        <f t="shared" si="3"/>
        <v>7.52</v>
      </c>
      <c r="G41" s="32">
        <f>ROUND(APUS!$H$427,0)</f>
        <v>49170</v>
      </c>
      <c r="H41" s="33">
        <f t="shared" si="2"/>
        <v>1109275</v>
      </c>
      <c r="I41" s="29"/>
    </row>
    <row r="42" spans="2:9" ht="33.6" customHeight="1" x14ac:dyDescent="0.3">
      <c r="B42" s="17" t="s">
        <v>164</v>
      </c>
      <c r="C42" s="40" t="s">
        <v>120</v>
      </c>
      <c r="D42" s="17" t="s">
        <v>107</v>
      </c>
      <c r="E42" s="41">
        <f>'MEMORIAS DE CALCULO'!$H$43</f>
        <v>18.63</v>
      </c>
      <c r="F42" s="41">
        <f t="shared" si="3"/>
        <v>6.21</v>
      </c>
      <c r="G42" s="32">
        <f>ROUND(APUS!$H$466,0)</f>
        <v>27906</v>
      </c>
      <c r="H42" s="33">
        <f t="shared" si="2"/>
        <v>519889</v>
      </c>
      <c r="I42" s="29"/>
    </row>
    <row r="43" spans="2:9" ht="33.6" customHeight="1" x14ac:dyDescent="0.3">
      <c r="B43" s="17" t="s">
        <v>165</v>
      </c>
      <c r="C43" s="40" t="s">
        <v>122</v>
      </c>
      <c r="D43" s="17" t="s">
        <v>107</v>
      </c>
      <c r="E43" s="41">
        <f>'MEMORIAS DE CALCULO'!$H$44</f>
        <v>9.3000000000000007</v>
      </c>
      <c r="F43" s="41">
        <f t="shared" si="3"/>
        <v>3.1</v>
      </c>
      <c r="G43" s="32">
        <f>ROUND(APUS!$H$1621,0)</f>
        <v>63004</v>
      </c>
      <c r="H43" s="33">
        <f t="shared" si="2"/>
        <v>585937</v>
      </c>
      <c r="I43" s="29"/>
    </row>
    <row r="44" spans="2:9" ht="33.6" customHeight="1" x14ac:dyDescent="0.3">
      <c r="B44" s="17" t="s">
        <v>166</v>
      </c>
      <c r="C44" s="40" t="s">
        <v>124</v>
      </c>
      <c r="D44" s="17" t="s">
        <v>107</v>
      </c>
      <c r="E44" s="41">
        <f>'MEMORIAS DE CALCULO'!$H$45</f>
        <v>31.5</v>
      </c>
      <c r="F44" s="41">
        <f t="shared" si="3"/>
        <v>10.5</v>
      </c>
      <c r="G44" s="32">
        <f>ROUND(APUS!$H$1582,0)</f>
        <v>33400</v>
      </c>
      <c r="H44" s="33">
        <f t="shared" si="2"/>
        <v>1052100</v>
      </c>
      <c r="I44" s="29"/>
    </row>
    <row r="45" spans="2:9" ht="33.6" customHeight="1" x14ac:dyDescent="0.3">
      <c r="B45" s="17" t="s">
        <v>167</v>
      </c>
      <c r="C45" s="40" t="s">
        <v>126</v>
      </c>
      <c r="D45" s="17" t="s">
        <v>101</v>
      </c>
      <c r="E45" s="41">
        <f>'MEMORIAS DE CALCULO'!$H$46</f>
        <v>19.8</v>
      </c>
      <c r="F45" s="41">
        <f t="shared" si="3"/>
        <v>6.6000000000000005</v>
      </c>
      <c r="G45" s="32">
        <f>ROUND(APUS!$H$1543,0)</f>
        <v>79221</v>
      </c>
      <c r="H45" s="33">
        <f t="shared" si="2"/>
        <v>1568576</v>
      </c>
      <c r="I45" s="29"/>
    </row>
    <row r="46" spans="2:9" ht="33.6" customHeight="1" x14ac:dyDescent="0.3">
      <c r="B46" s="17" t="s">
        <v>168</v>
      </c>
      <c r="C46" s="40" t="s">
        <v>128</v>
      </c>
      <c r="D46" s="17" t="s">
        <v>107</v>
      </c>
      <c r="E46" s="41">
        <f>'MEMORIAS DE CALCULO'!$H$47</f>
        <v>6.3</v>
      </c>
      <c r="F46" s="41">
        <f t="shared" si="3"/>
        <v>2.1</v>
      </c>
      <c r="G46" s="32">
        <f>ROUND(APUS!$H$1702,0)</f>
        <v>61944</v>
      </c>
      <c r="H46" s="33">
        <f t="shared" si="2"/>
        <v>390247</v>
      </c>
      <c r="I46" s="29"/>
    </row>
    <row r="47" spans="2:9" ht="33.6" customHeight="1" x14ac:dyDescent="0.3">
      <c r="B47" s="17" t="s">
        <v>169</v>
      </c>
      <c r="C47" s="40" t="s">
        <v>130</v>
      </c>
      <c r="D47" s="17" t="s">
        <v>107</v>
      </c>
      <c r="E47" s="41">
        <f>'MEMORIAS DE CALCULO'!$H$48</f>
        <v>7.5</v>
      </c>
      <c r="F47" s="41">
        <f t="shared" si="3"/>
        <v>2.5</v>
      </c>
      <c r="G47" s="32">
        <f>ROUND(APUS!$H$1741,0)</f>
        <v>27217</v>
      </c>
      <c r="H47" s="33">
        <f t="shared" si="2"/>
        <v>204128</v>
      </c>
      <c r="I47" s="29"/>
    </row>
    <row r="48" spans="2:9" ht="33.6" customHeight="1" x14ac:dyDescent="0.3">
      <c r="B48" s="17" t="s">
        <v>170</v>
      </c>
      <c r="C48" s="40" t="s">
        <v>171</v>
      </c>
      <c r="D48" s="17" t="s">
        <v>107</v>
      </c>
      <c r="E48" s="41">
        <f>'MEMORIAS DE CALCULO'!$H$49</f>
        <v>36</v>
      </c>
      <c r="F48" s="41">
        <f t="shared" si="3"/>
        <v>12</v>
      </c>
      <c r="G48" s="32">
        <f>ROUND(APUS!$H$1820,0)</f>
        <v>12061</v>
      </c>
      <c r="H48" s="33">
        <f t="shared" si="2"/>
        <v>434196</v>
      </c>
      <c r="I48" s="29"/>
    </row>
    <row r="49" spans="2:9" ht="33.6" customHeight="1" x14ac:dyDescent="0.3">
      <c r="B49" s="17" t="s">
        <v>172</v>
      </c>
      <c r="C49" s="40" t="s">
        <v>173</v>
      </c>
      <c r="D49" s="17" t="s">
        <v>137</v>
      </c>
      <c r="E49" s="41">
        <f>'MEMORIAS DE CALCULO'!$H$50</f>
        <v>9</v>
      </c>
      <c r="F49" s="41">
        <f t="shared" si="3"/>
        <v>3</v>
      </c>
      <c r="G49" s="32">
        <f>ROUND(APUS!$H$1781,0)</f>
        <v>49970</v>
      </c>
      <c r="H49" s="33">
        <f t="shared" si="2"/>
        <v>449730</v>
      </c>
      <c r="I49" s="29"/>
    </row>
    <row r="50" spans="2:9" ht="33.6" customHeight="1" x14ac:dyDescent="0.3">
      <c r="B50" s="17" t="s">
        <v>174</v>
      </c>
      <c r="C50" s="40" t="s">
        <v>175</v>
      </c>
      <c r="D50" s="17" t="s">
        <v>137</v>
      </c>
      <c r="E50" s="41">
        <f>'MEMORIAS DE CALCULO'!$H$51</f>
        <v>3</v>
      </c>
      <c r="F50" s="41">
        <f t="shared" si="3"/>
        <v>1</v>
      </c>
      <c r="G50" s="32">
        <f>ROUND(APUS!$H$1860,0)</f>
        <v>30912</v>
      </c>
      <c r="H50" s="33">
        <f t="shared" si="2"/>
        <v>92736</v>
      </c>
      <c r="I50" s="29"/>
    </row>
    <row r="51" spans="2:9" ht="24" customHeight="1" x14ac:dyDescent="0.3">
      <c r="B51" s="17" t="s">
        <v>176</v>
      </c>
      <c r="C51" s="40" t="s">
        <v>177</v>
      </c>
      <c r="D51" s="17" t="s">
        <v>137</v>
      </c>
      <c r="E51" s="41">
        <f>'MEMORIAS DE CALCULO'!$H$52</f>
        <v>6</v>
      </c>
      <c r="F51" s="41">
        <f t="shared" si="3"/>
        <v>2</v>
      </c>
      <c r="G51" s="32">
        <f>ROUND(APUS!$H$1900,0)</f>
        <v>55839</v>
      </c>
      <c r="H51" s="33">
        <f t="shared" si="2"/>
        <v>335034</v>
      </c>
      <c r="I51" s="29"/>
    </row>
    <row r="52" spans="2:9" ht="24" customHeight="1" x14ac:dyDescent="0.3">
      <c r="B52" s="17" t="s">
        <v>178</v>
      </c>
      <c r="C52" s="40" t="s">
        <v>179</v>
      </c>
      <c r="D52" s="17" t="s">
        <v>137</v>
      </c>
      <c r="E52" s="41">
        <f>'MEMORIAS DE CALCULO'!$H$53</f>
        <v>3</v>
      </c>
      <c r="F52" s="41">
        <f t="shared" si="3"/>
        <v>1</v>
      </c>
      <c r="G52" s="32">
        <f>ROUND(APUS!$H$1939,0)</f>
        <v>84635</v>
      </c>
      <c r="H52" s="33">
        <f t="shared" si="2"/>
        <v>253905</v>
      </c>
      <c r="I52" s="29"/>
    </row>
    <row r="53" spans="2:9" ht="33" customHeight="1" x14ac:dyDescent="0.3">
      <c r="B53" s="17" t="s">
        <v>180</v>
      </c>
      <c r="C53" s="40" t="s">
        <v>181</v>
      </c>
      <c r="D53" s="17" t="s">
        <v>107</v>
      </c>
      <c r="E53" s="41">
        <f>'MEMORIAS DE CALCULO'!$H$54</f>
        <v>54</v>
      </c>
      <c r="F53" s="41">
        <f t="shared" si="3"/>
        <v>18</v>
      </c>
      <c r="G53" s="32">
        <f>ROUND(APUS!$H$1978,0)</f>
        <v>28037</v>
      </c>
      <c r="H53" s="33">
        <f t="shared" si="2"/>
        <v>1513998</v>
      </c>
      <c r="I53" s="29"/>
    </row>
    <row r="54" spans="2:9" ht="41.4" customHeight="1" x14ac:dyDescent="0.3">
      <c r="B54" s="17" t="s">
        <v>182</v>
      </c>
      <c r="C54" s="40" t="s">
        <v>183</v>
      </c>
      <c r="D54" s="17" t="s">
        <v>107</v>
      </c>
      <c r="E54" s="41">
        <f>'MEMORIAS DE CALCULO'!$H$55</f>
        <v>54</v>
      </c>
      <c r="F54" s="41">
        <f t="shared" si="3"/>
        <v>18</v>
      </c>
      <c r="G54" s="32">
        <f>ROUND(APUS!$H$2019,0)</f>
        <v>68453</v>
      </c>
      <c r="H54" s="33">
        <f t="shared" si="2"/>
        <v>3696462</v>
      </c>
      <c r="I54" s="29"/>
    </row>
    <row r="55" spans="2:9" ht="43.8" customHeight="1" x14ac:dyDescent="0.3">
      <c r="B55" s="17" t="s">
        <v>184</v>
      </c>
      <c r="C55" s="40" t="s">
        <v>185</v>
      </c>
      <c r="D55" s="17" t="s">
        <v>137</v>
      </c>
      <c r="E55" s="41">
        <f>'MEMORIAS DE CALCULO'!$H$56</f>
        <v>3</v>
      </c>
      <c r="F55" s="41">
        <f t="shared" si="3"/>
        <v>1</v>
      </c>
      <c r="G55" s="32">
        <f>ROUND(APUS!$H$2062,0)</f>
        <v>3454431</v>
      </c>
      <c r="H55" s="33">
        <f t="shared" si="2"/>
        <v>10363293</v>
      </c>
      <c r="I55" s="29"/>
    </row>
    <row r="56" spans="2:9" ht="34.200000000000003" customHeight="1" x14ac:dyDescent="0.3">
      <c r="B56" s="17" t="s">
        <v>186</v>
      </c>
      <c r="C56" s="40" t="s">
        <v>132</v>
      </c>
      <c r="D56" s="17" t="s">
        <v>107</v>
      </c>
      <c r="E56" s="41">
        <f>'MEMORIAS DE CALCULO'!$H$57</f>
        <v>18</v>
      </c>
      <c r="F56" s="41">
        <f t="shared" si="3"/>
        <v>6</v>
      </c>
      <c r="G56" s="32">
        <f>ROUND(APUS!$H$1307,0)</f>
        <v>9193</v>
      </c>
      <c r="H56" s="33">
        <f t="shared" si="2"/>
        <v>165474</v>
      </c>
      <c r="I56" s="29"/>
    </row>
    <row r="57" spans="2:9" ht="24" customHeight="1" x14ac:dyDescent="0.3">
      <c r="B57" s="17" t="s">
        <v>187</v>
      </c>
      <c r="C57" s="40" t="s">
        <v>134</v>
      </c>
      <c r="D57" s="17" t="s">
        <v>107</v>
      </c>
      <c r="E57" s="41">
        <f>'MEMORIAS DE CALCULO'!$H$58</f>
        <v>60</v>
      </c>
      <c r="F57" s="41">
        <f t="shared" si="3"/>
        <v>20</v>
      </c>
      <c r="G57" s="32">
        <f>ROUND(APUS!$H$1345,0)</f>
        <v>5887</v>
      </c>
      <c r="H57" s="33">
        <f t="shared" si="2"/>
        <v>353220</v>
      </c>
      <c r="I57" s="29"/>
    </row>
    <row r="58" spans="2:9" ht="30" customHeight="1" x14ac:dyDescent="0.3">
      <c r="B58" s="17" t="s">
        <v>188</v>
      </c>
      <c r="C58" s="40" t="s">
        <v>189</v>
      </c>
      <c r="D58" s="17" t="s">
        <v>137</v>
      </c>
      <c r="E58" s="41">
        <f>'MEMORIAS DE CALCULO'!$H$59</f>
        <v>3</v>
      </c>
      <c r="F58" s="41">
        <f t="shared" si="3"/>
        <v>1</v>
      </c>
      <c r="G58" s="32">
        <f>ROUND(APUS!$H$1150,0)</f>
        <v>75772</v>
      </c>
      <c r="H58" s="33">
        <f t="shared" si="2"/>
        <v>227316</v>
      </c>
      <c r="I58" s="29"/>
    </row>
    <row r="59" spans="2:9" ht="24" customHeight="1" x14ac:dyDescent="0.3">
      <c r="B59" s="17" t="s">
        <v>190</v>
      </c>
      <c r="C59" s="40" t="s">
        <v>191</v>
      </c>
      <c r="D59" s="17" t="s">
        <v>137</v>
      </c>
      <c r="E59" s="41">
        <f>'MEMORIAS DE CALCULO'!$H$60</f>
        <v>3</v>
      </c>
      <c r="F59" s="41">
        <f t="shared" si="3"/>
        <v>1</v>
      </c>
      <c r="G59" s="32">
        <f>ROUND(APUS!$H$1189,0)</f>
        <v>31210</v>
      </c>
      <c r="H59" s="33">
        <f t="shared" si="2"/>
        <v>93630</v>
      </c>
      <c r="I59" s="29"/>
    </row>
    <row r="60" spans="2:9" ht="30.6" customHeight="1" x14ac:dyDescent="0.3">
      <c r="B60" s="17" t="s">
        <v>192</v>
      </c>
      <c r="C60" s="40" t="s">
        <v>141</v>
      </c>
      <c r="D60" s="17" t="s">
        <v>137</v>
      </c>
      <c r="E60" s="41">
        <f>'MEMORIAS DE CALCULO'!$H$61</f>
        <v>3</v>
      </c>
      <c r="F60" s="41">
        <f t="shared" si="3"/>
        <v>1</v>
      </c>
      <c r="G60" s="32">
        <f>ROUND(APUS!$H$1269,0)</f>
        <v>40310</v>
      </c>
      <c r="H60" s="33">
        <f t="shared" si="2"/>
        <v>120930</v>
      </c>
      <c r="I60" s="29"/>
    </row>
    <row r="61" spans="2:9" ht="30.6" customHeight="1" x14ac:dyDescent="0.3">
      <c r="B61" s="17" t="s">
        <v>193</v>
      </c>
      <c r="C61" s="40" t="s">
        <v>143</v>
      </c>
      <c r="D61" s="17" t="s">
        <v>101</v>
      </c>
      <c r="E61" s="41">
        <f>'MEMORIAS DE CALCULO'!$H$62</f>
        <v>54.15</v>
      </c>
      <c r="F61" s="41">
        <f t="shared" si="3"/>
        <v>18.05</v>
      </c>
      <c r="G61" s="32">
        <f>ROUND(APUS!$H$791,0)</f>
        <v>36391</v>
      </c>
      <c r="H61" s="33">
        <f t="shared" si="2"/>
        <v>1970573</v>
      </c>
      <c r="I61" s="29"/>
    </row>
    <row r="62" spans="2:9" ht="42" customHeight="1" x14ac:dyDescent="0.3">
      <c r="B62" s="17" t="s">
        <v>194</v>
      </c>
      <c r="C62" s="40" t="s">
        <v>195</v>
      </c>
      <c r="D62" s="17" t="s">
        <v>101</v>
      </c>
      <c r="E62" s="41">
        <f>'MEMORIAS DE CALCULO'!$H$63</f>
        <v>8.82</v>
      </c>
      <c r="F62" s="41">
        <f t="shared" si="3"/>
        <v>2.94</v>
      </c>
      <c r="G62" s="32">
        <f>ROUND(APUS!$H$1030,0)</f>
        <v>113362</v>
      </c>
      <c r="H62" s="33">
        <f t="shared" si="2"/>
        <v>999853</v>
      </c>
      <c r="I62" s="29"/>
    </row>
    <row r="63" spans="2:9" ht="33" customHeight="1" x14ac:dyDescent="0.3">
      <c r="B63" s="17" t="s">
        <v>196</v>
      </c>
      <c r="C63" s="40" t="s">
        <v>197</v>
      </c>
      <c r="D63" s="17" t="s">
        <v>101</v>
      </c>
      <c r="E63" s="41">
        <f>'MEMORIAS DE CALCULO'!$H$64</f>
        <v>21.72</v>
      </c>
      <c r="F63" s="41">
        <f t="shared" si="3"/>
        <v>7.2399999999999993</v>
      </c>
      <c r="G63" s="32">
        <f>ROUND(APUS!$H$1072,0)</f>
        <v>93255</v>
      </c>
      <c r="H63" s="33">
        <f t="shared" si="2"/>
        <v>2025499</v>
      </c>
      <c r="I63" s="29"/>
    </row>
    <row r="64" spans="2:9" ht="24" customHeight="1" x14ac:dyDescent="0.3">
      <c r="B64" s="17" t="s">
        <v>198</v>
      </c>
      <c r="C64" s="40" t="s">
        <v>145</v>
      </c>
      <c r="D64" s="17" t="s">
        <v>101</v>
      </c>
      <c r="E64" s="41">
        <f>'MEMORIAS DE CALCULO'!$H$65</f>
        <v>32.43</v>
      </c>
      <c r="F64" s="41">
        <f t="shared" si="3"/>
        <v>10.81</v>
      </c>
      <c r="G64" s="32">
        <f>ROUND(APUS!$H$830,0)</f>
        <v>19303</v>
      </c>
      <c r="H64" s="33">
        <f t="shared" si="2"/>
        <v>625996</v>
      </c>
      <c r="I64" s="29"/>
    </row>
    <row r="65" spans="2:9" ht="31.2" customHeight="1" x14ac:dyDescent="0.3">
      <c r="B65" s="17" t="s">
        <v>199</v>
      </c>
      <c r="C65" s="40" t="s">
        <v>147</v>
      </c>
      <c r="D65" s="17" t="s">
        <v>101</v>
      </c>
      <c r="E65" s="41">
        <f>'MEMORIAS DE CALCULO'!$H$66</f>
        <v>32.43</v>
      </c>
      <c r="F65" s="41">
        <f t="shared" si="3"/>
        <v>10.81</v>
      </c>
      <c r="G65" s="32">
        <f>ROUND(APUS!$H$868,0)</f>
        <v>17410</v>
      </c>
      <c r="H65" s="33">
        <f t="shared" si="2"/>
        <v>564606</v>
      </c>
      <c r="I65" s="29"/>
    </row>
    <row r="66" spans="2:9" ht="42" customHeight="1" x14ac:dyDescent="0.3">
      <c r="B66" s="17" t="s">
        <v>200</v>
      </c>
      <c r="C66" s="40" t="s">
        <v>201</v>
      </c>
      <c r="D66" s="17" t="s">
        <v>137</v>
      </c>
      <c r="E66" s="41">
        <f>'MEMORIAS DE CALCULO'!$H$67</f>
        <v>3</v>
      </c>
      <c r="F66" s="41">
        <f t="shared" si="3"/>
        <v>1</v>
      </c>
      <c r="G66" s="32">
        <f>ROUND(APUS!$H$2101,0)</f>
        <v>636598</v>
      </c>
      <c r="H66" s="33">
        <f t="shared" si="2"/>
        <v>1909794</v>
      </c>
      <c r="I66" s="29"/>
    </row>
    <row r="67" spans="2:9" ht="30.6" customHeight="1" x14ac:dyDescent="0.3">
      <c r="B67" s="17" t="s">
        <v>202</v>
      </c>
      <c r="C67" s="40" t="s">
        <v>203</v>
      </c>
      <c r="D67" s="17" t="s">
        <v>137</v>
      </c>
      <c r="E67" s="41">
        <f>'MEMORIAS DE CALCULO'!$H$68</f>
        <v>3</v>
      </c>
      <c r="F67" s="41">
        <f t="shared" si="3"/>
        <v>1</v>
      </c>
      <c r="G67" s="32">
        <f>ROUND(APUS!$H$2139,0)</f>
        <v>126681</v>
      </c>
      <c r="H67" s="33">
        <f t="shared" si="2"/>
        <v>380043</v>
      </c>
      <c r="I67" s="29"/>
    </row>
    <row r="68" spans="2:9" ht="24" customHeight="1" x14ac:dyDescent="0.3">
      <c r="B68" s="17" t="s">
        <v>204</v>
      </c>
      <c r="C68" s="40" t="s">
        <v>205</v>
      </c>
      <c r="D68" s="17" t="s">
        <v>137</v>
      </c>
      <c r="E68" s="41">
        <f>'MEMORIAS DE CALCULO'!$H$69</f>
        <v>3</v>
      </c>
      <c r="F68" s="41">
        <f t="shared" si="3"/>
        <v>1</v>
      </c>
      <c r="G68" s="32">
        <f>ROUND(APUS!$H$2176,0)</f>
        <v>20179</v>
      </c>
      <c r="H68" s="33">
        <f t="shared" si="2"/>
        <v>60537</v>
      </c>
      <c r="I68" s="29"/>
    </row>
    <row r="69" spans="2:9" ht="28.8" customHeight="1" x14ac:dyDescent="0.3">
      <c r="B69" s="17" t="s">
        <v>206</v>
      </c>
      <c r="C69" s="40" t="s">
        <v>151</v>
      </c>
      <c r="D69" s="17" t="s">
        <v>137</v>
      </c>
      <c r="E69" s="41">
        <f>'MEMORIAS DE CALCULO'!$H$70</f>
        <v>3</v>
      </c>
      <c r="F69" s="41">
        <f t="shared" si="3"/>
        <v>1</v>
      </c>
      <c r="G69" s="32">
        <f>ROUND(APUS!$H$1385,0)</f>
        <v>1027792</v>
      </c>
      <c r="H69" s="33">
        <f t="shared" si="2"/>
        <v>3083376</v>
      </c>
      <c r="I69" s="29"/>
    </row>
    <row r="70" spans="2:9" ht="28.8" customHeight="1" x14ac:dyDescent="0.3">
      <c r="B70" s="17" t="s">
        <v>207</v>
      </c>
      <c r="C70" s="40" t="s">
        <v>153</v>
      </c>
      <c r="D70" s="17" t="s">
        <v>101</v>
      </c>
      <c r="E70" s="41">
        <f>'MEMORIAS DE CALCULO'!$H$71</f>
        <v>0.72</v>
      </c>
      <c r="F70" s="41">
        <f t="shared" si="3"/>
        <v>0.24</v>
      </c>
      <c r="G70" s="32">
        <f>ROUND(APUS!$H$1465,0)</f>
        <v>479669</v>
      </c>
      <c r="H70" s="33">
        <f t="shared" si="2"/>
        <v>345362</v>
      </c>
      <c r="I70" s="29"/>
    </row>
    <row r="71" spans="2:9" ht="28.8" customHeight="1" x14ac:dyDescent="0.3">
      <c r="B71" s="17" t="s">
        <v>208</v>
      </c>
      <c r="C71" s="40" t="s">
        <v>155</v>
      </c>
      <c r="D71" s="17" t="s">
        <v>101</v>
      </c>
      <c r="E71" s="41">
        <f>'MEMORIAS DE CALCULO'!$H$72</f>
        <v>13.92</v>
      </c>
      <c r="F71" s="41">
        <f t="shared" si="3"/>
        <v>4.6399999999999997</v>
      </c>
      <c r="G71" s="32">
        <f>ROUND(APUS!$H$1503,0)</f>
        <v>22048</v>
      </c>
      <c r="H71" s="33">
        <f t="shared" si="2"/>
        <v>306908</v>
      </c>
      <c r="I71" s="29"/>
    </row>
    <row r="72" spans="2:9" ht="18" customHeight="1" x14ac:dyDescent="0.3">
      <c r="B72" s="38">
        <v>3</v>
      </c>
      <c r="C72" s="116" t="str">
        <f>"MURO DE CONTENCIÓN EN CONCRETO REFORZADO (h = 2,00 m; L = 10,00 m) ("&amp;RESUMEN!$D$9&amp;" UNIDAD"&amp;IF(RESUMEN!$D$9=1,"","ES")&amp;")"</f>
        <v>MURO DE CONTENCIÓN EN CONCRETO REFORZADO (h = 2,00 m; L = 10,00 m) (3 UNIDADES)</v>
      </c>
      <c r="D72" s="116"/>
      <c r="E72" s="116"/>
      <c r="F72" s="116"/>
      <c r="G72" s="116"/>
      <c r="H72" s="116"/>
      <c r="I72" s="39">
        <f>SUM(H73:H81)</f>
        <v>51985500</v>
      </c>
    </row>
    <row r="73" spans="2:9" ht="30.6" customHeight="1" x14ac:dyDescent="0.3">
      <c r="B73" s="17" t="s">
        <v>209</v>
      </c>
      <c r="C73" s="40" t="s">
        <v>100</v>
      </c>
      <c r="D73" s="17" t="s">
        <v>101</v>
      </c>
      <c r="E73" s="41">
        <f>'MEMORIAS DE CALCULO'!$H$74</f>
        <v>30</v>
      </c>
      <c r="F73" s="41">
        <f>E73/3</f>
        <v>10</v>
      </c>
      <c r="G73" s="32">
        <f>ROUND(APUS!$H$31,0)</f>
        <v>3578</v>
      </c>
      <c r="H73" s="33">
        <f t="shared" ref="H73:H81" si="4">ROUND(E73*G73,0)</f>
        <v>107340</v>
      </c>
      <c r="I73" s="29"/>
    </row>
    <row r="74" spans="2:9" ht="30.6" customHeight="1" x14ac:dyDescent="0.3">
      <c r="B74" s="17" t="s">
        <v>210</v>
      </c>
      <c r="C74" s="40" t="s">
        <v>103</v>
      </c>
      <c r="D74" s="17" t="s">
        <v>104</v>
      </c>
      <c r="E74" s="41">
        <f>'MEMORIAS DE CALCULO'!$H$75</f>
        <v>36</v>
      </c>
      <c r="F74" s="41">
        <f t="shared" ref="F74:F81" si="5">E74/3</f>
        <v>12</v>
      </c>
      <c r="G74" s="32">
        <f>ROUND(APUS!$H$68,0)</f>
        <v>56233</v>
      </c>
      <c r="H74" s="33">
        <f t="shared" si="4"/>
        <v>2024388</v>
      </c>
      <c r="I74" s="29"/>
    </row>
    <row r="75" spans="2:9" ht="30.6" customHeight="1" x14ac:dyDescent="0.3">
      <c r="B75" s="17" t="s">
        <v>211</v>
      </c>
      <c r="C75" s="40" t="s">
        <v>212</v>
      </c>
      <c r="D75" s="17" t="s">
        <v>104</v>
      </c>
      <c r="E75" s="41">
        <f>'MEMORIAS DE CALCULO'!$H$76</f>
        <v>1.5</v>
      </c>
      <c r="F75" s="41">
        <f t="shared" si="5"/>
        <v>0.5</v>
      </c>
      <c r="G75" s="32">
        <f>ROUND(APUS!$H$183,0)</f>
        <v>713433</v>
      </c>
      <c r="H75" s="33">
        <f t="shared" si="4"/>
        <v>1070150</v>
      </c>
      <c r="I75" s="29"/>
    </row>
    <row r="76" spans="2:9" ht="30.6" customHeight="1" x14ac:dyDescent="0.3">
      <c r="B76" s="17" t="s">
        <v>213</v>
      </c>
      <c r="C76" s="40" t="s">
        <v>214</v>
      </c>
      <c r="D76" s="17" t="s">
        <v>104</v>
      </c>
      <c r="E76" s="41">
        <f>'MEMORIAS DE CALCULO'!$H$77</f>
        <v>7.5</v>
      </c>
      <c r="F76" s="41">
        <f t="shared" si="5"/>
        <v>2.5</v>
      </c>
      <c r="G76" s="32">
        <f>ROUND(APUS!$H$547,0)</f>
        <v>866022</v>
      </c>
      <c r="H76" s="33">
        <f t="shared" si="4"/>
        <v>6495165</v>
      </c>
      <c r="I76" s="29"/>
    </row>
    <row r="77" spans="2:9" ht="37.799999999999997" customHeight="1" x14ac:dyDescent="0.3">
      <c r="B77" s="17" t="s">
        <v>215</v>
      </c>
      <c r="C77" s="40" t="s">
        <v>216</v>
      </c>
      <c r="D77" s="17" t="s">
        <v>104</v>
      </c>
      <c r="E77" s="41">
        <f>'MEMORIAS DE CALCULO'!$H$78</f>
        <v>12</v>
      </c>
      <c r="F77" s="41">
        <f t="shared" si="5"/>
        <v>4</v>
      </c>
      <c r="G77" s="32">
        <f>ROUND(APUS!$H$590,0)</f>
        <v>1330738</v>
      </c>
      <c r="H77" s="33">
        <f t="shared" si="4"/>
        <v>15968856</v>
      </c>
      <c r="I77" s="29"/>
    </row>
    <row r="78" spans="2:9" ht="29.4" customHeight="1" x14ac:dyDescent="0.3">
      <c r="B78" s="17" t="s">
        <v>217</v>
      </c>
      <c r="C78" s="40" t="s">
        <v>111</v>
      </c>
      <c r="D78" s="17" t="s">
        <v>112</v>
      </c>
      <c r="E78" s="41">
        <f>'MEMORIAS DE CALCULO'!$H$79</f>
        <v>2258.94</v>
      </c>
      <c r="F78" s="41">
        <f t="shared" si="5"/>
        <v>752.98</v>
      </c>
      <c r="G78" s="32">
        <f>ROUND(APUS!$H$628,0)</f>
        <v>8946</v>
      </c>
      <c r="H78" s="33">
        <f t="shared" si="4"/>
        <v>20208477</v>
      </c>
      <c r="I78" s="29"/>
    </row>
    <row r="79" spans="2:9" ht="29.4" customHeight="1" x14ac:dyDescent="0.3">
      <c r="B79" s="17" t="s">
        <v>218</v>
      </c>
      <c r="C79" s="40" t="s">
        <v>219</v>
      </c>
      <c r="D79" s="17" t="s">
        <v>137</v>
      </c>
      <c r="E79" s="41">
        <f>'MEMORIAS DE CALCULO'!$H$80</f>
        <v>21</v>
      </c>
      <c r="F79" s="41">
        <f t="shared" si="5"/>
        <v>7</v>
      </c>
      <c r="G79" s="32">
        <f>ROUND(APUS!$H$2372,0)</f>
        <v>16026</v>
      </c>
      <c r="H79" s="33">
        <f t="shared" si="4"/>
        <v>336546</v>
      </c>
      <c r="I79" s="29"/>
    </row>
    <row r="80" spans="2:9" ht="29.4" customHeight="1" x14ac:dyDescent="0.3">
      <c r="B80" s="17" t="s">
        <v>220</v>
      </c>
      <c r="C80" s="40" t="s">
        <v>221</v>
      </c>
      <c r="D80" s="17" t="s">
        <v>104</v>
      </c>
      <c r="E80" s="41">
        <f>'MEMORIAS DE CALCULO'!$H$81</f>
        <v>10.8</v>
      </c>
      <c r="F80" s="41">
        <f t="shared" si="5"/>
        <v>3.6</v>
      </c>
      <c r="G80" s="32">
        <f>ROUND(APUS!$H$2334,0)</f>
        <v>437012</v>
      </c>
      <c r="H80" s="33">
        <f t="shared" si="4"/>
        <v>4719730</v>
      </c>
      <c r="I80" s="29"/>
    </row>
    <row r="81" spans="2:9" ht="29.4" customHeight="1" x14ac:dyDescent="0.3">
      <c r="B81" s="17" t="s">
        <v>222</v>
      </c>
      <c r="C81" s="40" t="s">
        <v>223</v>
      </c>
      <c r="D81" s="17" t="s">
        <v>104</v>
      </c>
      <c r="E81" s="41">
        <f>'MEMORIAS DE CALCULO'!$H$82</f>
        <v>19.2</v>
      </c>
      <c r="F81" s="41">
        <f t="shared" si="5"/>
        <v>6.3999999999999995</v>
      </c>
      <c r="G81" s="32">
        <f>ROUND(APUS!$H$2296,0)</f>
        <v>54940</v>
      </c>
      <c r="H81" s="33">
        <f t="shared" si="4"/>
        <v>1054848</v>
      </c>
      <c r="I81" s="29"/>
    </row>
    <row r="82" spans="2:9" ht="18" customHeight="1" x14ac:dyDescent="0.3">
      <c r="B82" s="38">
        <v>4</v>
      </c>
      <c r="C82" s="116" t="str">
        <f>"APARTAESTUDIO DE 5,00 x 4,00 m SOBRE ESTRUCTURA APORTICADA ("&amp;RESUMEN!$D$10&amp;" UNIDAD"&amp;IF(RESUMEN!$D$10=1,"","ES")&amp;")"</f>
        <v>APARTAESTUDIO DE 5,00 x 4,00 m SOBRE ESTRUCTURA APORTICADA (1 UNIDAD)</v>
      </c>
      <c r="D82" s="116"/>
      <c r="E82" s="116"/>
      <c r="F82" s="116"/>
      <c r="G82" s="116"/>
      <c r="H82" s="116"/>
      <c r="I82" s="39">
        <f>SUM(H83:H124)</f>
        <v>41655977</v>
      </c>
    </row>
    <row r="83" spans="2:9" ht="37.200000000000003" customHeight="1" x14ac:dyDescent="0.3">
      <c r="B83" s="17" t="s">
        <v>224</v>
      </c>
      <c r="C83" s="40" t="s">
        <v>225</v>
      </c>
      <c r="D83" s="17" t="s">
        <v>104</v>
      </c>
      <c r="E83" s="41">
        <f>'MEMORIAS DE CALCULO'!$H$84</f>
        <v>13</v>
      </c>
      <c r="F83" s="41">
        <f>E83/1</f>
        <v>13</v>
      </c>
      <c r="G83" s="32">
        <f>ROUND(APUS!$H$106,0)</f>
        <v>180965</v>
      </c>
      <c r="H83" s="33">
        <f t="shared" ref="H83:H124" si="6">ROUND(E83*G83,0)</f>
        <v>2352545</v>
      </c>
      <c r="I83" s="29"/>
    </row>
    <row r="84" spans="2:9" ht="30" customHeight="1" x14ac:dyDescent="0.3">
      <c r="B84" s="17" t="s">
        <v>226</v>
      </c>
      <c r="C84" s="40" t="s">
        <v>100</v>
      </c>
      <c r="D84" s="17" t="s">
        <v>101</v>
      </c>
      <c r="E84" s="41">
        <f>'MEMORIAS DE CALCULO'!$H$85</f>
        <v>20</v>
      </c>
      <c r="F84" s="41">
        <f t="shared" ref="F84:F124" si="7">E84/1</f>
        <v>20</v>
      </c>
      <c r="G84" s="32">
        <f>ROUND(APUS!$H$31,0)</f>
        <v>3578</v>
      </c>
      <c r="H84" s="33">
        <f t="shared" si="6"/>
        <v>71560</v>
      </c>
      <c r="I84" s="29"/>
    </row>
    <row r="85" spans="2:9" ht="30" customHeight="1" x14ac:dyDescent="0.3">
      <c r="B85" s="17" t="s">
        <v>227</v>
      </c>
      <c r="C85" s="40" t="s">
        <v>103</v>
      </c>
      <c r="D85" s="17" t="s">
        <v>104</v>
      </c>
      <c r="E85" s="41">
        <f>'MEMORIAS DE CALCULO'!$H$86</f>
        <v>6</v>
      </c>
      <c r="F85" s="41">
        <f t="shared" si="7"/>
        <v>6</v>
      </c>
      <c r="G85" s="32">
        <f>ROUND(APUS!$H$68,0)</f>
        <v>56233</v>
      </c>
      <c r="H85" s="33">
        <f t="shared" si="6"/>
        <v>337398</v>
      </c>
      <c r="I85" s="29"/>
    </row>
    <row r="86" spans="2:9" ht="30" customHeight="1" x14ac:dyDescent="0.3">
      <c r="B86" s="17" t="s">
        <v>228</v>
      </c>
      <c r="C86" s="40" t="s">
        <v>229</v>
      </c>
      <c r="D86" s="17" t="s">
        <v>107</v>
      </c>
      <c r="E86" s="41">
        <f>'MEMORIAS DE CALCULO'!$H$87</f>
        <v>20.5</v>
      </c>
      <c r="F86" s="41">
        <f t="shared" si="7"/>
        <v>20.5</v>
      </c>
      <c r="G86" s="32">
        <f>ROUND(APUS!$H$263,0)</f>
        <v>119673</v>
      </c>
      <c r="H86" s="33">
        <f t="shared" si="6"/>
        <v>2453297</v>
      </c>
      <c r="I86" s="29"/>
    </row>
    <row r="87" spans="2:9" ht="30" customHeight="1" x14ac:dyDescent="0.3">
      <c r="B87" s="17" t="s">
        <v>230</v>
      </c>
      <c r="C87" s="40" t="s">
        <v>231</v>
      </c>
      <c r="D87" s="17" t="s">
        <v>107</v>
      </c>
      <c r="E87" s="41">
        <f>'MEMORIAS DE CALCULO'!$H$88</f>
        <v>18</v>
      </c>
      <c r="F87" s="41">
        <f t="shared" si="7"/>
        <v>18</v>
      </c>
      <c r="G87" s="32">
        <f>ROUND(APUS!$H$346,0)</f>
        <v>155867</v>
      </c>
      <c r="H87" s="33">
        <f t="shared" si="6"/>
        <v>2805606</v>
      </c>
      <c r="I87" s="29"/>
    </row>
    <row r="88" spans="2:9" ht="30" customHeight="1" x14ac:dyDescent="0.3">
      <c r="B88" s="17" t="s">
        <v>232</v>
      </c>
      <c r="C88" s="40" t="s">
        <v>233</v>
      </c>
      <c r="D88" s="17" t="s">
        <v>107</v>
      </c>
      <c r="E88" s="41">
        <f>'MEMORIAS DE CALCULO'!$H$89</f>
        <v>20.5</v>
      </c>
      <c r="F88" s="41">
        <f t="shared" si="7"/>
        <v>20.5</v>
      </c>
      <c r="G88" s="32">
        <f>ROUND(APUS!$H$305,0)</f>
        <v>153056</v>
      </c>
      <c r="H88" s="33">
        <f t="shared" si="6"/>
        <v>3137648</v>
      </c>
      <c r="I88" s="29"/>
    </row>
    <row r="89" spans="2:9" ht="49.2" customHeight="1" x14ac:dyDescent="0.3">
      <c r="B89" s="17" t="s">
        <v>234</v>
      </c>
      <c r="C89" s="40" t="s">
        <v>235</v>
      </c>
      <c r="D89" s="17" t="s">
        <v>101</v>
      </c>
      <c r="E89" s="41">
        <f>'MEMORIAS DE CALCULO'!$H$90</f>
        <v>13.94</v>
      </c>
      <c r="F89" s="41">
        <f t="shared" si="7"/>
        <v>13.94</v>
      </c>
      <c r="G89" s="32">
        <f>ROUND(APUS!$H$714,0)</f>
        <v>162274</v>
      </c>
      <c r="H89" s="33">
        <f t="shared" si="6"/>
        <v>2262100</v>
      </c>
      <c r="I89" s="29"/>
    </row>
    <row r="90" spans="2:9" ht="31.2" customHeight="1" x14ac:dyDescent="0.3">
      <c r="B90" s="17" t="s">
        <v>236</v>
      </c>
      <c r="C90" s="40" t="s">
        <v>111</v>
      </c>
      <c r="D90" s="17" t="s">
        <v>112</v>
      </c>
      <c r="E90" s="41">
        <f>'MEMORIAS DE CALCULO'!$H$91</f>
        <v>543</v>
      </c>
      <c r="F90" s="41">
        <f t="shared" si="7"/>
        <v>543</v>
      </c>
      <c r="G90" s="32">
        <f>ROUND(APUS!$H$628,0)</f>
        <v>8946</v>
      </c>
      <c r="H90" s="33">
        <f t="shared" si="6"/>
        <v>4857678</v>
      </c>
      <c r="I90" s="29"/>
    </row>
    <row r="91" spans="2:9" ht="31.2" customHeight="1" x14ac:dyDescent="0.3">
      <c r="B91" s="17" t="s">
        <v>237</v>
      </c>
      <c r="C91" s="40" t="s">
        <v>114</v>
      </c>
      <c r="D91" s="17" t="s">
        <v>107</v>
      </c>
      <c r="E91" s="41">
        <f>'MEMORIAS DE CALCULO'!$H$92</f>
        <v>13.8</v>
      </c>
      <c r="F91" s="41">
        <f t="shared" si="7"/>
        <v>13.8</v>
      </c>
      <c r="G91" s="32">
        <f>ROUND(APUS!$H$386,0)</f>
        <v>48725</v>
      </c>
      <c r="H91" s="33">
        <f t="shared" si="6"/>
        <v>672405</v>
      </c>
      <c r="I91" s="29"/>
    </row>
    <row r="92" spans="2:9" ht="31.2" customHeight="1" x14ac:dyDescent="0.3">
      <c r="B92" s="17" t="s">
        <v>238</v>
      </c>
      <c r="C92" s="40" t="s">
        <v>116</v>
      </c>
      <c r="D92" s="17" t="s">
        <v>101</v>
      </c>
      <c r="E92" s="41">
        <f>'MEMORIAS DE CALCULO'!$H$93</f>
        <v>39.03</v>
      </c>
      <c r="F92" s="41">
        <f t="shared" si="7"/>
        <v>39.03</v>
      </c>
      <c r="G92" s="32">
        <f>ROUND(APUS!$H$753,0)</f>
        <v>81039</v>
      </c>
      <c r="H92" s="33">
        <f t="shared" si="6"/>
        <v>3162952</v>
      </c>
      <c r="I92" s="29"/>
    </row>
    <row r="93" spans="2:9" ht="31.2" customHeight="1" x14ac:dyDescent="0.3">
      <c r="B93" s="17" t="s">
        <v>239</v>
      </c>
      <c r="C93" s="40" t="s">
        <v>118</v>
      </c>
      <c r="D93" s="17" t="s">
        <v>107</v>
      </c>
      <c r="E93" s="41">
        <f>'MEMORIAS DE CALCULO'!$H$94</f>
        <v>21.4</v>
      </c>
      <c r="F93" s="41">
        <f t="shared" si="7"/>
        <v>21.4</v>
      </c>
      <c r="G93" s="32">
        <f>ROUND(APUS!$H$427,0)</f>
        <v>49170</v>
      </c>
      <c r="H93" s="33">
        <f t="shared" si="6"/>
        <v>1052238</v>
      </c>
      <c r="I93" s="29"/>
    </row>
    <row r="94" spans="2:9" ht="31.2" customHeight="1" x14ac:dyDescent="0.3">
      <c r="B94" s="17" t="s">
        <v>240</v>
      </c>
      <c r="C94" s="40" t="s">
        <v>120</v>
      </c>
      <c r="D94" s="17" t="s">
        <v>107</v>
      </c>
      <c r="E94" s="41">
        <f>'MEMORIAS DE CALCULO'!$H$95</f>
        <v>12.68</v>
      </c>
      <c r="F94" s="41">
        <f t="shared" si="7"/>
        <v>12.68</v>
      </c>
      <c r="G94" s="32">
        <f>ROUND(APUS!$H$466,0)</f>
        <v>27906</v>
      </c>
      <c r="H94" s="33">
        <f t="shared" si="6"/>
        <v>353848</v>
      </c>
      <c r="I94" s="29"/>
    </row>
    <row r="95" spans="2:9" ht="31.2" customHeight="1" x14ac:dyDescent="0.3">
      <c r="B95" s="17" t="s">
        <v>241</v>
      </c>
      <c r="C95" s="40" t="s">
        <v>242</v>
      </c>
      <c r="D95" s="17" t="s">
        <v>107</v>
      </c>
      <c r="E95" s="41">
        <f>'MEMORIAS DE CALCULO'!$H$96</f>
        <v>4.5999999999999996</v>
      </c>
      <c r="F95" s="41">
        <f t="shared" si="7"/>
        <v>4.5999999999999996</v>
      </c>
      <c r="G95" s="32">
        <f>ROUND(APUS!$H$1660,0)</f>
        <v>87186</v>
      </c>
      <c r="H95" s="33">
        <f t="shared" si="6"/>
        <v>401056</v>
      </c>
      <c r="I95" s="29"/>
    </row>
    <row r="96" spans="2:9" ht="31.2" customHeight="1" x14ac:dyDescent="0.3">
      <c r="B96" s="17" t="s">
        <v>243</v>
      </c>
      <c r="C96" s="40" t="s">
        <v>124</v>
      </c>
      <c r="D96" s="17" t="s">
        <v>107</v>
      </c>
      <c r="E96" s="41">
        <f>'MEMORIAS DE CALCULO'!$H$97</f>
        <v>33.6</v>
      </c>
      <c r="F96" s="41">
        <f t="shared" si="7"/>
        <v>33.6</v>
      </c>
      <c r="G96" s="32">
        <f>ROUND(APUS!$H$1582,0)</f>
        <v>33400</v>
      </c>
      <c r="H96" s="33">
        <f t="shared" si="6"/>
        <v>1122240</v>
      </c>
      <c r="I96" s="29"/>
    </row>
    <row r="97" spans="2:9" ht="31.2" customHeight="1" x14ac:dyDescent="0.3">
      <c r="B97" s="17" t="s">
        <v>244</v>
      </c>
      <c r="C97" s="40" t="s">
        <v>126</v>
      </c>
      <c r="D97" s="17" t="s">
        <v>101</v>
      </c>
      <c r="E97" s="41">
        <f>'MEMORIAS DE CALCULO'!$H$98</f>
        <v>25.9</v>
      </c>
      <c r="F97" s="41">
        <f t="shared" si="7"/>
        <v>25.9</v>
      </c>
      <c r="G97" s="32">
        <f>ROUND(APUS!$H$1543,0)</f>
        <v>79221</v>
      </c>
      <c r="H97" s="33">
        <f t="shared" si="6"/>
        <v>2051824</v>
      </c>
      <c r="I97" s="29"/>
    </row>
    <row r="98" spans="2:9" ht="31.2" customHeight="1" x14ac:dyDescent="0.3">
      <c r="B98" s="17" t="s">
        <v>245</v>
      </c>
      <c r="C98" s="40" t="s">
        <v>128</v>
      </c>
      <c r="D98" s="17" t="s">
        <v>107</v>
      </c>
      <c r="E98" s="41">
        <f>'MEMORIAS DE CALCULO'!$H$99</f>
        <v>5.6</v>
      </c>
      <c r="F98" s="41">
        <f t="shared" si="7"/>
        <v>5.6</v>
      </c>
      <c r="G98" s="32">
        <f>ROUND(APUS!$H$1702,0)</f>
        <v>61944</v>
      </c>
      <c r="H98" s="33">
        <f t="shared" si="6"/>
        <v>346886</v>
      </c>
      <c r="I98" s="29"/>
    </row>
    <row r="99" spans="2:9" ht="31.2" customHeight="1" x14ac:dyDescent="0.3">
      <c r="B99" s="17" t="s">
        <v>246</v>
      </c>
      <c r="C99" s="40" t="s">
        <v>130</v>
      </c>
      <c r="D99" s="17" t="s">
        <v>107</v>
      </c>
      <c r="E99" s="41">
        <f>'MEMORIAS DE CALCULO'!$H$100</f>
        <v>5.6</v>
      </c>
      <c r="F99" s="41">
        <f t="shared" si="7"/>
        <v>5.6</v>
      </c>
      <c r="G99" s="32">
        <f>ROUND(APUS!$H$1741,0)</f>
        <v>27217</v>
      </c>
      <c r="H99" s="33">
        <f t="shared" si="6"/>
        <v>152415</v>
      </c>
      <c r="I99" s="29"/>
    </row>
    <row r="100" spans="2:9" ht="31.2" customHeight="1" x14ac:dyDescent="0.3">
      <c r="B100" s="17" t="s">
        <v>247</v>
      </c>
      <c r="C100" s="40" t="s">
        <v>171</v>
      </c>
      <c r="D100" s="17" t="s">
        <v>107</v>
      </c>
      <c r="E100" s="41">
        <f>'MEMORIAS DE CALCULO'!$H$101</f>
        <v>18</v>
      </c>
      <c r="F100" s="41">
        <f t="shared" si="7"/>
        <v>18</v>
      </c>
      <c r="G100" s="32">
        <f>ROUND(APUS!$H$1820,0)</f>
        <v>12061</v>
      </c>
      <c r="H100" s="33">
        <f t="shared" si="6"/>
        <v>217098</v>
      </c>
      <c r="I100" s="29"/>
    </row>
    <row r="101" spans="2:9" ht="31.2" customHeight="1" x14ac:dyDescent="0.3">
      <c r="B101" s="17" t="s">
        <v>248</v>
      </c>
      <c r="C101" s="40" t="s">
        <v>173</v>
      </c>
      <c r="D101" s="17" t="s">
        <v>137</v>
      </c>
      <c r="E101" s="41">
        <f>'MEMORIAS DE CALCULO'!$H$102</f>
        <v>5</v>
      </c>
      <c r="F101" s="41">
        <f t="shared" si="7"/>
        <v>5</v>
      </c>
      <c r="G101" s="32">
        <f>ROUND(APUS!$H$1781,0)</f>
        <v>49970</v>
      </c>
      <c r="H101" s="33">
        <f t="shared" si="6"/>
        <v>249850</v>
      </c>
      <c r="I101" s="29"/>
    </row>
    <row r="102" spans="2:9" ht="31.2" customHeight="1" x14ac:dyDescent="0.3">
      <c r="B102" s="17" t="s">
        <v>249</v>
      </c>
      <c r="C102" s="40" t="s">
        <v>175</v>
      </c>
      <c r="D102" s="17" t="s">
        <v>137</v>
      </c>
      <c r="E102" s="41">
        <f>'MEMORIAS DE CALCULO'!$H$103</f>
        <v>1</v>
      </c>
      <c r="F102" s="41">
        <f t="shared" si="7"/>
        <v>1</v>
      </c>
      <c r="G102" s="32">
        <f>ROUND(APUS!$H$1860,0)</f>
        <v>30912</v>
      </c>
      <c r="H102" s="33">
        <f t="shared" si="6"/>
        <v>30912</v>
      </c>
      <c r="I102" s="29"/>
    </row>
    <row r="103" spans="2:9" ht="24" customHeight="1" x14ac:dyDescent="0.3">
      <c r="B103" s="17" t="s">
        <v>250</v>
      </c>
      <c r="C103" s="40" t="s">
        <v>251</v>
      </c>
      <c r="D103" s="17" t="s">
        <v>137</v>
      </c>
      <c r="E103" s="41">
        <f>'MEMORIAS DE CALCULO'!$H$104</f>
        <v>1</v>
      </c>
      <c r="F103" s="41">
        <f t="shared" si="7"/>
        <v>1</v>
      </c>
      <c r="G103" s="32">
        <f>ROUND(APUS!$H$2214,0)</f>
        <v>54549</v>
      </c>
      <c r="H103" s="33">
        <f t="shared" si="6"/>
        <v>54549</v>
      </c>
      <c r="I103" s="29"/>
    </row>
    <row r="104" spans="2:9" ht="24" customHeight="1" x14ac:dyDescent="0.3">
      <c r="B104" s="17" t="s">
        <v>252</v>
      </c>
      <c r="C104" s="40" t="s">
        <v>177</v>
      </c>
      <c r="D104" s="17" t="s">
        <v>137</v>
      </c>
      <c r="E104" s="41">
        <f>'MEMORIAS DE CALCULO'!$H$105</f>
        <v>4</v>
      </c>
      <c r="F104" s="41">
        <f t="shared" si="7"/>
        <v>4</v>
      </c>
      <c r="G104" s="32">
        <f>ROUND(APUS!$H$1900,0)</f>
        <v>55839</v>
      </c>
      <c r="H104" s="33">
        <f t="shared" si="6"/>
        <v>223356</v>
      </c>
      <c r="I104" s="29"/>
    </row>
    <row r="105" spans="2:9" ht="24" customHeight="1" x14ac:dyDescent="0.3">
      <c r="B105" s="17" t="s">
        <v>253</v>
      </c>
      <c r="C105" s="40" t="s">
        <v>179</v>
      </c>
      <c r="D105" s="17" t="s">
        <v>137</v>
      </c>
      <c r="E105" s="41">
        <f>'MEMORIAS DE CALCULO'!$H$106</f>
        <v>1</v>
      </c>
      <c r="F105" s="41">
        <f t="shared" si="7"/>
        <v>1</v>
      </c>
      <c r="G105" s="32">
        <f>ROUND(APUS!$H$1939,0)</f>
        <v>84635</v>
      </c>
      <c r="H105" s="33">
        <f t="shared" si="6"/>
        <v>84635</v>
      </c>
      <c r="I105" s="29"/>
    </row>
    <row r="106" spans="2:9" ht="31.8" customHeight="1" x14ac:dyDescent="0.3">
      <c r="B106" s="17" t="s">
        <v>254</v>
      </c>
      <c r="C106" s="40" t="s">
        <v>181</v>
      </c>
      <c r="D106" s="17" t="s">
        <v>107</v>
      </c>
      <c r="E106" s="41">
        <f>'MEMORIAS DE CALCULO'!$H$107</f>
        <v>24</v>
      </c>
      <c r="F106" s="41">
        <f t="shared" si="7"/>
        <v>24</v>
      </c>
      <c r="G106" s="32">
        <f>ROUND(APUS!$H$1978,0)</f>
        <v>28037</v>
      </c>
      <c r="H106" s="33">
        <f t="shared" si="6"/>
        <v>672888</v>
      </c>
      <c r="I106" s="29"/>
    </row>
    <row r="107" spans="2:9" ht="41.4" customHeight="1" x14ac:dyDescent="0.3">
      <c r="B107" s="17" t="s">
        <v>255</v>
      </c>
      <c r="C107" s="40" t="s">
        <v>183</v>
      </c>
      <c r="D107" s="17" t="s">
        <v>107</v>
      </c>
      <c r="E107" s="41">
        <f>'MEMORIAS DE CALCULO'!$H$108</f>
        <v>24</v>
      </c>
      <c r="F107" s="41">
        <f t="shared" si="7"/>
        <v>24</v>
      </c>
      <c r="G107" s="32">
        <f>ROUND(APUS!$H$2019,0)</f>
        <v>68453</v>
      </c>
      <c r="H107" s="33">
        <f t="shared" si="6"/>
        <v>1642872</v>
      </c>
      <c r="I107" s="29"/>
    </row>
    <row r="108" spans="2:9" ht="43.8" customHeight="1" x14ac:dyDescent="0.3">
      <c r="B108" s="17" t="s">
        <v>256</v>
      </c>
      <c r="C108" s="40" t="s">
        <v>185</v>
      </c>
      <c r="D108" s="17" t="s">
        <v>137</v>
      </c>
      <c r="E108" s="41">
        <f>'MEMORIAS DE CALCULO'!$H$109</f>
        <v>1</v>
      </c>
      <c r="F108" s="41">
        <f t="shared" si="7"/>
        <v>1</v>
      </c>
      <c r="G108" s="32">
        <f>ROUND(APUS!$H$2062,0)</f>
        <v>3454431</v>
      </c>
      <c r="H108" s="33">
        <f t="shared" si="6"/>
        <v>3454431</v>
      </c>
      <c r="I108" s="29"/>
    </row>
    <row r="109" spans="2:9" ht="30" customHeight="1" x14ac:dyDescent="0.3">
      <c r="B109" s="17" t="s">
        <v>257</v>
      </c>
      <c r="C109" s="40" t="s">
        <v>132</v>
      </c>
      <c r="D109" s="17" t="s">
        <v>107</v>
      </c>
      <c r="E109" s="41">
        <f>'MEMORIAS DE CALCULO'!$H$110</f>
        <v>24</v>
      </c>
      <c r="F109" s="41">
        <f t="shared" si="7"/>
        <v>24</v>
      </c>
      <c r="G109" s="32">
        <f>ROUND(APUS!$H$1307,0)</f>
        <v>9193</v>
      </c>
      <c r="H109" s="33">
        <f t="shared" si="6"/>
        <v>220632</v>
      </c>
      <c r="I109" s="29"/>
    </row>
    <row r="110" spans="2:9" ht="24" customHeight="1" x14ac:dyDescent="0.3">
      <c r="B110" s="17" t="s">
        <v>258</v>
      </c>
      <c r="C110" s="40" t="s">
        <v>134</v>
      </c>
      <c r="D110" s="17" t="s">
        <v>107</v>
      </c>
      <c r="E110" s="41">
        <f>'MEMORIAS DE CALCULO'!$H$111</f>
        <v>72</v>
      </c>
      <c r="F110" s="41">
        <f t="shared" si="7"/>
        <v>72</v>
      </c>
      <c r="G110" s="32">
        <f>ROUND(APUS!$H$1345,0)</f>
        <v>5887</v>
      </c>
      <c r="H110" s="33">
        <f t="shared" si="6"/>
        <v>423864</v>
      </c>
      <c r="I110" s="29"/>
    </row>
    <row r="111" spans="2:9" ht="28.2" customHeight="1" x14ac:dyDescent="0.3">
      <c r="B111" s="17" t="s">
        <v>259</v>
      </c>
      <c r="C111" s="40" t="s">
        <v>136</v>
      </c>
      <c r="D111" s="17" t="s">
        <v>137</v>
      </c>
      <c r="E111" s="41">
        <f>'MEMORIAS DE CALCULO'!$H$112</f>
        <v>4</v>
      </c>
      <c r="F111" s="41">
        <f t="shared" si="7"/>
        <v>4</v>
      </c>
      <c r="G111" s="32">
        <f>ROUND(APUS!$H$1111,0)</f>
        <v>34710</v>
      </c>
      <c r="H111" s="33">
        <f t="shared" si="6"/>
        <v>138840</v>
      </c>
      <c r="I111" s="29"/>
    </row>
    <row r="112" spans="2:9" ht="28.2" customHeight="1" x14ac:dyDescent="0.3">
      <c r="B112" s="17" t="s">
        <v>260</v>
      </c>
      <c r="C112" s="40" t="s">
        <v>189</v>
      </c>
      <c r="D112" s="17" t="s">
        <v>137</v>
      </c>
      <c r="E112" s="41">
        <f>'MEMORIAS DE CALCULO'!$H$113</f>
        <v>2</v>
      </c>
      <c r="F112" s="41">
        <f t="shared" si="7"/>
        <v>2</v>
      </c>
      <c r="G112" s="32">
        <f>ROUND(APUS!$H$1150,0)</f>
        <v>75772</v>
      </c>
      <c r="H112" s="33">
        <f t="shared" si="6"/>
        <v>151544</v>
      </c>
      <c r="I112" s="29"/>
    </row>
    <row r="113" spans="2:9" ht="24" customHeight="1" x14ac:dyDescent="0.3">
      <c r="B113" s="17" t="s">
        <v>261</v>
      </c>
      <c r="C113" s="40" t="s">
        <v>191</v>
      </c>
      <c r="D113" s="17" t="s">
        <v>137</v>
      </c>
      <c r="E113" s="41">
        <f>'MEMORIAS DE CALCULO'!$H$114</f>
        <v>5</v>
      </c>
      <c r="F113" s="41">
        <f t="shared" si="7"/>
        <v>5</v>
      </c>
      <c r="G113" s="32">
        <f>ROUND(APUS!$H$1189,0)</f>
        <v>31210</v>
      </c>
      <c r="H113" s="33">
        <f t="shared" si="6"/>
        <v>156050</v>
      </c>
      <c r="I113" s="29"/>
    </row>
    <row r="114" spans="2:9" ht="29.4" customHeight="1" x14ac:dyDescent="0.3">
      <c r="B114" s="17" t="s">
        <v>262</v>
      </c>
      <c r="C114" s="40" t="s">
        <v>141</v>
      </c>
      <c r="D114" s="17" t="s">
        <v>137</v>
      </c>
      <c r="E114" s="41">
        <f>'MEMORIAS DE CALCULO'!$H$115</f>
        <v>5</v>
      </c>
      <c r="F114" s="41">
        <f t="shared" si="7"/>
        <v>5</v>
      </c>
      <c r="G114" s="32">
        <f>ROUND(APUS!$H$1269,0)</f>
        <v>40310</v>
      </c>
      <c r="H114" s="33">
        <f t="shared" si="6"/>
        <v>201550</v>
      </c>
      <c r="I114" s="29"/>
    </row>
    <row r="115" spans="2:9" ht="42.6" customHeight="1" x14ac:dyDescent="0.3">
      <c r="B115" s="17" t="s">
        <v>263</v>
      </c>
      <c r="C115" s="40" t="s">
        <v>195</v>
      </c>
      <c r="D115" s="17" t="s">
        <v>101</v>
      </c>
      <c r="E115" s="41">
        <f>'MEMORIAS DE CALCULO'!$H$116</f>
        <v>3.16</v>
      </c>
      <c r="F115" s="41">
        <f t="shared" si="7"/>
        <v>3.16</v>
      </c>
      <c r="G115" s="32">
        <f>ROUND(APUS!$H$1030,0)</f>
        <v>113362</v>
      </c>
      <c r="H115" s="33">
        <f t="shared" si="6"/>
        <v>358224</v>
      </c>
      <c r="I115" s="29"/>
    </row>
    <row r="116" spans="2:9" ht="32.4" customHeight="1" x14ac:dyDescent="0.3">
      <c r="B116" s="17" t="s">
        <v>264</v>
      </c>
      <c r="C116" s="40" t="s">
        <v>197</v>
      </c>
      <c r="D116" s="17" t="s">
        <v>101</v>
      </c>
      <c r="E116" s="41">
        <f>'MEMORIAS DE CALCULO'!$H$117</f>
        <v>7.4</v>
      </c>
      <c r="F116" s="41">
        <f t="shared" si="7"/>
        <v>7.4</v>
      </c>
      <c r="G116" s="32">
        <f>ROUND(APUS!$H$1072,0)</f>
        <v>93255</v>
      </c>
      <c r="H116" s="33">
        <f t="shared" si="6"/>
        <v>690087</v>
      </c>
      <c r="I116" s="29"/>
    </row>
    <row r="117" spans="2:9" ht="41.4" customHeight="1" x14ac:dyDescent="0.3">
      <c r="B117" s="17" t="s">
        <v>265</v>
      </c>
      <c r="C117" s="40" t="s">
        <v>201</v>
      </c>
      <c r="D117" s="17" t="s">
        <v>137</v>
      </c>
      <c r="E117" s="41">
        <f>'MEMORIAS DE CALCULO'!$H$118</f>
        <v>1</v>
      </c>
      <c r="F117" s="41">
        <f t="shared" si="7"/>
        <v>1</v>
      </c>
      <c r="G117" s="32">
        <f>ROUND(APUS!$H$2101,0)</f>
        <v>636598</v>
      </c>
      <c r="H117" s="33">
        <f t="shared" si="6"/>
        <v>636598</v>
      </c>
      <c r="I117" s="29"/>
    </row>
    <row r="118" spans="2:9" ht="31.8" customHeight="1" x14ac:dyDescent="0.3">
      <c r="B118" s="17" t="s">
        <v>266</v>
      </c>
      <c r="C118" s="40" t="s">
        <v>203</v>
      </c>
      <c r="D118" s="17" t="s">
        <v>137</v>
      </c>
      <c r="E118" s="41">
        <f>'MEMORIAS DE CALCULO'!$H$119</f>
        <v>1</v>
      </c>
      <c r="F118" s="41">
        <f t="shared" si="7"/>
        <v>1</v>
      </c>
      <c r="G118" s="32">
        <f>ROUND(APUS!$H$2139,0)</f>
        <v>126681</v>
      </c>
      <c r="H118" s="33">
        <f t="shared" si="6"/>
        <v>126681</v>
      </c>
      <c r="I118" s="29"/>
    </row>
    <row r="119" spans="2:9" ht="24" customHeight="1" x14ac:dyDescent="0.3">
      <c r="B119" s="17" t="s">
        <v>267</v>
      </c>
      <c r="C119" s="40" t="s">
        <v>205</v>
      </c>
      <c r="D119" s="17" t="s">
        <v>137</v>
      </c>
      <c r="E119" s="41">
        <f>'MEMORIAS DE CALCULO'!$H$120</f>
        <v>1</v>
      </c>
      <c r="F119" s="41">
        <f t="shared" si="7"/>
        <v>1</v>
      </c>
      <c r="G119" s="32">
        <f>ROUND(APUS!$H$2176,0)</f>
        <v>20179</v>
      </c>
      <c r="H119" s="33">
        <f t="shared" si="6"/>
        <v>20179</v>
      </c>
      <c r="I119" s="29"/>
    </row>
    <row r="120" spans="2:9" ht="32.4" customHeight="1" x14ac:dyDescent="0.3">
      <c r="B120" s="17" t="s">
        <v>268</v>
      </c>
      <c r="C120" s="40" t="s">
        <v>269</v>
      </c>
      <c r="D120" s="17" t="s">
        <v>137</v>
      </c>
      <c r="E120" s="41">
        <f>'MEMORIAS DE CALCULO'!$H$121</f>
        <v>1</v>
      </c>
      <c r="F120" s="41">
        <f t="shared" si="7"/>
        <v>1</v>
      </c>
      <c r="G120" s="32">
        <f>ROUND(APUS!$H$2258,0)</f>
        <v>745925</v>
      </c>
      <c r="H120" s="33">
        <f t="shared" si="6"/>
        <v>745925</v>
      </c>
      <c r="I120" s="29"/>
    </row>
    <row r="121" spans="2:9" ht="32.4" customHeight="1" x14ac:dyDescent="0.3">
      <c r="B121" s="17" t="s">
        <v>270</v>
      </c>
      <c r="C121" s="40" t="s">
        <v>271</v>
      </c>
      <c r="D121" s="17" t="s">
        <v>137</v>
      </c>
      <c r="E121" s="41">
        <f>'MEMORIAS DE CALCULO'!$H$122</f>
        <v>1</v>
      </c>
      <c r="F121" s="41">
        <f t="shared" si="7"/>
        <v>1</v>
      </c>
      <c r="G121" s="32">
        <f>ROUND(APUS!$H$1425,0)</f>
        <v>1144861</v>
      </c>
      <c r="H121" s="33">
        <f t="shared" si="6"/>
        <v>1144861</v>
      </c>
      <c r="I121" s="29"/>
    </row>
    <row r="122" spans="2:9" ht="32.4" customHeight="1" x14ac:dyDescent="0.3">
      <c r="B122" s="17" t="s">
        <v>272</v>
      </c>
      <c r="C122" s="40" t="s">
        <v>151</v>
      </c>
      <c r="D122" s="17" t="s">
        <v>137</v>
      </c>
      <c r="E122" s="41">
        <f>'MEMORIAS DE CALCULO'!$H$123</f>
        <v>1</v>
      </c>
      <c r="F122" s="41">
        <f t="shared" si="7"/>
        <v>1</v>
      </c>
      <c r="G122" s="32">
        <f>ROUND(APUS!$H$1385,0)</f>
        <v>1027792</v>
      </c>
      <c r="H122" s="33">
        <f t="shared" si="6"/>
        <v>1027792</v>
      </c>
      <c r="I122" s="29"/>
    </row>
    <row r="123" spans="2:9" ht="32.4" customHeight="1" x14ac:dyDescent="0.3">
      <c r="B123" s="17" t="s">
        <v>273</v>
      </c>
      <c r="C123" s="40" t="s">
        <v>153</v>
      </c>
      <c r="D123" s="17" t="s">
        <v>101</v>
      </c>
      <c r="E123" s="41">
        <f>'MEMORIAS DE CALCULO'!$H$124</f>
        <v>2.2400000000000002</v>
      </c>
      <c r="F123" s="41">
        <f t="shared" si="7"/>
        <v>2.2400000000000002</v>
      </c>
      <c r="G123" s="32">
        <f>ROUND(APUS!$H$1465,0)</f>
        <v>479669</v>
      </c>
      <c r="H123" s="33">
        <f t="shared" si="6"/>
        <v>1074459</v>
      </c>
      <c r="I123" s="29"/>
    </row>
    <row r="124" spans="2:9" ht="32.4" customHeight="1" x14ac:dyDescent="0.3">
      <c r="B124" s="17" t="s">
        <v>274</v>
      </c>
      <c r="C124" s="40" t="s">
        <v>155</v>
      </c>
      <c r="D124" s="17" t="s">
        <v>101</v>
      </c>
      <c r="E124" s="41">
        <f>'MEMORIAS DE CALCULO'!$H$125</f>
        <v>14.26</v>
      </c>
      <c r="F124" s="41">
        <f t="shared" si="7"/>
        <v>14.26</v>
      </c>
      <c r="G124" s="32">
        <f>ROUND(APUS!$H$1503,0)</f>
        <v>22048</v>
      </c>
      <c r="H124" s="33">
        <f t="shared" si="6"/>
        <v>314404</v>
      </c>
      <c r="I124" s="29"/>
    </row>
    <row r="125" spans="2:9" ht="18" customHeight="1" x14ac:dyDescent="0.3">
      <c r="B125" s="38">
        <v>5</v>
      </c>
      <c r="C125" s="116" t="str">
        <f>"PARED EN FIBROCEMENTO SOBRE ESTRUCTURA EN MADERA Y ESCALERA EN MADERA ("&amp;RESUMEN!$D$11&amp;" UNIDAD"&amp;IF(RESUMEN!$D$11=1,"","ES")&amp;")"</f>
        <v>PARED EN FIBROCEMENTO SOBRE ESTRUCTURA EN MADERA Y ESCALERA EN MADERA (1 UNIDAD)</v>
      </c>
      <c r="D125" s="116"/>
      <c r="E125" s="116"/>
      <c r="F125" s="116"/>
      <c r="G125" s="116"/>
      <c r="H125" s="116"/>
      <c r="I125" s="39">
        <f>SUM(H126:H137)</f>
        <v>10952539</v>
      </c>
    </row>
    <row r="126" spans="2:9" ht="31.8" customHeight="1" x14ac:dyDescent="0.3">
      <c r="B126" s="17" t="s">
        <v>275</v>
      </c>
      <c r="C126" s="40" t="s">
        <v>276</v>
      </c>
      <c r="D126" s="17" t="s">
        <v>277</v>
      </c>
      <c r="E126" s="41">
        <f>'MEMORIAS DE CALCULO'!$H$127</f>
        <v>1</v>
      </c>
      <c r="F126" s="41">
        <f>E126/1</f>
        <v>1</v>
      </c>
      <c r="G126" s="32">
        <f>ROUND(APUS!$H$145,0)</f>
        <v>439028</v>
      </c>
      <c r="H126" s="33">
        <f t="shared" ref="H126:H137" si="8">ROUND(E126*G126,0)</f>
        <v>439028</v>
      </c>
      <c r="I126" s="29"/>
    </row>
    <row r="127" spans="2:9" ht="40.799999999999997" customHeight="1" x14ac:dyDescent="0.3">
      <c r="B127" s="17" t="s">
        <v>278</v>
      </c>
      <c r="C127" s="40" t="s">
        <v>225</v>
      </c>
      <c r="D127" s="17" t="s">
        <v>104</v>
      </c>
      <c r="E127" s="41">
        <f>'MEMORIAS DE CALCULO'!$H$128</f>
        <v>2</v>
      </c>
      <c r="F127" s="41">
        <f t="shared" ref="F127:F137" si="9">E127/1</f>
        <v>2</v>
      </c>
      <c r="G127" s="32">
        <f>ROUND(APUS!$H$106,0)</f>
        <v>180965</v>
      </c>
      <c r="H127" s="33">
        <f t="shared" si="8"/>
        <v>361930</v>
      </c>
      <c r="I127" s="29"/>
    </row>
    <row r="128" spans="2:9" ht="31.5" customHeight="1" x14ac:dyDescent="0.3">
      <c r="B128" s="17" t="s">
        <v>279</v>
      </c>
      <c r="C128" s="40" t="s">
        <v>103</v>
      </c>
      <c r="D128" s="17" t="s">
        <v>104</v>
      </c>
      <c r="E128" s="41">
        <f>'MEMORIAS DE CALCULO'!$H$129</f>
        <v>1</v>
      </c>
      <c r="F128" s="41">
        <f t="shared" si="9"/>
        <v>1</v>
      </c>
      <c r="G128" s="32">
        <f>ROUND(APUS!$H$68,0)</f>
        <v>56233</v>
      </c>
      <c r="H128" s="33">
        <f t="shared" si="8"/>
        <v>56233</v>
      </c>
      <c r="I128" s="29"/>
    </row>
    <row r="129" spans="2:9" ht="37.799999999999997" customHeight="1" x14ac:dyDescent="0.3">
      <c r="B129" s="17" t="s">
        <v>280</v>
      </c>
      <c r="C129" s="40" t="s">
        <v>281</v>
      </c>
      <c r="D129" s="17" t="s">
        <v>137</v>
      </c>
      <c r="E129" s="41">
        <f>'MEMORIAS DE CALCULO'!$H$130</f>
        <v>4</v>
      </c>
      <c r="F129" s="41">
        <f t="shared" si="9"/>
        <v>4</v>
      </c>
      <c r="G129" s="32">
        <f>ROUND(APUS!$H$507,0)</f>
        <v>91905</v>
      </c>
      <c r="H129" s="33">
        <f t="shared" si="8"/>
        <v>367620</v>
      </c>
      <c r="I129" s="29"/>
    </row>
    <row r="130" spans="2:9" ht="28.8" customHeight="1" x14ac:dyDescent="0.3">
      <c r="B130" s="17" t="s">
        <v>282</v>
      </c>
      <c r="C130" s="40" t="s">
        <v>122</v>
      </c>
      <c r="D130" s="17" t="s">
        <v>107</v>
      </c>
      <c r="E130" s="41">
        <f>'MEMORIAS DE CALCULO'!$H$131</f>
        <v>24</v>
      </c>
      <c r="F130" s="41">
        <f t="shared" si="9"/>
        <v>24</v>
      </c>
      <c r="G130" s="32">
        <f>ROUND(APUS!$H$1621,0)</f>
        <v>63004</v>
      </c>
      <c r="H130" s="33">
        <f t="shared" si="8"/>
        <v>1512096</v>
      </c>
      <c r="I130" s="29"/>
    </row>
    <row r="131" spans="2:9" ht="28.2" customHeight="1" x14ac:dyDescent="0.3">
      <c r="B131" s="17" t="s">
        <v>283</v>
      </c>
      <c r="C131" s="40" t="s">
        <v>124</v>
      </c>
      <c r="D131" s="17" t="s">
        <v>107</v>
      </c>
      <c r="E131" s="41">
        <f>'MEMORIAS DE CALCULO'!$H$132</f>
        <v>20</v>
      </c>
      <c r="F131" s="41">
        <f t="shared" si="9"/>
        <v>20</v>
      </c>
      <c r="G131" s="32">
        <f>ROUND(APUS!$H$1582,0)</f>
        <v>33400</v>
      </c>
      <c r="H131" s="33">
        <f t="shared" si="8"/>
        <v>668000</v>
      </c>
      <c r="I131" s="29"/>
    </row>
    <row r="132" spans="2:9" ht="31.8" customHeight="1" x14ac:dyDescent="0.3">
      <c r="B132" s="17" t="s">
        <v>284</v>
      </c>
      <c r="C132" s="40" t="s">
        <v>285</v>
      </c>
      <c r="D132" s="17" t="s">
        <v>101</v>
      </c>
      <c r="E132" s="41">
        <f>'MEMORIAS DE CALCULO'!$H$133</f>
        <v>32</v>
      </c>
      <c r="F132" s="41">
        <f t="shared" si="9"/>
        <v>32</v>
      </c>
      <c r="G132" s="32">
        <f>ROUND(APUS!$H$2412,0)</f>
        <v>81249</v>
      </c>
      <c r="H132" s="33">
        <f t="shared" si="8"/>
        <v>2599968</v>
      </c>
      <c r="I132" s="29"/>
    </row>
    <row r="133" spans="2:9" ht="28.8" customHeight="1" x14ac:dyDescent="0.3">
      <c r="B133" s="17" t="s">
        <v>286</v>
      </c>
      <c r="C133" s="40" t="s">
        <v>287</v>
      </c>
      <c r="D133" s="17" t="s">
        <v>101</v>
      </c>
      <c r="E133" s="41">
        <f>'MEMORIAS DE CALCULO'!$H$134</f>
        <v>32</v>
      </c>
      <c r="F133" s="41">
        <f t="shared" si="9"/>
        <v>32</v>
      </c>
      <c r="G133" s="32">
        <f>ROUND(APUS!$H$946,0)</f>
        <v>19055</v>
      </c>
      <c r="H133" s="33">
        <f t="shared" si="8"/>
        <v>609760</v>
      </c>
      <c r="I133" s="29"/>
    </row>
    <row r="134" spans="2:9" ht="27.6" customHeight="1" x14ac:dyDescent="0.3">
      <c r="B134" s="17" t="s">
        <v>288</v>
      </c>
      <c r="C134" s="40" t="s">
        <v>147</v>
      </c>
      <c r="D134" s="17" t="s">
        <v>101</v>
      </c>
      <c r="E134" s="41">
        <f>'MEMORIAS DE CALCULO'!$H$135</f>
        <v>16</v>
      </c>
      <c r="F134" s="41">
        <f t="shared" si="9"/>
        <v>16</v>
      </c>
      <c r="G134" s="32">
        <f>ROUND(APUS!$H$868,0)</f>
        <v>17410</v>
      </c>
      <c r="H134" s="33">
        <f t="shared" si="8"/>
        <v>278560</v>
      </c>
      <c r="I134" s="29"/>
    </row>
    <row r="135" spans="2:9" ht="24" customHeight="1" x14ac:dyDescent="0.3">
      <c r="B135" s="17" t="s">
        <v>289</v>
      </c>
      <c r="C135" s="40" t="s">
        <v>290</v>
      </c>
      <c r="D135" s="17" t="s">
        <v>101</v>
      </c>
      <c r="E135" s="41">
        <f>'MEMORIAS DE CALCULO'!$H$136</f>
        <v>16</v>
      </c>
      <c r="F135" s="41">
        <f t="shared" si="9"/>
        <v>16</v>
      </c>
      <c r="G135" s="32">
        <f>ROUND(APUS!$H$907,0)</f>
        <v>21435</v>
      </c>
      <c r="H135" s="33">
        <f t="shared" si="8"/>
        <v>342960</v>
      </c>
      <c r="I135" s="29"/>
    </row>
    <row r="136" spans="2:9" ht="37.200000000000003" customHeight="1" x14ac:dyDescent="0.3">
      <c r="B136" s="17" t="s">
        <v>291</v>
      </c>
      <c r="C136" s="40" t="s">
        <v>292</v>
      </c>
      <c r="D136" s="17" t="s">
        <v>137</v>
      </c>
      <c r="E136" s="41">
        <f>'MEMORIAS DE CALCULO'!$H$137</f>
        <v>1</v>
      </c>
      <c r="F136" s="41">
        <f t="shared" si="9"/>
        <v>1</v>
      </c>
      <c r="G136" s="32">
        <f>ROUND(APUS!$H$2455,0)</f>
        <v>2452226</v>
      </c>
      <c r="H136" s="33">
        <f t="shared" si="8"/>
        <v>2452226</v>
      </c>
      <c r="I136" s="29"/>
    </row>
    <row r="137" spans="2:9" ht="28.8" customHeight="1" x14ac:dyDescent="0.3">
      <c r="B137" s="17" t="s">
        <v>293</v>
      </c>
      <c r="C137" s="40" t="s">
        <v>294</v>
      </c>
      <c r="D137" s="17" t="s">
        <v>107</v>
      </c>
      <c r="E137" s="41">
        <f>'MEMORIAS DE CALCULO'!$H$138</f>
        <v>7</v>
      </c>
      <c r="F137" s="41">
        <f t="shared" si="9"/>
        <v>7</v>
      </c>
      <c r="G137" s="32">
        <f>ROUND(APUS!$H$2496,0)</f>
        <v>180594</v>
      </c>
      <c r="H137" s="33">
        <f t="shared" si="8"/>
        <v>1264158</v>
      </c>
      <c r="I137" s="29"/>
    </row>
    <row r="138" spans="2:9" x14ac:dyDescent="0.3">
      <c r="B138" s="120" t="s">
        <v>295</v>
      </c>
      <c r="C138" s="120"/>
      <c r="D138" s="120"/>
      <c r="E138" s="120"/>
      <c r="F138" s="120"/>
      <c r="G138" s="120"/>
      <c r="H138" s="42">
        <f>I6+I33+I72+I82+I125</f>
        <v>189714873</v>
      </c>
      <c r="I138" s="43"/>
    </row>
    <row r="139" spans="2:9" x14ac:dyDescent="0.3">
      <c r="B139" s="122" t="s">
        <v>85</v>
      </c>
      <c r="C139" s="122"/>
      <c r="D139" s="122"/>
      <c r="E139" s="122"/>
      <c r="F139" s="44"/>
      <c r="G139" s="45">
        <f>'Datos Iniciales'!$B$32</f>
        <v>0.28999999999999998</v>
      </c>
      <c r="H139" s="46">
        <f>ROUND(H138*G139,0)</f>
        <v>55017313</v>
      </c>
      <c r="I139" s="29"/>
    </row>
    <row r="140" spans="2:9" x14ac:dyDescent="0.3">
      <c r="B140" s="122" t="s">
        <v>58</v>
      </c>
      <c r="C140" s="122"/>
      <c r="D140" s="122"/>
      <c r="E140" s="122"/>
      <c r="F140" s="44"/>
      <c r="G140" s="45">
        <f>'Datos Iniciales'!$B$33</f>
        <v>0.05</v>
      </c>
      <c r="H140" s="46">
        <f>ROUND(H138*G140,0)</f>
        <v>9485744</v>
      </c>
      <c r="I140" s="29"/>
    </row>
    <row r="141" spans="2:9" x14ac:dyDescent="0.3">
      <c r="B141" s="124" t="s">
        <v>86</v>
      </c>
      <c r="C141" s="124"/>
      <c r="D141" s="124"/>
      <c r="E141" s="124"/>
      <c r="F141" s="47"/>
      <c r="G141" s="48">
        <f>G139+G140</f>
        <v>0.33999999999999997</v>
      </c>
      <c r="H141" s="49">
        <f>H139+H140</f>
        <v>64503057</v>
      </c>
      <c r="I141" s="29"/>
    </row>
    <row r="142" spans="2:9" x14ac:dyDescent="0.3">
      <c r="B142" s="117" t="s">
        <v>296</v>
      </c>
      <c r="C142" s="117"/>
      <c r="D142" s="117"/>
      <c r="E142" s="117"/>
      <c r="F142" s="117"/>
      <c r="G142" s="117"/>
      <c r="H142" s="50">
        <f>H138+H141</f>
        <v>254217930</v>
      </c>
      <c r="I142" s="51"/>
    </row>
    <row r="145" spans="2:9" x14ac:dyDescent="0.3">
      <c r="B145" s="118" t="s">
        <v>297</v>
      </c>
      <c r="C145" s="118"/>
      <c r="D145" s="118"/>
      <c r="E145" s="118"/>
      <c r="F145" s="118"/>
      <c r="G145" s="118"/>
      <c r="H145" s="118"/>
      <c r="I145" s="118"/>
    </row>
    <row r="146" spans="2:9" x14ac:dyDescent="0.3">
      <c r="B146" s="107" t="s">
        <v>298</v>
      </c>
      <c r="C146" s="107"/>
      <c r="D146" s="107"/>
      <c r="E146" s="107"/>
      <c r="F146" s="107"/>
      <c r="G146" s="107"/>
      <c r="H146" s="123" t="str">
        <f>IF(AND(G140=5%,G139&lt;=29%,G141&lt;='Datos Iniciales'!$B$34),"CUMPLE: A = "&amp;ROUND(G139*100,2)&amp;" % | U = "&amp;ROUND(G140*100,2)&amp;" % | AU = "&amp;ROUND(G141*100,2)&amp;" %","NO CUMPLE")</f>
        <v>CUMPLE: A = 29 % | U = 5 % | AU = 34 %</v>
      </c>
      <c r="I146" s="123"/>
    </row>
    <row r="147" spans="2:9" x14ac:dyDescent="0.3">
      <c r="B147" s="107" t="s">
        <v>299</v>
      </c>
      <c r="C147" s="107"/>
      <c r="D147" s="107"/>
      <c r="E147" s="107"/>
      <c r="F147" s="107"/>
      <c r="G147" s="107"/>
      <c r="H147" s="123" t="str">
        <f>AU!$G$28</f>
        <v>CUMPLE: A aplicada 29 % ≥ requerida 29 %</v>
      </c>
      <c r="I147" s="123"/>
    </row>
    <row r="148" spans="2:9" x14ac:dyDescent="0.3">
      <c r="B148" s="107" t="s">
        <v>300</v>
      </c>
      <c r="C148" s="107"/>
      <c r="D148" s="107"/>
      <c r="E148" s="107"/>
      <c r="F148" s="107"/>
      <c r="G148" s="107"/>
      <c r="H148" s="119">
        <f>H142-RESUMEN!$H$12</f>
        <v>0.18000000715255737</v>
      </c>
      <c r="I148" s="119"/>
    </row>
    <row r="149" spans="2:9" x14ac:dyDescent="0.3">
      <c r="B149" s="107" t="s">
        <v>301</v>
      </c>
      <c r="C149" s="107"/>
      <c r="D149" s="107"/>
      <c r="E149" s="107"/>
      <c r="F149" s="107"/>
      <c r="G149" s="107"/>
      <c r="H149" s="119">
        <f>H142/'Datos Iniciales'!$B$27</f>
        <v>23110720.90909091</v>
      </c>
      <c r="I149" s="119"/>
    </row>
    <row r="151" spans="2:9" ht="60" customHeight="1" x14ac:dyDescent="0.3">
      <c r="B151" s="106" t="s">
        <v>302</v>
      </c>
      <c r="C151" s="101"/>
      <c r="D151" s="101"/>
      <c r="E151" s="101"/>
      <c r="F151" s="101"/>
      <c r="G151" s="101"/>
      <c r="H151" s="101"/>
      <c r="I151" s="101"/>
    </row>
    <row r="154" spans="2:9" x14ac:dyDescent="0.3">
      <c r="B154" s="52" t="s">
        <v>303</v>
      </c>
      <c r="E154" s="121" t="s">
        <v>304</v>
      </c>
      <c r="F154" s="121"/>
      <c r="G154" s="101"/>
      <c r="H154" s="101"/>
      <c r="I154" s="101"/>
    </row>
    <row r="155" spans="2:9" x14ac:dyDescent="0.3">
      <c r="E155" s="106" t="str">
        <f>IF('Datos Iniciales'!$B$9="","Nombre, cargo y matrícula profesional",'Datos Iniciales'!$B$9&amp;" - "&amp;'Datos Iniciales'!$B$10&amp;" - M.P. "&amp;'Datos Iniciales'!$B$12)</f>
        <v>Nombre, cargo y matrícula profesional</v>
      </c>
      <c r="F155" s="106"/>
      <c r="G155" s="101"/>
      <c r="H155" s="101"/>
      <c r="I155" s="101"/>
    </row>
  </sheetData>
  <mergeCells count="27">
    <mergeCell ref="B2:H2"/>
    <mergeCell ref="B138:G138"/>
    <mergeCell ref="E154:I154"/>
    <mergeCell ref="C6:H6"/>
    <mergeCell ref="C33:H33"/>
    <mergeCell ref="I1:I4"/>
    <mergeCell ref="B1:H1"/>
    <mergeCell ref="B139:E139"/>
    <mergeCell ref="B149:G149"/>
    <mergeCell ref="H147:I147"/>
    <mergeCell ref="H146:I146"/>
    <mergeCell ref="B141:E141"/>
    <mergeCell ref="B148:G148"/>
    <mergeCell ref="B140:E140"/>
    <mergeCell ref="H148:I148"/>
    <mergeCell ref="B147:G147"/>
    <mergeCell ref="B146:G146"/>
    <mergeCell ref="B151:I151"/>
    <mergeCell ref="E155:I155"/>
    <mergeCell ref="B145:I145"/>
    <mergeCell ref="H149:I149"/>
    <mergeCell ref="B3:H3"/>
    <mergeCell ref="C82:H82"/>
    <mergeCell ref="C125:H125"/>
    <mergeCell ref="C72:H72"/>
    <mergeCell ref="B142:G142"/>
    <mergeCell ref="B4:H4"/>
  </mergeCells>
  <pageMargins left="0.4" right="0.4" top="0.5" bottom="0.5" header="0.5" footer="0.5"/>
  <pageSetup scale="68" fitToHeight="0" orientation="landscape" r:id="rId1"/>
  <headerFooter>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L21"/>
  <sheetViews>
    <sheetView showGridLines="0" zoomScale="90" zoomScaleNormal="90" workbookViewId="0">
      <pane ySplit="6" topLeftCell="A10" activePane="bottomLeft" state="frozen"/>
      <selection pane="bottomLeft" activeCell="G13" sqref="G13"/>
    </sheetView>
  </sheetViews>
  <sheetFormatPr baseColWidth="10" defaultColWidth="8.88671875" defaultRowHeight="14.4" x14ac:dyDescent="0.3"/>
  <cols>
    <col min="1" max="1" width="2" customWidth="1"/>
    <col min="2" max="2" width="6" customWidth="1"/>
    <col min="3" max="3" width="34" customWidth="1"/>
    <col min="4" max="4" width="20" customWidth="1"/>
    <col min="5" max="5" width="9" customWidth="1"/>
    <col min="6" max="6" width="13" customWidth="1"/>
    <col min="7" max="7" width="46" customWidth="1"/>
    <col min="8" max="8" width="18" customWidth="1"/>
    <col min="9" max="9" width="16" customWidth="1"/>
    <col min="10" max="10" width="15" customWidth="1"/>
    <col min="11" max="11" width="18" customWidth="1"/>
    <col min="12" max="12" width="30" customWidth="1"/>
  </cols>
  <sheetData>
    <row r="1" spans="2:12" ht="19.5" customHeight="1" x14ac:dyDescent="0.3">
      <c r="B1" s="113" t="s">
        <v>1</v>
      </c>
      <c r="C1" s="113"/>
      <c r="D1" s="113"/>
      <c r="E1" s="113"/>
      <c r="F1" s="113"/>
      <c r="G1" s="113"/>
      <c r="H1" s="113"/>
      <c r="I1" s="113"/>
      <c r="J1" s="113"/>
      <c r="K1" s="113"/>
      <c r="L1" s="110"/>
    </row>
    <row r="2" spans="2:12" ht="30" customHeight="1" x14ac:dyDescent="0.3">
      <c r="B2" s="109" t="str">
        <f>'Datos Iniciales'!$B$8</f>
        <v>OBRA PÚBLICA PARA LA EJECUCIÓN DE DIFERENTES MEJORAMIENTOS DE VIVIENDA EN EL CASCO URBANO Y RURAL DEL MUNICIPIO DE MACEO - ANTIOQUIA</v>
      </c>
      <c r="C2" s="109"/>
      <c r="D2" s="109"/>
      <c r="E2" s="109"/>
      <c r="F2" s="109"/>
      <c r="G2" s="109"/>
      <c r="H2" s="109"/>
      <c r="I2" s="109"/>
      <c r="J2" s="109"/>
      <c r="K2" s="109"/>
      <c r="L2" s="110"/>
    </row>
    <row r="3" spans="2:12" ht="19.5" customHeight="1" x14ac:dyDescent="0.3">
      <c r="B3" s="111" t="s">
        <v>305</v>
      </c>
      <c r="C3" s="111"/>
      <c r="D3" s="111"/>
      <c r="E3" s="111"/>
      <c r="F3" s="111"/>
      <c r="G3" s="111"/>
      <c r="H3" s="111"/>
      <c r="I3" s="111"/>
      <c r="J3" s="111"/>
      <c r="K3" s="111"/>
      <c r="L3" s="110"/>
    </row>
    <row r="4" spans="2:12" ht="18" customHeight="1" x14ac:dyDescent="0.3">
      <c r="B4" s="114" t="s">
        <v>306</v>
      </c>
      <c r="C4" s="114"/>
      <c r="D4" s="114"/>
      <c r="E4" s="114"/>
      <c r="F4" s="114"/>
      <c r="G4" s="114"/>
      <c r="H4" s="114"/>
      <c r="I4" s="114"/>
      <c r="J4" s="114"/>
      <c r="K4" s="114"/>
      <c r="L4" s="110"/>
    </row>
    <row r="6" spans="2:12" ht="36" customHeight="1" x14ac:dyDescent="0.3">
      <c r="B6" s="13" t="s">
        <v>69</v>
      </c>
      <c r="C6" s="13" t="s">
        <v>307</v>
      </c>
      <c r="D6" s="13" t="s">
        <v>308</v>
      </c>
      <c r="E6" s="13" t="s">
        <v>70</v>
      </c>
      <c r="F6" s="13" t="s">
        <v>309</v>
      </c>
      <c r="G6" s="13" t="s">
        <v>310</v>
      </c>
      <c r="H6" s="13" t="s">
        <v>72</v>
      </c>
      <c r="I6" s="13" t="s">
        <v>73</v>
      </c>
      <c r="J6" s="13" t="s">
        <v>74</v>
      </c>
      <c r="K6" s="13" t="s">
        <v>311</v>
      </c>
      <c r="L6" s="13" t="s">
        <v>312</v>
      </c>
    </row>
    <row r="7" spans="2:12" ht="24" customHeight="1" x14ac:dyDescent="0.3">
      <c r="B7" s="17">
        <v>1</v>
      </c>
      <c r="C7" s="53" t="s">
        <v>313</v>
      </c>
      <c r="D7" s="53" t="s">
        <v>314</v>
      </c>
      <c r="E7" s="15">
        <v>1</v>
      </c>
      <c r="F7" s="54"/>
      <c r="G7" s="16" t="str">
        <f>INDEX(RESUMEN!$C$7:$C$11,E7)</f>
        <v>MÓDULO HABITACIONAL DE 2,50 x 3,00 m</v>
      </c>
      <c r="H7" s="32">
        <f>INDEX(RESUMEN!$E$7:$E$11,E7)/INDEX(RESUMEN!$D$7:$D$11,E7)</f>
        <v>12711183.333333334</v>
      </c>
      <c r="I7" s="32">
        <f>INDEX(RESUMEN!$F$7:$F$11,E7)/INDEX(RESUMEN!$D$7:$D$11,E7)</f>
        <v>3686243.1666666665</v>
      </c>
      <c r="J7" s="32">
        <f>INDEX(RESUMEN!$G$7:$G$11,E7)/INDEX(RESUMEN!$D$7:$D$11,E7)</f>
        <v>635559.16666666663</v>
      </c>
      <c r="K7" s="33">
        <f>INDEX(RESUMEN!$H$7:$H$11,E7)/INDEX(RESUMEN!$D$7:$D$11,E7)</f>
        <v>17032985.666666668</v>
      </c>
      <c r="L7" s="18" t="s">
        <v>315</v>
      </c>
    </row>
    <row r="8" spans="2:12" ht="24" customHeight="1" x14ac:dyDescent="0.3">
      <c r="B8" s="17">
        <v>2</v>
      </c>
      <c r="C8" s="53" t="s">
        <v>316</v>
      </c>
      <c r="D8" s="53" t="s">
        <v>317</v>
      </c>
      <c r="E8" s="15">
        <v>1</v>
      </c>
      <c r="F8" s="54"/>
      <c r="G8" s="16" t="str">
        <f>INDEX(RESUMEN!$C$7:$C$11,E8)</f>
        <v>MÓDULO HABITACIONAL DE 2,50 x 3,00 m</v>
      </c>
      <c r="H8" s="32">
        <f>INDEX(RESUMEN!$E$7:$E$11,E8)/INDEX(RESUMEN!$D$7:$D$11,E8)</f>
        <v>12711183.333333334</v>
      </c>
      <c r="I8" s="32">
        <f>INDEX(RESUMEN!$F$7:$F$11,E8)/INDEX(RESUMEN!$D$7:$D$11,E8)</f>
        <v>3686243.1666666665</v>
      </c>
      <c r="J8" s="32">
        <f>INDEX(RESUMEN!$G$7:$G$11,E8)/INDEX(RESUMEN!$D$7:$D$11,E8)</f>
        <v>635559.16666666663</v>
      </c>
      <c r="K8" s="33">
        <f>INDEX(RESUMEN!$H$7:$H$11,E8)/INDEX(RESUMEN!$D$7:$D$11,E8)</f>
        <v>17032985.666666668</v>
      </c>
      <c r="L8" s="18" t="s">
        <v>315</v>
      </c>
    </row>
    <row r="9" spans="2:12" ht="24" customHeight="1" x14ac:dyDescent="0.3">
      <c r="B9" s="17">
        <v>3</v>
      </c>
      <c r="C9" s="53" t="s">
        <v>318</v>
      </c>
      <c r="D9" s="53" t="s">
        <v>317</v>
      </c>
      <c r="E9" s="15">
        <v>1</v>
      </c>
      <c r="F9" s="54"/>
      <c r="G9" s="16" t="str">
        <f>INDEX(RESUMEN!$C$7:$C$11,E9)</f>
        <v>MÓDULO HABITACIONAL DE 2,50 x 3,00 m</v>
      </c>
      <c r="H9" s="32">
        <f>INDEX(RESUMEN!$E$7:$E$11,E9)/INDEX(RESUMEN!$D$7:$D$11,E9)</f>
        <v>12711183.333333334</v>
      </c>
      <c r="I9" s="32">
        <f>INDEX(RESUMEN!$F$7:$F$11,E9)/INDEX(RESUMEN!$D$7:$D$11,E9)</f>
        <v>3686243.1666666665</v>
      </c>
      <c r="J9" s="32">
        <f>INDEX(RESUMEN!$G$7:$G$11,E9)/INDEX(RESUMEN!$D$7:$D$11,E9)</f>
        <v>635559.16666666663</v>
      </c>
      <c r="K9" s="33">
        <f>INDEX(RESUMEN!$H$7:$H$11,E9)/INDEX(RESUMEN!$D$7:$D$11,E9)</f>
        <v>17032985.666666668</v>
      </c>
      <c r="L9" s="18" t="s">
        <v>315</v>
      </c>
    </row>
    <row r="10" spans="2:12" ht="24" customHeight="1" x14ac:dyDescent="0.3">
      <c r="B10" s="17">
        <v>4</v>
      </c>
      <c r="C10" s="55" t="s">
        <v>319</v>
      </c>
      <c r="D10" s="53" t="s">
        <v>320</v>
      </c>
      <c r="E10" s="15">
        <v>2</v>
      </c>
      <c r="F10" s="54"/>
      <c r="G10" s="16" t="str">
        <f>INDEX(RESUMEN!$C$7:$C$11,E10)</f>
        <v>BAÑO DE 1,50 x 2,50 m CON SISTEMA SÉPTICO</v>
      </c>
      <c r="H10" s="32">
        <f>INDEX(RESUMEN!$E$7:$E$11,E10)/INDEX(RESUMEN!$D$7:$D$11,E10)</f>
        <v>15662435.666666666</v>
      </c>
      <c r="I10" s="32">
        <f>INDEX(RESUMEN!$F$7:$F$11,E10)/INDEX(RESUMEN!$D$7:$D$11,E10)</f>
        <v>4542106.3433333328</v>
      </c>
      <c r="J10" s="32">
        <f>INDEX(RESUMEN!$G$7:$G$11,E10)/INDEX(RESUMEN!$D$7:$D$11,E10)</f>
        <v>783121.78333333333</v>
      </c>
      <c r="K10" s="33">
        <f>INDEX(RESUMEN!$H$7:$H$11,E10)/INDEX(RESUMEN!$D$7:$D$11,E10)</f>
        <v>20987663.793333333</v>
      </c>
      <c r="L10" s="18" t="s">
        <v>315</v>
      </c>
    </row>
    <row r="11" spans="2:12" ht="24" customHeight="1" x14ac:dyDescent="0.3">
      <c r="B11" s="17">
        <v>5</v>
      </c>
      <c r="C11" s="53" t="s">
        <v>321</v>
      </c>
      <c r="D11" s="53" t="s">
        <v>320</v>
      </c>
      <c r="E11" s="15">
        <v>2</v>
      </c>
      <c r="F11" s="54"/>
      <c r="G11" s="16" t="str">
        <f>INDEX(RESUMEN!$C$7:$C$11,E11)</f>
        <v>BAÑO DE 1,50 x 2,50 m CON SISTEMA SÉPTICO</v>
      </c>
      <c r="H11" s="32">
        <f>INDEX(RESUMEN!$E$7:$E$11,E11)/INDEX(RESUMEN!$D$7:$D$11,E11)</f>
        <v>15662435.666666666</v>
      </c>
      <c r="I11" s="32">
        <f>INDEX(RESUMEN!$F$7:$F$11,E11)/INDEX(RESUMEN!$D$7:$D$11,E11)</f>
        <v>4542106.3433333328</v>
      </c>
      <c r="J11" s="32">
        <f>INDEX(RESUMEN!$G$7:$G$11,E11)/INDEX(RESUMEN!$D$7:$D$11,E11)</f>
        <v>783121.78333333333</v>
      </c>
      <c r="K11" s="33">
        <f>INDEX(RESUMEN!$H$7:$H$11,E11)/INDEX(RESUMEN!$D$7:$D$11,E11)</f>
        <v>20987663.793333333</v>
      </c>
      <c r="L11" s="18" t="s">
        <v>315</v>
      </c>
    </row>
    <row r="12" spans="2:12" ht="24" customHeight="1" x14ac:dyDescent="0.3">
      <c r="B12" s="17">
        <v>6</v>
      </c>
      <c r="C12" s="53" t="s">
        <v>322</v>
      </c>
      <c r="D12" s="53" t="s">
        <v>323</v>
      </c>
      <c r="E12" s="15">
        <v>2</v>
      </c>
      <c r="F12" s="54"/>
      <c r="G12" s="16" t="str">
        <f>INDEX(RESUMEN!$C$7:$C$11,E12)</f>
        <v>BAÑO DE 1,50 x 2,50 m CON SISTEMA SÉPTICO</v>
      </c>
      <c r="H12" s="32">
        <f>INDEX(RESUMEN!$E$7:$E$11,E12)/INDEX(RESUMEN!$D$7:$D$11,E12)</f>
        <v>15662435.666666666</v>
      </c>
      <c r="I12" s="32">
        <f>INDEX(RESUMEN!$F$7:$F$11,E12)/INDEX(RESUMEN!$D$7:$D$11,E12)</f>
        <v>4542106.3433333328</v>
      </c>
      <c r="J12" s="32">
        <f>INDEX(RESUMEN!$G$7:$G$11,E12)/INDEX(RESUMEN!$D$7:$D$11,E12)</f>
        <v>783121.78333333333</v>
      </c>
      <c r="K12" s="33">
        <f>INDEX(RESUMEN!$H$7:$H$11,E12)/INDEX(RESUMEN!$D$7:$D$11,E12)</f>
        <v>20987663.793333333</v>
      </c>
      <c r="L12" s="18" t="s">
        <v>315</v>
      </c>
    </row>
    <row r="13" spans="2:12" ht="24" customHeight="1" x14ac:dyDescent="0.3">
      <c r="B13" s="17">
        <v>7</v>
      </c>
      <c r="C13" s="53" t="s">
        <v>324</v>
      </c>
      <c r="D13" s="53" t="s">
        <v>325</v>
      </c>
      <c r="E13" s="15">
        <v>3</v>
      </c>
      <c r="F13" s="54"/>
      <c r="G13" s="16" t="str">
        <f>INDEX(RESUMEN!$C$7:$C$11,E13)</f>
        <v>MURO DE CONTENCIÓN EN CONCRETO REFORZADO (h = 2,00 m; L = 10,00 m)</v>
      </c>
      <c r="H13" s="32">
        <f>INDEX(RESUMEN!$E$7:$E$11,E13)/INDEX(RESUMEN!$D$7:$D$11,E13)</f>
        <v>17328500</v>
      </c>
      <c r="I13" s="32">
        <f>INDEX(RESUMEN!$F$7:$F$11,E13)/INDEX(RESUMEN!$D$7:$D$11,E13)</f>
        <v>5025264.9999999991</v>
      </c>
      <c r="J13" s="32">
        <f>INDEX(RESUMEN!$G$7:$G$11,E13)/INDEX(RESUMEN!$D$7:$D$11,E13)</f>
        <v>866425</v>
      </c>
      <c r="K13" s="33">
        <f>INDEX(RESUMEN!$H$7:$H$11,E13)/INDEX(RESUMEN!$D$7:$D$11,E13)</f>
        <v>23220190</v>
      </c>
      <c r="L13" s="18" t="s">
        <v>315</v>
      </c>
    </row>
    <row r="14" spans="2:12" ht="24" customHeight="1" x14ac:dyDescent="0.3">
      <c r="B14" s="17">
        <v>8</v>
      </c>
      <c r="C14" s="53" t="s">
        <v>326</v>
      </c>
      <c r="D14" s="53" t="s">
        <v>325</v>
      </c>
      <c r="E14" s="15">
        <v>3</v>
      </c>
      <c r="F14" s="54"/>
      <c r="G14" s="16" t="str">
        <f>INDEX(RESUMEN!$C$7:$C$11,E14)</f>
        <v>MURO DE CONTENCIÓN EN CONCRETO REFORZADO (h = 2,00 m; L = 10,00 m)</v>
      </c>
      <c r="H14" s="32">
        <f>INDEX(RESUMEN!$E$7:$E$11,E14)/INDEX(RESUMEN!$D$7:$D$11,E14)</f>
        <v>17328500</v>
      </c>
      <c r="I14" s="32">
        <f>INDEX(RESUMEN!$F$7:$F$11,E14)/INDEX(RESUMEN!$D$7:$D$11,E14)</f>
        <v>5025264.9999999991</v>
      </c>
      <c r="J14" s="32">
        <f>INDEX(RESUMEN!$G$7:$G$11,E14)/INDEX(RESUMEN!$D$7:$D$11,E14)</f>
        <v>866425</v>
      </c>
      <c r="K14" s="33">
        <f>INDEX(RESUMEN!$H$7:$H$11,E14)/INDEX(RESUMEN!$D$7:$D$11,E14)</f>
        <v>23220190</v>
      </c>
      <c r="L14" s="18" t="s">
        <v>315</v>
      </c>
    </row>
    <row r="15" spans="2:12" ht="24" customHeight="1" x14ac:dyDescent="0.3">
      <c r="B15" s="17">
        <v>9</v>
      </c>
      <c r="C15" s="53" t="s">
        <v>327</v>
      </c>
      <c r="D15" s="53" t="s">
        <v>325</v>
      </c>
      <c r="E15" s="15">
        <v>3</v>
      </c>
      <c r="F15" s="54"/>
      <c r="G15" s="16" t="str">
        <f>INDEX(RESUMEN!$C$7:$C$11,E15)</f>
        <v>MURO DE CONTENCIÓN EN CONCRETO REFORZADO (h = 2,00 m; L = 10,00 m)</v>
      </c>
      <c r="H15" s="32">
        <f>INDEX(RESUMEN!$E$7:$E$11,E15)/INDEX(RESUMEN!$D$7:$D$11,E15)</f>
        <v>17328500</v>
      </c>
      <c r="I15" s="32">
        <f>INDEX(RESUMEN!$F$7:$F$11,E15)/INDEX(RESUMEN!$D$7:$D$11,E15)</f>
        <v>5025264.9999999991</v>
      </c>
      <c r="J15" s="32">
        <f>INDEX(RESUMEN!$G$7:$G$11,E15)/INDEX(RESUMEN!$D$7:$D$11,E15)</f>
        <v>866425</v>
      </c>
      <c r="K15" s="33">
        <f>INDEX(RESUMEN!$H$7:$H$11,E15)/INDEX(RESUMEN!$D$7:$D$11,E15)</f>
        <v>23220190</v>
      </c>
      <c r="L15" s="18" t="s">
        <v>315</v>
      </c>
    </row>
    <row r="16" spans="2:12" ht="24" customHeight="1" x14ac:dyDescent="0.3">
      <c r="B16" s="17">
        <v>10</v>
      </c>
      <c r="C16" s="53" t="s">
        <v>328</v>
      </c>
      <c r="D16" s="53" t="s">
        <v>329</v>
      </c>
      <c r="E16" s="15">
        <v>4</v>
      </c>
      <c r="F16" s="54"/>
      <c r="G16" s="16" t="str">
        <f>INDEX(RESUMEN!$C$7:$C$11,E16)</f>
        <v>APARTAESTUDIO DE 5,00 x 4,00 m SOBRE ESTRUCTURA APORTICADA</v>
      </c>
      <c r="H16" s="32">
        <f>INDEX(RESUMEN!$E$7:$E$11,E16)/INDEX(RESUMEN!$D$7:$D$11,E16)</f>
        <v>41655977</v>
      </c>
      <c r="I16" s="32">
        <f>INDEX(RESUMEN!$F$7:$F$11,E16)/INDEX(RESUMEN!$D$7:$D$11,E16)</f>
        <v>12080233.33</v>
      </c>
      <c r="J16" s="32">
        <f>INDEX(RESUMEN!$G$7:$G$11,E16)/INDEX(RESUMEN!$D$7:$D$11,E16)</f>
        <v>2082798.85</v>
      </c>
      <c r="K16" s="33">
        <f>INDEX(RESUMEN!$H$7:$H$11,E16)/INDEX(RESUMEN!$D$7:$D$11,E16)</f>
        <v>55819009.18</v>
      </c>
      <c r="L16" s="18" t="s">
        <v>315</v>
      </c>
    </row>
    <row r="17" spans="2:12" ht="24" customHeight="1" x14ac:dyDescent="0.3">
      <c r="B17" s="17">
        <v>11</v>
      </c>
      <c r="C17" s="53" t="s">
        <v>330</v>
      </c>
      <c r="D17" s="53" t="s">
        <v>329</v>
      </c>
      <c r="E17" s="15">
        <v>5</v>
      </c>
      <c r="F17" s="54"/>
      <c r="G17" s="16" t="str">
        <f>INDEX(RESUMEN!$C$7:$C$11,E17)</f>
        <v>PARED EN FIBROCEMENTO SOBRE ESTRUCTURA EN MADERA Y ESCALERA EN MADERA</v>
      </c>
      <c r="H17" s="32">
        <f>INDEX(RESUMEN!$E$7:$E$11,E17)/INDEX(RESUMEN!$D$7:$D$11,E17)</f>
        <v>10952539</v>
      </c>
      <c r="I17" s="32">
        <f>INDEX(RESUMEN!$F$7:$F$11,E17)/INDEX(RESUMEN!$D$7:$D$11,E17)</f>
        <v>3176236.3099999996</v>
      </c>
      <c r="J17" s="32">
        <f>INDEX(RESUMEN!$G$7:$G$11,E17)/INDEX(RESUMEN!$D$7:$D$11,E17)</f>
        <v>547626.95000000007</v>
      </c>
      <c r="K17" s="33">
        <f>INDEX(RESUMEN!$H$7:$H$11,E17)/INDEX(RESUMEN!$D$7:$D$11,E17)</f>
        <v>14676402.259999998</v>
      </c>
      <c r="L17" s="18" t="s">
        <v>315</v>
      </c>
    </row>
    <row r="18" spans="2:12" x14ac:dyDescent="0.3">
      <c r="B18" s="115" t="s">
        <v>83</v>
      </c>
      <c r="C18" s="115"/>
      <c r="D18" s="115"/>
      <c r="E18" s="115"/>
      <c r="F18" s="115"/>
      <c r="G18" s="115"/>
      <c r="H18" s="35">
        <f>SUM(H7:H17)</f>
        <v>189714873</v>
      </c>
      <c r="I18" s="35">
        <f>SUM(I7:I17)</f>
        <v>55017313.170000002</v>
      </c>
      <c r="J18" s="35">
        <f>SUM(J7:J17)</f>
        <v>9485743.6499999985</v>
      </c>
      <c r="K18" s="35">
        <f>SUM(K7:K17)</f>
        <v>254217929.81999999</v>
      </c>
      <c r="L18" s="43"/>
    </row>
    <row r="19" spans="2:12" x14ac:dyDescent="0.3">
      <c r="B19" s="107" t="s">
        <v>331</v>
      </c>
      <c r="C19" s="107"/>
      <c r="D19" s="107"/>
      <c r="E19" s="107"/>
      <c r="F19" s="107"/>
      <c r="G19" s="107"/>
      <c r="H19" s="107"/>
      <c r="I19" s="107"/>
      <c r="J19" s="107"/>
      <c r="K19" s="56">
        <f>K18-PRESUPUESTO!$H$142</f>
        <v>-0.18000000715255737</v>
      </c>
    </row>
    <row r="21" spans="2:12" ht="25.95" customHeight="1" x14ac:dyDescent="0.3">
      <c r="B21" s="104" t="s">
        <v>332</v>
      </c>
      <c r="C21" s="101"/>
      <c r="D21" s="101"/>
      <c r="E21" s="101"/>
      <c r="F21" s="101"/>
      <c r="G21" s="101"/>
      <c r="H21" s="101"/>
      <c r="I21" s="101"/>
      <c r="J21" s="101"/>
      <c r="K21" s="101"/>
      <c r="L21" s="101"/>
    </row>
  </sheetData>
  <mergeCells count="8">
    <mergeCell ref="B1:K1"/>
    <mergeCell ref="B19:J19"/>
    <mergeCell ref="B4:K4"/>
    <mergeCell ref="B21:L21"/>
    <mergeCell ref="L1:L4"/>
    <mergeCell ref="B18:G18"/>
    <mergeCell ref="B2:K2"/>
    <mergeCell ref="B3:K3"/>
  </mergeCells>
  <pageMargins left="0.4" right="0.4" top="0.5" bottom="0.5" header="0.5" footer="0.5"/>
  <pageSetup fitToHeight="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34"/>
  <sheetViews>
    <sheetView showGridLines="0" workbookViewId="0">
      <selection activeCell="H14" sqref="H14"/>
    </sheetView>
  </sheetViews>
  <sheetFormatPr baseColWidth="10" defaultColWidth="8.88671875" defaultRowHeight="14.4" x14ac:dyDescent="0.3"/>
  <cols>
    <col min="1" max="1" width="8" customWidth="1"/>
    <col min="2" max="2" width="60" customWidth="1"/>
    <col min="3" max="3" width="11" customWidth="1"/>
    <col min="4" max="4" width="18" customWidth="1"/>
    <col min="5" max="5" width="14" customWidth="1"/>
    <col min="6" max="6" width="13" customWidth="1"/>
    <col min="7" max="7" width="12" customWidth="1"/>
    <col min="8" max="8" width="20" customWidth="1"/>
    <col min="10" max="10" width="15.109375" customWidth="1"/>
  </cols>
  <sheetData>
    <row r="1" spans="1:10" ht="18" customHeight="1" x14ac:dyDescent="0.3">
      <c r="A1" s="125" t="s">
        <v>0</v>
      </c>
      <c r="B1" s="125"/>
      <c r="C1" s="125"/>
      <c r="D1" s="125"/>
      <c r="E1" s="125"/>
      <c r="F1" s="125"/>
      <c r="G1" s="125"/>
      <c r="H1" s="110"/>
    </row>
    <row r="2" spans="1:10" ht="18" customHeight="1" x14ac:dyDescent="0.3">
      <c r="A2" s="125" t="s">
        <v>1</v>
      </c>
      <c r="B2" s="125"/>
      <c r="C2" s="125"/>
      <c r="D2" s="125"/>
      <c r="E2" s="125"/>
      <c r="F2" s="125"/>
      <c r="G2" s="125"/>
      <c r="H2" s="110"/>
    </row>
    <row r="3" spans="1:10" ht="30" customHeight="1" x14ac:dyDescent="0.3">
      <c r="A3" s="123" t="str">
        <f>'Datos Iniciales'!$B$8</f>
        <v>OBRA PÚBLICA PARA LA EJECUCIÓN DE DIFERENTES MEJORAMIENTOS DE VIVIENDA EN EL CASCO URBANO Y RURAL DEL MUNICIPIO DE MACEO - ANTIOQUIA</v>
      </c>
      <c r="B3" s="123"/>
      <c r="C3" s="123"/>
      <c r="D3" s="123"/>
      <c r="E3" s="123"/>
      <c r="F3" s="123"/>
      <c r="G3" s="123"/>
      <c r="H3" s="110"/>
    </row>
    <row r="4" spans="1:10" ht="19.5" customHeight="1" x14ac:dyDescent="0.3">
      <c r="A4" s="111" t="s">
        <v>333</v>
      </c>
      <c r="B4" s="111"/>
      <c r="C4" s="111"/>
      <c r="D4" s="111"/>
      <c r="E4" s="111"/>
      <c r="F4" s="111"/>
      <c r="G4" s="111"/>
      <c r="H4" s="110"/>
    </row>
    <row r="5" spans="1:10" ht="30" customHeight="1" x14ac:dyDescent="0.3">
      <c r="A5" s="13" t="s">
        <v>93</v>
      </c>
      <c r="B5" s="13" t="s">
        <v>94</v>
      </c>
      <c r="C5" s="13" t="s">
        <v>96</v>
      </c>
      <c r="D5" s="13" t="s">
        <v>334</v>
      </c>
      <c r="E5" s="13" t="s">
        <v>335</v>
      </c>
      <c r="F5" s="13" t="s">
        <v>336</v>
      </c>
      <c r="G5" s="13" t="s">
        <v>337</v>
      </c>
      <c r="H5" s="13" t="s">
        <v>338</v>
      </c>
    </row>
    <row r="6" spans="1:10" x14ac:dyDescent="0.3">
      <c r="A6" s="57">
        <v>1</v>
      </c>
      <c r="B6" s="126" t="s">
        <v>339</v>
      </c>
      <c r="C6" s="126"/>
      <c r="D6" s="126"/>
      <c r="E6" s="126"/>
      <c r="F6" s="126"/>
      <c r="G6" s="126"/>
      <c r="H6" s="58">
        <f>SUM(H7:H8)</f>
        <v>12093064.587675001</v>
      </c>
    </row>
    <row r="7" spans="1:10" x14ac:dyDescent="0.3">
      <c r="A7" s="17">
        <v>1.1000000000000001</v>
      </c>
      <c r="B7" s="98" t="s">
        <v>340</v>
      </c>
      <c r="C7" s="17">
        <v>1</v>
      </c>
      <c r="D7" s="32">
        <f>'FACTOR PRESTACIONAL'!D8</f>
        <v>6128167.5</v>
      </c>
      <c r="E7" s="41">
        <f>'FACTOR PRESTACIONAL'!D30</f>
        <v>1.4617462105107277</v>
      </c>
      <c r="F7" s="27">
        <v>0.35</v>
      </c>
      <c r="G7" s="25">
        <f>'Datos Iniciales'!$B$20</f>
        <v>3</v>
      </c>
      <c r="H7" s="32">
        <f>C7*D7*E7*F7*G7</f>
        <v>9405716.9015250001</v>
      </c>
    </row>
    <row r="8" spans="1:10" x14ac:dyDescent="0.3">
      <c r="A8" s="17">
        <v>1.2</v>
      </c>
      <c r="B8" s="98" t="s">
        <v>1441</v>
      </c>
      <c r="C8" s="17">
        <v>1</v>
      </c>
      <c r="D8" s="32">
        <f>'FACTOR PRESTACIONAL'!F8</f>
        <v>6128167.5</v>
      </c>
      <c r="E8" s="41">
        <f>'FACTOR PRESTACIONAL'!F30</f>
        <v>1.4617462105107277</v>
      </c>
      <c r="F8" s="27">
        <v>0.1</v>
      </c>
      <c r="G8" s="25">
        <f>'Datos Iniciales'!$B$20</f>
        <v>3</v>
      </c>
      <c r="H8" s="32">
        <f>C8*D8*E8*F8*G8</f>
        <v>2687347.6861500004</v>
      </c>
    </row>
    <row r="9" spans="1:10" x14ac:dyDescent="0.3">
      <c r="A9" s="57">
        <v>2</v>
      </c>
      <c r="B9" s="128" t="s">
        <v>341</v>
      </c>
      <c r="C9" s="129"/>
      <c r="D9" s="129"/>
      <c r="E9" s="129"/>
      <c r="F9" s="129"/>
      <c r="G9" s="130"/>
      <c r="H9" s="58">
        <f>SUM(H10:H10)</f>
        <v>215635.80000000002</v>
      </c>
    </row>
    <row r="10" spans="1:10" ht="26.4" x14ac:dyDescent="0.3">
      <c r="A10" s="17" t="s">
        <v>159</v>
      </c>
      <c r="B10" s="29" t="s">
        <v>342</v>
      </c>
      <c r="C10" s="25">
        <v>1</v>
      </c>
      <c r="D10" s="99">
        <v>71878.600000000006</v>
      </c>
      <c r="E10" s="29"/>
      <c r="F10" s="29"/>
      <c r="G10" s="25">
        <f>'Datos Iniciales'!$B$20</f>
        <v>3</v>
      </c>
      <c r="H10" s="32">
        <f>C10*D10*G10</f>
        <v>215635.80000000002</v>
      </c>
      <c r="J10" s="97"/>
    </row>
    <row r="11" spans="1:10" x14ac:dyDescent="0.3">
      <c r="A11" s="57">
        <v>3</v>
      </c>
      <c r="B11" s="126" t="s">
        <v>343</v>
      </c>
      <c r="C11" s="126"/>
      <c r="D11" s="126"/>
      <c r="E11" s="126"/>
      <c r="F11" s="126"/>
      <c r="G11" s="126"/>
      <c r="H11" s="58">
        <f>SUM(H12:H12)</f>
        <v>2033743.44</v>
      </c>
      <c r="J11" s="97"/>
    </row>
    <row r="12" spans="1:10" ht="26.4" x14ac:dyDescent="0.3">
      <c r="A12" s="17" t="s">
        <v>209</v>
      </c>
      <c r="B12" s="29" t="s">
        <v>344</v>
      </c>
      <c r="C12" s="22">
        <f>'Datos Iniciales'!$B$36</f>
        <v>8.0000000000000002E-3</v>
      </c>
      <c r="D12" s="32">
        <f>PRESUPUESTO!$H$142</f>
        <v>254217930</v>
      </c>
      <c r="E12" s="29"/>
      <c r="F12" s="29"/>
      <c r="G12" s="29"/>
      <c r="H12" s="32">
        <f>C12*D12</f>
        <v>2033743.44</v>
      </c>
    </row>
    <row r="13" spans="1:10" x14ac:dyDescent="0.3">
      <c r="A13" s="57">
        <v>4</v>
      </c>
      <c r="B13" s="126" t="s">
        <v>345</v>
      </c>
      <c r="C13" s="126"/>
      <c r="D13" s="126"/>
      <c r="E13" s="126"/>
      <c r="F13" s="126"/>
      <c r="G13" s="126"/>
      <c r="H13" s="58">
        <f>SUM(H14:H14)</f>
        <v>40674868.800000004</v>
      </c>
    </row>
    <row r="14" spans="1:10" ht="26.4" x14ac:dyDescent="0.3">
      <c r="A14" s="17" t="s">
        <v>224</v>
      </c>
      <c r="B14" s="29" t="s">
        <v>346</v>
      </c>
      <c r="C14" s="29"/>
      <c r="D14" s="29"/>
      <c r="E14" s="29"/>
      <c r="F14" s="29"/>
      <c r="G14" s="29"/>
      <c r="H14" s="32">
        <f>'LEGALIZACION DE OBRA'!$B$7</f>
        <v>40674868.800000004</v>
      </c>
    </row>
    <row r="16" spans="1:10" x14ac:dyDescent="0.3">
      <c r="A16" s="115" t="s">
        <v>347</v>
      </c>
      <c r="B16" s="115"/>
      <c r="C16" s="115"/>
      <c r="D16" s="115"/>
      <c r="E16" s="115"/>
      <c r="F16" s="115"/>
      <c r="G16" s="115"/>
      <c r="H16" s="35">
        <f>H6+H9+H11+H13</f>
        <v>55017312.627675004</v>
      </c>
      <c r="J16" s="97"/>
    </row>
    <row r="18" spans="1:8" x14ac:dyDescent="0.3">
      <c r="A18" s="107" t="s">
        <v>348</v>
      </c>
      <c r="B18" s="107"/>
      <c r="C18" s="107"/>
      <c r="D18" s="107"/>
      <c r="E18" s="107"/>
      <c r="F18" s="107"/>
      <c r="G18" s="107"/>
      <c r="H18" s="33">
        <f>PRESUPUESTO!$H$138</f>
        <v>189714873</v>
      </c>
    </row>
    <row r="19" spans="1:8" x14ac:dyDescent="0.3">
      <c r="A19" s="107" t="s">
        <v>349</v>
      </c>
      <c r="B19" s="107"/>
      <c r="C19" s="107"/>
      <c r="D19" s="107"/>
      <c r="E19" s="107"/>
      <c r="F19" s="107"/>
      <c r="G19" s="60">
        <f>H16/H18</f>
        <v>0.28999999714136804</v>
      </c>
      <c r="H19" s="29"/>
    </row>
    <row r="21" spans="1:8" x14ac:dyDescent="0.3">
      <c r="A21" s="112" t="s">
        <v>350</v>
      </c>
      <c r="B21" s="112"/>
      <c r="C21" s="112"/>
      <c r="D21" s="112"/>
      <c r="E21" s="112"/>
      <c r="F21" s="112"/>
      <c r="G21" s="112"/>
      <c r="H21" s="112"/>
    </row>
    <row r="22" spans="1:8" x14ac:dyDescent="0.3">
      <c r="A22" s="108" t="s">
        <v>85</v>
      </c>
      <c r="B22" s="108"/>
      <c r="C22" s="108"/>
      <c r="D22" s="108"/>
      <c r="E22" s="108"/>
      <c r="F22" s="108"/>
      <c r="G22" s="22">
        <f>'Datos Iniciales'!$B$32</f>
        <v>0.28999999999999998</v>
      </c>
      <c r="H22" s="32">
        <f>PRESUPUESTO!$H$139</f>
        <v>55017313</v>
      </c>
    </row>
    <row r="23" spans="1:8" x14ac:dyDescent="0.3">
      <c r="A23" s="108" t="s">
        <v>58</v>
      </c>
      <c r="B23" s="108"/>
      <c r="C23" s="108"/>
      <c r="D23" s="108"/>
      <c r="E23" s="108"/>
      <c r="F23" s="108"/>
      <c r="G23" s="22">
        <f>'Datos Iniciales'!$B$33</f>
        <v>0.05</v>
      </c>
      <c r="H23" s="32">
        <f>PRESUPUESTO!$H$140</f>
        <v>9485744</v>
      </c>
    </row>
    <row r="24" spans="1:8" x14ac:dyDescent="0.3">
      <c r="A24" s="107" t="s">
        <v>86</v>
      </c>
      <c r="B24" s="107"/>
      <c r="C24" s="107"/>
      <c r="D24" s="107"/>
      <c r="E24" s="107"/>
      <c r="F24" s="107"/>
      <c r="G24" s="60">
        <f>G22+G23</f>
        <v>0.33999999999999997</v>
      </c>
      <c r="H24" s="33">
        <f>H22+H23</f>
        <v>64503057</v>
      </c>
    </row>
    <row r="25" spans="1:8" x14ac:dyDescent="0.3">
      <c r="A25" s="115" t="s">
        <v>351</v>
      </c>
      <c r="B25" s="115"/>
      <c r="C25" s="115"/>
      <c r="D25" s="115"/>
      <c r="E25" s="115"/>
      <c r="F25" s="115"/>
      <c r="G25" s="115"/>
      <c r="H25" s="37">
        <f>PRESUPUESTO!$H$142</f>
        <v>254217930</v>
      </c>
    </row>
    <row r="27" spans="1:8" x14ac:dyDescent="0.3">
      <c r="A27" s="118" t="s">
        <v>352</v>
      </c>
      <c r="B27" s="118"/>
      <c r="C27" s="118"/>
      <c r="D27" s="118"/>
      <c r="E27" s="118"/>
      <c r="F27" s="118"/>
      <c r="G27" s="118"/>
      <c r="H27" s="118"/>
    </row>
    <row r="28" spans="1:8" ht="22.2" customHeight="1" x14ac:dyDescent="0.3">
      <c r="A28" s="108" t="s">
        <v>353</v>
      </c>
      <c r="B28" s="108"/>
      <c r="C28" s="108"/>
      <c r="D28" s="108"/>
      <c r="E28" s="108"/>
      <c r="F28" s="108"/>
      <c r="G28" s="123" t="str">
        <f>IF(G22&gt;=G19,"CUMPLE: A aplicada "&amp;ROUND(G22*100,2)&amp;" %"&amp;" ≥ requerida "&amp;ROUND(G19*100,2)&amp;" %","REVISAR: A aplicada "&amp;ROUND(G22*100,2)&amp;" %"&amp;" &lt; requerida "&amp;ROUND(G19*100,2)&amp;" %")</f>
        <v>CUMPLE: A aplicada 29 % ≥ requerida 29 %</v>
      </c>
      <c r="H28" s="123"/>
    </row>
    <row r="29" spans="1:8" x14ac:dyDescent="0.3">
      <c r="A29" s="108" t="s">
        <v>354</v>
      </c>
      <c r="B29" s="108"/>
      <c r="C29" s="108"/>
      <c r="D29" s="108"/>
      <c r="E29" s="108"/>
      <c r="F29" s="108"/>
      <c r="G29" s="119">
        <f>H22-H16</f>
        <v>0.37232499569654465</v>
      </c>
      <c r="H29" s="119"/>
    </row>
    <row r="30" spans="1:8" x14ac:dyDescent="0.3">
      <c r="A30" s="108" t="s">
        <v>355</v>
      </c>
      <c r="B30" s="108"/>
      <c r="C30" s="108"/>
      <c r="D30" s="108"/>
      <c r="E30" s="108"/>
      <c r="F30" s="108"/>
      <c r="G30" s="127">
        <f>H14/H22</f>
        <v>0.73931034763547987</v>
      </c>
      <c r="H30" s="127"/>
    </row>
    <row r="31" spans="1:8" x14ac:dyDescent="0.3">
      <c r="A31" s="108" t="s">
        <v>356</v>
      </c>
      <c r="B31" s="108"/>
      <c r="C31" s="108"/>
      <c r="D31" s="108"/>
      <c r="E31" s="108"/>
      <c r="F31" s="108"/>
      <c r="G31" s="127">
        <f>H14/H18</f>
        <v>0.21440000015180677</v>
      </c>
      <c r="H31" s="127"/>
    </row>
    <row r="32" spans="1:8" x14ac:dyDescent="0.3">
      <c r="A32" s="108" t="s">
        <v>357</v>
      </c>
      <c r="B32" s="108"/>
      <c r="C32" s="108"/>
      <c r="D32" s="108"/>
      <c r="E32" s="108"/>
      <c r="F32" s="108"/>
      <c r="G32" s="127">
        <f>(H6+H9)/H18</f>
        <v>6.4879996981970944E-2</v>
      </c>
      <c r="H32" s="127"/>
    </row>
    <row r="34" spans="1:8" ht="40.049999999999997" customHeight="1" x14ac:dyDescent="0.3">
      <c r="A34" s="106" t="s">
        <v>358</v>
      </c>
      <c r="B34" s="101"/>
      <c r="C34" s="101"/>
      <c r="D34" s="101"/>
      <c r="E34" s="101"/>
      <c r="F34" s="101"/>
      <c r="G34" s="101"/>
      <c r="H34" s="101"/>
    </row>
  </sheetData>
  <mergeCells count="29">
    <mergeCell ref="B13:G13"/>
    <mergeCell ref="H1:H4"/>
    <mergeCell ref="A4:G4"/>
    <mergeCell ref="A16:G16"/>
    <mergeCell ref="B9:G9"/>
    <mergeCell ref="B6:G6"/>
    <mergeCell ref="A1:G1"/>
    <mergeCell ref="A3:G3"/>
    <mergeCell ref="A25:G25"/>
    <mergeCell ref="A22:F22"/>
    <mergeCell ref="A29:F29"/>
    <mergeCell ref="A32:F32"/>
    <mergeCell ref="A18:G18"/>
    <mergeCell ref="A34:H34"/>
    <mergeCell ref="A2:G2"/>
    <mergeCell ref="A27:H27"/>
    <mergeCell ref="A21:H21"/>
    <mergeCell ref="A19:F19"/>
    <mergeCell ref="A28:F28"/>
    <mergeCell ref="A31:F31"/>
    <mergeCell ref="B11:G11"/>
    <mergeCell ref="G30:H30"/>
    <mergeCell ref="A24:F24"/>
    <mergeCell ref="G29:H29"/>
    <mergeCell ref="A30:F30"/>
    <mergeCell ref="G31:H31"/>
    <mergeCell ref="G28:H28"/>
    <mergeCell ref="A23:F23"/>
    <mergeCell ref="G32:H32"/>
  </mergeCells>
  <pageMargins left="0.4" right="0.4" top="0.5" bottom="0.5" header="0.5" footer="0.5"/>
  <pageSetup fitToHeight="0"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18"/>
  <sheetViews>
    <sheetView showGridLines="0" workbookViewId="0">
      <selection sqref="A1:D1"/>
    </sheetView>
  </sheetViews>
  <sheetFormatPr baseColWidth="10" defaultColWidth="8.88671875" defaultRowHeight="14.4" x14ac:dyDescent="0.3"/>
  <cols>
    <col min="1" max="1" width="66" customWidth="1"/>
    <col min="2" max="2" width="16" customWidth="1"/>
    <col min="3" max="3" width="22" customWidth="1"/>
    <col min="4" max="4" width="64" customWidth="1"/>
  </cols>
  <sheetData>
    <row r="1" spans="1:4" x14ac:dyDescent="0.3">
      <c r="A1" s="111" t="s">
        <v>359</v>
      </c>
      <c r="B1" s="111"/>
      <c r="C1" s="111"/>
      <c r="D1" s="111"/>
    </row>
    <row r="3" spans="1:4" x14ac:dyDescent="0.3">
      <c r="A3" s="123" t="str">
        <f>'Datos Iniciales'!$B$8</f>
        <v>OBRA PÚBLICA PARA LA EJECUCIÓN DE DIFERENTES MEJORAMIENTOS DE VIVIENDA EN EL CASCO URBANO Y RURAL DEL MUNICIPIO DE MACEO - ANTIOQUIA</v>
      </c>
      <c r="B3" s="123"/>
      <c r="C3" s="123"/>
      <c r="D3" s="123"/>
    </row>
    <row r="5" spans="1:4" x14ac:dyDescent="0.3">
      <c r="A5" s="14" t="s">
        <v>360</v>
      </c>
      <c r="B5" s="133">
        <f>PRESUPUESTO!$H$142</f>
        <v>254217930</v>
      </c>
      <c r="C5" s="133"/>
    </row>
    <row r="6" spans="1:4" x14ac:dyDescent="0.3">
      <c r="A6" s="29" t="s">
        <v>361</v>
      </c>
      <c r="B6" s="131">
        <f>B5</f>
        <v>254217930</v>
      </c>
      <c r="C6" s="131"/>
    </row>
    <row r="7" spans="1:4" x14ac:dyDescent="0.3">
      <c r="A7" s="14" t="s">
        <v>362</v>
      </c>
      <c r="B7" s="133">
        <f>SUM(C10:C15)</f>
        <v>40674868.800000004</v>
      </c>
      <c r="C7" s="133"/>
    </row>
    <row r="9" spans="1:4" x14ac:dyDescent="0.3">
      <c r="A9" s="13" t="s">
        <v>363</v>
      </c>
      <c r="B9" s="13" t="s">
        <v>364</v>
      </c>
      <c r="C9" s="13" t="s">
        <v>365</v>
      </c>
      <c r="D9" s="13" t="s">
        <v>366</v>
      </c>
    </row>
    <row r="10" spans="1:4" x14ac:dyDescent="0.3">
      <c r="A10" s="29" t="s">
        <v>367</v>
      </c>
      <c r="B10" s="27">
        <v>0.04</v>
      </c>
      <c r="C10" s="32">
        <f t="shared" ref="C10:C15" si="0">$B$6*B10</f>
        <v>10168717.200000001</v>
      </c>
      <c r="D10" s="18" t="s">
        <v>368</v>
      </c>
    </row>
    <row r="11" spans="1:4" x14ac:dyDescent="0.3">
      <c r="A11" s="29" t="s">
        <v>369</v>
      </c>
      <c r="B11" s="27">
        <v>0.02</v>
      </c>
      <c r="C11" s="32">
        <f t="shared" si="0"/>
        <v>5084358.6000000006</v>
      </c>
      <c r="D11" s="18" t="s">
        <v>370</v>
      </c>
    </row>
    <row r="12" spans="1:4" x14ac:dyDescent="0.3">
      <c r="A12" s="29" t="s">
        <v>371</v>
      </c>
      <c r="B12" s="27">
        <v>0.01</v>
      </c>
      <c r="C12" s="32">
        <f t="shared" si="0"/>
        <v>2542179.3000000003</v>
      </c>
      <c r="D12" s="18" t="s">
        <v>372</v>
      </c>
    </row>
    <row r="13" spans="1:4" x14ac:dyDescent="0.3">
      <c r="A13" s="29" t="s">
        <v>373</v>
      </c>
      <c r="B13" s="27">
        <v>0.02</v>
      </c>
      <c r="C13" s="32">
        <f t="shared" si="0"/>
        <v>5084358.6000000006</v>
      </c>
      <c r="D13" s="18" t="s">
        <v>374</v>
      </c>
    </row>
    <row r="14" spans="1:4" x14ac:dyDescent="0.3">
      <c r="A14" s="29" t="s">
        <v>375</v>
      </c>
      <c r="B14" s="27">
        <v>0.05</v>
      </c>
      <c r="C14" s="32">
        <f t="shared" si="0"/>
        <v>12710896.5</v>
      </c>
      <c r="D14" s="18" t="s">
        <v>376</v>
      </c>
    </row>
    <row r="15" spans="1:4" x14ac:dyDescent="0.3">
      <c r="A15" s="29" t="s">
        <v>377</v>
      </c>
      <c r="B15" s="27">
        <v>0.02</v>
      </c>
      <c r="C15" s="32">
        <f t="shared" si="0"/>
        <v>5084358.6000000006</v>
      </c>
      <c r="D15" s="18" t="s">
        <v>378</v>
      </c>
    </row>
    <row r="16" spans="1:4" x14ac:dyDescent="0.3">
      <c r="A16" s="61" t="s">
        <v>83</v>
      </c>
      <c r="B16" s="36">
        <f>SUM(B10:B15)</f>
        <v>0.16</v>
      </c>
      <c r="C16" s="35">
        <f>SUM(C10:C15)</f>
        <v>40674868.800000004</v>
      </c>
      <c r="D16" s="62" t="s">
        <v>379</v>
      </c>
    </row>
    <row r="18" spans="1:4" ht="30" customHeight="1" x14ac:dyDescent="0.3">
      <c r="A18" s="132" t="s">
        <v>380</v>
      </c>
      <c r="B18" s="101"/>
      <c r="C18" s="101"/>
      <c r="D18" s="101"/>
    </row>
  </sheetData>
  <mergeCells count="6">
    <mergeCell ref="A1:D1"/>
    <mergeCell ref="B6:C6"/>
    <mergeCell ref="A18:D18"/>
    <mergeCell ref="B7:C7"/>
    <mergeCell ref="B5:C5"/>
    <mergeCell ref="A3:D3"/>
  </mergeCells>
  <pageMargins left="0.4" right="0.4" top="0.5" bottom="0.5" header="0.5" footer="0.5"/>
  <pageSetup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2:H2506"/>
  <sheetViews>
    <sheetView showGridLines="0" topLeftCell="A619" workbookViewId="0">
      <selection activeCell="H628" sqref="H628"/>
    </sheetView>
  </sheetViews>
  <sheetFormatPr baseColWidth="10" defaultColWidth="8.88671875" defaultRowHeight="14.4" x14ac:dyDescent="0.3"/>
  <cols>
    <col min="1" max="1" width="2" customWidth="1"/>
    <col min="2" max="2" width="30" customWidth="1"/>
    <col min="3" max="3" width="40" customWidth="1"/>
    <col min="4" max="4" width="11" customWidth="1"/>
    <col min="5" max="5" width="13" customWidth="1"/>
    <col min="6" max="6" width="16" customWidth="1"/>
    <col min="7" max="7" width="15" customWidth="1"/>
    <col min="8" max="8" width="19" customWidth="1"/>
  </cols>
  <sheetData>
    <row r="2" spans="2:8" ht="15.75" customHeight="1" x14ac:dyDescent="0.3">
      <c r="B2" s="123" t="s">
        <v>0</v>
      </c>
      <c r="C2" s="123"/>
      <c r="D2" s="123"/>
      <c r="E2" s="123"/>
      <c r="F2" s="123"/>
      <c r="G2" s="123"/>
      <c r="H2" s="110"/>
    </row>
    <row r="3" spans="2:8" ht="15.75" customHeight="1" x14ac:dyDescent="0.3">
      <c r="B3" s="123" t="s">
        <v>1</v>
      </c>
      <c r="C3" s="123"/>
      <c r="D3" s="123"/>
      <c r="E3" s="123"/>
      <c r="F3" s="123"/>
      <c r="G3" s="123"/>
      <c r="H3" s="110"/>
    </row>
    <row r="4" spans="2:8" ht="24" customHeight="1" x14ac:dyDescent="0.3">
      <c r="B4" s="136" t="str">
        <f>'Datos Iniciales'!$B$8</f>
        <v>OBRA PÚBLICA PARA LA EJECUCIÓN DE DIFERENTES MEJORAMIENTOS DE VIVIENDA EN EL CASCO URBANO Y RURAL DEL MUNICIPIO DE MACEO - ANTIOQUIA</v>
      </c>
      <c r="C4" s="136"/>
      <c r="D4" s="136"/>
      <c r="E4" s="136"/>
      <c r="F4" s="136"/>
      <c r="G4" s="136"/>
      <c r="H4" s="110"/>
    </row>
    <row r="5" spans="2:8" ht="15.75" customHeight="1" x14ac:dyDescent="0.3">
      <c r="B5" s="112" t="s">
        <v>381</v>
      </c>
      <c r="C5" s="112"/>
      <c r="D5" s="112"/>
      <c r="E5" s="112"/>
      <c r="F5" s="112"/>
      <c r="G5" s="112"/>
      <c r="H5" s="110"/>
    </row>
    <row r="6" spans="2:8" ht="24" customHeight="1" x14ac:dyDescent="0.3">
      <c r="B6" s="13" t="s">
        <v>382</v>
      </c>
      <c r="C6" s="112" t="s">
        <v>94</v>
      </c>
      <c r="D6" s="112"/>
      <c r="E6" s="112"/>
      <c r="F6" s="13" t="s">
        <v>383</v>
      </c>
      <c r="G6" s="13" t="s">
        <v>384</v>
      </c>
      <c r="H6" s="13" t="s">
        <v>385</v>
      </c>
    </row>
    <row r="7" spans="2:8" ht="42" customHeight="1" x14ac:dyDescent="0.3">
      <c r="B7" s="63" t="s">
        <v>386</v>
      </c>
      <c r="C7" s="140" t="s">
        <v>100</v>
      </c>
      <c r="D7" s="140"/>
      <c r="E7" s="140"/>
      <c r="F7" s="17" t="s">
        <v>101</v>
      </c>
      <c r="G7" s="41">
        <f>PRESUPUESTO!$E$7+PRESUPUESTO!$E$34+PRESUPUESTO!$E$73+PRESUPUESTO!$E$84</f>
        <v>83.75</v>
      </c>
      <c r="H7" s="33">
        <f>H31</f>
        <v>3578.3610257917808</v>
      </c>
    </row>
    <row r="8" spans="2:8" ht="15" customHeight="1" x14ac:dyDescent="0.3">
      <c r="B8" s="137" t="s">
        <v>387</v>
      </c>
      <c r="C8" s="137"/>
      <c r="D8" s="137"/>
      <c r="E8" s="137"/>
      <c r="F8" s="137"/>
      <c r="G8" s="137"/>
      <c r="H8" s="137"/>
    </row>
    <row r="9" spans="2:8" ht="15" customHeight="1" x14ac:dyDescent="0.3">
      <c r="B9" s="64" t="s">
        <v>388</v>
      </c>
    </row>
    <row r="10" spans="2:8" ht="15" customHeight="1" x14ac:dyDescent="0.3">
      <c r="B10" s="135" t="s">
        <v>389</v>
      </c>
      <c r="C10" s="135"/>
      <c r="D10" s="135"/>
      <c r="E10" s="135"/>
      <c r="F10" s="135"/>
      <c r="G10" s="135"/>
      <c r="H10" s="135"/>
    </row>
    <row r="11" spans="2:8" ht="24" customHeight="1" x14ac:dyDescent="0.3">
      <c r="B11" s="123" t="s">
        <v>94</v>
      </c>
      <c r="C11" s="123"/>
      <c r="D11" s="123"/>
      <c r="E11" s="31" t="s">
        <v>383</v>
      </c>
      <c r="F11" s="31" t="s">
        <v>364</v>
      </c>
      <c r="G11" s="31" t="s">
        <v>390</v>
      </c>
      <c r="H11" s="31" t="s">
        <v>391</v>
      </c>
    </row>
    <row r="12" spans="2:8" ht="15" customHeight="1" x14ac:dyDescent="0.3">
      <c r="B12" s="134" t="s">
        <v>392</v>
      </c>
      <c r="C12" s="134"/>
      <c r="D12" s="134"/>
      <c r="E12" s="17" t="s">
        <v>393</v>
      </c>
      <c r="F12" s="22">
        <f>EQUIPOS!$D$3</f>
        <v>0.05</v>
      </c>
      <c r="G12" s="65">
        <f>H29</f>
        <v>2785.105738849315</v>
      </c>
      <c r="H12" s="66">
        <f>F12*G12</f>
        <v>139.25528694246574</v>
      </c>
    </row>
    <row r="13" spans="2:8" ht="15" customHeight="1" x14ac:dyDescent="0.3">
      <c r="G13" s="31" t="s">
        <v>394</v>
      </c>
      <c r="H13" s="67">
        <f>SUM(H12:H12)</f>
        <v>139.25528694246574</v>
      </c>
    </row>
    <row r="14" spans="2:8" ht="15" customHeight="1" x14ac:dyDescent="0.3">
      <c r="B14" s="135" t="s">
        <v>395</v>
      </c>
      <c r="C14" s="135"/>
      <c r="D14" s="135"/>
      <c r="E14" s="135"/>
      <c r="F14" s="135"/>
      <c r="G14" s="135"/>
      <c r="H14" s="135"/>
    </row>
    <row r="15" spans="2:8" ht="15" customHeight="1" x14ac:dyDescent="0.3">
      <c r="B15" s="123" t="s">
        <v>94</v>
      </c>
      <c r="C15" s="123"/>
      <c r="D15" s="31" t="s">
        <v>383</v>
      </c>
      <c r="E15" s="31" t="s">
        <v>96</v>
      </c>
      <c r="F15" s="31" t="s">
        <v>396</v>
      </c>
      <c r="G15" s="31" t="s">
        <v>397</v>
      </c>
      <c r="H15" s="31" t="s">
        <v>391</v>
      </c>
    </row>
    <row r="16" spans="2:8" ht="15" customHeight="1" x14ac:dyDescent="0.3">
      <c r="B16" s="134" t="s">
        <v>398</v>
      </c>
      <c r="C16" s="134"/>
      <c r="D16" s="17" t="s">
        <v>399</v>
      </c>
      <c r="E16" s="68">
        <v>0.25</v>
      </c>
      <c r="F16" s="27">
        <v>0</v>
      </c>
      <c r="G16" s="32">
        <f>INSUMOS!$D$14</f>
        <v>1500</v>
      </c>
      <c r="H16" s="66">
        <f>E16*(1+F16)*G16</f>
        <v>375</v>
      </c>
    </row>
    <row r="17" spans="2:8" ht="15" customHeight="1" x14ac:dyDescent="0.3">
      <c r="B17" s="134" t="s">
        <v>400</v>
      </c>
      <c r="C17" s="134"/>
      <c r="D17" s="17" t="s">
        <v>399</v>
      </c>
      <c r="E17" s="68">
        <v>0.01</v>
      </c>
      <c r="F17" s="27">
        <v>0</v>
      </c>
      <c r="G17" s="32">
        <f>INSUMOS!$D$15</f>
        <v>7000</v>
      </c>
      <c r="H17" s="66">
        <f>E17*(1+F17)*G17</f>
        <v>70</v>
      </c>
    </row>
    <row r="18" spans="2:8" ht="15" customHeight="1" x14ac:dyDescent="0.3">
      <c r="B18" s="134" t="s">
        <v>401</v>
      </c>
      <c r="C18" s="134"/>
      <c r="D18" s="17" t="s">
        <v>399</v>
      </c>
      <c r="E18" s="68">
        <v>0.01</v>
      </c>
      <c r="F18" s="27">
        <v>0</v>
      </c>
      <c r="G18" s="32">
        <f>INSUMOS!$D$16</f>
        <v>14000</v>
      </c>
      <c r="H18" s="66">
        <f>E18*(1+F18)*G18</f>
        <v>140</v>
      </c>
    </row>
    <row r="19" spans="2:8" ht="15" customHeight="1" x14ac:dyDescent="0.3">
      <c r="B19" s="134" t="s">
        <v>402</v>
      </c>
      <c r="C19" s="134"/>
      <c r="D19" s="17" t="s">
        <v>403</v>
      </c>
      <c r="E19" s="68">
        <v>0.01</v>
      </c>
      <c r="F19" s="27">
        <v>0</v>
      </c>
      <c r="G19" s="32">
        <f>INSUMOS!$D$10</f>
        <v>6900</v>
      </c>
      <c r="H19" s="66">
        <f>E19*(1+F19)*G19</f>
        <v>69</v>
      </c>
    </row>
    <row r="20" spans="2:8" ht="15" customHeight="1" x14ac:dyDescent="0.3">
      <c r="G20" s="31" t="s">
        <v>394</v>
      </c>
      <c r="H20" s="67">
        <f>SUM(H16:H19)</f>
        <v>654</v>
      </c>
    </row>
    <row r="21" spans="2:8" ht="15" customHeight="1" x14ac:dyDescent="0.3">
      <c r="B21" s="135" t="s">
        <v>404</v>
      </c>
      <c r="C21" s="135"/>
      <c r="D21" s="135"/>
      <c r="E21" s="135"/>
      <c r="F21" s="135"/>
      <c r="G21" s="135"/>
      <c r="H21" s="135"/>
    </row>
    <row r="22" spans="2:8" ht="15" customHeight="1" x14ac:dyDescent="0.3">
      <c r="B22" s="123" t="s">
        <v>94</v>
      </c>
      <c r="C22" s="123"/>
      <c r="D22" s="31" t="s">
        <v>383</v>
      </c>
      <c r="E22" s="31" t="s">
        <v>96</v>
      </c>
      <c r="F22" s="31"/>
      <c r="G22" s="31" t="s">
        <v>364</v>
      </c>
      <c r="H22" s="31" t="s">
        <v>391</v>
      </c>
    </row>
    <row r="23" spans="2:8" ht="15" customHeight="1" x14ac:dyDescent="0.3">
      <c r="B23" s="137" t="s">
        <v>405</v>
      </c>
      <c r="C23" s="137"/>
      <c r="D23" s="29"/>
      <c r="E23" s="29"/>
      <c r="F23" s="29"/>
      <c r="G23" s="29"/>
      <c r="H23" s="66">
        <v>0</v>
      </c>
    </row>
    <row r="24" spans="2:8" ht="15" customHeight="1" x14ac:dyDescent="0.3">
      <c r="G24" s="31" t="s">
        <v>394</v>
      </c>
      <c r="H24" s="67">
        <f>SUM(H23:H23)</f>
        <v>0</v>
      </c>
    </row>
    <row r="25" spans="2:8" ht="15" customHeight="1" x14ac:dyDescent="0.3">
      <c r="B25" s="135" t="s">
        <v>406</v>
      </c>
      <c r="C25" s="135"/>
      <c r="D25" s="135"/>
      <c r="E25" s="135"/>
      <c r="F25" s="135"/>
      <c r="G25" s="135"/>
      <c r="H25" s="135"/>
    </row>
    <row r="26" spans="2:8" ht="24" customHeight="1" x14ac:dyDescent="0.3">
      <c r="B26" s="123" t="s">
        <v>407</v>
      </c>
      <c r="C26" s="123"/>
      <c r="D26" s="123"/>
      <c r="E26" s="31" t="s">
        <v>96</v>
      </c>
      <c r="F26" s="31" t="s">
        <v>408</v>
      </c>
      <c r="G26" s="31" t="s">
        <v>390</v>
      </c>
      <c r="H26" s="31" t="s">
        <v>391</v>
      </c>
    </row>
    <row r="27" spans="2:8" ht="15" customHeight="1" x14ac:dyDescent="0.3">
      <c r="B27" s="134" t="s">
        <v>409</v>
      </c>
      <c r="C27" s="134"/>
      <c r="D27" s="134"/>
      <c r="E27" s="69">
        <v>1</v>
      </c>
      <c r="F27" s="32">
        <f>'MANO DE OBRA'!$H$27</f>
        <v>226162.13017808215</v>
      </c>
      <c r="G27" s="68">
        <v>8.0000000000000002E-3</v>
      </c>
      <c r="H27" s="66">
        <f>E27*F27*G27</f>
        <v>1809.2970414246572</v>
      </c>
    </row>
    <row r="28" spans="2:8" ht="15" customHeight="1" x14ac:dyDescent="0.3">
      <c r="B28" s="134" t="s">
        <v>410</v>
      </c>
      <c r="C28" s="134"/>
      <c r="D28" s="134"/>
      <c r="E28" s="69">
        <v>1</v>
      </c>
      <c r="F28" s="32">
        <f>'MANO DE OBRA'!$H$23</f>
        <v>121976.08717808221</v>
      </c>
      <c r="G28" s="68">
        <v>8.0000000000000002E-3</v>
      </c>
      <c r="H28" s="66">
        <f>E28*F28*G28</f>
        <v>975.80869742465768</v>
      </c>
    </row>
    <row r="29" spans="2:8" ht="15" customHeight="1" x14ac:dyDescent="0.3">
      <c r="G29" s="31" t="s">
        <v>394</v>
      </c>
      <c r="H29" s="67">
        <f>SUM(H27:H28)</f>
        <v>2785.105738849315</v>
      </c>
    </row>
    <row r="30" spans="2:8" ht="15" customHeight="1" x14ac:dyDescent="0.3"/>
    <row r="31" spans="2:8" ht="15" customHeight="1" x14ac:dyDescent="0.3">
      <c r="B31" s="115" t="s">
        <v>295</v>
      </c>
      <c r="C31" s="115"/>
      <c r="D31" s="115"/>
      <c r="E31" s="115"/>
      <c r="F31" s="115"/>
      <c r="G31" s="115"/>
      <c r="H31" s="70">
        <f>H13+H20+H24+H29</f>
        <v>3578.3610257917808</v>
      </c>
    </row>
    <row r="32" spans="2:8" ht="15" customHeight="1" x14ac:dyDescent="0.3"/>
    <row r="33" spans="2:8" ht="15" customHeight="1" x14ac:dyDescent="0.3">
      <c r="B33" s="71" t="s">
        <v>411</v>
      </c>
    </row>
    <row r="34" spans="2:8" ht="15" customHeight="1" x14ac:dyDescent="0.3">
      <c r="B34" s="123" t="s">
        <v>94</v>
      </c>
      <c r="C34" s="123"/>
      <c r="D34" s="123"/>
      <c r="E34" s="123"/>
      <c r="F34" s="123"/>
      <c r="G34" s="31" t="s">
        <v>412</v>
      </c>
      <c r="H34" s="31" t="s">
        <v>4</v>
      </c>
    </row>
    <row r="35" spans="2:8" ht="15" customHeight="1" x14ac:dyDescent="0.3">
      <c r="B35" s="110" t="s">
        <v>73</v>
      </c>
      <c r="C35" s="110"/>
      <c r="D35" s="110"/>
      <c r="E35" s="110"/>
      <c r="F35" s="110"/>
      <c r="G35" s="22">
        <f>'Datos Iniciales'!$B$32</f>
        <v>0.28999999999999998</v>
      </c>
      <c r="H35" s="66">
        <f>H31*G35</f>
        <v>1037.7246974796165</v>
      </c>
    </row>
    <row r="36" spans="2:8" ht="15" customHeight="1" x14ac:dyDescent="0.3">
      <c r="B36" s="110" t="s">
        <v>74</v>
      </c>
      <c r="C36" s="110"/>
      <c r="D36" s="110"/>
      <c r="E36" s="110"/>
      <c r="F36" s="110"/>
      <c r="G36" s="22">
        <f>'Datos Iniciales'!$B$33</f>
        <v>0.05</v>
      </c>
      <c r="H36" s="66">
        <f>H31*G36</f>
        <v>178.91805128958904</v>
      </c>
    </row>
    <row r="37" spans="2:8" ht="15" customHeight="1" x14ac:dyDescent="0.3">
      <c r="B37" s="138" t="s">
        <v>413</v>
      </c>
      <c r="C37" s="138"/>
      <c r="D37" s="138"/>
      <c r="E37" s="138"/>
      <c r="F37" s="138"/>
      <c r="G37" s="60">
        <f>G35+G36</f>
        <v>0.33999999999999997</v>
      </c>
      <c r="H37" s="67">
        <f>H35+H36</f>
        <v>1216.6427487692056</v>
      </c>
    </row>
    <row r="38" spans="2:8" ht="15" customHeight="1" x14ac:dyDescent="0.3"/>
    <row r="39" spans="2:8" ht="15" customHeight="1" x14ac:dyDescent="0.3">
      <c r="B39" s="139" t="s">
        <v>414</v>
      </c>
      <c r="C39" s="139"/>
      <c r="D39" s="139"/>
      <c r="E39" s="139"/>
      <c r="F39" s="139"/>
      <c r="G39" s="139"/>
      <c r="H39" s="37">
        <f>ROUND(H31+H37,0)</f>
        <v>4795</v>
      </c>
    </row>
    <row r="40" spans="2:8" ht="15" customHeight="1" x14ac:dyDescent="0.3"/>
    <row r="41" spans="2:8" ht="15" customHeight="1" x14ac:dyDescent="0.3"/>
    <row r="42" spans="2:8" ht="15.75" customHeight="1" x14ac:dyDescent="0.3">
      <c r="B42" s="123" t="s">
        <v>0</v>
      </c>
      <c r="C42" s="123"/>
      <c r="D42" s="123"/>
      <c r="E42" s="123"/>
      <c r="F42" s="123"/>
      <c r="G42" s="123"/>
      <c r="H42" s="110"/>
    </row>
    <row r="43" spans="2:8" ht="15.75" customHeight="1" x14ac:dyDescent="0.3">
      <c r="B43" s="123" t="s">
        <v>1</v>
      </c>
      <c r="C43" s="123"/>
      <c r="D43" s="123"/>
      <c r="E43" s="123"/>
      <c r="F43" s="123"/>
      <c r="G43" s="123"/>
      <c r="H43" s="110"/>
    </row>
    <row r="44" spans="2:8" ht="24" customHeight="1" x14ac:dyDescent="0.3">
      <c r="B44" s="136" t="str">
        <f>'Datos Iniciales'!$B$8</f>
        <v>OBRA PÚBLICA PARA LA EJECUCIÓN DE DIFERENTES MEJORAMIENTOS DE VIVIENDA EN EL CASCO URBANO Y RURAL DEL MUNICIPIO DE MACEO - ANTIOQUIA</v>
      </c>
      <c r="C44" s="136"/>
      <c r="D44" s="136"/>
      <c r="E44" s="136"/>
      <c r="F44" s="136"/>
      <c r="G44" s="136"/>
      <c r="H44" s="110"/>
    </row>
    <row r="45" spans="2:8" ht="15.75" customHeight="1" x14ac:dyDescent="0.3">
      <c r="B45" s="112" t="s">
        <v>381</v>
      </c>
      <c r="C45" s="112"/>
      <c r="D45" s="112"/>
      <c r="E45" s="112"/>
      <c r="F45" s="112"/>
      <c r="G45" s="112"/>
      <c r="H45" s="110"/>
    </row>
    <row r="46" spans="2:8" ht="24" customHeight="1" x14ac:dyDescent="0.3">
      <c r="B46" s="13" t="s">
        <v>382</v>
      </c>
      <c r="C46" s="112" t="s">
        <v>94</v>
      </c>
      <c r="D46" s="112"/>
      <c r="E46" s="112"/>
      <c r="F46" s="13" t="s">
        <v>383</v>
      </c>
      <c r="G46" s="13" t="s">
        <v>384</v>
      </c>
      <c r="H46" s="13" t="s">
        <v>385</v>
      </c>
    </row>
    <row r="47" spans="2:8" ht="42" customHeight="1" x14ac:dyDescent="0.3">
      <c r="B47" s="63" t="s">
        <v>415</v>
      </c>
      <c r="C47" s="140" t="s">
        <v>103</v>
      </c>
      <c r="D47" s="140"/>
      <c r="E47" s="140"/>
      <c r="F47" s="17" t="s">
        <v>104</v>
      </c>
      <c r="G47" s="41">
        <f>PRESUPUESTO!$E$8+PRESUPUESTO!$E$35+PRESUPUESTO!$E$74+PRESUPUESTO!$E$85+PRESUPUESTO!$E$128</f>
        <v>55.39</v>
      </c>
      <c r="H47" s="33">
        <f>H68</f>
        <v>56232.735212619868</v>
      </c>
    </row>
    <row r="48" spans="2:8" ht="15" customHeight="1" x14ac:dyDescent="0.3">
      <c r="B48" s="137" t="s">
        <v>416</v>
      </c>
      <c r="C48" s="137"/>
      <c r="D48" s="137"/>
      <c r="E48" s="137"/>
      <c r="F48" s="137"/>
      <c r="G48" s="137"/>
      <c r="H48" s="137"/>
    </row>
    <row r="49" spans="2:8" ht="15" customHeight="1" x14ac:dyDescent="0.3">
      <c r="B49" s="64" t="s">
        <v>388</v>
      </c>
    </row>
    <row r="50" spans="2:8" ht="15" customHeight="1" x14ac:dyDescent="0.3">
      <c r="B50" s="135" t="s">
        <v>389</v>
      </c>
      <c r="C50" s="135"/>
      <c r="D50" s="135"/>
      <c r="E50" s="135"/>
      <c r="F50" s="135"/>
      <c r="G50" s="135"/>
      <c r="H50" s="135"/>
    </row>
    <row r="51" spans="2:8" ht="24" customHeight="1" x14ac:dyDescent="0.3">
      <c r="B51" s="123" t="s">
        <v>94</v>
      </c>
      <c r="C51" s="123"/>
      <c r="D51" s="123"/>
      <c r="E51" s="31" t="s">
        <v>383</v>
      </c>
      <c r="F51" s="31" t="s">
        <v>364</v>
      </c>
      <c r="G51" s="31" t="s">
        <v>390</v>
      </c>
      <c r="H51" s="31" t="s">
        <v>391</v>
      </c>
    </row>
    <row r="52" spans="2:8" ht="15" customHeight="1" x14ac:dyDescent="0.3">
      <c r="B52" s="134" t="s">
        <v>392</v>
      </c>
      <c r="C52" s="134"/>
      <c r="D52" s="134"/>
      <c r="E52" s="17" t="s">
        <v>393</v>
      </c>
      <c r="F52" s="22">
        <f>EQUIPOS!$D$3</f>
        <v>0.05</v>
      </c>
      <c r="G52" s="65">
        <f>H66</f>
        <v>53554.985916780824</v>
      </c>
      <c r="H52" s="66">
        <f>F52*G52</f>
        <v>2677.7492958390412</v>
      </c>
    </row>
    <row r="53" spans="2:8" ht="15" customHeight="1" x14ac:dyDescent="0.3">
      <c r="G53" s="31" t="s">
        <v>394</v>
      </c>
      <c r="H53" s="67">
        <f>SUM(H52:H52)</f>
        <v>2677.7492958390412</v>
      </c>
    </row>
    <row r="54" spans="2:8" ht="15" customHeight="1" x14ac:dyDescent="0.3">
      <c r="B54" s="135" t="s">
        <v>395</v>
      </c>
      <c r="C54" s="135"/>
      <c r="D54" s="135"/>
      <c r="E54" s="135"/>
      <c r="F54" s="135"/>
      <c r="G54" s="135"/>
      <c r="H54" s="135"/>
    </row>
    <row r="55" spans="2:8" ht="15" customHeight="1" x14ac:dyDescent="0.3">
      <c r="B55" s="123" t="s">
        <v>94</v>
      </c>
      <c r="C55" s="123"/>
      <c r="D55" s="31" t="s">
        <v>383</v>
      </c>
      <c r="E55" s="31" t="s">
        <v>96</v>
      </c>
      <c r="F55" s="31" t="s">
        <v>396</v>
      </c>
      <c r="G55" s="31" t="s">
        <v>397</v>
      </c>
      <c r="H55" s="31" t="s">
        <v>391</v>
      </c>
    </row>
    <row r="56" spans="2:8" ht="15" customHeight="1" x14ac:dyDescent="0.3">
      <c r="B56" s="137" t="s">
        <v>417</v>
      </c>
      <c r="C56" s="137"/>
      <c r="D56" s="29"/>
      <c r="E56" s="29"/>
      <c r="F56" s="29"/>
      <c r="G56" s="29"/>
      <c r="H56" s="66">
        <v>0</v>
      </c>
    </row>
    <row r="57" spans="2:8" ht="15" customHeight="1" x14ac:dyDescent="0.3">
      <c r="G57" s="31" t="s">
        <v>394</v>
      </c>
      <c r="H57" s="67">
        <f>SUM(H56:H56)</f>
        <v>0</v>
      </c>
    </row>
    <row r="58" spans="2:8" ht="15" customHeight="1" x14ac:dyDescent="0.3">
      <c r="B58" s="135" t="s">
        <v>404</v>
      </c>
      <c r="C58" s="135"/>
      <c r="D58" s="135"/>
      <c r="E58" s="135"/>
      <c r="F58" s="135"/>
      <c r="G58" s="135"/>
      <c r="H58" s="135"/>
    </row>
    <row r="59" spans="2:8" ht="15" customHeight="1" x14ac:dyDescent="0.3">
      <c r="B59" s="123" t="s">
        <v>94</v>
      </c>
      <c r="C59" s="123"/>
      <c r="D59" s="31" t="s">
        <v>383</v>
      </c>
      <c r="E59" s="31" t="s">
        <v>96</v>
      </c>
      <c r="F59" s="31"/>
      <c r="G59" s="31" t="s">
        <v>364</v>
      </c>
      <c r="H59" s="31" t="s">
        <v>391</v>
      </c>
    </row>
    <row r="60" spans="2:8" ht="15" customHeight="1" x14ac:dyDescent="0.3">
      <c r="B60" s="137" t="s">
        <v>405</v>
      </c>
      <c r="C60" s="137"/>
      <c r="D60" s="29"/>
      <c r="E60" s="29"/>
      <c r="F60" s="29"/>
      <c r="G60" s="29"/>
      <c r="H60" s="66">
        <v>0</v>
      </c>
    </row>
    <row r="61" spans="2:8" ht="15" customHeight="1" x14ac:dyDescent="0.3">
      <c r="G61" s="31" t="s">
        <v>394</v>
      </c>
      <c r="H61" s="67">
        <f>SUM(H60:H60)</f>
        <v>0</v>
      </c>
    </row>
    <row r="62" spans="2:8" ht="15" customHeight="1" x14ac:dyDescent="0.3">
      <c r="B62" s="135" t="s">
        <v>406</v>
      </c>
      <c r="C62" s="135"/>
      <c r="D62" s="135"/>
      <c r="E62" s="135"/>
      <c r="F62" s="135"/>
      <c r="G62" s="135"/>
      <c r="H62" s="135"/>
    </row>
    <row r="63" spans="2:8" ht="24" customHeight="1" x14ac:dyDescent="0.3">
      <c r="B63" s="123" t="s">
        <v>407</v>
      </c>
      <c r="C63" s="123"/>
      <c r="D63" s="123"/>
      <c r="E63" s="31" t="s">
        <v>96</v>
      </c>
      <c r="F63" s="31" t="s">
        <v>408</v>
      </c>
      <c r="G63" s="31" t="s">
        <v>390</v>
      </c>
      <c r="H63" s="31" t="s">
        <v>391</v>
      </c>
    </row>
    <row r="64" spans="2:8" ht="15" customHeight="1" x14ac:dyDescent="0.3">
      <c r="B64" s="134" t="s">
        <v>409</v>
      </c>
      <c r="C64" s="134"/>
      <c r="D64" s="134"/>
      <c r="E64" s="69">
        <v>0.25</v>
      </c>
      <c r="F64" s="32">
        <f>'MANO DE OBRA'!$H$27</f>
        <v>226162.13017808215</v>
      </c>
      <c r="G64" s="68">
        <v>0.3</v>
      </c>
      <c r="H64" s="66">
        <f>E64*F64*G64</f>
        <v>16962.159763356161</v>
      </c>
    </row>
    <row r="65" spans="2:8" ht="15" customHeight="1" x14ac:dyDescent="0.3">
      <c r="B65" s="134" t="s">
        <v>410</v>
      </c>
      <c r="C65" s="134"/>
      <c r="D65" s="134"/>
      <c r="E65" s="69">
        <v>1</v>
      </c>
      <c r="F65" s="32">
        <f>'MANO DE OBRA'!$H$23</f>
        <v>121976.08717808221</v>
      </c>
      <c r="G65" s="68">
        <v>0.3</v>
      </c>
      <c r="H65" s="66">
        <f>E65*F65*G65</f>
        <v>36592.826153424663</v>
      </c>
    </row>
    <row r="66" spans="2:8" ht="15" customHeight="1" x14ac:dyDescent="0.3">
      <c r="G66" s="31" t="s">
        <v>394</v>
      </c>
      <c r="H66" s="67">
        <f>SUM(H64:H65)</f>
        <v>53554.985916780824</v>
      </c>
    </row>
    <row r="67" spans="2:8" ht="15" customHeight="1" x14ac:dyDescent="0.3"/>
    <row r="68" spans="2:8" ht="15" customHeight="1" x14ac:dyDescent="0.3">
      <c r="B68" s="115" t="s">
        <v>295</v>
      </c>
      <c r="C68" s="115"/>
      <c r="D68" s="115"/>
      <c r="E68" s="115"/>
      <c r="F68" s="115"/>
      <c r="G68" s="115"/>
      <c r="H68" s="70">
        <f>H53+H57+H61+H66</f>
        <v>56232.735212619868</v>
      </c>
    </row>
    <row r="69" spans="2:8" ht="15" customHeight="1" x14ac:dyDescent="0.3"/>
    <row r="70" spans="2:8" ht="15" customHeight="1" x14ac:dyDescent="0.3">
      <c r="B70" s="71" t="s">
        <v>411</v>
      </c>
    </row>
    <row r="71" spans="2:8" ht="15" customHeight="1" x14ac:dyDescent="0.3">
      <c r="B71" s="123" t="s">
        <v>94</v>
      </c>
      <c r="C71" s="123"/>
      <c r="D71" s="123"/>
      <c r="E71" s="123"/>
      <c r="F71" s="123"/>
      <c r="G71" s="31" t="s">
        <v>412</v>
      </c>
      <c r="H71" s="31" t="s">
        <v>4</v>
      </c>
    </row>
    <row r="72" spans="2:8" ht="15" customHeight="1" x14ac:dyDescent="0.3">
      <c r="B72" s="110" t="s">
        <v>73</v>
      </c>
      <c r="C72" s="110"/>
      <c r="D72" s="110"/>
      <c r="E72" s="110"/>
      <c r="F72" s="110"/>
      <c r="G72" s="22">
        <f>'Datos Iniciales'!$B$32</f>
        <v>0.28999999999999998</v>
      </c>
      <c r="H72" s="66">
        <f>H68*G72</f>
        <v>16307.493211659761</v>
      </c>
    </row>
    <row r="73" spans="2:8" ht="15" customHeight="1" x14ac:dyDescent="0.3">
      <c r="B73" s="110" t="s">
        <v>74</v>
      </c>
      <c r="C73" s="110"/>
      <c r="D73" s="110"/>
      <c r="E73" s="110"/>
      <c r="F73" s="110"/>
      <c r="G73" s="22">
        <f>'Datos Iniciales'!$B$33</f>
        <v>0.05</v>
      </c>
      <c r="H73" s="66">
        <f>H68*G73</f>
        <v>2811.6367606309936</v>
      </c>
    </row>
    <row r="74" spans="2:8" ht="15" customHeight="1" x14ac:dyDescent="0.3">
      <c r="B74" s="138" t="s">
        <v>413</v>
      </c>
      <c r="C74" s="138"/>
      <c r="D74" s="138"/>
      <c r="E74" s="138"/>
      <c r="F74" s="138"/>
      <c r="G74" s="60">
        <f>G72+G73</f>
        <v>0.33999999999999997</v>
      </c>
      <c r="H74" s="67">
        <f>H72+H73</f>
        <v>19119.129972290753</v>
      </c>
    </row>
    <row r="75" spans="2:8" ht="15" customHeight="1" x14ac:dyDescent="0.3"/>
    <row r="76" spans="2:8" ht="15" customHeight="1" x14ac:dyDescent="0.3">
      <c r="B76" s="139" t="s">
        <v>414</v>
      </c>
      <c r="C76" s="139"/>
      <c r="D76" s="139"/>
      <c r="E76" s="139"/>
      <c r="F76" s="139"/>
      <c r="G76" s="139"/>
      <c r="H76" s="37">
        <f>ROUND(H68+H74,0)</f>
        <v>75352</v>
      </c>
    </row>
    <row r="77" spans="2:8" ht="15" customHeight="1" x14ac:dyDescent="0.3"/>
    <row r="78" spans="2:8" ht="15" customHeight="1" x14ac:dyDescent="0.3"/>
    <row r="79" spans="2:8" ht="15.75" customHeight="1" x14ac:dyDescent="0.3">
      <c r="B79" s="123" t="s">
        <v>0</v>
      </c>
      <c r="C79" s="123"/>
      <c r="D79" s="123"/>
      <c r="E79" s="123"/>
      <c r="F79" s="123"/>
      <c r="G79" s="123"/>
      <c r="H79" s="110"/>
    </row>
    <row r="80" spans="2:8" ht="15.75" customHeight="1" x14ac:dyDescent="0.3">
      <c r="B80" s="123" t="s">
        <v>1</v>
      </c>
      <c r="C80" s="123"/>
      <c r="D80" s="123"/>
      <c r="E80" s="123"/>
      <c r="F80" s="123"/>
      <c r="G80" s="123"/>
      <c r="H80" s="110"/>
    </row>
    <row r="81" spans="2:8" ht="24" customHeight="1" x14ac:dyDescent="0.3">
      <c r="B81" s="136" t="str">
        <f>'Datos Iniciales'!$B$8</f>
        <v>OBRA PÚBLICA PARA LA EJECUCIÓN DE DIFERENTES MEJORAMIENTOS DE VIVIENDA EN EL CASCO URBANO Y RURAL DEL MUNICIPIO DE MACEO - ANTIOQUIA</v>
      </c>
      <c r="C81" s="136"/>
      <c r="D81" s="136"/>
      <c r="E81" s="136"/>
      <c r="F81" s="136"/>
      <c r="G81" s="136"/>
      <c r="H81" s="110"/>
    </row>
    <row r="82" spans="2:8" ht="15.75" customHeight="1" x14ac:dyDescent="0.3">
      <c r="B82" s="112" t="s">
        <v>381</v>
      </c>
      <c r="C82" s="112"/>
      <c r="D82" s="112"/>
      <c r="E82" s="112"/>
      <c r="F82" s="112"/>
      <c r="G82" s="112"/>
      <c r="H82" s="110"/>
    </row>
    <row r="83" spans="2:8" ht="24" customHeight="1" x14ac:dyDescent="0.3">
      <c r="B83" s="13" t="s">
        <v>382</v>
      </c>
      <c r="C83" s="112" t="s">
        <v>94</v>
      </c>
      <c r="D83" s="112"/>
      <c r="E83" s="112"/>
      <c r="F83" s="13" t="s">
        <v>383</v>
      </c>
      <c r="G83" s="13" t="s">
        <v>384</v>
      </c>
      <c r="H83" s="13" t="s">
        <v>385</v>
      </c>
    </row>
    <row r="84" spans="2:8" ht="52.5" customHeight="1" x14ac:dyDescent="0.3">
      <c r="B84" s="63" t="s">
        <v>418</v>
      </c>
      <c r="C84" s="140" t="s">
        <v>225</v>
      </c>
      <c r="D84" s="140"/>
      <c r="E84" s="140"/>
      <c r="F84" s="17" t="s">
        <v>104</v>
      </c>
      <c r="G84" s="41">
        <f>PRESUPUESTO!$E$83+PRESUPUESTO!$E$127</f>
        <v>15</v>
      </c>
      <c r="H84" s="33">
        <f>H106</f>
        <v>180965.47042523974</v>
      </c>
    </row>
    <row r="85" spans="2:8" ht="15" customHeight="1" x14ac:dyDescent="0.3">
      <c r="B85" s="137" t="s">
        <v>419</v>
      </c>
      <c r="C85" s="137"/>
      <c r="D85" s="137"/>
      <c r="E85" s="137"/>
      <c r="F85" s="137"/>
      <c r="G85" s="137"/>
      <c r="H85" s="137"/>
    </row>
    <row r="86" spans="2:8" ht="15" customHeight="1" x14ac:dyDescent="0.3">
      <c r="B86" s="64" t="s">
        <v>388</v>
      </c>
    </row>
    <row r="87" spans="2:8" ht="15" customHeight="1" x14ac:dyDescent="0.3">
      <c r="B87" s="135" t="s">
        <v>389</v>
      </c>
      <c r="C87" s="135"/>
      <c r="D87" s="135"/>
      <c r="E87" s="135"/>
      <c r="F87" s="135"/>
      <c r="G87" s="135"/>
      <c r="H87" s="135"/>
    </row>
    <row r="88" spans="2:8" ht="24" customHeight="1" x14ac:dyDescent="0.3">
      <c r="B88" s="123" t="s">
        <v>94</v>
      </c>
      <c r="C88" s="123"/>
      <c r="D88" s="123"/>
      <c r="E88" s="31" t="s">
        <v>383</v>
      </c>
      <c r="F88" s="31" t="s">
        <v>364</v>
      </c>
      <c r="G88" s="31" t="s">
        <v>390</v>
      </c>
      <c r="H88" s="31" t="s">
        <v>391</v>
      </c>
    </row>
    <row r="89" spans="2:8" ht="15" customHeight="1" x14ac:dyDescent="0.3">
      <c r="B89" s="134" t="s">
        <v>392</v>
      </c>
      <c r="C89" s="134"/>
      <c r="D89" s="134"/>
      <c r="E89" s="17" t="s">
        <v>393</v>
      </c>
      <c r="F89" s="22">
        <f>EQUIPOS!$D$3</f>
        <v>0.05</v>
      </c>
      <c r="G89" s="65">
        <f>H104</f>
        <v>107109.97183356165</v>
      </c>
      <c r="H89" s="66">
        <f>F89*G89</f>
        <v>5355.4985916780824</v>
      </c>
    </row>
    <row r="90" spans="2:8" ht="15" customHeight="1" x14ac:dyDescent="0.3">
      <c r="B90" s="134" t="s">
        <v>420</v>
      </c>
      <c r="C90" s="134"/>
      <c r="D90" s="134"/>
      <c r="E90" s="17" t="s">
        <v>421</v>
      </c>
      <c r="F90" s="65">
        <f>EQUIPOS!$D$10</f>
        <v>70000</v>
      </c>
      <c r="G90" s="68">
        <v>0.05</v>
      </c>
      <c r="H90" s="66">
        <f>F90*G90</f>
        <v>3500</v>
      </c>
    </row>
    <row r="91" spans="2:8" ht="15" customHeight="1" x14ac:dyDescent="0.3">
      <c r="G91" s="31" t="s">
        <v>394</v>
      </c>
      <c r="H91" s="67">
        <f>SUM(H89:H90)</f>
        <v>8855.4985916780824</v>
      </c>
    </row>
    <row r="92" spans="2:8" ht="15" customHeight="1" x14ac:dyDescent="0.3">
      <c r="B92" s="135" t="s">
        <v>395</v>
      </c>
      <c r="C92" s="135"/>
      <c r="D92" s="135"/>
      <c r="E92" s="135"/>
      <c r="F92" s="135"/>
      <c r="G92" s="135"/>
      <c r="H92" s="135"/>
    </row>
    <row r="93" spans="2:8" ht="15" customHeight="1" x14ac:dyDescent="0.3">
      <c r="B93" s="123" t="s">
        <v>94</v>
      </c>
      <c r="C93" s="123"/>
      <c r="D93" s="31" t="s">
        <v>383</v>
      </c>
      <c r="E93" s="31" t="s">
        <v>96</v>
      </c>
      <c r="F93" s="31" t="s">
        <v>396</v>
      </c>
      <c r="G93" s="31" t="s">
        <v>397</v>
      </c>
      <c r="H93" s="31" t="s">
        <v>391</v>
      </c>
    </row>
    <row r="94" spans="2:8" ht="15" customHeight="1" x14ac:dyDescent="0.3">
      <c r="B94" s="134" t="s">
        <v>422</v>
      </c>
      <c r="C94" s="134"/>
      <c r="D94" s="17" t="s">
        <v>423</v>
      </c>
      <c r="E94" s="68">
        <v>1.3</v>
      </c>
      <c r="F94" s="27">
        <v>0</v>
      </c>
      <c r="G94" s="32">
        <f>INSUMOS!$D$88</f>
        <v>20000</v>
      </c>
      <c r="H94" s="66">
        <f>E94*(1+F94)*G94</f>
        <v>26000</v>
      </c>
    </row>
    <row r="95" spans="2:8" ht="15" customHeight="1" x14ac:dyDescent="0.3">
      <c r="G95" s="31" t="s">
        <v>394</v>
      </c>
      <c r="H95" s="67">
        <f>SUM(H94:H94)</f>
        <v>26000</v>
      </c>
    </row>
    <row r="96" spans="2:8" ht="15" customHeight="1" x14ac:dyDescent="0.3">
      <c r="B96" s="135" t="s">
        <v>404</v>
      </c>
      <c r="C96" s="135"/>
      <c r="D96" s="135"/>
      <c r="E96" s="135"/>
      <c r="F96" s="135"/>
      <c r="G96" s="135"/>
      <c r="H96" s="135"/>
    </row>
    <row r="97" spans="2:8" ht="15" customHeight="1" x14ac:dyDescent="0.3">
      <c r="B97" s="123" t="s">
        <v>94</v>
      </c>
      <c r="C97" s="123"/>
      <c r="D97" s="31" t="s">
        <v>383</v>
      </c>
      <c r="E97" s="31" t="s">
        <v>96</v>
      </c>
      <c r="F97" s="31"/>
      <c r="G97" s="31" t="s">
        <v>364</v>
      </c>
      <c r="H97" s="31" t="s">
        <v>391</v>
      </c>
    </row>
    <row r="98" spans="2:8" ht="22.05" customHeight="1" x14ac:dyDescent="0.3">
      <c r="B98" s="134" t="s">
        <v>424</v>
      </c>
      <c r="C98" s="134"/>
      <c r="D98" s="17" t="s">
        <v>425</v>
      </c>
      <c r="E98" s="72">
        <f>1.3*'Datos Iniciales'!$B$23</f>
        <v>13</v>
      </c>
      <c r="F98" s="29"/>
      <c r="G98" s="32">
        <f>TRANSPORTE!$D$6</f>
        <v>3000</v>
      </c>
      <c r="H98" s="66">
        <f>E98*G98</f>
        <v>39000</v>
      </c>
    </row>
    <row r="99" spans="2:8" ht="15" customHeight="1" x14ac:dyDescent="0.3">
      <c r="G99" s="31" t="s">
        <v>394</v>
      </c>
      <c r="H99" s="67">
        <f>SUM(H98:H98)</f>
        <v>39000</v>
      </c>
    </row>
    <row r="100" spans="2:8" ht="15" customHeight="1" x14ac:dyDescent="0.3">
      <c r="B100" s="135" t="s">
        <v>406</v>
      </c>
      <c r="C100" s="135"/>
      <c r="D100" s="135"/>
      <c r="E100" s="135"/>
      <c r="F100" s="135"/>
      <c r="G100" s="135"/>
      <c r="H100" s="135"/>
    </row>
    <row r="101" spans="2:8" ht="24" customHeight="1" x14ac:dyDescent="0.3">
      <c r="B101" s="123" t="s">
        <v>407</v>
      </c>
      <c r="C101" s="123"/>
      <c r="D101" s="123"/>
      <c r="E101" s="31" t="s">
        <v>96</v>
      </c>
      <c r="F101" s="31" t="s">
        <v>408</v>
      </c>
      <c r="G101" s="31" t="s">
        <v>390</v>
      </c>
      <c r="H101" s="31" t="s">
        <v>391</v>
      </c>
    </row>
    <row r="102" spans="2:8" ht="15" customHeight="1" x14ac:dyDescent="0.3">
      <c r="B102" s="134" t="s">
        <v>409</v>
      </c>
      <c r="C102" s="134"/>
      <c r="D102" s="134"/>
      <c r="E102" s="69">
        <v>0.5</v>
      </c>
      <c r="F102" s="32">
        <f>'MANO DE OBRA'!$H$27</f>
        <v>226162.13017808215</v>
      </c>
      <c r="G102" s="68">
        <v>0.3</v>
      </c>
      <c r="H102" s="66">
        <f>E102*F102*G102</f>
        <v>33924.319526712323</v>
      </c>
    </row>
    <row r="103" spans="2:8" ht="15" customHeight="1" x14ac:dyDescent="0.3">
      <c r="B103" s="134" t="s">
        <v>410</v>
      </c>
      <c r="C103" s="134"/>
      <c r="D103" s="134"/>
      <c r="E103" s="69">
        <v>2</v>
      </c>
      <c r="F103" s="32">
        <f>'MANO DE OBRA'!$H$23</f>
        <v>121976.08717808221</v>
      </c>
      <c r="G103" s="68">
        <v>0.3</v>
      </c>
      <c r="H103" s="66">
        <f>E103*F103*G103</f>
        <v>73185.652306849326</v>
      </c>
    </row>
    <row r="104" spans="2:8" ht="15" customHeight="1" x14ac:dyDescent="0.3">
      <c r="G104" s="31" t="s">
        <v>394</v>
      </c>
      <c r="H104" s="67">
        <f>SUM(H102:H103)</f>
        <v>107109.97183356165</v>
      </c>
    </row>
    <row r="105" spans="2:8" ht="15" customHeight="1" x14ac:dyDescent="0.3"/>
    <row r="106" spans="2:8" ht="15" customHeight="1" x14ac:dyDescent="0.3">
      <c r="B106" s="115" t="s">
        <v>295</v>
      </c>
      <c r="C106" s="115"/>
      <c r="D106" s="115"/>
      <c r="E106" s="115"/>
      <c r="F106" s="115"/>
      <c r="G106" s="115"/>
      <c r="H106" s="70">
        <f>H91+H95+H99+H104</f>
        <v>180965.47042523974</v>
      </c>
    </row>
    <row r="107" spans="2:8" ht="15" customHeight="1" x14ac:dyDescent="0.3"/>
    <row r="108" spans="2:8" ht="15" customHeight="1" x14ac:dyDescent="0.3">
      <c r="B108" s="71" t="s">
        <v>411</v>
      </c>
    </row>
    <row r="109" spans="2:8" ht="15" customHeight="1" x14ac:dyDescent="0.3">
      <c r="B109" s="123" t="s">
        <v>94</v>
      </c>
      <c r="C109" s="123"/>
      <c r="D109" s="123"/>
      <c r="E109" s="123"/>
      <c r="F109" s="123"/>
      <c r="G109" s="31" t="s">
        <v>412</v>
      </c>
      <c r="H109" s="31" t="s">
        <v>4</v>
      </c>
    </row>
    <row r="110" spans="2:8" ht="15" customHeight="1" x14ac:dyDescent="0.3">
      <c r="B110" s="110" t="s">
        <v>73</v>
      </c>
      <c r="C110" s="110"/>
      <c r="D110" s="110"/>
      <c r="E110" s="110"/>
      <c r="F110" s="110"/>
      <c r="G110" s="22">
        <f>'Datos Iniciales'!$B$32</f>
        <v>0.28999999999999998</v>
      </c>
      <c r="H110" s="66">
        <f>H106*G110</f>
        <v>52479.986423319519</v>
      </c>
    </row>
    <row r="111" spans="2:8" ht="15" customHeight="1" x14ac:dyDescent="0.3">
      <c r="B111" s="110" t="s">
        <v>74</v>
      </c>
      <c r="C111" s="110"/>
      <c r="D111" s="110"/>
      <c r="E111" s="110"/>
      <c r="F111" s="110"/>
      <c r="G111" s="22">
        <f>'Datos Iniciales'!$B$33</f>
        <v>0.05</v>
      </c>
      <c r="H111" s="66">
        <f>H106*G111</f>
        <v>9048.2735212619864</v>
      </c>
    </row>
    <row r="112" spans="2:8" ht="15" customHeight="1" x14ac:dyDescent="0.3">
      <c r="B112" s="138" t="s">
        <v>413</v>
      </c>
      <c r="C112" s="138"/>
      <c r="D112" s="138"/>
      <c r="E112" s="138"/>
      <c r="F112" s="138"/>
      <c r="G112" s="60">
        <f>G110+G111</f>
        <v>0.33999999999999997</v>
      </c>
      <c r="H112" s="67">
        <f>H110+H111</f>
        <v>61528.259944581507</v>
      </c>
    </row>
    <row r="113" spans="2:8" ht="15" customHeight="1" x14ac:dyDescent="0.3"/>
    <row r="114" spans="2:8" ht="15" customHeight="1" x14ac:dyDescent="0.3">
      <c r="B114" s="139" t="s">
        <v>414</v>
      </c>
      <c r="C114" s="139"/>
      <c r="D114" s="139"/>
      <c r="E114" s="139"/>
      <c r="F114" s="139"/>
      <c r="G114" s="139"/>
      <c r="H114" s="37">
        <f>ROUND(H106+H112,0)</f>
        <v>242494</v>
      </c>
    </row>
    <row r="115" spans="2:8" ht="15" customHeight="1" x14ac:dyDescent="0.3"/>
    <row r="116" spans="2:8" ht="15" customHeight="1" x14ac:dyDescent="0.3"/>
    <row r="117" spans="2:8" ht="15.75" customHeight="1" x14ac:dyDescent="0.3">
      <c r="B117" s="123" t="s">
        <v>0</v>
      </c>
      <c r="C117" s="123"/>
      <c r="D117" s="123"/>
      <c r="E117" s="123"/>
      <c r="F117" s="123"/>
      <c r="G117" s="123"/>
      <c r="H117" s="110"/>
    </row>
    <row r="118" spans="2:8" ht="15.75" customHeight="1" x14ac:dyDescent="0.3">
      <c r="B118" s="123" t="s">
        <v>1</v>
      </c>
      <c r="C118" s="123"/>
      <c r="D118" s="123"/>
      <c r="E118" s="123"/>
      <c r="F118" s="123"/>
      <c r="G118" s="123"/>
      <c r="H118" s="110"/>
    </row>
    <row r="119" spans="2:8" ht="24" customHeight="1" x14ac:dyDescent="0.3">
      <c r="B119" s="136" t="str">
        <f>'Datos Iniciales'!$B$8</f>
        <v>OBRA PÚBLICA PARA LA EJECUCIÓN DE DIFERENTES MEJORAMIENTOS DE VIVIENDA EN EL CASCO URBANO Y RURAL DEL MUNICIPIO DE MACEO - ANTIOQUIA</v>
      </c>
      <c r="C119" s="136"/>
      <c r="D119" s="136"/>
      <c r="E119" s="136"/>
      <c r="F119" s="136"/>
      <c r="G119" s="136"/>
      <c r="H119" s="110"/>
    </row>
    <row r="120" spans="2:8" ht="15.75" customHeight="1" x14ac:dyDescent="0.3">
      <c r="B120" s="112" t="s">
        <v>381</v>
      </c>
      <c r="C120" s="112"/>
      <c r="D120" s="112"/>
      <c r="E120" s="112"/>
      <c r="F120" s="112"/>
      <c r="G120" s="112"/>
      <c r="H120" s="110"/>
    </row>
    <row r="121" spans="2:8" ht="24" customHeight="1" x14ac:dyDescent="0.3">
      <c r="B121" s="13" t="s">
        <v>382</v>
      </c>
      <c r="C121" s="112" t="s">
        <v>94</v>
      </c>
      <c r="D121" s="112"/>
      <c r="E121" s="112"/>
      <c r="F121" s="13" t="s">
        <v>383</v>
      </c>
      <c r="G121" s="13" t="s">
        <v>384</v>
      </c>
      <c r="H121" s="13" t="s">
        <v>385</v>
      </c>
    </row>
    <row r="122" spans="2:8" ht="31.5" customHeight="1" x14ac:dyDescent="0.3">
      <c r="B122" s="63" t="s">
        <v>426</v>
      </c>
      <c r="C122" s="140" t="s">
        <v>276</v>
      </c>
      <c r="D122" s="140"/>
      <c r="E122" s="140"/>
      <c r="F122" s="17" t="s">
        <v>277</v>
      </c>
      <c r="G122" s="41">
        <f>PRESUPUESTO!$E$126</f>
        <v>1</v>
      </c>
      <c r="H122" s="33">
        <f>H145</f>
        <v>439027.56411198626</v>
      </c>
    </row>
    <row r="123" spans="2:8" ht="15" customHeight="1" x14ac:dyDescent="0.3">
      <c r="B123" s="137" t="s">
        <v>427</v>
      </c>
      <c r="C123" s="137"/>
      <c r="D123" s="137"/>
      <c r="E123" s="137"/>
      <c r="F123" s="137"/>
      <c r="G123" s="137"/>
      <c r="H123" s="137"/>
    </row>
    <row r="124" spans="2:8" ht="15" customHeight="1" x14ac:dyDescent="0.3">
      <c r="B124" s="64" t="s">
        <v>388</v>
      </c>
    </row>
    <row r="125" spans="2:8" ht="15" customHeight="1" x14ac:dyDescent="0.3">
      <c r="B125" s="135" t="s">
        <v>389</v>
      </c>
      <c r="C125" s="135"/>
      <c r="D125" s="135"/>
      <c r="E125" s="135"/>
      <c r="F125" s="135"/>
      <c r="G125" s="135"/>
      <c r="H125" s="135"/>
    </row>
    <row r="126" spans="2:8" ht="24" customHeight="1" x14ac:dyDescent="0.3">
      <c r="B126" s="123" t="s">
        <v>94</v>
      </c>
      <c r="C126" s="123"/>
      <c r="D126" s="123"/>
      <c r="E126" s="31" t="s">
        <v>383</v>
      </c>
      <c r="F126" s="31" t="s">
        <v>364</v>
      </c>
      <c r="G126" s="31" t="s">
        <v>390</v>
      </c>
      <c r="H126" s="31" t="s">
        <v>391</v>
      </c>
    </row>
    <row r="127" spans="2:8" ht="15" customHeight="1" x14ac:dyDescent="0.3">
      <c r="B127" s="134" t="s">
        <v>392</v>
      </c>
      <c r="C127" s="134"/>
      <c r="D127" s="134"/>
      <c r="E127" s="17" t="s">
        <v>393</v>
      </c>
      <c r="F127" s="22">
        <f>EQUIPOS!$D$3</f>
        <v>0.05</v>
      </c>
      <c r="G127" s="65">
        <f>H143</f>
        <v>174069.10867808218</v>
      </c>
      <c r="H127" s="66">
        <f>F127*G127</f>
        <v>8703.4554339041097</v>
      </c>
    </row>
    <row r="128" spans="2:8" ht="15" customHeight="1" x14ac:dyDescent="0.3">
      <c r="G128" s="31" t="s">
        <v>394</v>
      </c>
      <c r="H128" s="67">
        <f>SUM(H127:H127)</f>
        <v>8703.4554339041097</v>
      </c>
    </row>
    <row r="129" spans="2:8" ht="15" customHeight="1" x14ac:dyDescent="0.3">
      <c r="B129" s="135" t="s">
        <v>395</v>
      </c>
      <c r="C129" s="135"/>
      <c r="D129" s="135"/>
      <c r="E129" s="135"/>
      <c r="F129" s="135"/>
      <c r="G129" s="135"/>
      <c r="H129" s="135"/>
    </row>
    <row r="130" spans="2:8" ht="15" customHeight="1" x14ac:dyDescent="0.3">
      <c r="B130" s="123" t="s">
        <v>94</v>
      </c>
      <c r="C130" s="123"/>
      <c r="D130" s="31" t="s">
        <v>383</v>
      </c>
      <c r="E130" s="31" t="s">
        <v>96</v>
      </c>
      <c r="F130" s="31" t="s">
        <v>396</v>
      </c>
      <c r="G130" s="31" t="s">
        <v>397</v>
      </c>
      <c r="H130" s="31" t="s">
        <v>391</v>
      </c>
    </row>
    <row r="131" spans="2:8" ht="15" customHeight="1" x14ac:dyDescent="0.3">
      <c r="B131" s="134" t="s">
        <v>428</v>
      </c>
      <c r="C131" s="134"/>
      <c r="D131" s="17" t="s">
        <v>399</v>
      </c>
      <c r="E131" s="68">
        <v>6</v>
      </c>
      <c r="F131" s="27">
        <v>0</v>
      </c>
      <c r="G131" s="32">
        <f>INSUMOS!$D$86</f>
        <v>25000</v>
      </c>
      <c r="H131" s="66">
        <f>E131*(1+F131)*G131</f>
        <v>150000</v>
      </c>
    </row>
    <row r="132" spans="2:8" ht="15" customHeight="1" x14ac:dyDescent="0.3">
      <c r="B132" s="134" t="s">
        <v>429</v>
      </c>
      <c r="C132" s="134"/>
      <c r="D132" s="17" t="s">
        <v>399</v>
      </c>
      <c r="E132" s="68">
        <v>4</v>
      </c>
      <c r="F132" s="27">
        <v>0</v>
      </c>
      <c r="G132" s="32">
        <f>INSUMOS!$D$11</f>
        <v>22000</v>
      </c>
      <c r="H132" s="66">
        <f>E132*(1+F132)*G132</f>
        <v>88000</v>
      </c>
    </row>
    <row r="133" spans="2:8" ht="15" customHeight="1" x14ac:dyDescent="0.3">
      <c r="B133" s="134" t="s">
        <v>402</v>
      </c>
      <c r="C133" s="134"/>
      <c r="D133" s="17" t="s">
        <v>403</v>
      </c>
      <c r="E133" s="68">
        <v>2</v>
      </c>
      <c r="F133" s="27">
        <v>0</v>
      </c>
      <c r="G133" s="32">
        <f>INSUMOS!$D$10</f>
        <v>6900</v>
      </c>
      <c r="H133" s="66">
        <f>E133*(1+F133)*G133</f>
        <v>13800</v>
      </c>
    </row>
    <row r="134" spans="2:8" ht="15" customHeight="1" x14ac:dyDescent="0.3">
      <c r="G134" s="31" t="s">
        <v>394</v>
      </c>
      <c r="H134" s="67">
        <f>SUM(H131:H133)</f>
        <v>251800</v>
      </c>
    </row>
    <row r="135" spans="2:8" ht="15" customHeight="1" x14ac:dyDescent="0.3">
      <c r="B135" s="135" t="s">
        <v>404</v>
      </c>
      <c r="C135" s="135"/>
      <c r="D135" s="135"/>
      <c r="E135" s="135"/>
      <c r="F135" s="135"/>
      <c r="G135" s="135"/>
      <c r="H135" s="135"/>
    </row>
    <row r="136" spans="2:8" ht="15" customHeight="1" x14ac:dyDescent="0.3">
      <c r="B136" s="123" t="s">
        <v>94</v>
      </c>
      <c r="C136" s="123"/>
      <c r="D136" s="31" t="s">
        <v>383</v>
      </c>
      <c r="E136" s="31" t="s">
        <v>96</v>
      </c>
      <c r="F136" s="31"/>
      <c r="G136" s="31" t="s">
        <v>364</v>
      </c>
      <c r="H136" s="31" t="s">
        <v>391</v>
      </c>
    </row>
    <row r="137" spans="2:8" ht="22.05" customHeight="1" x14ac:dyDescent="0.3">
      <c r="B137" s="134" t="s">
        <v>430</v>
      </c>
      <c r="C137" s="134"/>
      <c r="D137" s="17" t="s">
        <v>431</v>
      </c>
      <c r="E137" s="72">
        <f>0.15*'Datos Iniciales'!$B$26</f>
        <v>1.5</v>
      </c>
      <c r="F137" s="29"/>
      <c r="G137" s="32">
        <f>TRANSPORTE!$D$5</f>
        <v>2970</v>
      </c>
      <c r="H137" s="66">
        <f>E137*G137</f>
        <v>4455</v>
      </c>
    </row>
    <row r="138" spans="2:8" ht="15" customHeight="1" x14ac:dyDescent="0.3">
      <c r="G138" s="31" t="s">
        <v>394</v>
      </c>
      <c r="H138" s="67">
        <f>SUM(H137:H137)</f>
        <v>4455</v>
      </c>
    </row>
    <row r="139" spans="2:8" ht="15" customHeight="1" x14ac:dyDescent="0.3">
      <c r="B139" s="135" t="s">
        <v>406</v>
      </c>
      <c r="C139" s="135"/>
      <c r="D139" s="135"/>
      <c r="E139" s="135"/>
      <c r="F139" s="135"/>
      <c r="G139" s="135"/>
      <c r="H139" s="135"/>
    </row>
    <row r="140" spans="2:8" ht="24" customHeight="1" x14ac:dyDescent="0.3">
      <c r="B140" s="123" t="s">
        <v>407</v>
      </c>
      <c r="C140" s="123"/>
      <c r="D140" s="123"/>
      <c r="E140" s="31" t="s">
        <v>96</v>
      </c>
      <c r="F140" s="31" t="s">
        <v>408</v>
      </c>
      <c r="G140" s="31" t="s">
        <v>390</v>
      </c>
      <c r="H140" s="31" t="s">
        <v>391</v>
      </c>
    </row>
    <row r="141" spans="2:8" ht="15" customHeight="1" x14ac:dyDescent="0.3">
      <c r="B141" s="134" t="s">
        <v>409</v>
      </c>
      <c r="C141" s="134"/>
      <c r="D141" s="134"/>
      <c r="E141" s="69">
        <v>1</v>
      </c>
      <c r="F141" s="32">
        <f>'MANO DE OBRA'!$H$27</f>
        <v>226162.13017808215</v>
      </c>
      <c r="G141" s="68">
        <v>0.5</v>
      </c>
      <c r="H141" s="66">
        <f>E141*F141*G141</f>
        <v>113081.06508904108</v>
      </c>
    </row>
    <row r="142" spans="2:8" ht="15" customHeight="1" x14ac:dyDescent="0.3">
      <c r="B142" s="134" t="s">
        <v>410</v>
      </c>
      <c r="C142" s="134"/>
      <c r="D142" s="134"/>
      <c r="E142" s="69">
        <v>1</v>
      </c>
      <c r="F142" s="32">
        <f>'MANO DE OBRA'!$H$23</f>
        <v>121976.08717808221</v>
      </c>
      <c r="G142" s="68">
        <v>0.5</v>
      </c>
      <c r="H142" s="66">
        <f>E142*F142*G142</f>
        <v>60988.043589041103</v>
      </c>
    </row>
    <row r="143" spans="2:8" ht="15" customHeight="1" x14ac:dyDescent="0.3">
      <c r="G143" s="31" t="s">
        <v>394</v>
      </c>
      <c r="H143" s="67">
        <f>SUM(H141:H142)</f>
        <v>174069.10867808218</v>
      </c>
    </row>
    <row r="144" spans="2:8" ht="15" customHeight="1" x14ac:dyDescent="0.3"/>
    <row r="145" spans="2:8" ht="15" customHeight="1" x14ac:dyDescent="0.3">
      <c r="B145" s="115" t="s">
        <v>295</v>
      </c>
      <c r="C145" s="115"/>
      <c r="D145" s="115"/>
      <c r="E145" s="115"/>
      <c r="F145" s="115"/>
      <c r="G145" s="115"/>
      <c r="H145" s="70">
        <f>H128+H134+H138+H143</f>
        <v>439027.56411198626</v>
      </c>
    </row>
    <row r="146" spans="2:8" ht="15" customHeight="1" x14ac:dyDescent="0.3"/>
    <row r="147" spans="2:8" ht="15" customHeight="1" x14ac:dyDescent="0.3">
      <c r="B147" s="71" t="s">
        <v>411</v>
      </c>
    </row>
    <row r="148" spans="2:8" ht="15" customHeight="1" x14ac:dyDescent="0.3">
      <c r="B148" s="123" t="s">
        <v>94</v>
      </c>
      <c r="C148" s="123"/>
      <c r="D148" s="123"/>
      <c r="E148" s="123"/>
      <c r="F148" s="123"/>
      <c r="G148" s="31" t="s">
        <v>412</v>
      </c>
      <c r="H148" s="31" t="s">
        <v>4</v>
      </c>
    </row>
    <row r="149" spans="2:8" ht="15" customHeight="1" x14ac:dyDescent="0.3">
      <c r="B149" s="110" t="s">
        <v>73</v>
      </c>
      <c r="C149" s="110"/>
      <c r="D149" s="110"/>
      <c r="E149" s="110"/>
      <c r="F149" s="110"/>
      <c r="G149" s="22">
        <f>'Datos Iniciales'!$B$32</f>
        <v>0.28999999999999998</v>
      </c>
      <c r="H149" s="66">
        <f>H145*G149</f>
        <v>127317.99359247601</v>
      </c>
    </row>
    <row r="150" spans="2:8" ht="15" customHeight="1" x14ac:dyDescent="0.3">
      <c r="B150" s="110" t="s">
        <v>74</v>
      </c>
      <c r="C150" s="110"/>
      <c r="D150" s="110"/>
      <c r="E150" s="110"/>
      <c r="F150" s="110"/>
      <c r="G150" s="22">
        <f>'Datos Iniciales'!$B$33</f>
        <v>0.05</v>
      </c>
      <c r="H150" s="66">
        <f>H145*G150</f>
        <v>21951.378205599314</v>
      </c>
    </row>
    <row r="151" spans="2:8" ht="15" customHeight="1" x14ac:dyDescent="0.3">
      <c r="B151" s="138" t="s">
        <v>413</v>
      </c>
      <c r="C151" s="138"/>
      <c r="D151" s="138"/>
      <c r="E151" s="138"/>
      <c r="F151" s="138"/>
      <c r="G151" s="60">
        <f>G149+G150</f>
        <v>0.33999999999999997</v>
      </c>
      <c r="H151" s="67">
        <f>H149+H150</f>
        <v>149269.37179807533</v>
      </c>
    </row>
    <row r="152" spans="2:8" ht="15" customHeight="1" x14ac:dyDescent="0.3"/>
    <row r="153" spans="2:8" ht="15" customHeight="1" x14ac:dyDescent="0.3">
      <c r="B153" s="139" t="s">
        <v>414</v>
      </c>
      <c r="C153" s="139"/>
      <c r="D153" s="139"/>
      <c r="E153" s="139"/>
      <c r="F153" s="139"/>
      <c r="G153" s="139"/>
      <c r="H153" s="37">
        <f>ROUND(H145+H151,0)</f>
        <v>588297</v>
      </c>
    </row>
    <row r="154" spans="2:8" ht="15" customHeight="1" x14ac:dyDescent="0.3"/>
    <row r="155" spans="2:8" ht="15" customHeight="1" x14ac:dyDescent="0.3"/>
    <row r="156" spans="2:8" ht="15.75" customHeight="1" x14ac:dyDescent="0.3">
      <c r="B156" s="123" t="s">
        <v>0</v>
      </c>
      <c r="C156" s="123"/>
      <c r="D156" s="123"/>
      <c r="E156" s="123"/>
      <c r="F156" s="123"/>
      <c r="G156" s="123"/>
      <c r="H156" s="110"/>
    </row>
    <row r="157" spans="2:8" ht="15.75" customHeight="1" x14ac:dyDescent="0.3">
      <c r="B157" s="123" t="s">
        <v>1</v>
      </c>
      <c r="C157" s="123"/>
      <c r="D157" s="123"/>
      <c r="E157" s="123"/>
      <c r="F157" s="123"/>
      <c r="G157" s="123"/>
      <c r="H157" s="110"/>
    </row>
    <row r="158" spans="2:8" ht="24" customHeight="1" x14ac:dyDescent="0.3">
      <c r="B158" s="136" t="str">
        <f>'Datos Iniciales'!$B$8</f>
        <v>OBRA PÚBLICA PARA LA EJECUCIÓN DE DIFERENTES MEJORAMIENTOS DE VIVIENDA EN EL CASCO URBANO Y RURAL DEL MUNICIPIO DE MACEO - ANTIOQUIA</v>
      </c>
      <c r="C158" s="136"/>
      <c r="D158" s="136"/>
      <c r="E158" s="136"/>
      <c r="F158" s="136"/>
      <c r="G158" s="136"/>
      <c r="H158" s="110"/>
    </row>
    <row r="159" spans="2:8" ht="15.75" customHeight="1" x14ac:dyDescent="0.3">
      <c r="B159" s="112" t="s">
        <v>381</v>
      </c>
      <c r="C159" s="112"/>
      <c r="D159" s="112"/>
      <c r="E159" s="112"/>
      <c r="F159" s="112"/>
      <c r="G159" s="112"/>
      <c r="H159" s="110"/>
    </row>
    <row r="160" spans="2:8" ht="24" customHeight="1" x14ac:dyDescent="0.3">
      <c r="B160" s="13" t="s">
        <v>382</v>
      </c>
      <c r="C160" s="112" t="s">
        <v>94</v>
      </c>
      <c r="D160" s="112"/>
      <c r="E160" s="112"/>
      <c r="F160" s="13" t="s">
        <v>383</v>
      </c>
      <c r="G160" s="13" t="s">
        <v>384</v>
      </c>
      <c r="H160" s="13" t="s">
        <v>385</v>
      </c>
    </row>
    <row r="161" spans="2:8" ht="31.5" customHeight="1" x14ac:dyDescent="0.3">
      <c r="B161" s="63" t="s">
        <v>432</v>
      </c>
      <c r="C161" s="140" t="s">
        <v>212</v>
      </c>
      <c r="D161" s="140"/>
      <c r="E161" s="140"/>
      <c r="F161" s="17" t="s">
        <v>104</v>
      </c>
      <c r="G161" s="41">
        <f>PRESUPUESTO!$E$75</f>
        <v>1.5</v>
      </c>
      <c r="H161" s="33">
        <f>H183</f>
        <v>713432.73741458915</v>
      </c>
    </row>
    <row r="162" spans="2:8" ht="15" customHeight="1" x14ac:dyDescent="0.3">
      <c r="B162" s="137" t="s">
        <v>433</v>
      </c>
      <c r="C162" s="137"/>
      <c r="D162" s="137"/>
      <c r="E162" s="137"/>
      <c r="F162" s="137"/>
      <c r="G162" s="137"/>
      <c r="H162" s="137"/>
    </row>
    <row r="163" spans="2:8" ht="15" customHeight="1" x14ac:dyDescent="0.3">
      <c r="B163" s="64" t="s">
        <v>388</v>
      </c>
    </row>
    <row r="164" spans="2:8" ht="15" customHeight="1" x14ac:dyDescent="0.3">
      <c r="B164" s="135" t="s">
        <v>389</v>
      </c>
      <c r="C164" s="135"/>
      <c r="D164" s="135"/>
      <c r="E164" s="135"/>
      <c r="F164" s="135"/>
      <c r="G164" s="135"/>
      <c r="H164" s="135"/>
    </row>
    <row r="165" spans="2:8" ht="24" customHeight="1" x14ac:dyDescent="0.3">
      <c r="B165" s="123" t="s">
        <v>94</v>
      </c>
      <c r="C165" s="123"/>
      <c r="D165" s="123"/>
      <c r="E165" s="31" t="s">
        <v>383</v>
      </c>
      <c r="F165" s="31" t="s">
        <v>364</v>
      </c>
      <c r="G165" s="31" t="s">
        <v>390</v>
      </c>
      <c r="H165" s="31" t="s">
        <v>391</v>
      </c>
    </row>
    <row r="166" spans="2:8" ht="15" customHeight="1" x14ac:dyDescent="0.3">
      <c r="B166" s="134" t="s">
        <v>392</v>
      </c>
      <c r="C166" s="134"/>
      <c r="D166" s="134"/>
      <c r="E166" s="17" t="s">
        <v>393</v>
      </c>
      <c r="F166" s="22">
        <f>EQUIPOS!$D$3</f>
        <v>0.05</v>
      </c>
      <c r="G166" s="65">
        <f>H181</f>
        <v>118418.07834246576</v>
      </c>
      <c r="H166" s="66">
        <f>F166*G166</f>
        <v>5920.903917123288</v>
      </c>
    </row>
    <row r="167" spans="2:8" ht="15" customHeight="1" x14ac:dyDescent="0.3">
      <c r="B167" s="134" t="s">
        <v>434</v>
      </c>
      <c r="C167" s="134"/>
      <c r="D167" s="134"/>
      <c r="E167" s="17" t="s">
        <v>421</v>
      </c>
      <c r="F167" s="65">
        <f>EQUIPOS!$D$4</f>
        <v>53440</v>
      </c>
      <c r="G167" s="68">
        <v>0.2</v>
      </c>
      <c r="H167" s="66">
        <f>F167*G167</f>
        <v>10688</v>
      </c>
    </row>
    <row r="168" spans="2:8" ht="15" customHeight="1" x14ac:dyDescent="0.3">
      <c r="G168" s="31" t="s">
        <v>394</v>
      </c>
      <c r="H168" s="67">
        <f>SUM(H166:H167)</f>
        <v>16608.903917123287</v>
      </c>
    </row>
    <row r="169" spans="2:8" ht="15" customHeight="1" x14ac:dyDescent="0.3">
      <c r="B169" s="135" t="s">
        <v>395</v>
      </c>
      <c r="C169" s="135"/>
      <c r="D169" s="135"/>
      <c r="E169" s="135"/>
      <c r="F169" s="135"/>
      <c r="G169" s="135"/>
      <c r="H169" s="135"/>
    </row>
    <row r="170" spans="2:8" ht="15" customHeight="1" x14ac:dyDescent="0.3">
      <c r="B170" s="123" t="s">
        <v>94</v>
      </c>
      <c r="C170" s="123"/>
      <c r="D170" s="31" t="s">
        <v>383</v>
      </c>
      <c r="E170" s="31" t="s">
        <v>96</v>
      </c>
      <c r="F170" s="31" t="s">
        <v>396</v>
      </c>
      <c r="G170" s="31" t="s">
        <v>397</v>
      </c>
      <c r="H170" s="31" t="s">
        <v>391</v>
      </c>
    </row>
    <row r="171" spans="2:8" ht="15" customHeight="1" x14ac:dyDescent="0.3">
      <c r="B171" s="134" t="s">
        <v>435</v>
      </c>
      <c r="C171" s="134"/>
      <c r="D171" s="17" t="s">
        <v>423</v>
      </c>
      <c r="E171" s="68">
        <v>1</v>
      </c>
      <c r="F171" s="27">
        <v>0.05</v>
      </c>
      <c r="G171" s="32">
        <f>'CONCRETOS Y MORTEROS'!$D$3</f>
        <v>485805.48110000003</v>
      </c>
      <c r="H171" s="66">
        <f>E171*(1+F171)*G171</f>
        <v>510095.75515500008</v>
      </c>
    </row>
    <row r="172" spans="2:8" ht="15" customHeight="1" x14ac:dyDescent="0.3">
      <c r="G172" s="31" t="s">
        <v>394</v>
      </c>
      <c r="H172" s="67">
        <f>SUM(H171:H171)</f>
        <v>510095.75515500008</v>
      </c>
    </row>
    <row r="173" spans="2:8" ht="15" customHeight="1" x14ac:dyDescent="0.3">
      <c r="B173" s="135" t="s">
        <v>404</v>
      </c>
      <c r="C173" s="135"/>
      <c r="D173" s="135"/>
      <c r="E173" s="135"/>
      <c r="F173" s="135"/>
      <c r="G173" s="135"/>
      <c r="H173" s="135"/>
    </row>
    <row r="174" spans="2:8" ht="15" customHeight="1" x14ac:dyDescent="0.3">
      <c r="B174" s="123" t="s">
        <v>94</v>
      </c>
      <c r="C174" s="123"/>
      <c r="D174" s="31" t="s">
        <v>383</v>
      </c>
      <c r="E174" s="31" t="s">
        <v>96</v>
      </c>
      <c r="F174" s="31"/>
      <c r="G174" s="31" t="s">
        <v>364</v>
      </c>
      <c r="H174" s="31" t="s">
        <v>391</v>
      </c>
    </row>
    <row r="175" spans="2:8" ht="22.05" customHeight="1" x14ac:dyDescent="0.3">
      <c r="B175" s="134" t="s">
        <v>436</v>
      </c>
      <c r="C175" s="134"/>
      <c r="D175" s="17" t="s">
        <v>431</v>
      </c>
      <c r="E175" s="72">
        <f>2.3*'Datos Iniciales'!$B$26</f>
        <v>23</v>
      </c>
      <c r="F175" s="29"/>
      <c r="G175" s="32">
        <f>TRANSPORTE!$D$5</f>
        <v>2970</v>
      </c>
      <c r="H175" s="66">
        <f>E175*G175</f>
        <v>68310</v>
      </c>
    </row>
    <row r="176" spans="2:8" ht="15" customHeight="1" x14ac:dyDescent="0.3">
      <c r="G176" s="31" t="s">
        <v>394</v>
      </c>
      <c r="H176" s="67">
        <f>SUM(H175:H175)</f>
        <v>68310</v>
      </c>
    </row>
    <row r="177" spans="2:8" ht="15" customHeight="1" x14ac:dyDescent="0.3">
      <c r="B177" s="135" t="s">
        <v>406</v>
      </c>
      <c r="C177" s="135"/>
      <c r="D177" s="135"/>
      <c r="E177" s="135"/>
      <c r="F177" s="135"/>
      <c r="G177" s="135"/>
      <c r="H177" s="135"/>
    </row>
    <row r="178" spans="2:8" ht="24" customHeight="1" x14ac:dyDescent="0.3">
      <c r="B178" s="123" t="s">
        <v>407</v>
      </c>
      <c r="C178" s="123"/>
      <c r="D178" s="123"/>
      <c r="E178" s="31" t="s">
        <v>96</v>
      </c>
      <c r="F178" s="31" t="s">
        <v>408</v>
      </c>
      <c r="G178" s="31" t="s">
        <v>390</v>
      </c>
      <c r="H178" s="31" t="s">
        <v>391</v>
      </c>
    </row>
    <row r="179" spans="2:8" ht="15" customHeight="1" x14ac:dyDescent="0.3">
      <c r="B179" s="134" t="s">
        <v>409</v>
      </c>
      <c r="C179" s="134"/>
      <c r="D179" s="134"/>
      <c r="E179" s="69">
        <v>1</v>
      </c>
      <c r="F179" s="32">
        <f>'MANO DE OBRA'!$H$27</f>
        <v>226162.13017808215</v>
      </c>
      <c r="G179" s="68">
        <v>0.2</v>
      </c>
      <c r="H179" s="66">
        <f>E179*F179*G179</f>
        <v>45232.42603561643</v>
      </c>
    </row>
    <row r="180" spans="2:8" ht="15" customHeight="1" x14ac:dyDescent="0.3">
      <c r="B180" s="134" t="s">
        <v>410</v>
      </c>
      <c r="C180" s="134"/>
      <c r="D180" s="134"/>
      <c r="E180" s="69">
        <v>3</v>
      </c>
      <c r="F180" s="32">
        <f>'MANO DE OBRA'!$H$23</f>
        <v>121976.08717808221</v>
      </c>
      <c r="G180" s="68">
        <v>0.2</v>
      </c>
      <c r="H180" s="66">
        <f>E180*F180*G180</f>
        <v>73185.652306849326</v>
      </c>
    </row>
    <row r="181" spans="2:8" ht="15" customHeight="1" x14ac:dyDescent="0.3">
      <c r="G181" s="31" t="s">
        <v>394</v>
      </c>
      <c r="H181" s="67">
        <f>SUM(H179:H180)</f>
        <v>118418.07834246576</v>
      </c>
    </row>
    <row r="182" spans="2:8" ht="15" customHeight="1" x14ac:dyDescent="0.3"/>
    <row r="183" spans="2:8" ht="15" customHeight="1" x14ac:dyDescent="0.3">
      <c r="B183" s="115" t="s">
        <v>295</v>
      </c>
      <c r="C183" s="115"/>
      <c r="D183" s="115"/>
      <c r="E183" s="115"/>
      <c r="F183" s="115"/>
      <c r="G183" s="115"/>
      <c r="H183" s="70">
        <f>H168+H172+H176+H181</f>
        <v>713432.73741458915</v>
      </c>
    </row>
    <row r="184" spans="2:8" ht="15" customHeight="1" x14ac:dyDescent="0.3"/>
    <row r="185" spans="2:8" ht="15" customHeight="1" x14ac:dyDescent="0.3">
      <c r="B185" s="71" t="s">
        <v>411</v>
      </c>
    </row>
    <row r="186" spans="2:8" ht="15" customHeight="1" x14ac:dyDescent="0.3">
      <c r="B186" s="123" t="s">
        <v>94</v>
      </c>
      <c r="C186" s="123"/>
      <c r="D186" s="123"/>
      <c r="E186" s="123"/>
      <c r="F186" s="123"/>
      <c r="G186" s="31" t="s">
        <v>412</v>
      </c>
      <c r="H186" s="31" t="s">
        <v>4</v>
      </c>
    </row>
    <row r="187" spans="2:8" ht="15" customHeight="1" x14ac:dyDescent="0.3">
      <c r="B187" s="110" t="s">
        <v>73</v>
      </c>
      <c r="C187" s="110"/>
      <c r="D187" s="110"/>
      <c r="E187" s="110"/>
      <c r="F187" s="110"/>
      <c r="G187" s="22">
        <f>'Datos Iniciales'!$B$32</f>
        <v>0.28999999999999998</v>
      </c>
      <c r="H187" s="66">
        <f>H183*G187</f>
        <v>206895.49385023085</v>
      </c>
    </row>
    <row r="188" spans="2:8" ht="15" customHeight="1" x14ac:dyDescent="0.3">
      <c r="B188" s="110" t="s">
        <v>74</v>
      </c>
      <c r="C188" s="110"/>
      <c r="D188" s="110"/>
      <c r="E188" s="110"/>
      <c r="F188" s="110"/>
      <c r="G188" s="22">
        <f>'Datos Iniciales'!$B$33</f>
        <v>0.05</v>
      </c>
      <c r="H188" s="66">
        <f>H183*G188</f>
        <v>35671.63687072946</v>
      </c>
    </row>
    <row r="189" spans="2:8" ht="15" customHeight="1" x14ac:dyDescent="0.3">
      <c r="B189" s="138" t="s">
        <v>413</v>
      </c>
      <c r="C189" s="138"/>
      <c r="D189" s="138"/>
      <c r="E189" s="138"/>
      <c r="F189" s="138"/>
      <c r="G189" s="60">
        <f>G187+G188</f>
        <v>0.33999999999999997</v>
      </c>
      <c r="H189" s="67">
        <f>H187+H188</f>
        <v>242567.13072096033</v>
      </c>
    </row>
    <row r="190" spans="2:8" ht="15" customHeight="1" x14ac:dyDescent="0.3"/>
    <row r="191" spans="2:8" ht="15" customHeight="1" x14ac:dyDescent="0.3">
      <c r="B191" s="139" t="s">
        <v>414</v>
      </c>
      <c r="C191" s="139"/>
      <c r="D191" s="139"/>
      <c r="E191" s="139"/>
      <c r="F191" s="139"/>
      <c r="G191" s="139"/>
      <c r="H191" s="37">
        <f>ROUND(H183+H189,0)</f>
        <v>956000</v>
      </c>
    </row>
    <row r="192" spans="2:8" ht="15" customHeight="1" x14ac:dyDescent="0.3"/>
    <row r="193" spans="2:8" ht="15" customHeight="1" x14ac:dyDescent="0.3"/>
    <row r="194" spans="2:8" ht="15.75" customHeight="1" x14ac:dyDescent="0.3">
      <c r="B194" s="123" t="s">
        <v>0</v>
      </c>
      <c r="C194" s="123"/>
      <c r="D194" s="123"/>
      <c r="E194" s="123"/>
      <c r="F194" s="123"/>
      <c r="G194" s="123"/>
      <c r="H194" s="110"/>
    </row>
    <row r="195" spans="2:8" ht="15.75" customHeight="1" x14ac:dyDescent="0.3">
      <c r="B195" s="123" t="s">
        <v>1</v>
      </c>
      <c r="C195" s="123"/>
      <c r="D195" s="123"/>
      <c r="E195" s="123"/>
      <c r="F195" s="123"/>
      <c r="G195" s="123"/>
      <c r="H195" s="110"/>
    </row>
    <row r="196" spans="2:8" ht="24" customHeight="1" x14ac:dyDescent="0.3">
      <c r="B196" s="136" t="str">
        <f>'Datos Iniciales'!$B$8</f>
        <v>OBRA PÚBLICA PARA LA EJECUCIÓN DE DIFERENTES MEJORAMIENTOS DE VIVIENDA EN EL CASCO URBANO Y RURAL DEL MUNICIPIO DE MACEO - ANTIOQUIA</v>
      </c>
      <c r="C196" s="136"/>
      <c r="D196" s="136"/>
      <c r="E196" s="136"/>
      <c r="F196" s="136"/>
      <c r="G196" s="136"/>
      <c r="H196" s="110"/>
    </row>
    <row r="197" spans="2:8" ht="15.75" customHeight="1" x14ac:dyDescent="0.3">
      <c r="B197" s="112" t="s">
        <v>381</v>
      </c>
      <c r="C197" s="112"/>
      <c r="D197" s="112"/>
      <c r="E197" s="112"/>
      <c r="F197" s="112"/>
      <c r="G197" s="112"/>
      <c r="H197" s="110"/>
    </row>
    <row r="198" spans="2:8" ht="24" customHeight="1" x14ac:dyDescent="0.3">
      <c r="B198" s="13" t="s">
        <v>382</v>
      </c>
      <c r="C198" s="112" t="s">
        <v>94</v>
      </c>
      <c r="D198" s="112"/>
      <c r="E198" s="112"/>
      <c r="F198" s="13" t="s">
        <v>383</v>
      </c>
      <c r="G198" s="13" t="s">
        <v>384</v>
      </c>
      <c r="H198" s="13" t="s">
        <v>385</v>
      </c>
    </row>
    <row r="199" spans="2:8" ht="31.5" customHeight="1" x14ac:dyDescent="0.3">
      <c r="B199" s="63" t="s">
        <v>437</v>
      </c>
      <c r="C199" s="140" t="s">
        <v>106</v>
      </c>
      <c r="D199" s="140"/>
      <c r="E199" s="140"/>
      <c r="F199" s="17" t="s">
        <v>107</v>
      </c>
      <c r="G199" s="41">
        <f>PRESUPUESTO!$E$9+PRESUPUESTO!$E$36</f>
        <v>54.12</v>
      </c>
      <c r="H199" s="33">
        <f>H223</f>
        <v>79830.56487137673</v>
      </c>
    </row>
    <row r="200" spans="2:8" ht="15" customHeight="1" x14ac:dyDescent="0.3">
      <c r="B200" s="137" t="s">
        <v>438</v>
      </c>
      <c r="C200" s="137"/>
      <c r="D200" s="137"/>
      <c r="E200" s="137"/>
      <c r="F200" s="137"/>
      <c r="G200" s="137"/>
      <c r="H200" s="137"/>
    </row>
    <row r="201" spans="2:8" ht="15" customHeight="1" x14ac:dyDescent="0.3">
      <c r="B201" s="64" t="s">
        <v>388</v>
      </c>
    </row>
    <row r="202" spans="2:8" ht="15" customHeight="1" x14ac:dyDescent="0.3">
      <c r="B202" s="135" t="s">
        <v>389</v>
      </c>
      <c r="C202" s="135"/>
      <c r="D202" s="135"/>
      <c r="E202" s="135"/>
      <c r="F202" s="135"/>
      <c r="G202" s="135"/>
      <c r="H202" s="135"/>
    </row>
    <row r="203" spans="2:8" ht="24" customHeight="1" x14ac:dyDescent="0.3">
      <c r="B203" s="123" t="s">
        <v>94</v>
      </c>
      <c r="C203" s="123"/>
      <c r="D203" s="123"/>
      <c r="E203" s="31" t="s">
        <v>383</v>
      </c>
      <c r="F203" s="31" t="s">
        <v>364</v>
      </c>
      <c r="G203" s="31" t="s">
        <v>390</v>
      </c>
      <c r="H203" s="31" t="s">
        <v>391</v>
      </c>
    </row>
    <row r="204" spans="2:8" ht="15" customHeight="1" x14ac:dyDescent="0.3">
      <c r="B204" s="134" t="s">
        <v>392</v>
      </c>
      <c r="C204" s="134"/>
      <c r="D204" s="134"/>
      <c r="E204" s="17" t="s">
        <v>393</v>
      </c>
      <c r="F204" s="22">
        <f>EQUIPOS!$D$3</f>
        <v>0.05</v>
      </c>
      <c r="G204" s="65">
        <f>H221</f>
        <v>37609.144362739724</v>
      </c>
      <c r="H204" s="66">
        <f>F204*G204</f>
        <v>1880.4572181369863</v>
      </c>
    </row>
    <row r="205" spans="2:8" ht="15" customHeight="1" x14ac:dyDescent="0.3">
      <c r="B205" s="134" t="s">
        <v>434</v>
      </c>
      <c r="C205" s="134"/>
      <c r="D205" s="134"/>
      <c r="E205" s="17" t="s">
        <v>421</v>
      </c>
      <c r="F205" s="65">
        <f>EQUIPOS!$D$4</f>
        <v>53440</v>
      </c>
      <c r="G205" s="68">
        <v>0.01</v>
      </c>
      <c r="H205" s="66">
        <f>F205*G205</f>
        <v>534.4</v>
      </c>
    </row>
    <row r="206" spans="2:8" ht="15" customHeight="1" x14ac:dyDescent="0.3">
      <c r="B206" s="134" t="s">
        <v>439</v>
      </c>
      <c r="C206" s="134"/>
      <c r="D206" s="134"/>
      <c r="E206" s="17" t="s">
        <v>421</v>
      </c>
      <c r="F206" s="65">
        <f>EQUIPOS!$D$5</f>
        <v>45000</v>
      </c>
      <c r="G206" s="68">
        <v>0.01</v>
      </c>
      <c r="H206" s="66">
        <f>F206*G206</f>
        <v>450</v>
      </c>
    </row>
    <row r="207" spans="2:8" ht="15" customHeight="1" x14ac:dyDescent="0.3">
      <c r="G207" s="31" t="s">
        <v>394</v>
      </c>
      <c r="H207" s="67">
        <f>SUM(H204:H206)</f>
        <v>2864.8572181369864</v>
      </c>
    </row>
    <row r="208" spans="2:8" ht="15" customHeight="1" x14ac:dyDescent="0.3">
      <c r="B208" s="135" t="s">
        <v>395</v>
      </c>
      <c r="C208" s="135"/>
      <c r="D208" s="135"/>
      <c r="E208" s="135"/>
      <c r="F208" s="135"/>
      <c r="G208" s="135"/>
      <c r="H208" s="135"/>
    </row>
    <row r="209" spans="2:8" ht="15" customHeight="1" x14ac:dyDescent="0.3">
      <c r="B209" s="123" t="s">
        <v>94</v>
      </c>
      <c r="C209" s="123"/>
      <c r="D209" s="31" t="s">
        <v>383</v>
      </c>
      <c r="E209" s="31" t="s">
        <v>96</v>
      </c>
      <c r="F209" s="31" t="s">
        <v>396</v>
      </c>
      <c r="G209" s="31" t="s">
        <v>397</v>
      </c>
      <c r="H209" s="31" t="s">
        <v>391</v>
      </c>
    </row>
    <row r="210" spans="2:8" ht="15" customHeight="1" x14ac:dyDescent="0.3">
      <c r="B210" s="134" t="s">
        <v>440</v>
      </c>
      <c r="C210" s="134"/>
      <c r="D210" s="17" t="s">
        <v>423</v>
      </c>
      <c r="E210" s="68">
        <v>0.05</v>
      </c>
      <c r="F210" s="27">
        <v>0.05</v>
      </c>
      <c r="G210" s="32">
        <f>'CONCRETOS Y MORTEROS'!$D$5</f>
        <v>546867.8722000001</v>
      </c>
      <c r="H210" s="66">
        <f>E210*(1+F210)*G210</f>
        <v>28710.563290500009</v>
      </c>
    </row>
    <row r="211" spans="2:8" ht="15" customHeight="1" x14ac:dyDescent="0.3">
      <c r="B211" s="134" t="s">
        <v>441</v>
      </c>
      <c r="C211" s="134"/>
      <c r="D211" s="17" t="s">
        <v>442</v>
      </c>
      <c r="E211" s="68">
        <v>0.4</v>
      </c>
      <c r="F211" s="27">
        <v>0</v>
      </c>
      <c r="G211" s="32">
        <f>'CONCRETOS Y MORTEROS'!$D$7</f>
        <v>17705</v>
      </c>
      <c r="H211" s="66">
        <f>E211*(1+F211)*G211</f>
        <v>7082</v>
      </c>
    </row>
    <row r="212" spans="2:8" ht="15" customHeight="1" x14ac:dyDescent="0.3">
      <c r="G212" s="31" t="s">
        <v>394</v>
      </c>
      <c r="H212" s="67">
        <f>SUM(H210:H211)</f>
        <v>35792.563290500009</v>
      </c>
    </row>
    <row r="213" spans="2:8" ht="15" customHeight="1" x14ac:dyDescent="0.3">
      <c r="B213" s="135" t="s">
        <v>404</v>
      </c>
      <c r="C213" s="135"/>
      <c r="D213" s="135"/>
      <c r="E213" s="135"/>
      <c r="F213" s="135"/>
      <c r="G213" s="135"/>
      <c r="H213" s="135"/>
    </row>
    <row r="214" spans="2:8" ht="15" customHeight="1" x14ac:dyDescent="0.3">
      <c r="B214" s="123" t="s">
        <v>94</v>
      </c>
      <c r="C214" s="123"/>
      <c r="D214" s="31" t="s">
        <v>383</v>
      </c>
      <c r="E214" s="31" t="s">
        <v>96</v>
      </c>
      <c r="F214" s="31"/>
      <c r="G214" s="31" t="s">
        <v>364</v>
      </c>
      <c r="H214" s="31" t="s">
        <v>391</v>
      </c>
    </row>
    <row r="215" spans="2:8" ht="22.05" customHeight="1" x14ac:dyDescent="0.3">
      <c r="B215" s="134" t="s">
        <v>443</v>
      </c>
      <c r="C215" s="134"/>
      <c r="D215" s="17" t="s">
        <v>431</v>
      </c>
      <c r="E215" s="72">
        <f>0.12*'Datos Iniciales'!$B$26</f>
        <v>1.2</v>
      </c>
      <c r="F215" s="29"/>
      <c r="G215" s="32">
        <f>TRANSPORTE!$D$5</f>
        <v>2970</v>
      </c>
      <c r="H215" s="66">
        <f>E215*G215</f>
        <v>3564</v>
      </c>
    </row>
    <row r="216" spans="2:8" ht="15" customHeight="1" x14ac:dyDescent="0.3">
      <c r="G216" s="31" t="s">
        <v>394</v>
      </c>
      <c r="H216" s="67">
        <f>SUM(H215:H215)</f>
        <v>3564</v>
      </c>
    </row>
    <row r="217" spans="2:8" ht="15" customHeight="1" x14ac:dyDescent="0.3">
      <c r="B217" s="135" t="s">
        <v>406</v>
      </c>
      <c r="C217" s="135"/>
      <c r="D217" s="135"/>
      <c r="E217" s="135"/>
      <c r="F217" s="135"/>
      <c r="G217" s="135"/>
      <c r="H217" s="135"/>
    </row>
    <row r="218" spans="2:8" ht="24" customHeight="1" x14ac:dyDescent="0.3">
      <c r="B218" s="123" t="s">
        <v>407</v>
      </c>
      <c r="C218" s="123"/>
      <c r="D218" s="123"/>
      <c r="E218" s="31" t="s">
        <v>96</v>
      </c>
      <c r="F218" s="31" t="s">
        <v>408</v>
      </c>
      <c r="G218" s="31" t="s">
        <v>390</v>
      </c>
      <c r="H218" s="31" t="s">
        <v>391</v>
      </c>
    </row>
    <row r="219" spans="2:8" ht="15" customHeight="1" x14ac:dyDescent="0.3">
      <c r="B219" s="134" t="s">
        <v>409</v>
      </c>
      <c r="C219" s="134"/>
      <c r="D219" s="134"/>
      <c r="E219" s="69">
        <v>1</v>
      </c>
      <c r="F219" s="32">
        <f>'MANO DE OBRA'!$H$27</f>
        <v>226162.13017808215</v>
      </c>
      <c r="G219" s="68">
        <v>0.08</v>
      </c>
      <c r="H219" s="66">
        <f>E219*F219*G219</f>
        <v>18092.970414246574</v>
      </c>
    </row>
    <row r="220" spans="2:8" ht="15" customHeight="1" x14ac:dyDescent="0.3">
      <c r="B220" s="134" t="s">
        <v>410</v>
      </c>
      <c r="C220" s="134"/>
      <c r="D220" s="134"/>
      <c r="E220" s="69">
        <v>2</v>
      </c>
      <c r="F220" s="32">
        <f>'MANO DE OBRA'!$H$23</f>
        <v>121976.08717808221</v>
      </c>
      <c r="G220" s="68">
        <v>0.08</v>
      </c>
      <c r="H220" s="66">
        <f>E220*F220*G220</f>
        <v>19516.173948493153</v>
      </c>
    </row>
    <row r="221" spans="2:8" ht="15" customHeight="1" x14ac:dyDescent="0.3">
      <c r="G221" s="31" t="s">
        <v>394</v>
      </c>
      <c r="H221" s="67">
        <f>SUM(H219:H220)</f>
        <v>37609.144362739724</v>
      </c>
    </row>
    <row r="222" spans="2:8" ht="15" customHeight="1" x14ac:dyDescent="0.3"/>
    <row r="223" spans="2:8" ht="15" customHeight="1" x14ac:dyDescent="0.3">
      <c r="B223" s="115" t="s">
        <v>295</v>
      </c>
      <c r="C223" s="115"/>
      <c r="D223" s="115"/>
      <c r="E223" s="115"/>
      <c r="F223" s="115"/>
      <c r="G223" s="115"/>
      <c r="H223" s="70">
        <f>H207+H212+H216+H221</f>
        <v>79830.56487137673</v>
      </c>
    </row>
    <row r="224" spans="2:8" ht="15" customHeight="1" x14ac:dyDescent="0.3"/>
    <row r="225" spans="2:8" ht="15" customHeight="1" x14ac:dyDescent="0.3">
      <c r="B225" s="71" t="s">
        <v>411</v>
      </c>
    </row>
    <row r="226" spans="2:8" ht="15" customHeight="1" x14ac:dyDescent="0.3">
      <c r="B226" s="123" t="s">
        <v>94</v>
      </c>
      <c r="C226" s="123"/>
      <c r="D226" s="123"/>
      <c r="E226" s="123"/>
      <c r="F226" s="123"/>
      <c r="G226" s="31" t="s">
        <v>412</v>
      </c>
      <c r="H226" s="31" t="s">
        <v>4</v>
      </c>
    </row>
    <row r="227" spans="2:8" ht="15" customHeight="1" x14ac:dyDescent="0.3">
      <c r="B227" s="110" t="s">
        <v>73</v>
      </c>
      <c r="C227" s="110"/>
      <c r="D227" s="110"/>
      <c r="E227" s="110"/>
      <c r="F227" s="110"/>
      <c r="G227" s="22">
        <f>'Datos Iniciales'!$B$32</f>
        <v>0.28999999999999998</v>
      </c>
      <c r="H227" s="66">
        <f>H223*G227</f>
        <v>23150.863812699248</v>
      </c>
    </row>
    <row r="228" spans="2:8" ht="15" customHeight="1" x14ac:dyDescent="0.3">
      <c r="B228" s="110" t="s">
        <v>74</v>
      </c>
      <c r="C228" s="110"/>
      <c r="D228" s="110"/>
      <c r="E228" s="110"/>
      <c r="F228" s="110"/>
      <c r="G228" s="22">
        <f>'Datos Iniciales'!$B$33</f>
        <v>0.05</v>
      </c>
      <c r="H228" s="66">
        <f>H223*G228</f>
        <v>3991.5282435688368</v>
      </c>
    </row>
    <row r="229" spans="2:8" ht="15" customHeight="1" x14ac:dyDescent="0.3">
      <c r="B229" s="138" t="s">
        <v>413</v>
      </c>
      <c r="C229" s="138"/>
      <c r="D229" s="138"/>
      <c r="E229" s="138"/>
      <c r="F229" s="138"/>
      <c r="G229" s="60">
        <f>G227+G228</f>
        <v>0.33999999999999997</v>
      </c>
      <c r="H229" s="67">
        <f>H227+H228</f>
        <v>27142.392056268087</v>
      </c>
    </row>
    <row r="230" spans="2:8" ht="15" customHeight="1" x14ac:dyDescent="0.3"/>
    <row r="231" spans="2:8" ht="15" customHeight="1" x14ac:dyDescent="0.3">
      <c r="B231" s="139" t="s">
        <v>414</v>
      </c>
      <c r="C231" s="139"/>
      <c r="D231" s="139"/>
      <c r="E231" s="139"/>
      <c r="F231" s="139"/>
      <c r="G231" s="139"/>
      <c r="H231" s="37">
        <f>ROUND(H223+H229,0)</f>
        <v>106973</v>
      </c>
    </row>
    <row r="232" spans="2:8" ht="15" customHeight="1" x14ac:dyDescent="0.3"/>
    <row r="233" spans="2:8" ht="15" customHeight="1" x14ac:dyDescent="0.3"/>
    <row r="234" spans="2:8" ht="15.75" customHeight="1" x14ac:dyDescent="0.3">
      <c r="B234" s="123" t="s">
        <v>0</v>
      </c>
      <c r="C234" s="123"/>
      <c r="D234" s="123"/>
      <c r="E234" s="123"/>
      <c r="F234" s="123"/>
      <c r="G234" s="123"/>
      <c r="H234" s="110"/>
    </row>
    <row r="235" spans="2:8" ht="15.75" customHeight="1" x14ac:dyDescent="0.3">
      <c r="B235" s="123" t="s">
        <v>1</v>
      </c>
      <c r="C235" s="123"/>
      <c r="D235" s="123"/>
      <c r="E235" s="123"/>
      <c r="F235" s="123"/>
      <c r="G235" s="123"/>
      <c r="H235" s="110"/>
    </row>
    <row r="236" spans="2:8" ht="24" customHeight="1" x14ac:dyDescent="0.3">
      <c r="B236" s="136" t="str">
        <f>'Datos Iniciales'!$B$8</f>
        <v>OBRA PÚBLICA PARA LA EJECUCIÓN DE DIFERENTES MEJORAMIENTOS DE VIVIENDA EN EL CASCO URBANO Y RURAL DEL MUNICIPIO DE MACEO - ANTIOQUIA</v>
      </c>
      <c r="C236" s="136"/>
      <c r="D236" s="136"/>
      <c r="E236" s="136"/>
      <c r="F236" s="136"/>
      <c r="G236" s="136"/>
      <c r="H236" s="110"/>
    </row>
    <row r="237" spans="2:8" ht="15.75" customHeight="1" x14ac:dyDescent="0.3">
      <c r="B237" s="112" t="s">
        <v>381</v>
      </c>
      <c r="C237" s="112"/>
      <c r="D237" s="112"/>
      <c r="E237" s="112"/>
      <c r="F237" s="112"/>
      <c r="G237" s="112"/>
      <c r="H237" s="110"/>
    </row>
    <row r="238" spans="2:8" ht="24" customHeight="1" x14ac:dyDescent="0.3">
      <c r="B238" s="13" t="s">
        <v>382</v>
      </c>
      <c r="C238" s="112" t="s">
        <v>94</v>
      </c>
      <c r="D238" s="112"/>
      <c r="E238" s="112"/>
      <c r="F238" s="13" t="s">
        <v>383</v>
      </c>
      <c r="G238" s="13" t="s">
        <v>384</v>
      </c>
      <c r="H238" s="13" t="s">
        <v>385</v>
      </c>
    </row>
    <row r="239" spans="2:8" ht="31.5" customHeight="1" x14ac:dyDescent="0.3">
      <c r="B239" s="63" t="s">
        <v>444</v>
      </c>
      <c r="C239" s="140" t="s">
        <v>229</v>
      </c>
      <c r="D239" s="140"/>
      <c r="E239" s="140"/>
      <c r="F239" s="17" t="s">
        <v>107</v>
      </c>
      <c r="G239" s="41">
        <f>PRESUPUESTO!$E$86</f>
        <v>20.5</v>
      </c>
      <c r="H239" s="33">
        <f>H263</f>
        <v>119672.9358989959</v>
      </c>
    </row>
    <row r="240" spans="2:8" ht="15" customHeight="1" x14ac:dyDescent="0.3">
      <c r="B240" s="137" t="s">
        <v>445</v>
      </c>
      <c r="C240" s="137"/>
      <c r="D240" s="137"/>
      <c r="E240" s="137"/>
      <c r="F240" s="137"/>
      <c r="G240" s="137"/>
      <c r="H240" s="137"/>
    </row>
    <row r="241" spans="2:8" ht="15" customHeight="1" x14ac:dyDescent="0.3">
      <c r="B241" s="64" t="s">
        <v>388</v>
      </c>
    </row>
    <row r="242" spans="2:8" ht="15" customHeight="1" x14ac:dyDescent="0.3">
      <c r="B242" s="135" t="s">
        <v>389</v>
      </c>
      <c r="C242" s="135"/>
      <c r="D242" s="135"/>
      <c r="E242" s="135"/>
      <c r="F242" s="135"/>
      <c r="G242" s="135"/>
      <c r="H242" s="135"/>
    </row>
    <row r="243" spans="2:8" ht="24" customHeight="1" x14ac:dyDescent="0.3">
      <c r="B243" s="123" t="s">
        <v>94</v>
      </c>
      <c r="C243" s="123"/>
      <c r="D243" s="123"/>
      <c r="E243" s="31" t="s">
        <v>383</v>
      </c>
      <c r="F243" s="31" t="s">
        <v>364</v>
      </c>
      <c r="G243" s="31" t="s">
        <v>390</v>
      </c>
      <c r="H243" s="31" t="s">
        <v>391</v>
      </c>
    </row>
    <row r="244" spans="2:8" ht="15" customHeight="1" x14ac:dyDescent="0.3">
      <c r="B244" s="134" t="s">
        <v>392</v>
      </c>
      <c r="C244" s="134"/>
      <c r="D244" s="134"/>
      <c r="E244" s="17" t="s">
        <v>393</v>
      </c>
      <c r="F244" s="22">
        <f>EQUIPOS!$D$3</f>
        <v>0.05</v>
      </c>
      <c r="G244" s="65">
        <f>H261</f>
        <v>47011.430453424662</v>
      </c>
      <c r="H244" s="66">
        <f>F244*G244</f>
        <v>2350.5715226712332</v>
      </c>
    </row>
    <row r="245" spans="2:8" ht="15" customHeight="1" x14ac:dyDescent="0.3">
      <c r="B245" s="134" t="s">
        <v>434</v>
      </c>
      <c r="C245" s="134"/>
      <c r="D245" s="134"/>
      <c r="E245" s="17" t="s">
        <v>421</v>
      </c>
      <c r="F245" s="65">
        <f>EQUIPOS!$D$4</f>
        <v>53440</v>
      </c>
      <c r="G245" s="68">
        <v>1.7999999999999999E-2</v>
      </c>
      <c r="H245" s="66">
        <f>F245*G245</f>
        <v>961.92</v>
      </c>
    </row>
    <row r="246" spans="2:8" ht="15" customHeight="1" x14ac:dyDescent="0.3">
      <c r="B246" s="134" t="s">
        <v>439</v>
      </c>
      <c r="C246" s="134"/>
      <c r="D246" s="134"/>
      <c r="E246" s="17" t="s">
        <v>421</v>
      </c>
      <c r="F246" s="65">
        <f>EQUIPOS!$D$5</f>
        <v>45000</v>
      </c>
      <c r="G246" s="68">
        <v>1.7999999999999999E-2</v>
      </c>
      <c r="H246" s="66">
        <f>F246*G246</f>
        <v>809.99999999999989</v>
      </c>
    </row>
    <row r="247" spans="2:8" ht="15" customHeight="1" x14ac:dyDescent="0.3">
      <c r="G247" s="31" t="s">
        <v>394</v>
      </c>
      <c r="H247" s="67">
        <f>SUM(H244:H246)</f>
        <v>4122.4915226712328</v>
      </c>
    </row>
    <row r="248" spans="2:8" ht="15" customHeight="1" x14ac:dyDescent="0.3">
      <c r="B248" s="135" t="s">
        <v>395</v>
      </c>
      <c r="C248" s="135"/>
      <c r="D248" s="135"/>
      <c r="E248" s="135"/>
      <c r="F248" s="135"/>
      <c r="G248" s="135"/>
      <c r="H248" s="135"/>
    </row>
    <row r="249" spans="2:8" ht="15" customHeight="1" x14ac:dyDescent="0.3">
      <c r="B249" s="123" t="s">
        <v>94</v>
      </c>
      <c r="C249" s="123"/>
      <c r="D249" s="31" t="s">
        <v>383</v>
      </c>
      <c r="E249" s="31" t="s">
        <v>96</v>
      </c>
      <c r="F249" s="31" t="s">
        <v>396</v>
      </c>
      <c r="G249" s="31" t="s">
        <v>397</v>
      </c>
      <c r="H249" s="31" t="s">
        <v>391</v>
      </c>
    </row>
    <row r="250" spans="2:8" ht="15" customHeight="1" x14ac:dyDescent="0.3">
      <c r="B250" s="134" t="s">
        <v>440</v>
      </c>
      <c r="C250" s="134"/>
      <c r="D250" s="17" t="s">
        <v>423</v>
      </c>
      <c r="E250" s="68">
        <v>0.09</v>
      </c>
      <c r="F250" s="27">
        <v>0.05</v>
      </c>
      <c r="G250" s="32">
        <f>'CONCRETOS Y MORTEROS'!$D$5</f>
        <v>546867.8722000001</v>
      </c>
      <c r="H250" s="66">
        <f>E250*(1+F250)*G250</f>
        <v>51679.013922900012</v>
      </c>
    </row>
    <row r="251" spans="2:8" ht="15" customHeight="1" x14ac:dyDescent="0.3">
      <c r="B251" s="134" t="s">
        <v>441</v>
      </c>
      <c r="C251" s="134"/>
      <c r="D251" s="17" t="s">
        <v>442</v>
      </c>
      <c r="E251" s="68">
        <v>0.6</v>
      </c>
      <c r="F251" s="27">
        <v>0</v>
      </c>
      <c r="G251" s="32">
        <f>'CONCRETOS Y MORTEROS'!$D$7</f>
        <v>17705</v>
      </c>
      <c r="H251" s="66">
        <f>E251*(1+F251)*G251</f>
        <v>10623</v>
      </c>
    </row>
    <row r="252" spans="2:8" ht="15" customHeight="1" x14ac:dyDescent="0.3">
      <c r="G252" s="31" t="s">
        <v>394</v>
      </c>
      <c r="H252" s="67">
        <f>SUM(H250:H251)</f>
        <v>62302.013922900012</v>
      </c>
    </row>
    <row r="253" spans="2:8" ht="15" customHeight="1" x14ac:dyDescent="0.3">
      <c r="B253" s="135" t="s">
        <v>404</v>
      </c>
      <c r="C253" s="135"/>
      <c r="D253" s="135"/>
      <c r="E253" s="135"/>
      <c r="F253" s="135"/>
      <c r="G253" s="135"/>
      <c r="H253" s="135"/>
    </row>
    <row r="254" spans="2:8" ht="15" customHeight="1" x14ac:dyDescent="0.3">
      <c r="B254" s="123" t="s">
        <v>94</v>
      </c>
      <c r="C254" s="123"/>
      <c r="D254" s="31" t="s">
        <v>383</v>
      </c>
      <c r="E254" s="31" t="s">
        <v>96</v>
      </c>
      <c r="F254" s="31"/>
      <c r="G254" s="31" t="s">
        <v>364</v>
      </c>
      <c r="H254" s="31" t="s">
        <v>391</v>
      </c>
    </row>
    <row r="255" spans="2:8" ht="22.05" customHeight="1" x14ac:dyDescent="0.3">
      <c r="B255" s="134" t="s">
        <v>446</v>
      </c>
      <c r="C255" s="134"/>
      <c r="D255" s="17" t="s">
        <v>431</v>
      </c>
      <c r="E255" s="72">
        <f>0.21*'Datos Iniciales'!$B$26</f>
        <v>2.1</v>
      </c>
      <c r="F255" s="29"/>
      <c r="G255" s="32">
        <f>TRANSPORTE!$D$5</f>
        <v>2970</v>
      </c>
      <c r="H255" s="66">
        <f>E255*G255</f>
        <v>6237</v>
      </c>
    </row>
    <row r="256" spans="2:8" ht="15" customHeight="1" x14ac:dyDescent="0.3">
      <c r="G256" s="31" t="s">
        <v>394</v>
      </c>
      <c r="H256" s="67">
        <f>SUM(H255:H255)</f>
        <v>6237</v>
      </c>
    </row>
    <row r="257" spans="2:8" ht="15" customHeight="1" x14ac:dyDescent="0.3">
      <c r="B257" s="135" t="s">
        <v>406</v>
      </c>
      <c r="C257" s="135"/>
      <c r="D257" s="135"/>
      <c r="E257" s="135"/>
      <c r="F257" s="135"/>
      <c r="G257" s="135"/>
      <c r="H257" s="135"/>
    </row>
    <row r="258" spans="2:8" ht="24" customHeight="1" x14ac:dyDescent="0.3">
      <c r="B258" s="123" t="s">
        <v>407</v>
      </c>
      <c r="C258" s="123"/>
      <c r="D258" s="123"/>
      <c r="E258" s="31" t="s">
        <v>96</v>
      </c>
      <c r="F258" s="31" t="s">
        <v>408</v>
      </c>
      <c r="G258" s="31" t="s">
        <v>390</v>
      </c>
      <c r="H258" s="31" t="s">
        <v>391</v>
      </c>
    </row>
    <row r="259" spans="2:8" ht="15" customHeight="1" x14ac:dyDescent="0.3">
      <c r="B259" s="134" t="s">
        <v>409</v>
      </c>
      <c r="C259" s="134"/>
      <c r="D259" s="134"/>
      <c r="E259" s="69">
        <v>1</v>
      </c>
      <c r="F259" s="32">
        <f>'MANO DE OBRA'!$H$27</f>
        <v>226162.13017808215</v>
      </c>
      <c r="G259" s="68">
        <v>0.1</v>
      </c>
      <c r="H259" s="66">
        <f>E259*F259*G259</f>
        <v>22616.213017808215</v>
      </c>
    </row>
    <row r="260" spans="2:8" ht="15" customHeight="1" x14ac:dyDescent="0.3">
      <c r="B260" s="134" t="s">
        <v>410</v>
      </c>
      <c r="C260" s="134"/>
      <c r="D260" s="134"/>
      <c r="E260" s="69">
        <v>2</v>
      </c>
      <c r="F260" s="32">
        <f>'MANO DE OBRA'!$H$23</f>
        <v>121976.08717808221</v>
      </c>
      <c r="G260" s="68">
        <v>0.1</v>
      </c>
      <c r="H260" s="66">
        <f>E260*F260*G260</f>
        <v>24395.217435616443</v>
      </c>
    </row>
    <row r="261" spans="2:8" ht="15" customHeight="1" x14ac:dyDescent="0.3">
      <c r="G261" s="31" t="s">
        <v>394</v>
      </c>
      <c r="H261" s="67">
        <f>SUM(H259:H260)</f>
        <v>47011.430453424662</v>
      </c>
    </row>
    <row r="262" spans="2:8" ht="15" customHeight="1" x14ac:dyDescent="0.3"/>
    <row r="263" spans="2:8" ht="15" customHeight="1" x14ac:dyDescent="0.3">
      <c r="B263" s="115" t="s">
        <v>295</v>
      </c>
      <c r="C263" s="115"/>
      <c r="D263" s="115"/>
      <c r="E263" s="115"/>
      <c r="F263" s="115"/>
      <c r="G263" s="115"/>
      <c r="H263" s="70">
        <f>H247+H252+H256+H261</f>
        <v>119672.9358989959</v>
      </c>
    </row>
    <row r="264" spans="2:8" ht="15" customHeight="1" x14ac:dyDescent="0.3"/>
    <row r="265" spans="2:8" ht="15" customHeight="1" x14ac:dyDescent="0.3">
      <c r="B265" s="71" t="s">
        <v>411</v>
      </c>
    </row>
    <row r="266" spans="2:8" ht="15" customHeight="1" x14ac:dyDescent="0.3">
      <c r="B266" s="123" t="s">
        <v>94</v>
      </c>
      <c r="C266" s="123"/>
      <c r="D266" s="123"/>
      <c r="E266" s="123"/>
      <c r="F266" s="123"/>
      <c r="G266" s="31" t="s">
        <v>412</v>
      </c>
      <c r="H266" s="31" t="s">
        <v>4</v>
      </c>
    </row>
    <row r="267" spans="2:8" ht="15" customHeight="1" x14ac:dyDescent="0.3">
      <c r="B267" s="110" t="s">
        <v>73</v>
      </c>
      <c r="C267" s="110"/>
      <c r="D267" s="110"/>
      <c r="E267" s="110"/>
      <c r="F267" s="110"/>
      <c r="G267" s="22">
        <f>'Datos Iniciales'!$B$32</f>
        <v>0.28999999999999998</v>
      </c>
      <c r="H267" s="66">
        <f>H263*G267</f>
        <v>34705.151410708808</v>
      </c>
    </row>
    <row r="268" spans="2:8" ht="15" customHeight="1" x14ac:dyDescent="0.3">
      <c r="B268" s="110" t="s">
        <v>74</v>
      </c>
      <c r="C268" s="110"/>
      <c r="D268" s="110"/>
      <c r="E268" s="110"/>
      <c r="F268" s="110"/>
      <c r="G268" s="22">
        <f>'Datos Iniciales'!$B$33</f>
        <v>0.05</v>
      </c>
      <c r="H268" s="66">
        <f>H263*G268</f>
        <v>5983.6467949497955</v>
      </c>
    </row>
    <row r="269" spans="2:8" ht="15" customHeight="1" x14ac:dyDescent="0.3">
      <c r="B269" s="138" t="s">
        <v>413</v>
      </c>
      <c r="C269" s="138"/>
      <c r="D269" s="138"/>
      <c r="E269" s="138"/>
      <c r="F269" s="138"/>
      <c r="G269" s="60">
        <f>G267+G268</f>
        <v>0.33999999999999997</v>
      </c>
      <c r="H269" s="67">
        <f>H267+H268</f>
        <v>40688.798205658604</v>
      </c>
    </row>
    <row r="270" spans="2:8" ht="15" customHeight="1" x14ac:dyDescent="0.3"/>
    <row r="271" spans="2:8" ht="15" customHeight="1" x14ac:dyDescent="0.3">
      <c r="B271" s="139" t="s">
        <v>414</v>
      </c>
      <c r="C271" s="139"/>
      <c r="D271" s="139"/>
      <c r="E271" s="139"/>
      <c r="F271" s="139"/>
      <c r="G271" s="139"/>
      <c r="H271" s="37">
        <f>ROUND(H263+H269,0)</f>
        <v>160362</v>
      </c>
    </row>
    <row r="272" spans="2:8" ht="15" customHeight="1" x14ac:dyDescent="0.3"/>
    <row r="273" spans="2:8" ht="15" customHeight="1" x14ac:dyDescent="0.3"/>
    <row r="274" spans="2:8" ht="15.75" customHeight="1" x14ac:dyDescent="0.3">
      <c r="B274" s="123" t="s">
        <v>0</v>
      </c>
      <c r="C274" s="123"/>
      <c r="D274" s="123"/>
      <c r="E274" s="123"/>
      <c r="F274" s="123"/>
      <c r="G274" s="123"/>
      <c r="H274" s="110"/>
    </row>
    <row r="275" spans="2:8" ht="15.75" customHeight="1" x14ac:dyDescent="0.3">
      <c r="B275" s="123" t="s">
        <v>1</v>
      </c>
      <c r="C275" s="123"/>
      <c r="D275" s="123"/>
      <c r="E275" s="123"/>
      <c r="F275" s="123"/>
      <c r="G275" s="123"/>
      <c r="H275" s="110"/>
    </row>
    <row r="276" spans="2:8" ht="24" customHeight="1" x14ac:dyDescent="0.3">
      <c r="B276" s="136" t="str">
        <f>'Datos Iniciales'!$B$8</f>
        <v>OBRA PÚBLICA PARA LA EJECUCIÓN DE DIFERENTES MEJORAMIENTOS DE VIVIENDA EN EL CASCO URBANO Y RURAL DEL MUNICIPIO DE MACEO - ANTIOQUIA</v>
      </c>
      <c r="C276" s="136"/>
      <c r="D276" s="136"/>
      <c r="E276" s="136"/>
      <c r="F276" s="136"/>
      <c r="G276" s="136"/>
      <c r="H276" s="110"/>
    </row>
    <row r="277" spans="2:8" ht="15.75" customHeight="1" x14ac:dyDescent="0.3">
      <c r="B277" s="112" t="s">
        <v>381</v>
      </c>
      <c r="C277" s="112"/>
      <c r="D277" s="112"/>
      <c r="E277" s="112"/>
      <c r="F277" s="112"/>
      <c r="G277" s="112"/>
      <c r="H277" s="110"/>
    </row>
    <row r="278" spans="2:8" ht="24" customHeight="1" x14ac:dyDescent="0.3">
      <c r="B278" s="13" t="s">
        <v>382</v>
      </c>
      <c r="C278" s="112" t="s">
        <v>94</v>
      </c>
      <c r="D278" s="112"/>
      <c r="E278" s="112"/>
      <c r="F278" s="13" t="s">
        <v>383</v>
      </c>
      <c r="G278" s="13" t="s">
        <v>384</v>
      </c>
      <c r="H278" s="13" t="s">
        <v>385</v>
      </c>
    </row>
    <row r="279" spans="2:8" ht="42" customHeight="1" x14ac:dyDescent="0.3">
      <c r="B279" s="63" t="s">
        <v>447</v>
      </c>
      <c r="C279" s="140" t="s">
        <v>233</v>
      </c>
      <c r="D279" s="140"/>
      <c r="E279" s="140"/>
      <c r="F279" s="17" t="s">
        <v>107</v>
      </c>
      <c r="G279" s="41">
        <f>PRESUPUESTO!$E$88</f>
        <v>20.5</v>
      </c>
      <c r="H279" s="33">
        <f>H305</f>
        <v>153056.23668943427</v>
      </c>
    </row>
    <row r="280" spans="2:8" ht="15" customHeight="1" x14ac:dyDescent="0.3">
      <c r="B280" s="137" t="s">
        <v>448</v>
      </c>
      <c r="C280" s="137"/>
      <c r="D280" s="137"/>
      <c r="E280" s="137"/>
      <c r="F280" s="137"/>
      <c r="G280" s="137"/>
      <c r="H280" s="137"/>
    </row>
    <row r="281" spans="2:8" ht="15" customHeight="1" x14ac:dyDescent="0.3">
      <c r="B281" s="64" t="s">
        <v>388</v>
      </c>
    </row>
    <row r="282" spans="2:8" ht="15" customHeight="1" x14ac:dyDescent="0.3">
      <c r="B282" s="135" t="s">
        <v>389</v>
      </c>
      <c r="C282" s="135"/>
      <c r="D282" s="135"/>
      <c r="E282" s="135"/>
      <c r="F282" s="135"/>
      <c r="G282" s="135"/>
      <c r="H282" s="135"/>
    </row>
    <row r="283" spans="2:8" ht="24" customHeight="1" x14ac:dyDescent="0.3">
      <c r="B283" s="123" t="s">
        <v>94</v>
      </c>
      <c r="C283" s="123"/>
      <c r="D283" s="123"/>
      <c r="E283" s="31" t="s">
        <v>383</v>
      </c>
      <c r="F283" s="31" t="s">
        <v>364</v>
      </c>
      <c r="G283" s="31" t="s">
        <v>390</v>
      </c>
      <c r="H283" s="31" t="s">
        <v>391</v>
      </c>
    </row>
    <row r="284" spans="2:8" ht="15" customHeight="1" x14ac:dyDescent="0.3">
      <c r="B284" s="134" t="s">
        <v>392</v>
      </c>
      <c r="C284" s="134"/>
      <c r="D284" s="134"/>
      <c r="E284" s="17" t="s">
        <v>393</v>
      </c>
      <c r="F284" s="22">
        <f>EQUIPOS!$D$3</f>
        <v>0.05</v>
      </c>
      <c r="G284" s="65">
        <f>H303</f>
        <v>65816.002634794524</v>
      </c>
      <c r="H284" s="66">
        <f>F284*G284</f>
        <v>3290.8001317397266</v>
      </c>
    </row>
    <row r="285" spans="2:8" ht="15" customHeight="1" x14ac:dyDescent="0.3">
      <c r="B285" s="134" t="s">
        <v>434</v>
      </c>
      <c r="C285" s="134"/>
      <c r="D285" s="134"/>
      <c r="E285" s="17" t="s">
        <v>421</v>
      </c>
      <c r="F285" s="65">
        <f>EQUIPOS!$D$4</f>
        <v>53440</v>
      </c>
      <c r="G285" s="68">
        <v>1.7999999999999999E-2</v>
      </c>
      <c r="H285" s="66">
        <f>F285*G285</f>
        <v>961.92</v>
      </c>
    </row>
    <row r="286" spans="2:8" ht="15" customHeight="1" x14ac:dyDescent="0.3">
      <c r="B286" s="134" t="s">
        <v>439</v>
      </c>
      <c r="C286" s="134"/>
      <c r="D286" s="134"/>
      <c r="E286" s="17" t="s">
        <v>421</v>
      </c>
      <c r="F286" s="65">
        <f>EQUIPOS!$D$5</f>
        <v>45000</v>
      </c>
      <c r="G286" s="68">
        <v>1.7999999999999999E-2</v>
      </c>
      <c r="H286" s="66">
        <f>F286*G286</f>
        <v>809.99999999999989</v>
      </c>
    </row>
    <row r="287" spans="2:8" ht="15" customHeight="1" x14ac:dyDescent="0.3">
      <c r="B287" s="134" t="s">
        <v>449</v>
      </c>
      <c r="C287" s="134"/>
      <c r="D287" s="134"/>
      <c r="E287" s="17" t="s">
        <v>421</v>
      </c>
      <c r="F287" s="65">
        <f>EQUIPOS!$D$7</f>
        <v>8900</v>
      </c>
      <c r="G287" s="68">
        <v>0.2</v>
      </c>
      <c r="H287" s="66">
        <f>F287*G287</f>
        <v>1780</v>
      </c>
    </row>
    <row r="288" spans="2:8" ht="15" customHeight="1" x14ac:dyDescent="0.3">
      <c r="G288" s="31" t="s">
        <v>394</v>
      </c>
      <c r="H288" s="67">
        <f>SUM(H284:H287)</f>
        <v>6842.7201317397266</v>
      </c>
    </row>
    <row r="289" spans="2:8" ht="15" customHeight="1" x14ac:dyDescent="0.3">
      <c r="B289" s="135" t="s">
        <v>395</v>
      </c>
      <c r="C289" s="135"/>
      <c r="D289" s="135"/>
      <c r="E289" s="135"/>
      <c r="F289" s="135"/>
      <c r="G289" s="135"/>
      <c r="H289" s="135"/>
    </row>
    <row r="290" spans="2:8" ht="15" customHeight="1" x14ac:dyDescent="0.3">
      <c r="B290" s="123" t="s">
        <v>94</v>
      </c>
      <c r="C290" s="123"/>
      <c r="D290" s="31" t="s">
        <v>383</v>
      </c>
      <c r="E290" s="31" t="s">
        <v>96</v>
      </c>
      <c r="F290" s="31" t="s">
        <v>396</v>
      </c>
      <c r="G290" s="31" t="s">
        <v>397</v>
      </c>
      <c r="H290" s="31" t="s">
        <v>391</v>
      </c>
    </row>
    <row r="291" spans="2:8" ht="15" customHeight="1" x14ac:dyDescent="0.3">
      <c r="B291" s="134" t="s">
        <v>440</v>
      </c>
      <c r="C291" s="134"/>
      <c r="D291" s="17" t="s">
        <v>423</v>
      </c>
      <c r="E291" s="68">
        <v>0.09</v>
      </c>
      <c r="F291" s="27">
        <v>0.05</v>
      </c>
      <c r="G291" s="32">
        <f>'CONCRETOS Y MORTEROS'!$D$5</f>
        <v>546867.8722000001</v>
      </c>
      <c r="H291" s="66">
        <f>E291*(1+F291)*G291</f>
        <v>51679.013922900012</v>
      </c>
    </row>
    <row r="292" spans="2:8" ht="15" customHeight="1" x14ac:dyDescent="0.3">
      <c r="B292" s="134" t="s">
        <v>441</v>
      </c>
      <c r="C292" s="134"/>
      <c r="D292" s="17" t="s">
        <v>442</v>
      </c>
      <c r="E292" s="68">
        <v>0.9</v>
      </c>
      <c r="F292" s="27">
        <v>0</v>
      </c>
      <c r="G292" s="32">
        <f>'CONCRETOS Y MORTEROS'!$D$7</f>
        <v>17705</v>
      </c>
      <c r="H292" s="66">
        <f>E292*(1+F292)*G292</f>
        <v>15934.5</v>
      </c>
    </row>
    <row r="293" spans="2:8" ht="15" customHeight="1" x14ac:dyDescent="0.3">
      <c r="B293" s="134" t="s">
        <v>428</v>
      </c>
      <c r="C293" s="134"/>
      <c r="D293" s="17" t="s">
        <v>399</v>
      </c>
      <c r="E293" s="68">
        <v>0.25</v>
      </c>
      <c r="F293" s="27">
        <v>0</v>
      </c>
      <c r="G293" s="32">
        <f>INSUMOS!$D$86</f>
        <v>25000</v>
      </c>
      <c r="H293" s="66">
        <f>E293*(1+F293)*G293</f>
        <v>6250</v>
      </c>
    </row>
    <row r="294" spans="2:8" ht="15" customHeight="1" x14ac:dyDescent="0.3">
      <c r="G294" s="31" t="s">
        <v>394</v>
      </c>
      <c r="H294" s="67">
        <f>SUM(H291:H293)</f>
        <v>73863.51392290002</v>
      </c>
    </row>
    <row r="295" spans="2:8" ht="15" customHeight="1" x14ac:dyDescent="0.3">
      <c r="B295" s="135" t="s">
        <v>404</v>
      </c>
      <c r="C295" s="135"/>
      <c r="D295" s="135"/>
      <c r="E295" s="135"/>
      <c r="F295" s="135"/>
      <c r="G295" s="135"/>
      <c r="H295" s="135"/>
    </row>
    <row r="296" spans="2:8" ht="15" customHeight="1" x14ac:dyDescent="0.3">
      <c r="B296" s="123" t="s">
        <v>94</v>
      </c>
      <c r="C296" s="123"/>
      <c r="D296" s="31" t="s">
        <v>383</v>
      </c>
      <c r="E296" s="31" t="s">
        <v>96</v>
      </c>
      <c r="F296" s="31"/>
      <c r="G296" s="31" t="s">
        <v>364</v>
      </c>
      <c r="H296" s="31" t="s">
        <v>391</v>
      </c>
    </row>
    <row r="297" spans="2:8" ht="22.05" customHeight="1" x14ac:dyDescent="0.3">
      <c r="B297" s="134" t="s">
        <v>450</v>
      </c>
      <c r="C297" s="134"/>
      <c r="D297" s="17" t="s">
        <v>431</v>
      </c>
      <c r="E297" s="72">
        <f>0.22*'Datos Iniciales'!$B$26</f>
        <v>2.2000000000000002</v>
      </c>
      <c r="F297" s="29"/>
      <c r="G297" s="32">
        <f>TRANSPORTE!$D$5</f>
        <v>2970</v>
      </c>
      <c r="H297" s="66">
        <f>E297*G297</f>
        <v>6534.0000000000009</v>
      </c>
    </row>
    <row r="298" spans="2:8" ht="15" customHeight="1" x14ac:dyDescent="0.3">
      <c r="G298" s="31" t="s">
        <v>394</v>
      </c>
      <c r="H298" s="67">
        <f>SUM(H297:H297)</f>
        <v>6534.0000000000009</v>
      </c>
    </row>
    <row r="299" spans="2:8" ht="15" customHeight="1" x14ac:dyDescent="0.3">
      <c r="B299" s="135" t="s">
        <v>406</v>
      </c>
      <c r="C299" s="135"/>
      <c r="D299" s="135"/>
      <c r="E299" s="135"/>
      <c r="F299" s="135"/>
      <c r="G299" s="135"/>
      <c r="H299" s="135"/>
    </row>
    <row r="300" spans="2:8" ht="24" customHeight="1" x14ac:dyDescent="0.3">
      <c r="B300" s="123" t="s">
        <v>407</v>
      </c>
      <c r="C300" s="123"/>
      <c r="D300" s="123"/>
      <c r="E300" s="31" t="s">
        <v>96</v>
      </c>
      <c r="F300" s="31" t="s">
        <v>408</v>
      </c>
      <c r="G300" s="31" t="s">
        <v>390</v>
      </c>
      <c r="H300" s="31" t="s">
        <v>391</v>
      </c>
    </row>
    <row r="301" spans="2:8" ht="15" customHeight="1" x14ac:dyDescent="0.3">
      <c r="B301" s="134" t="s">
        <v>409</v>
      </c>
      <c r="C301" s="134"/>
      <c r="D301" s="134"/>
      <c r="E301" s="69">
        <v>1</v>
      </c>
      <c r="F301" s="32">
        <f>'MANO DE OBRA'!$H$27</f>
        <v>226162.13017808215</v>
      </c>
      <c r="G301" s="68">
        <v>0.14000000000000001</v>
      </c>
      <c r="H301" s="66">
        <f>E301*F301*G301</f>
        <v>31662.698224931504</v>
      </c>
    </row>
    <row r="302" spans="2:8" ht="15" customHeight="1" x14ac:dyDescent="0.3">
      <c r="B302" s="134" t="s">
        <v>410</v>
      </c>
      <c r="C302" s="134"/>
      <c r="D302" s="134"/>
      <c r="E302" s="69">
        <v>2</v>
      </c>
      <c r="F302" s="32">
        <f>'MANO DE OBRA'!$H$23</f>
        <v>121976.08717808221</v>
      </c>
      <c r="G302" s="68">
        <v>0.14000000000000001</v>
      </c>
      <c r="H302" s="66">
        <f>E302*F302*G302</f>
        <v>34153.30440986302</v>
      </c>
    </row>
    <row r="303" spans="2:8" ht="15" customHeight="1" x14ac:dyDescent="0.3">
      <c r="G303" s="31" t="s">
        <v>394</v>
      </c>
      <c r="H303" s="67">
        <f>SUM(H301:H302)</f>
        <v>65816.002634794524</v>
      </c>
    </row>
    <row r="304" spans="2:8" ht="15" customHeight="1" x14ac:dyDescent="0.3"/>
    <row r="305" spans="2:8" ht="15" customHeight="1" x14ac:dyDescent="0.3">
      <c r="B305" s="115" t="s">
        <v>295</v>
      </c>
      <c r="C305" s="115"/>
      <c r="D305" s="115"/>
      <c r="E305" s="115"/>
      <c r="F305" s="115"/>
      <c r="G305" s="115"/>
      <c r="H305" s="70">
        <f>H288+H294+H298+H303</f>
        <v>153056.23668943427</v>
      </c>
    </row>
    <row r="306" spans="2:8" ht="15" customHeight="1" x14ac:dyDescent="0.3"/>
    <row r="307" spans="2:8" ht="15" customHeight="1" x14ac:dyDescent="0.3">
      <c r="B307" s="71" t="s">
        <v>411</v>
      </c>
    </row>
    <row r="308" spans="2:8" ht="15" customHeight="1" x14ac:dyDescent="0.3">
      <c r="B308" s="123" t="s">
        <v>94</v>
      </c>
      <c r="C308" s="123"/>
      <c r="D308" s="123"/>
      <c r="E308" s="123"/>
      <c r="F308" s="123"/>
      <c r="G308" s="31" t="s">
        <v>412</v>
      </c>
      <c r="H308" s="31" t="s">
        <v>4</v>
      </c>
    </row>
    <row r="309" spans="2:8" ht="15" customHeight="1" x14ac:dyDescent="0.3">
      <c r="B309" s="110" t="s">
        <v>73</v>
      </c>
      <c r="C309" s="110"/>
      <c r="D309" s="110"/>
      <c r="E309" s="110"/>
      <c r="F309" s="110"/>
      <c r="G309" s="22">
        <f>'Datos Iniciales'!$B$32</f>
        <v>0.28999999999999998</v>
      </c>
      <c r="H309" s="66">
        <f>H305*G309</f>
        <v>44386.308639935938</v>
      </c>
    </row>
    <row r="310" spans="2:8" ht="15" customHeight="1" x14ac:dyDescent="0.3">
      <c r="B310" s="110" t="s">
        <v>74</v>
      </c>
      <c r="C310" s="110"/>
      <c r="D310" s="110"/>
      <c r="E310" s="110"/>
      <c r="F310" s="110"/>
      <c r="G310" s="22">
        <f>'Datos Iniciales'!$B$33</f>
        <v>0.05</v>
      </c>
      <c r="H310" s="66">
        <f>H305*G310</f>
        <v>7652.8118344717141</v>
      </c>
    </row>
    <row r="311" spans="2:8" ht="15" customHeight="1" x14ac:dyDescent="0.3">
      <c r="B311" s="138" t="s">
        <v>413</v>
      </c>
      <c r="C311" s="138"/>
      <c r="D311" s="138"/>
      <c r="E311" s="138"/>
      <c r="F311" s="138"/>
      <c r="G311" s="60">
        <f>G309+G310</f>
        <v>0.33999999999999997</v>
      </c>
      <c r="H311" s="67">
        <f>H309+H310</f>
        <v>52039.120474407653</v>
      </c>
    </row>
    <row r="312" spans="2:8" ht="15" customHeight="1" x14ac:dyDescent="0.3"/>
    <row r="313" spans="2:8" ht="15" customHeight="1" x14ac:dyDescent="0.3">
      <c r="B313" s="139" t="s">
        <v>414</v>
      </c>
      <c r="C313" s="139"/>
      <c r="D313" s="139"/>
      <c r="E313" s="139"/>
      <c r="F313" s="139"/>
      <c r="G313" s="139"/>
      <c r="H313" s="37">
        <f>ROUND(H305+H311,0)</f>
        <v>205095</v>
      </c>
    </row>
    <row r="314" spans="2:8" ht="15" customHeight="1" x14ac:dyDescent="0.3"/>
    <row r="315" spans="2:8" ht="15" customHeight="1" x14ac:dyDescent="0.3"/>
    <row r="316" spans="2:8" ht="15.75" customHeight="1" x14ac:dyDescent="0.3">
      <c r="B316" s="123" t="s">
        <v>0</v>
      </c>
      <c r="C316" s="123"/>
      <c r="D316" s="123"/>
      <c r="E316" s="123"/>
      <c r="F316" s="123"/>
      <c r="G316" s="123"/>
      <c r="H316" s="110"/>
    </row>
    <row r="317" spans="2:8" ht="15.75" customHeight="1" x14ac:dyDescent="0.3">
      <c r="B317" s="123" t="s">
        <v>1</v>
      </c>
      <c r="C317" s="123"/>
      <c r="D317" s="123"/>
      <c r="E317" s="123"/>
      <c r="F317" s="123"/>
      <c r="G317" s="123"/>
      <c r="H317" s="110"/>
    </row>
    <row r="318" spans="2:8" ht="24" customHeight="1" x14ac:dyDescent="0.3">
      <c r="B318" s="136" t="str">
        <f>'Datos Iniciales'!$B$8</f>
        <v>OBRA PÚBLICA PARA LA EJECUCIÓN DE DIFERENTES MEJORAMIENTOS DE VIVIENDA EN EL CASCO URBANO Y RURAL DEL MUNICIPIO DE MACEO - ANTIOQUIA</v>
      </c>
      <c r="C318" s="136"/>
      <c r="D318" s="136"/>
      <c r="E318" s="136"/>
      <c r="F318" s="136"/>
      <c r="G318" s="136"/>
      <c r="H318" s="110"/>
    </row>
    <row r="319" spans="2:8" ht="15.75" customHeight="1" x14ac:dyDescent="0.3">
      <c r="B319" s="112" t="s">
        <v>381</v>
      </c>
      <c r="C319" s="112"/>
      <c r="D319" s="112"/>
      <c r="E319" s="112"/>
      <c r="F319" s="112"/>
      <c r="G319" s="112"/>
      <c r="H319" s="110"/>
    </row>
    <row r="320" spans="2:8" ht="24" customHeight="1" x14ac:dyDescent="0.3">
      <c r="B320" s="13" t="s">
        <v>382</v>
      </c>
      <c r="C320" s="112" t="s">
        <v>94</v>
      </c>
      <c r="D320" s="112"/>
      <c r="E320" s="112"/>
      <c r="F320" s="13" t="s">
        <v>383</v>
      </c>
      <c r="G320" s="13" t="s">
        <v>384</v>
      </c>
      <c r="H320" s="13" t="s">
        <v>385</v>
      </c>
    </row>
    <row r="321" spans="2:8" ht="42" customHeight="1" x14ac:dyDescent="0.3">
      <c r="B321" s="63" t="s">
        <v>451</v>
      </c>
      <c r="C321" s="140" t="s">
        <v>231</v>
      </c>
      <c r="D321" s="140"/>
      <c r="E321" s="140"/>
      <c r="F321" s="17" t="s">
        <v>107</v>
      </c>
      <c r="G321" s="41">
        <f>PRESUPUESTO!$E$87</f>
        <v>18</v>
      </c>
      <c r="H321" s="33">
        <f>H346</f>
        <v>155866.93688704385</v>
      </c>
    </row>
    <row r="322" spans="2:8" ht="15" customHeight="1" x14ac:dyDescent="0.3">
      <c r="B322" s="137" t="s">
        <v>452</v>
      </c>
      <c r="C322" s="137"/>
      <c r="D322" s="137"/>
      <c r="E322" s="137"/>
      <c r="F322" s="137"/>
      <c r="G322" s="137"/>
      <c r="H322" s="137"/>
    </row>
    <row r="323" spans="2:8" ht="15" customHeight="1" x14ac:dyDescent="0.3">
      <c r="B323" s="64" t="s">
        <v>388</v>
      </c>
    </row>
    <row r="324" spans="2:8" ht="15" customHeight="1" x14ac:dyDescent="0.3">
      <c r="B324" s="135" t="s">
        <v>389</v>
      </c>
      <c r="C324" s="135"/>
      <c r="D324" s="135"/>
      <c r="E324" s="135"/>
      <c r="F324" s="135"/>
      <c r="G324" s="135"/>
      <c r="H324" s="135"/>
    </row>
    <row r="325" spans="2:8" ht="24" customHeight="1" x14ac:dyDescent="0.3">
      <c r="B325" s="123" t="s">
        <v>94</v>
      </c>
      <c r="C325" s="123"/>
      <c r="D325" s="123"/>
      <c r="E325" s="31" t="s">
        <v>383</v>
      </c>
      <c r="F325" s="31" t="s">
        <v>364</v>
      </c>
      <c r="G325" s="31" t="s">
        <v>390</v>
      </c>
      <c r="H325" s="31" t="s">
        <v>391</v>
      </c>
    </row>
    <row r="326" spans="2:8" ht="15" customHeight="1" x14ac:dyDescent="0.3">
      <c r="B326" s="134" t="s">
        <v>392</v>
      </c>
      <c r="C326" s="134"/>
      <c r="D326" s="134"/>
      <c r="E326" s="17" t="s">
        <v>393</v>
      </c>
      <c r="F326" s="22">
        <f>EQUIPOS!$D$3</f>
        <v>0.05</v>
      </c>
      <c r="G326" s="65">
        <f>H344</f>
        <v>70517.145680136979</v>
      </c>
      <c r="H326" s="66">
        <f>F326*G326</f>
        <v>3525.8572840068491</v>
      </c>
    </row>
    <row r="327" spans="2:8" ht="15" customHeight="1" x14ac:dyDescent="0.3">
      <c r="B327" s="134" t="s">
        <v>434</v>
      </c>
      <c r="C327" s="134"/>
      <c r="D327" s="134"/>
      <c r="E327" s="17" t="s">
        <v>421</v>
      </c>
      <c r="F327" s="65">
        <f>EQUIPOS!$D$4</f>
        <v>53440</v>
      </c>
      <c r="G327" s="68">
        <v>1.7999999999999999E-2</v>
      </c>
      <c r="H327" s="66">
        <f>F327*G327</f>
        <v>961.92</v>
      </c>
    </row>
    <row r="328" spans="2:8" ht="15" customHeight="1" x14ac:dyDescent="0.3">
      <c r="B328" s="134" t="s">
        <v>439</v>
      </c>
      <c r="C328" s="134"/>
      <c r="D328" s="134"/>
      <c r="E328" s="17" t="s">
        <v>421</v>
      </c>
      <c r="F328" s="65">
        <f>EQUIPOS!$D$5</f>
        <v>45000</v>
      </c>
      <c r="G328" s="68">
        <v>1.7999999999999999E-2</v>
      </c>
      <c r="H328" s="66">
        <f>F328*G328</f>
        <v>809.99999999999989</v>
      </c>
    </row>
    <row r="329" spans="2:8" ht="15" customHeight="1" x14ac:dyDescent="0.3">
      <c r="B329" s="134" t="s">
        <v>449</v>
      </c>
      <c r="C329" s="134"/>
      <c r="D329" s="134"/>
      <c r="E329" s="17" t="s">
        <v>421</v>
      </c>
      <c r="F329" s="65">
        <f>EQUIPOS!$D$7</f>
        <v>8900</v>
      </c>
      <c r="G329" s="68">
        <v>0.1</v>
      </c>
      <c r="H329" s="66">
        <f>F329*G329</f>
        <v>890</v>
      </c>
    </row>
    <row r="330" spans="2:8" ht="15" customHeight="1" x14ac:dyDescent="0.3">
      <c r="G330" s="31" t="s">
        <v>394</v>
      </c>
      <c r="H330" s="67">
        <f>SUM(H326:H329)</f>
        <v>6187.7772840068492</v>
      </c>
    </row>
    <row r="331" spans="2:8" ht="15" customHeight="1" x14ac:dyDescent="0.3">
      <c r="B331" s="135" t="s">
        <v>395</v>
      </c>
      <c r="C331" s="135"/>
      <c r="D331" s="135"/>
      <c r="E331" s="135"/>
      <c r="F331" s="135"/>
      <c r="G331" s="135"/>
      <c r="H331" s="135"/>
    </row>
    <row r="332" spans="2:8" ht="15" customHeight="1" x14ac:dyDescent="0.3">
      <c r="B332" s="123" t="s">
        <v>94</v>
      </c>
      <c r="C332" s="123"/>
      <c r="D332" s="31" t="s">
        <v>383</v>
      </c>
      <c r="E332" s="31" t="s">
        <v>96</v>
      </c>
      <c r="F332" s="31" t="s">
        <v>396</v>
      </c>
      <c r="G332" s="31" t="s">
        <v>397</v>
      </c>
      <c r="H332" s="31" t="s">
        <v>391</v>
      </c>
    </row>
    <row r="333" spans="2:8" ht="15" customHeight="1" x14ac:dyDescent="0.3">
      <c r="B333" s="134" t="s">
        <v>440</v>
      </c>
      <c r="C333" s="134"/>
      <c r="D333" s="17" t="s">
        <v>423</v>
      </c>
      <c r="E333" s="68">
        <v>0.09</v>
      </c>
      <c r="F333" s="27">
        <v>0.05</v>
      </c>
      <c r="G333" s="32">
        <f>'CONCRETOS Y MORTEROS'!$D$5</f>
        <v>546867.8722000001</v>
      </c>
      <c r="H333" s="66">
        <f>E333*(1+F333)*G333</f>
        <v>51679.013922900012</v>
      </c>
    </row>
    <row r="334" spans="2:8" ht="15" customHeight="1" x14ac:dyDescent="0.3">
      <c r="B334" s="134" t="s">
        <v>441</v>
      </c>
      <c r="C334" s="134"/>
      <c r="D334" s="17" t="s">
        <v>442</v>
      </c>
      <c r="E334" s="68">
        <v>1.2</v>
      </c>
      <c r="F334" s="27">
        <v>0</v>
      </c>
      <c r="G334" s="32">
        <f>'CONCRETOS Y MORTEROS'!$D$7</f>
        <v>17705</v>
      </c>
      <c r="H334" s="66">
        <f>E334*(1+F334)*G334</f>
        <v>21246</v>
      </c>
    </row>
    <row r="335" spans="2:8" ht="15" customHeight="1" x14ac:dyDescent="0.3">
      <c r="G335" s="31" t="s">
        <v>394</v>
      </c>
      <c r="H335" s="67">
        <f>SUM(H333:H334)</f>
        <v>72925.01392290002</v>
      </c>
    </row>
    <row r="336" spans="2:8" ht="15" customHeight="1" x14ac:dyDescent="0.3">
      <c r="B336" s="135" t="s">
        <v>404</v>
      </c>
      <c r="C336" s="135"/>
      <c r="D336" s="135"/>
      <c r="E336" s="135"/>
      <c r="F336" s="135"/>
      <c r="G336" s="135"/>
      <c r="H336" s="135"/>
    </row>
    <row r="337" spans="2:8" ht="15" customHeight="1" x14ac:dyDescent="0.3">
      <c r="B337" s="123" t="s">
        <v>94</v>
      </c>
      <c r="C337" s="123"/>
      <c r="D337" s="31" t="s">
        <v>383</v>
      </c>
      <c r="E337" s="31" t="s">
        <v>96</v>
      </c>
      <c r="F337" s="31"/>
      <c r="G337" s="31" t="s">
        <v>364</v>
      </c>
      <c r="H337" s="31" t="s">
        <v>391</v>
      </c>
    </row>
    <row r="338" spans="2:8" ht="22.05" customHeight="1" x14ac:dyDescent="0.3">
      <c r="B338" s="134" t="s">
        <v>446</v>
      </c>
      <c r="C338" s="134"/>
      <c r="D338" s="17" t="s">
        <v>431</v>
      </c>
      <c r="E338" s="72">
        <f>0.21*'Datos Iniciales'!$B$26</f>
        <v>2.1</v>
      </c>
      <c r="F338" s="29"/>
      <c r="G338" s="32">
        <f>TRANSPORTE!$D$5</f>
        <v>2970</v>
      </c>
      <c r="H338" s="66">
        <f>E338*G338</f>
        <v>6237</v>
      </c>
    </row>
    <row r="339" spans="2:8" ht="15" customHeight="1" x14ac:dyDescent="0.3">
      <c r="G339" s="31" t="s">
        <v>394</v>
      </c>
      <c r="H339" s="67">
        <f>SUM(H338:H338)</f>
        <v>6237</v>
      </c>
    </row>
    <row r="340" spans="2:8" ht="15" customHeight="1" x14ac:dyDescent="0.3">
      <c r="B340" s="135" t="s">
        <v>406</v>
      </c>
      <c r="C340" s="135"/>
      <c r="D340" s="135"/>
      <c r="E340" s="135"/>
      <c r="F340" s="135"/>
      <c r="G340" s="135"/>
      <c r="H340" s="135"/>
    </row>
    <row r="341" spans="2:8" ht="24" customHeight="1" x14ac:dyDescent="0.3">
      <c r="B341" s="123" t="s">
        <v>407</v>
      </c>
      <c r="C341" s="123"/>
      <c r="D341" s="123"/>
      <c r="E341" s="31" t="s">
        <v>96</v>
      </c>
      <c r="F341" s="31" t="s">
        <v>408</v>
      </c>
      <c r="G341" s="31" t="s">
        <v>390</v>
      </c>
      <c r="H341" s="31" t="s">
        <v>391</v>
      </c>
    </row>
    <row r="342" spans="2:8" ht="15" customHeight="1" x14ac:dyDescent="0.3">
      <c r="B342" s="134" t="s">
        <v>409</v>
      </c>
      <c r="C342" s="134"/>
      <c r="D342" s="134"/>
      <c r="E342" s="69">
        <v>1</v>
      </c>
      <c r="F342" s="32">
        <f>'MANO DE OBRA'!$H$27</f>
        <v>226162.13017808215</v>
      </c>
      <c r="G342" s="68">
        <v>0.15</v>
      </c>
      <c r="H342" s="66">
        <f>E342*F342*G342</f>
        <v>33924.319526712323</v>
      </c>
    </row>
    <row r="343" spans="2:8" ht="15" customHeight="1" x14ac:dyDescent="0.3">
      <c r="B343" s="134" t="s">
        <v>410</v>
      </c>
      <c r="C343" s="134"/>
      <c r="D343" s="134"/>
      <c r="E343" s="69">
        <v>2</v>
      </c>
      <c r="F343" s="32">
        <f>'MANO DE OBRA'!$H$23</f>
        <v>121976.08717808221</v>
      </c>
      <c r="G343" s="68">
        <v>0.15</v>
      </c>
      <c r="H343" s="66">
        <f>E343*F343*G343</f>
        <v>36592.826153424663</v>
      </c>
    </row>
    <row r="344" spans="2:8" ht="15" customHeight="1" x14ac:dyDescent="0.3">
      <c r="G344" s="31" t="s">
        <v>394</v>
      </c>
      <c r="H344" s="67">
        <f>SUM(H342:H343)</f>
        <v>70517.145680136979</v>
      </c>
    </row>
    <row r="345" spans="2:8" ht="15" customHeight="1" x14ac:dyDescent="0.3"/>
    <row r="346" spans="2:8" ht="15" customHeight="1" x14ac:dyDescent="0.3">
      <c r="B346" s="115" t="s">
        <v>295</v>
      </c>
      <c r="C346" s="115"/>
      <c r="D346" s="115"/>
      <c r="E346" s="115"/>
      <c r="F346" s="115"/>
      <c r="G346" s="115"/>
      <c r="H346" s="70">
        <f>H330+H335+H339+H344</f>
        <v>155866.93688704385</v>
      </c>
    </row>
    <row r="347" spans="2:8" ht="15" customHeight="1" x14ac:dyDescent="0.3"/>
    <row r="348" spans="2:8" ht="15" customHeight="1" x14ac:dyDescent="0.3">
      <c r="B348" s="71" t="s">
        <v>411</v>
      </c>
    </row>
    <row r="349" spans="2:8" ht="15" customHeight="1" x14ac:dyDescent="0.3">
      <c r="B349" s="123" t="s">
        <v>94</v>
      </c>
      <c r="C349" s="123"/>
      <c r="D349" s="123"/>
      <c r="E349" s="123"/>
      <c r="F349" s="123"/>
      <c r="G349" s="31" t="s">
        <v>412</v>
      </c>
      <c r="H349" s="31" t="s">
        <v>4</v>
      </c>
    </row>
    <row r="350" spans="2:8" ht="15" customHeight="1" x14ac:dyDescent="0.3">
      <c r="B350" s="110" t="s">
        <v>73</v>
      </c>
      <c r="C350" s="110"/>
      <c r="D350" s="110"/>
      <c r="E350" s="110"/>
      <c r="F350" s="110"/>
      <c r="G350" s="22">
        <f>'Datos Iniciales'!$B$32</f>
        <v>0.28999999999999998</v>
      </c>
      <c r="H350" s="66">
        <f>H346*G350</f>
        <v>45201.411697242715</v>
      </c>
    </row>
    <row r="351" spans="2:8" ht="15" customHeight="1" x14ac:dyDescent="0.3">
      <c r="B351" s="110" t="s">
        <v>74</v>
      </c>
      <c r="C351" s="110"/>
      <c r="D351" s="110"/>
      <c r="E351" s="110"/>
      <c r="F351" s="110"/>
      <c r="G351" s="22">
        <f>'Datos Iniciales'!$B$33</f>
        <v>0.05</v>
      </c>
      <c r="H351" s="66">
        <f>H346*G351</f>
        <v>7793.3468443521924</v>
      </c>
    </row>
    <row r="352" spans="2:8" ht="15" customHeight="1" x14ac:dyDescent="0.3">
      <c r="B352" s="138" t="s">
        <v>413</v>
      </c>
      <c r="C352" s="138"/>
      <c r="D352" s="138"/>
      <c r="E352" s="138"/>
      <c r="F352" s="138"/>
      <c r="G352" s="60">
        <f>G350+G351</f>
        <v>0.33999999999999997</v>
      </c>
      <c r="H352" s="67">
        <f>H350+H351</f>
        <v>52994.758541594907</v>
      </c>
    </row>
    <row r="353" spans="2:8" ht="15" customHeight="1" x14ac:dyDescent="0.3"/>
    <row r="354" spans="2:8" ht="15" customHeight="1" x14ac:dyDescent="0.3">
      <c r="B354" s="139" t="s">
        <v>414</v>
      </c>
      <c r="C354" s="139"/>
      <c r="D354" s="139"/>
      <c r="E354" s="139"/>
      <c r="F354" s="139"/>
      <c r="G354" s="139"/>
      <c r="H354" s="37">
        <f>ROUND(H346+H352,0)</f>
        <v>208862</v>
      </c>
    </row>
    <row r="355" spans="2:8" ht="15" customHeight="1" x14ac:dyDescent="0.3"/>
    <row r="356" spans="2:8" ht="15" customHeight="1" x14ac:dyDescent="0.3"/>
    <row r="357" spans="2:8" ht="15.75" customHeight="1" x14ac:dyDescent="0.3">
      <c r="B357" s="123" t="s">
        <v>0</v>
      </c>
      <c r="C357" s="123"/>
      <c r="D357" s="123"/>
      <c r="E357" s="123"/>
      <c r="F357" s="123"/>
      <c r="G357" s="123"/>
      <c r="H357" s="110"/>
    </row>
    <row r="358" spans="2:8" ht="15.75" customHeight="1" x14ac:dyDescent="0.3">
      <c r="B358" s="123" t="s">
        <v>1</v>
      </c>
      <c r="C358" s="123"/>
      <c r="D358" s="123"/>
      <c r="E358" s="123"/>
      <c r="F358" s="123"/>
      <c r="G358" s="123"/>
      <c r="H358" s="110"/>
    </row>
    <row r="359" spans="2:8" ht="24" customHeight="1" x14ac:dyDescent="0.3">
      <c r="B359" s="136" t="str">
        <f>'Datos Iniciales'!$B$8</f>
        <v>OBRA PÚBLICA PARA LA EJECUCIÓN DE DIFERENTES MEJORAMIENTOS DE VIVIENDA EN EL CASCO URBANO Y RURAL DEL MUNICIPIO DE MACEO - ANTIOQUIA</v>
      </c>
      <c r="C359" s="136"/>
      <c r="D359" s="136"/>
      <c r="E359" s="136"/>
      <c r="F359" s="136"/>
      <c r="G359" s="136"/>
      <c r="H359" s="110"/>
    </row>
    <row r="360" spans="2:8" ht="15.75" customHeight="1" x14ac:dyDescent="0.3">
      <c r="B360" s="112" t="s">
        <v>381</v>
      </c>
      <c r="C360" s="112"/>
      <c r="D360" s="112"/>
      <c r="E360" s="112"/>
      <c r="F360" s="112"/>
      <c r="G360" s="112"/>
      <c r="H360" s="110"/>
    </row>
    <row r="361" spans="2:8" ht="24" customHeight="1" x14ac:dyDescent="0.3">
      <c r="B361" s="13" t="s">
        <v>382</v>
      </c>
      <c r="C361" s="112" t="s">
        <v>94</v>
      </c>
      <c r="D361" s="112"/>
      <c r="E361" s="112"/>
      <c r="F361" s="13" t="s">
        <v>383</v>
      </c>
      <c r="G361" s="13" t="s">
        <v>384</v>
      </c>
      <c r="H361" s="13" t="s">
        <v>385</v>
      </c>
    </row>
    <row r="362" spans="2:8" ht="31.5" customHeight="1" x14ac:dyDescent="0.3">
      <c r="B362" s="63" t="s">
        <v>453</v>
      </c>
      <c r="C362" s="140" t="s">
        <v>114</v>
      </c>
      <c r="D362" s="140"/>
      <c r="E362" s="140"/>
      <c r="F362" s="17" t="s">
        <v>107</v>
      </c>
      <c r="G362" s="41">
        <f>PRESUPUESTO!$E$12+PRESUPUESTO!$E$39+PRESUPUESTO!$E$91</f>
        <v>69</v>
      </c>
      <c r="H362" s="33">
        <f>H386</f>
        <v>48725.429355118089</v>
      </c>
    </row>
    <row r="363" spans="2:8" ht="15" customHeight="1" x14ac:dyDescent="0.3">
      <c r="B363" s="137" t="s">
        <v>454</v>
      </c>
      <c r="C363" s="137"/>
      <c r="D363" s="137"/>
      <c r="E363" s="137"/>
      <c r="F363" s="137"/>
      <c r="G363" s="137"/>
      <c r="H363" s="137"/>
    </row>
    <row r="364" spans="2:8" ht="15" customHeight="1" x14ac:dyDescent="0.3">
      <c r="B364" s="64" t="s">
        <v>388</v>
      </c>
    </row>
    <row r="365" spans="2:8" ht="15" customHeight="1" x14ac:dyDescent="0.3">
      <c r="B365" s="135" t="s">
        <v>389</v>
      </c>
      <c r="C365" s="135"/>
      <c r="D365" s="135"/>
      <c r="E365" s="135"/>
      <c r="F365" s="135"/>
      <c r="G365" s="135"/>
      <c r="H365" s="135"/>
    </row>
    <row r="366" spans="2:8" ht="24" customHeight="1" x14ac:dyDescent="0.3">
      <c r="B366" s="123" t="s">
        <v>94</v>
      </c>
      <c r="C366" s="123"/>
      <c r="D366" s="123"/>
      <c r="E366" s="31" t="s">
        <v>383</v>
      </c>
      <c r="F366" s="31" t="s">
        <v>364</v>
      </c>
      <c r="G366" s="31" t="s">
        <v>390</v>
      </c>
      <c r="H366" s="31" t="s">
        <v>391</v>
      </c>
    </row>
    <row r="367" spans="2:8" ht="15" customHeight="1" x14ac:dyDescent="0.3">
      <c r="B367" s="134" t="s">
        <v>392</v>
      </c>
      <c r="C367" s="134"/>
      <c r="D367" s="134"/>
      <c r="E367" s="17" t="s">
        <v>393</v>
      </c>
      <c r="F367" s="22">
        <f>EQUIPOS!$D$3</f>
        <v>0.05</v>
      </c>
      <c r="G367" s="65">
        <f>H384</f>
        <v>24369.675214931507</v>
      </c>
      <c r="H367" s="66">
        <f>F367*G367</f>
        <v>1218.4837607465754</v>
      </c>
    </row>
    <row r="368" spans="2:8" ht="15" customHeight="1" x14ac:dyDescent="0.3">
      <c r="B368" s="134" t="s">
        <v>434</v>
      </c>
      <c r="C368" s="134"/>
      <c r="D368" s="134"/>
      <c r="E368" s="17" t="s">
        <v>421</v>
      </c>
      <c r="F368" s="65">
        <f>EQUIPOS!$D$4</f>
        <v>53440</v>
      </c>
      <c r="G368" s="68">
        <v>5.0000000000000001E-3</v>
      </c>
      <c r="H368" s="66">
        <f>F368*G368</f>
        <v>267.2</v>
      </c>
    </row>
    <row r="369" spans="2:8" ht="15" customHeight="1" x14ac:dyDescent="0.3">
      <c r="B369" s="134" t="s">
        <v>439</v>
      </c>
      <c r="C369" s="134"/>
      <c r="D369" s="134"/>
      <c r="E369" s="17" t="s">
        <v>421</v>
      </c>
      <c r="F369" s="65">
        <f>EQUIPOS!$D$5</f>
        <v>45000</v>
      </c>
      <c r="G369" s="68">
        <v>5.0000000000000001E-3</v>
      </c>
      <c r="H369" s="66">
        <f>F369*G369</f>
        <v>225</v>
      </c>
    </row>
    <row r="370" spans="2:8" ht="15" customHeight="1" x14ac:dyDescent="0.3">
      <c r="G370" s="31" t="s">
        <v>394</v>
      </c>
      <c r="H370" s="67">
        <f>SUM(H367:H369)</f>
        <v>1710.6837607465754</v>
      </c>
    </row>
    <row r="371" spans="2:8" ht="15" customHeight="1" x14ac:dyDescent="0.3">
      <c r="B371" s="135" t="s">
        <v>395</v>
      </c>
      <c r="C371" s="135"/>
      <c r="D371" s="135"/>
      <c r="E371" s="135"/>
      <c r="F371" s="135"/>
      <c r="G371" s="135"/>
      <c r="H371" s="135"/>
    </row>
    <row r="372" spans="2:8" ht="15" customHeight="1" x14ac:dyDescent="0.3">
      <c r="B372" s="123" t="s">
        <v>94</v>
      </c>
      <c r="C372" s="123"/>
      <c r="D372" s="31" t="s">
        <v>383</v>
      </c>
      <c r="E372" s="31" t="s">
        <v>96</v>
      </c>
      <c r="F372" s="31" t="s">
        <v>396</v>
      </c>
      <c r="G372" s="31" t="s">
        <v>397</v>
      </c>
      <c r="H372" s="31" t="s">
        <v>391</v>
      </c>
    </row>
    <row r="373" spans="2:8" ht="15" customHeight="1" x14ac:dyDescent="0.3">
      <c r="B373" s="134" t="s">
        <v>440</v>
      </c>
      <c r="C373" s="134"/>
      <c r="D373" s="17" t="s">
        <v>423</v>
      </c>
      <c r="E373" s="68">
        <v>2.4E-2</v>
      </c>
      <c r="F373" s="27">
        <v>0.05</v>
      </c>
      <c r="G373" s="32">
        <f>'CONCRETOS Y MORTEROS'!$D$5</f>
        <v>546867.8722000001</v>
      </c>
      <c r="H373" s="66">
        <f>E373*(1+F373)*G373</f>
        <v>13781.070379440003</v>
      </c>
    </row>
    <row r="374" spans="2:8" ht="15" customHeight="1" x14ac:dyDescent="0.3">
      <c r="B374" s="134" t="s">
        <v>441</v>
      </c>
      <c r="C374" s="134"/>
      <c r="D374" s="17" t="s">
        <v>442</v>
      </c>
      <c r="E374" s="68">
        <v>0.4</v>
      </c>
      <c r="F374" s="27">
        <v>0</v>
      </c>
      <c r="G374" s="32">
        <f>'CONCRETOS Y MORTEROS'!$D$7</f>
        <v>17705</v>
      </c>
      <c r="H374" s="66">
        <f>E374*(1+F374)*G374</f>
        <v>7082</v>
      </c>
    </row>
    <row r="375" spans="2:8" ht="15" customHeight="1" x14ac:dyDescent="0.3">
      <c r="G375" s="31" t="s">
        <v>394</v>
      </c>
      <c r="H375" s="67">
        <f>SUM(H373:H374)</f>
        <v>20863.070379440003</v>
      </c>
    </row>
    <row r="376" spans="2:8" ht="15" customHeight="1" x14ac:dyDescent="0.3">
      <c r="B376" s="135" t="s">
        <v>404</v>
      </c>
      <c r="C376" s="135"/>
      <c r="D376" s="135"/>
      <c r="E376" s="135"/>
      <c r="F376" s="135"/>
      <c r="G376" s="135"/>
      <c r="H376" s="135"/>
    </row>
    <row r="377" spans="2:8" ht="15" customHeight="1" x14ac:dyDescent="0.3">
      <c r="B377" s="123" t="s">
        <v>94</v>
      </c>
      <c r="C377" s="123"/>
      <c r="D377" s="31" t="s">
        <v>383</v>
      </c>
      <c r="E377" s="31" t="s">
        <v>96</v>
      </c>
      <c r="F377" s="31"/>
      <c r="G377" s="31" t="s">
        <v>364</v>
      </c>
      <c r="H377" s="31" t="s">
        <v>391</v>
      </c>
    </row>
    <row r="378" spans="2:8" ht="22.05" customHeight="1" x14ac:dyDescent="0.3">
      <c r="B378" s="134" t="s">
        <v>455</v>
      </c>
      <c r="C378" s="134"/>
      <c r="D378" s="17" t="s">
        <v>431</v>
      </c>
      <c r="E378" s="72">
        <f>0.06*'Datos Iniciales'!$B$26</f>
        <v>0.6</v>
      </c>
      <c r="F378" s="29"/>
      <c r="G378" s="32">
        <f>TRANSPORTE!$D$5</f>
        <v>2970</v>
      </c>
      <c r="H378" s="66">
        <f>E378*G378</f>
        <v>1782</v>
      </c>
    </row>
    <row r="379" spans="2:8" ht="15" customHeight="1" x14ac:dyDescent="0.3">
      <c r="G379" s="31" t="s">
        <v>394</v>
      </c>
      <c r="H379" s="67">
        <f>SUM(H378:H378)</f>
        <v>1782</v>
      </c>
    </row>
    <row r="380" spans="2:8" ht="15" customHeight="1" x14ac:dyDescent="0.3">
      <c r="B380" s="135" t="s">
        <v>406</v>
      </c>
      <c r="C380" s="135"/>
      <c r="D380" s="135"/>
      <c r="E380" s="135"/>
      <c r="F380" s="135"/>
      <c r="G380" s="135"/>
      <c r="H380" s="135"/>
    </row>
    <row r="381" spans="2:8" ht="24" customHeight="1" x14ac:dyDescent="0.3">
      <c r="B381" s="123" t="s">
        <v>407</v>
      </c>
      <c r="C381" s="123"/>
      <c r="D381" s="123"/>
      <c r="E381" s="31" t="s">
        <v>96</v>
      </c>
      <c r="F381" s="31" t="s">
        <v>408</v>
      </c>
      <c r="G381" s="31" t="s">
        <v>390</v>
      </c>
      <c r="H381" s="31" t="s">
        <v>391</v>
      </c>
    </row>
    <row r="382" spans="2:8" ht="15" customHeight="1" x14ac:dyDescent="0.3">
      <c r="B382" s="134" t="s">
        <v>409</v>
      </c>
      <c r="C382" s="134"/>
      <c r="D382" s="134"/>
      <c r="E382" s="69">
        <v>1</v>
      </c>
      <c r="F382" s="32">
        <f>'MANO DE OBRA'!$H$27</f>
        <v>226162.13017808215</v>
      </c>
      <c r="G382" s="68">
        <v>7.0000000000000007E-2</v>
      </c>
      <c r="H382" s="66">
        <f>E382*F382*G382</f>
        <v>15831.349112465752</v>
      </c>
    </row>
    <row r="383" spans="2:8" ht="15" customHeight="1" x14ac:dyDescent="0.3">
      <c r="B383" s="134" t="s">
        <v>410</v>
      </c>
      <c r="C383" s="134"/>
      <c r="D383" s="134"/>
      <c r="E383" s="69">
        <v>1</v>
      </c>
      <c r="F383" s="32">
        <f>'MANO DE OBRA'!$H$23</f>
        <v>121976.08717808221</v>
      </c>
      <c r="G383" s="68">
        <v>7.0000000000000007E-2</v>
      </c>
      <c r="H383" s="66">
        <f>E383*F383*G383</f>
        <v>8538.326102465755</v>
      </c>
    </row>
    <row r="384" spans="2:8" ht="15" customHeight="1" x14ac:dyDescent="0.3">
      <c r="G384" s="31" t="s">
        <v>394</v>
      </c>
      <c r="H384" s="67">
        <f>SUM(H382:H383)</f>
        <v>24369.675214931507</v>
      </c>
    </row>
    <row r="385" spans="2:8" ht="15" customHeight="1" x14ac:dyDescent="0.3"/>
    <row r="386" spans="2:8" ht="15" customHeight="1" x14ac:dyDescent="0.3">
      <c r="B386" s="115" t="s">
        <v>295</v>
      </c>
      <c r="C386" s="115"/>
      <c r="D386" s="115"/>
      <c r="E386" s="115"/>
      <c r="F386" s="115"/>
      <c r="G386" s="115"/>
      <c r="H386" s="70">
        <f>H370+H375+H379+H384</f>
        <v>48725.429355118089</v>
      </c>
    </row>
    <row r="387" spans="2:8" ht="15" customHeight="1" x14ac:dyDescent="0.3"/>
    <row r="388" spans="2:8" ht="15" customHeight="1" x14ac:dyDescent="0.3">
      <c r="B388" s="71" t="s">
        <v>411</v>
      </c>
    </row>
    <row r="389" spans="2:8" ht="15" customHeight="1" x14ac:dyDescent="0.3">
      <c r="B389" s="123" t="s">
        <v>94</v>
      </c>
      <c r="C389" s="123"/>
      <c r="D389" s="123"/>
      <c r="E389" s="123"/>
      <c r="F389" s="123"/>
      <c r="G389" s="31" t="s">
        <v>412</v>
      </c>
      <c r="H389" s="31" t="s">
        <v>4</v>
      </c>
    </row>
    <row r="390" spans="2:8" ht="15" customHeight="1" x14ac:dyDescent="0.3">
      <c r="B390" s="110" t="s">
        <v>73</v>
      </c>
      <c r="C390" s="110"/>
      <c r="D390" s="110"/>
      <c r="E390" s="110"/>
      <c r="F390" s="110"/>
      <c r="G390" s="22">
        <f>'Datos Iniciales'!$B$32</f>
        <v>0.28999999999999998</v>
      </c>
      <c r="H390" s="66">
        <f>H386*G390</f>
        <v>14130.374512984245</v>
      </c>
    </row>
    <row r="391" spans="2:8" ht="15" customHeight="1" x14ac:dyDescent="0.3">
      <c r="B391" s="110" t="s">
        <v>74</v>
      </c>
      <c r="C391" s="110"/>
      <c r="D391" s="110"/>
      <c r="E391" s="110"/>
      <c r="F391" s="110"/>
      <c r="G391" s="22">
        <f>'Datos Iniciales'!$B$33</f>
        <v>0.05</v>
      </c>
      <c r="H391" s="66">
        <f>H386*G391</f>
        <v>2436.2714677559047</v>
      </c>
    </row>
    <row r="392" spans="2:8" ht="15" customHeight="1" x14ac:dyDescent="0.3">
      <c r="B392" s="138" t="s">
        <v>413</v>
      </c>
      <c r="C392" s="138"/>
      <c r="D392" s="138"/>
      <c r="E392" s="138"/>
      <c r="F392" s="138"/>
      <c r="G392" s="60">
        <f>G390+G391</f>
        <v>0.33999999999999997</v>
      </c>
      <c r="H392" s="67">
        <f>H390+H391</f>
        <v>16566.645980740148</v>
      </c>
    </row>
    <row r="393" spans="2:8" ht="15" customHeight="1" x14ac:dyDescent="0.3"/>
    <row r="394" spans="2:8" ht="15" customHeight="1" x14ac:dyDescent="0.3">
      <c r="B394" s="139" t="s">
        <v>414</v>
      </c>
      <c r="C394" s="139"/>
      <c r="D394" s="139"/>
      <c r="E394" s="139"/>
      <c r="F394" s="139"/>
      <c r="G394" s="139"/>
      <c r="H394" s="37">
        <f>ROUND(H386+H392,0)</f>
        <v>65292</v>
      </c>
    </row>
    <row r="395" spans="2:8" ht="15" customHeight="1" x14ac:dyDescent="0.3"/>
    <row r="396" spans="2:8" ht="15" customHeight="1" x14ac:dyDescent="0.3"/>
    <row r="397" spans="2:8" ht="15.75" customHeight="1" x14ac:dyDescent="0.3">
      <c r="B397" s="123" t="s">
        <v>0</v>
      </c>
      <c r="C397" s="123"/>
      <c r="D397" s="123"/>
      <c r="E397" s="123"/>
      <c r="F397" s="123"/>
      <c r="G397" s="123"/>
      <c r="H397" s="110"/>
    </row>
    <row r="398" spans="2:8" ht="15.75" customHeight="1" x14ac:dyDescent="0.3">
      <c r="B398" s="123" t="s">
        <v>1</v>
      </c>
      <c r="C398" s="123"/>
      <c r="D398" s="123"/>
      <c r="E398" s="123"/>
      <c r="F398" s="123"/>
      <c r="G398" s="123"/>
      <c r="H398" s="110"/>
    </row>
    <row r="399" spans="2:8" ht="24" customHeight="1" x14ac:dyDescent="0.3">
      <c r="B399" s="136" t="str">
        <f>'Datos Iniciales'!$B$8</f>
        <v>OBRA PÚBLICA PARA LA EJECUCIÓN DE DIFERENTES MEJORAMIENTOS DE VIVIENDA EN EL CASCO URBANO Y RURAL DEL MUNICIPIO DE MACEO - ANTIOQUIA</v>
      </c>
      <c r="C399" s="136"/>
      <c r="D399" s="136"/>
      <c r="E399" s="136"/>
      <c r="F399" s="136"/>
      <c r="G399" s="136"/>
      <c r="H399" s="110"/>
    </row>
    <row r="400" spans="2:8" ht="15.75" customHeight="1" x14ac:dyDescent="0.3">
      <c r="B400" s="112" t="s">
        <v>381</v>
      </c>
      <c r="C400" s="112"/>
      <c r="D400" s="112"/>
      <c r="E400" s="112"/>
      <c r="F400" s="112"/>
      <c r="G400" s="112"/>
      <c r="H400" s="110"/>
    </row>
    <row r="401" spans="2:8" ht="24" customHeight="1" x14ac:dyDescent="0.3">
      <c r="B401" s="13" t="s">
        <v>382</v>
      </c>
      <c r="C401" s="112" t="s">
        <v>94</v>
      </c>
      <c r="D401" s="112"/>
      <c r="E401" s="112"/>
      <c r="F401" s="13" t="s">
        <v>383</v>
      </c>
      <c r="G401" s="13" t="s">
        <v>384</v>
      </c>
      <c r="H401" s="13" t="s">
        <v>385</v>
      </c>
    </row>
    <row r="402" spans="2:8" ht="31.5" customHeight="1" x14ac:dyDescent="0.3">
      <c r="B402" s="63" t="s">
        <v>456</v>
      </c>
      <c r="C402" s="140" t="s">
        <v>118</v>
      </c>
      <c r="D402" s="140"/>
      <c r="E402" s="140"/>
      <c r="F402" s="17" t="s">
        <v>107</v>
      </c>
      <c r="G402" s="41">
        <f>PRESUPUESTO!$E$14+PRESUPUESTO!$E$41+PRESUPUESTO!$E$93</f>
        <v>75.52</v>
      </c>
      <c r="H402" s="33">
        <f>H427</f>
        <v>49170.429355118089</v>
      </c>
    </row>
    <row r="403" spans="2:8" ht="15" customHeight="1" x14ac:dyDescent="0.3">
      <c r="B403" s="137" t="s">
        <v>457</v>
      </c>
      <c r="C403" s="137"/>
      <c r="D403" s="137"/>
      <c r="E403" s="137"/>
      <c r="F403" s="137"/>
      <c r="G403" s="137"/>
      <c r="H403" s="137"/>
    </row>
    <row r="404" spans="2:8" ht="15" customHeight="1" x14ac:dyDescent="0.3">
      <c r="B404" s="64" t="s">
        <v>388</v>
      </c>
    </row>
    <row r="405" spans="2:8" ht="15" customHeight="1" x14ac:dyDescent="0.3">
      <c r="B405" s="135" t="s">
        <v>389</v>
      </c>
      <c r="C405" s="135"/>
      <c r="D405" s="135"/>
      <c r="E405" s="135"/>
      <c r="F405" s="135"/>
      <c r="G405" s="135"/>
      <c r="H405" s="135"/>
    </row>
    <row r="406" spans="2:8" ht="24" customHeight="1" x14ac:dyDescent="0.3">
      <c r="B406" s="123" t="s">
        <v>94</v>
      </c>
      <c r="C406" s="123"/>
      <c r="D406" s="123"/>
      <c r="E406" s="31" t="s">
        <v>383</v>
      </c>
      <c r="F406" s="31" t="s">
        <v>364</v>
      </c>
      <c r="G406" s="31" t="s">
        <v>390</v>
      </c>
      <c r="H406" s="31" t="s">
        <v>391</v>
      </c>
    </row>
    <row r="407" spans="2:8" ht="15" customHeight="1" x14ac:dyDescent="0.3">
      <c r="B407" s="134" t="s">
        <v>392</v>
      </c>
      <c r="C407" s="134"/>
      <c r="D407" s="134"/>
      <c r="E407" s="17" t="s">
        <v>393</v>
      </c>
      <c r="F407" s="22">
        <f>EQUIPOS!$D$3</f>
        <v>0.05</v>
      </c>
      <c r="G407" s="65">
        <f>H425</f>
        <v>24369.675214931507</v>
      </c>
      <c r="H407" s="66">
        <f>F407*G407</f>
        <v>1218.4837607465754</v>
      </c>
    </row>
    <row r="408" spans="2:8" ht="15" customHeight="1" x14ac:dyDescent="0.3">
      <c r="B408" s="134" t="s">
        <v>434</v>
      </c>
      <c r="C408" s="134"/>
      <c r="D408" s="134"/>
      <c r="E408" s="17" t="s">
        <v>421</v>
      </c>
      <c r="F408" s="65">
        <f>EQUIPOS!$D$4</f>
        <v>53440</v>
      </c>
      <c r="G408" s="68">
        <v>5.0000000000000001E-3</v>
      </c>
      <c r="H408" s="66">
        <f>F408*G408</f>
        <v>267.2</v>
      </c>
    </row>
    <row r="409" spans="2:8" ht="15" customHeight="1" x14ac:dyDescent="0.3">
      <c r="B409" s="134" t="s">
        <v>439</v>
      </c>
      <c r="C409" s="134"/>
      <c r="D409" s="134"/>
      <c r="E409" s="17" t="s">
        <v>421</v>
      </c>
      <c r="F409" s="65">
        <f>EQUIPOS!$D$5</f>
        <v>45000</v>
      </c>
      <c r="G409" s="68">
        <v>5.0000000000000001E-3</v>
      </c>
      <c r="H409" s="66">
        <f>F409*G409</f>
        <v>225</v>
      </c>
    </row>
    <row r="410" spans="2:8" ht="15" customHeight="1" x14ac:dyDescent="0.3">
      <c r="B410" s="134" t="s">
        <v>449</v>
      </c>
      <c r="C410" s="134"/>
      <c r="D410" s="134"/>
      <c r="E410" s="17" t="s">
        <v>421</v>
      </c>
      <c r="F410" s="65">
        <f>EQUIPOS!$D$7</f>
        <v>8900</v>
      </c>
      <c r="G410" s="68">
        <v>0.05</v>
      </c>
      <c r="H410" s="66">
        <f>F410*G410</f>
        <v>445</v>
      </c>
    </row>
    <row r="411" spans="2:8" ht="15" customHeight="1" x14ac:dyDescent="0.3">
      <c r="G411" s="31" t="s">
        <v>394</v>
      </c>
      <c r="H411" s="67">
        <f>SUM(H407:H410)</f>
        <v>2155.6837607465754</v>
      </c>
    </row>
    <row r="412" spans="2:8" ht="15" customHeight="1" x14ac:dyDescent="0.3">
      <c r="B412" s="135" t="s">
        <v>395</v>
      </c>
      <c r="C412" s="135"/>
      <c r="D412" s="135"/>
      <c r="E412" s="135"/>
      <c r="F412" s="135"/>
      <c r="G412" s="135"/>
      <c r="H412" s="135"/>
    </row>
    <row r="413" spans="2:8" ht="15" customHeight="1" x14ac:dyDescent="0.3">
      <c r="B413" s="123" t="s">
        <v>94</v>
      </c>
      <c r="C413" s="123"/>
      <c r="D413" s="31" t="s">
        <v>383</v>
      </c>
      <c r="E413" s="31" t="s">
        <v>96</v>
      </c>
      <c r="F413" s="31" t="s">
        <v>396</v>
      </c>
      <c r="G413" s="31" t="s">
        <v>397</v>
      </c>
      <c r="H413" s="31" t="s">
        <v>391</v>
      </c>
    </row>
    <row r="414" spans="2:8" ht="15" customHeight="1" x14ac:dyDescent="0.3">
      <c r="B414" s="134" t="s">
        <v>440</v>
      </c>
      <c r="C414" s="134"/>
      <c r="D414" s="17" t="s">
        <v>423</v>
      </c>
      <c r="E414" s="68">
        <v>2.4E-2</v>
      </c>
      <c r="F414" s="27">
        <v>0.05</v>
      </c>
      <c r="G414" s="32">
        <f>'CONCRETOS Y MORTEROS'!$D$5</f>
        <v>546867.8722000001</v>
      </c>
      <c r="H414" s="66">
        <f>E414*(1+F414)*G414</f>
        <v>13781.070379440003</v>
      </c>
    </row>
    <row r="415" spans="2:8" ht="15" customHeight="1" x14ac:dyDescent="0.3">
      <c r="B415" s="134" t="s">
        <v>441</v>
      </c>
      <c r="C415" s="134"/>
      <c r="D415" s="17" t="s">
        <v>442</v>
      </c>
      <c r="E415" s="68">
        <v>0.4</v>
      </c>
      <c r="F415" s="27">
        <v>0</v>
      </c>
      <c r="G415" s="32">
        <f>'CONCRETOS Y MORTEROS'!$D$7</f>
        <v>17705</v>
      </c>
      <c r="H415" s="66">
        <f>E415*(1+F415)*G415</f>
        <v>7082</v>
      </c>
    </row>
    <row r="416" spans="2:8" ht="15" customHeight="1" x14ac:dyDescent="0.3">
      <c r="G416" s="31" t="s">
        <v>394</v>
      </c>
      <c r="H416" s="67">
        <f>SUM(H414:H415)</f>
        <v>20863.070379440003</v>
      </c>
    </row>
    <row r="417" spans="2:8" ht="15" customHeight="1" x14ac:dyDescent="0.3">
      <c r="B417" s="135" t="s">
        <v>404</v>
      </c>
      <c r="C417" s="135"/>
      <c r="D417" s="135"/>
      <c r="E417" s="135"/>
      <c r="F417" s="135"/>
      <c r="G417" s="135"/>
      <c r="H417" s="135"/>
    </row>
    <row r="418" spans="2:8" ht="15" customHeight="1" x14ac:dyDescent="0.3">
      <c r="B418" s="123" t="s">
        <v>94</v>
      </c>
      <c r="C418" s="123"/>
      <c r="D418" s="31" t="s">
        <v>383</v>
      </c>
      <c r="E418" s="31" t="s">
        <v>96</v>
      </c>
      <c r="F418" s="31"/>
      <c r="G418" s="31" t="s">
        <v>364</v>
      </c>
      <c r="H418" s="31" t="s">
        <v>391</v>
      </c>
    </row>
    <row r="419" spans="2:8" ht="22.05" customHeight="1" x14ac:dyDescent="0.3">
      <c r="B419" s="134" t="s">
        <v>455</v>
      </c>
      <c r="C419" s="134"/>
      <c r="D419" s="17" t="s">
        <v>431</v>
      </c>
      <c r="E419" s="72">
        <f>0.06*'Datos Iniciales'!$B$26</f>
        <v>0.6</v>
      </c>
      <c r="F419" s="29"/>
      <c r="G419" s="32">
        <f>TRANSPORTE!$D$5</f>
        <v>2970</v>
      </c>
      <c r="H419" s="66">
        <f>E419*G419</f>
        <v>1782</v>
      </c>
    </row>
    <row r="420" spans="2:8" ht="15" customHeight="1" x14ac:dyDescent="0.3">
      <c r="G420" s="31" t="s">
        <v>394</v>
      </c>
      <c r="H420" s="67">
        <f>SUM(H419:H419)</f>
        <v>1782</v>
      </c>
    </row>
    <row r="421" spans="2:8" ht="15" customHeight="1" x14ac:dyDescent="0.3">
      <c r="B421" s="135" t="s">
        <v>406</v>
      </c>
      <c r="C421" s="135"/>
      <c r="D421" s="135"/>
      <c r="E421" s="135"/>
      <c r="F421" s="135"/>
      <c r="G421" s="135"/>
      <c r="H421" s="135"/>
    </row>
    <row r="422" spans="2:8" ht="24" customHeight="1" x14ac:dyDescent="0.3">
      <c r="B422" s="123" t="s">
        <v>407</v>
      </c>
      <c r="C422" s="123"/>
      <c r="D422" s="123"/>
      <c r="E422" s="31" t="s">
        <v>96</v>
      </c>
      <c r="F422" s="31" t="s">
        <v>408</v>
      </c>
      <c r="G422" s="31" t="s">
        <v>390</v>
      </c>
      <c r="H422" s="31" t="s">
        <v>391</v>
      </c>
    </row>
    <row r="423" spans="2:8" ht="15" customHeight="1" x14ac:dyDescent="0.3">
      <c r="B423" s="134" t="s">
        <v>409</v>
      </c>
      <c r="C423" s="134"/>
      <c r="D423" s="134"/>
      <c r="E423" s="69">
        <v>1</v>
      </c>
      <c r="F423" s="32">
        <f>'MANO DE OBRA'!$H$27</f>
        <v>226162.13017808215</v>
      </c>
      <c r="G423" s="68">
        <v>7.0000000000000007E-2</v>
      </c>
      <c r="H423" s="66">
        <f>E423*F423*G423</f>
        <v>15831.349112465752</v>
      </c>
    </row>
    <row r="424" spans="2:8" ht="15" customHeight="1" x14ac:dyDescent="0.3">
      <c r="B424" s="134" t="s">
        <v>410</v>
      </c>
      <c r="C424" s="134"/>
      <c r="D424" s="134"/>
      <c r="E424" s="69">
        <v>1</v>
      </c>
      <c r="F424" s="32">
        <f>'MANO DE OBRA'!$H$23</f>
        <v>121976.08717808221</v>
      </c>
      <c r="G424" s="68">
        <v>7.0000000000000007E-2</v>
      </c>
      <c r="H424" s="66">
        <f>E424*F424*G424</f>
        <v>8538.326102465755</v>
      </c>
    </row>
    <row r="425" spans="2:8" ht="15" customHeight="1" x14ac:dyDescent="0.3">
      <c r="G425" s="31" t="s">
        <v>394</v>
      </c>
      <c r="H425" s="67">
        <f>SUM(H423:H424)</f>
        <v>24369.675214931507</v>
      </c>
    </row>
    <row r="426" spans="2:8" ht="15" customHeight="1" x14ac:dyDescent="0.3"/>
    <row r="427" spans="2:8" ht="15" customHeight="1" x14ac:dyDescent="0.3">
      <c r="B427" s="115" t="s">
        <v>295</v>
      </c>
      <c r="C427" s="115"/>
      <c r="D427" s="115"/>
      <c r="E427" s="115"/>
      <c r="F427" s="115"/>
      <c r="G427" s="115"/>
      <c r="H427" s="70">
        <f>H411+H416+H420+H425</f>
        <v>49170.429355118089</v>
      </c>
    </row>
    <row r="428" spans="2:8" ht="15" customHeight="1" x14ac:dyDescent="0.3"/>
    <row r="429" spans="2:8" ht="15" customHeight="1" x14ac:dyDescent="0.3">
      <c r="B429" s="71" t="s">
        <v>411</v>
      </c>
    </row>
    <row r="430" spans="2:8" ht="15" customHeight="1" x14ac:dyDescent="0.3">
      <c r="B430" s="123" t="s">
        <v>94</v>
      </c>
      <c r="C430" s="123"/>
      <c r="D430" s="123"/>
      <c r="E430" s="123"/>
      <c r="F430" s="123"/>
      <c r="G430" s="31" t="s">
        <v>412</v>
      </c>
      <c r="H430" s="31" t="s">
        <v>4</v>
      </c>
    </row>
    <row r="431" spans="2:8" ht="15" customHeight="1" x14ac:dyDescent="0.3">
      <c r="B431" s="110" t="s">
        <v>73</v>
      </c>
      <c r="C431" s="110"/>
      <c r="D431" s="110"/>
      <c r="E431" s="110"/>
      <c r="F431" s="110"/>
      <c r="G431" s="22">
        <f>'Datos Iniciales'!$B$32</f>
        <v>0.28999999999999998</v>
      </c>
      <c r="H431" s="66">
        <f>H427*G431</f>
        <v>14259.424512984246</v>
      </c>
    </row>
    <row r="432" spans="2:8" ht="15" customHeight="1" x14ac:dyDescent="0.3">
      <c r="B432" s="110" t="s">
        <v>74</v>
      </c>
      <c r="C432" s="110"/>
      <c r="D432" s="110"/>
      <c r="E432" s="110"/>
      <c r="F432" s="110"/>
      <c r="G432" s="22">
        <f>'Datos Iniciales'!$B$33</f>
        <v>0.05</v>
      </c>
      <c r="H432" s="66">
        <f>H427*G432</f>
        <v>2458.5214677559047</v>
      </c>
    </row>
    <row r="433" spans="2:8" ht="15" customHeight="1" x14ac:dyDescent="0.3">
      <c r="B433" s="138" t="s">
        <v>413</v>
      </c>
      <c r="C433" s="138"/>
      <c r="D433" s="138"/>
      <c r="E433" s="138"/>
      <c r="F433" s="138"/>
      <c r="G433" s="60">
        <f>G431+G432</f>
        <v>0.33999999999999997</v>
      </c>
      <c r="H433" s="67">
        <f>H431+H432</f>
        <v>16717.945980740151</v>
      </c>
    </row>
    <row r="434" spans="2:8" ht="15" customHeight="1" x14ac:dyDescent="0.3"/>
    <row r="435" spans="2:8" ht="15" customHeight="1" x14ac:dyDescent="0.3">
      <c r="B435" s="139" t="s">
        <v>414</v>
      </c>
      <c r="C435" s="139"/>
      <c r="D435" s="139"/>
      <c r="E435" s="139"/>
      <c r="F435" s="139"/>
      <c r="G435" s="139"/>
      <c r="H435" s="37">
        <f>ROUND(H427+H433,0)</f>
        <v>65888</v>
      </c>
    </row>
    <row r="436" spans="2:8" ht="15" customHeight="1" x14ac:dyDescent="0.3"/>
    <row r="437" spans="2:8" ht="15" customHeight="1" x14ac:dyDescent="0.3"/>
    <row r="438" spans="2:8" ht="15.75" customHeight="1" x14ac:dyDescent="0.3">
      <c r="B438" s="123" t="s">
        <v>0</v>
      </c>
      <c r="C438" s="123"/>
      <c r="D438" s="123"/>
      <c r="E438" s="123"/>
      <c r="F438" s="123"/>
      <c r="G438" s="123"/>
      <c r="H438" s="110"/>
    </row>
    <row r="439" spans="2:8" ht="15.75" customHeight="1" x14ac:dyDescent="0.3">
      <c r="B439" s="123" t="s">
        <v>1</v>
      </c>
      <c r="C439" s="123"/>
      <c r="D439" s="123"/>
      <c r="E439" s="123"/>
      <c r="F439" s="123"/>
      <c r="G439" s="123"/>
      <c r="H439" s="110"/>
    </row>
    <row r="440" spans="2:8" ht="24" customHeight="1" x14ac:dyDescent="0.3">
      <c r="B440" s="136" t="str">
        <f>'Datos Iniciales'!$B$8</f>
        <v>OBRA PÚBLICA PARA LA EJECUCIÓN DE DIFERENTES MEJORAMIENTOS DE VIVIENDA EN EL CASCO URBANO Y RURAL DEL MUNICIPIO DE MACEO - ANTIOQUIA</v>
      </c>
      <c r="C440" s="136"/>
      <c r="D440" s="136"/>
      <c r="E440" s="136"/>
      <c r="F440" s="136"/>
      <c r="G440" s="136"/>
      <c r="H440" s="110"/>
    </row>
    <row r="441" spans="2:8" ht="15.75" customHeight="1" x14ac:dyDescent="0.3">
      <c r="B441" s="112" t="s">
        <v>381</v>
      </c>
      <c r="C441" s="112"/>
      <c r="D441" s="112"/>
      <c r="E441" s="112"/>
      <c r="F441" s="112"/>
      <c r="G441" s="112"/>
      <c r="H441" s="110"/>
    </row>
    <row r="442" spans="2:8" ht="24" customHeight="1" x14ac:dyDescent="0.3">
      <c r="B442" s="13" t="s">
        <v>382</v>
      </c>
      <c r="C442" s="112" t="s">
        <v>94</v>
      </c>
      <c r="D442" s="112"/>
      <c r="E442" s="112"/>
      <c r="F442" s="13" t="s">
        <v>383</v>
      </c>
      <c r="G442" s="13" t="s">
        <v>384</v>
      </c>
      <c r="H442" s="13" t="s">
        <v>385</v>
      </c>
    </row>
    <row r="443" spans="2:8" ht="31.5" customHeight="1" x14ac:dyDescent="0.3">
      <c r="B443" s="63" t="s">
        <v>458</v>
      </c>
      <c r="C443" s="140" t="s">
        <v>120</v>
      </c>
      <c r="D443" s="140"/>
      <c r="E443" s="140"/>
      <c r="F443" s="17" t="s">
        <v>107</v>
      </c>
      <c r="G443" s="41">
        <f>PRESUPUESTO!$E$15+PRESUPUESTO!$E$42+PRESUPUESTO!$E$94</f>
        <v>55.910000000000004</v>
      </c>
      <c r="H443" s="33">
        <f>H466</f>
        <v>27905.665959798767</v>
      </c>
    </row>
    <row r="444" spans="2:8" ht="15" customHeight="1" x14ac:dyDescent="0.3">
      <c r="B444" s="137" t="s">
        <v>459</v>
      </c>
      <c r="C444" s="137"/>
      <c r="D444" s="137"/>
      <c r="E444" s="137"/>
      <c r="F444" s="137"/>
      <c r="G444" s="137"/>
      <c r="H444" s="137"/>
    </row>
    <row r="445" spans="2:8" ht="15" customHeight="1" x14ac:dyDescent="0.3">
      <c r="B445" s="64" t="s">
        <v>388</v>
      </c>
    </row>
    <row r="446" spans="2:8" ht="15" customHeight="1" x14ac:dyDescent="0.3">
      <c r="B446" s="135" t="s">
        <v>389</v>
      </c>
      <c r="C446" s="135"/>
      <c r="D446" s="135"/>
      <c r="E446" s="135"/>
      <c r="F446" s="135"/>
      <c r="G446" s="135"/>
      <c r="H446" s="135"/>
    </row>
    <row r="447" spans="2:8" ht="24" customHeight="1" x14ac:dyDescent="0.3">
      <c r="B447" s="123" t="s">
        <v>94</v>
      </c>
      <c r="C447" s="123"/>
      <c r="D447" s="123"/>
      <c r="E447" s="31" t="s">
        <v>383</v>
      </c>
      <c r="F447" s="31" t="s">
        <v>364</v>
      </c>
      <c r="G447" s="31" t="s">
        <v>390</v>
      </c>
      <c r="H447" s="31" t="s">
        <v>391</v>
      </c>
    </row>
    <row r="448" spans="2:8" ht="15" customHeight="1" x14ac:dyDescent="0.3">
      <c r="B448" s="134" t="s">
        <v>392</v>
      </c>
      <c r="C448" s="134"/>
      <c r="D448" s="134"/>
      <c r="E448" s="17" t="s">
        <v>393</v>
      </c>
      <c r="F448" s="22">
        <f>EQUIPOS!$D$3</f>
        <v>0.05</v>
      </c>
      <c r="G448" s="65">
        <f>H464</f>
        <v>15666.219781027396</v>
      </c>
      <c r="H448" s="66">
        <f>F448*G448</f>
        <v>783.3109890513698</v>
      </c>
    </row>
    <row r="449" spans="2:8" ht="15" customHeight="1" x14ac:dyDescent="0.3">
      <c r="B449" s="134" t="s">
        <v>434</v>
      </c>
      <c r="C449" s="134"/>
      <c r="D449" s="134"/>
      <c r="E449" s="17" t="s">
        <v>421</v>
      </c>
      <c r="F449" s="65">
        <f>EQUIPOS!$D$4</f>
        <v>53440</v>
      </c>
      <c r="G449" s="68">
        <v>2.5000000000000001E-3</v>
      </c>
      <c r="H449" s="66">
        <f>F449*G449</f>
        <v>133.6</v>
      </c>
    </row>
    <row r="450" spans="2:8" ht="15" customHeight="1" x14ac:dyDescent="0.3">
      <c r="G450" s="31" t="s">
        <v>394</v>
      </c>
      <c r="H450" s="67">
        <f>SUM(H448:H449)</f>
        <v>916.91098905136982</v>
      </c>
    </row>
    <row r="451" spans="2:8" ht="15" customHeight="1" x14ac:dyDescent="0.3">
      <c r="B451" s="135" t="s">
        <v>395</v>
      </c>
      <c r="C451" s="135"/>
      <c r="D451" s="135"/>
      <c r="E451" s="135"/>
      <c r="F451" s="135"/>
      <c r="G451" s="135"/>
      <c r="H451" s="135"/>
    </row>
    <row r="452" spans="2:8" ht="15" customHeight="1" x14ac:dyDescent="0.3">
      <c r="B452" s="123" t="s">
        <v>94</v>
      </c>
      <c r="C452" s="123"/>
      <c r="D452" s="31" t="s">
        <v>383</v>
      </c>
      <c r="E452" s="31" t="s">
        <v>96</v>
      </c>
      <c r="F452" s="31" t="s">
        <v>396</v>
      </c>
      <c r="G452" s="31" t="s">
        <v>397</v>
      </c>
      <c r="H452" s="31" t="s">
        <v>391</v>
      </c>
    </row>
    <row r="453" spans="2:8" ht="15" customHeight="1" x14ac:dyDescent="0.3">
      <c r="B453" s="134" t="s">
        <v>440</v>
      </c>
      <c r="C453" s="134"/>
      <c r="D453" s="17" t="s">
        <v>423</v>
      </c>
      <c r="E453" s="68">
        <v>1.2E-2</v>
      </c>
      <c r="F453" s="27">
        <v>0.05</v>
      </c>
      <c r="G453" s="32">
        <f>'CONCRETOS Y MORTEROS'!$D$5</f>
        <v>546867.8722000001</v>
      </c>
      <c r="H453" s="66">
        <f>E453*(1+F453)*G453</f>
        <v>6890.5351897200017</v>
      </c>
    </row>
    <row r="454" spans="2:8" ht="15" customHeight="1" x14ac:dyDescent="0.3">
      <c r="B454" s="134" t="s">
        <v>441</v>
      </c>
      <c r="C454" s="134"/>
      <c r="D454" s="17" t="s">
        <v>442</v>
      </c>
      <c r="E454" s="68">
        <v>0.2</v>
      </c>
      <c r="F454" s="27">
        <v>0</v>
      </c>
      <c r="G454" s="32">
        <f>'CONCRETOS Y MORTEROS'!$D$7</f>
        <v>17705</v>
      </c>
      <c r="H454" s="66">
        <f>E454*(1+F454)*G454</f>
        <v>3541</v>
      </c>
    </row>
    <row r="455" spans="2:8" ht="15" customHeight="1" x14ac:dyDescent="0.3">
      <c r="G455" s="31" t="s">
        <v>394</v>
      </c>
      <c r="H455" s="67">
        <f>SUM(H453:H454)</f>
        <v>10431.535189720002</v>
      </c>
    </row>
    <row r="456" spans="2:8" ht="15" customHeight="1" x14ac:dyDescent="0.3">
      <c r="B456" s="135" t="s">
        <v>404</v>
      </c>
      <c r="C456" s="135"/>
      <c r="D456" s="135"/>
      <c r="E456" s="135"/>
      <c r="F456" s="135"/>
      <c r="G456" s="135"/>
      <c r="H456" s="135"/>
    </row>
    <row r="457" spans="2:8" ht="15" customHeight="1" x14ac:dyDescent="0.3">
      <c r="B457" s="123" t="s">
        <v>94</v>
      </c>
      <c r="C457" s="123"/>
      <c r="D457" s="31" t="s">
        <v>383</v>
      </c>
      <c r="E457" s="31" t="s">
        <v>96</v>
      </c>
      <c r="F457" s="31"/>
      <c r="G457" s="31" t="s">
        <v>364</v>
      </c>
      <c r="H457" s="31" t="s">
        <v>391</v>
      </c>
    </row>
    <row r="458" spans="2:8" ht="22.05" customHeight="1" x14ac:dyDescent="0.3">
      <c r="B458" s="134" t="s">
        <v>460</v>
      </c>
      <c r="C458" s="134"/>
      <c r="D458" s="17" t="s">
        <v>431</v>
      </c>
      <c r="E458" s="72">
        <f>0.03*'Datos Iniciales'!$B$26</f>
        <v>0.3</v>
      </c>
      <c r="F458" s="29"/>
      <c r="G458" s="32">
        <f>TRANSPORTE!$D$5</f>
        <v>2970</v>
      </c>
      <c r="H458" s="66">
        <f>E458*G458</f>
        <v>891</v>
      </c>
    </row>
    <row r="459" spans="2:8" ht="15" customHeight="1" x14ac:dyDescent="0.3">
      <c r="G459" s="31" t="s">
        <v>394</v>
      </c>
      <c r="H459" s="67">
        <f>SUM(H458:H458)</f>
        <v>891</v>
      </c>
    </row>
    <row r="460" spans="2:8" ht="15" customHeight="1" x14ac:dyDescent="0.3">
      <c r="B460" s="135" t="s">
        <v>406</v>
      </c>
      <c r="C460" s="135"/>
      <c r="D460" s="135"/>
      <c r="E460" s="135"/>
      <c r="F460" s="135"/>
      <c r="G460" s="135"/>
      <c r="H460" s="135"/>
    </row>
    <row r="461" spans="2:8" ht="24" customHeight="1" x14ac:dyDescent="0.3">
      <c r="B461" s="123" t="s">
        <v>407</v>
      </c>
      <c r="C461" s="123"/>
      <c r="D461" s="123"/>
      <c r="E461" s="31" t="s">
        <v>96</v>
      </c>
      <c r="F461" s="31" t="s">
        <v>408</v>
      </c>
      <c r="G461" s="31" t="s">
        <v>390</v>
      </c>
      <c r="H461" s="31" t="s">
        <v>391</v>
      </c>
    </row>
    <row r="462" spans="2:8" ht="15" customHeight="1" x14ac:dyDescent="0.3">
      <c r="B462" s="134" t="s">
        <v>409</v>
      </c>
      <c r="C462" s="134"/>
      <c r="D462" s="134"/>
      <c r="E462" s="69">
        <v>1</v>
      </c>
      <c r="F462" s="32">
        <f>'MANO DE OBRA'!$H$27</f>
        <v>226162.13017808215</v>
      </c>
      <c r="G462" s="68">
        <v>4.4999999999999998E-2</v>
      </c>
      <c r="H462" s="66">
        <f>E462*F462*G462</f>
        <v>10177.295858013696</v>
      </c>
    </row>
    <row r="463" spans="2:8" ht="15" customHeight="1" x14ac:dyDescent="0.3">
      <c r="B463" s="134" t="s">
        <v>410</v>
      </c>
      <c r="C463" s="134"/>
      <c r="D463" s="134"/>
      <c r="E463" s="69">
        <v>1</v>
      </c>
      <c r="F463" s="32">
        <f>'MANO DE OBRA'!$H$23</f>
        <v>121976.08717808221</v>
      </c>
      <c r="G463" s="68">
        <v>4.4999999999999998E-2</v>
      </c>
      <c r="H463" s="66">
        <f>E463*F463*G463</f>
        <v>5488.9239230136991</v>
      </c>
    </row>
    <row r="464" spans="2:8" ht="15" customHeight="1" x14ac:dyDescent="0.3">
      <c r="G464" s="31" t="s">
        <v>394</v>
      </c>
      <c r="H464" s="67">
        <f>SUM(H462:H463)</f>
        <v>15666.219781027396</v>
      </c>
    </row>
    <row r="465" spans="2:8" ht="15" customHeight="1" x14ac:dyDescent="0.3"/>
    <row r="466" spans="2:8" ht="15" customHeight="1" x14ac:dyDescent="0.3">
      <c r="B466" s="115" t="s">
        <v>295</v>
      </c>
      <c r="C466" s="115"/>
      <c r="D466" s="115"/>
      <c r="E466" s="115"/>
      <c r="F466" s="115"/>
      <c r="G466" s="115"/>
      <c r="H466" s="70">
        <f>H450+H455+H459+H464</f>
        <v>27905.665959798767</v>
      </c>
    </row>
    <row r="467" spans="2:8" ht="15" customHeight="1" x14ac:dyDescent="0.3"/>
    <row r="468" spans="2:8" ht="15" customHeight="1" x14ac:dyDescent="0.3">
      <c r="B468" s="71" t="s">
        <v>411</v>
      </c>
    </row>
    <row r="469" spans="2:8" ht="15" customHeight="1" x14ac:dyDescent="0.3">
      <c r="B469" s="123" t="s">
        <v>94</v>
      </c>
      <c r="C469" s="123"/>
      <c r="D469" s="123"/>
      <c r="E469" s="123"/>
      <c r="F469" s="123"/>
      <c r="G469" s="31" t="s">
        <v>412</v>
      </c>
      <c r="H469" s="31" t="s">
        <v>4</v>
      </c>
    </row>
    <row r="470" spans="2:8" ht="15" customHeight="1" x14ac:dyDescent="0.3">
      <c r="B470" s="110" t="s">
        <v>73</v>
      </c>
      <c r="C470" s="110"/>
      <c r="D470" s="110"/>
      <c r="E470" s="110"/>
      <c r="F470" s="110"/>
      <c r="G470" s="22">
        <f>'Datos Iniciales'!$B$32</f>
        <v>0.28999999999999998</v>
      </c>
      <c r="H470" s="66">
        <f>H466*G470</f>
        <v>8092.6431283416423</v>
      </c>
    </row>
    <row r="471" spans="2:8" ht="15" customHeight="1" x14ac:dyDescent="0.3">
      <c r="B471" s="110" t="s">
        <v>74</v>
      </c>
      <c r="C471" s="110"/>
      <c r="D471" s="110"/>
      <c r="E471" s="110"/>
      <c r="F471" s="110"/>
      <c r="G471" s="22">
        <f>'Datos Iniciales'!$B$33</f>
        <v>0.05</v>
      </c>
      <c r="H471" s="66">
        <f>H466*G471</f>
        <v>1395.2832979899385</v>
      </c>
    </row>
    <row r="472" spans="2:8" ht="15" customHeight="1" x14ac:dyDescent="0.3">
      <c r="B472" s="138" t="s">
        <v>413</v>
      </c>
      <c r="C472" s="138"/>
      <c r="D472" s="138"/>
      <c r="E472" s="138"/>
      <c r="F472" s="138"/>
      <c r="G472" s="60">
        <f>G470+G471</f>
        <v>0.33999999999999997</v>
      </c>
      <c r="H472" s="67">
        <f>H470+H471</f>
        <v>9487.9264263315818</v>
      </c>
    </row>
    <row r="473" spans="2:8" ht="15" customHeight="1" x14ac:dyDescent="0.3"/>
    <row r="474" spans="2:8" ht="15" customHeight="1" x14ac:dyDescent="0.3">
      <c r="B474" s="139" t="s">
        <v>414</v>
      </c>
      <c r="C474" s="139"/>
      <c r="D474" s="139"/>
      <c r="E474" s="139"/>
      <c r="F474" s="139"/>
      <c r="G474" s="139"/>
      <c r="H474" s="37">
        <f>ROUND(H466+H472,0)</f>
        <v>37394</v>
      </c>
    </row>
    <row r="475" spans="2:8" ht="15" customHeight="1" x14ac:dyDescent="0.3"/>
    <row r="476" spans="2:8" ht="15" customHeight="1" x14ac:dyDescent="0.3"/>
    <row r="477" spans="2:8" ht="15.75" customHeight="1" x14ac:dyDescent="0.3">
      <c r="B477" s="123" t="s">
        <v>0</v>
      </c>
      <c r="C477" s="123"/>
      <c r="D477" s="123"/>
      <c r="E477" s="123"/>
      <c r="F477" s="123"/>
      <c r="G477" s="123"/>
      <c r="H477" s="110"/>
    </row>
    <row r="478" spans="2:8" ht="15.75" customHeight="1" x14ac:dyDescent="0.3">
      <c r="B478" s="123" t="s">
        <v>1</v>
      </c>
      <c r="C478" s="123"/>
      <c r="D478" s="123"/>
      <c r="E478" s="123"/>
      <c r="F478" s="123"/>
      <c r="G478" s="123"/>
      <c r="H478" s="110"/>
    </row>
    <row r="479" spans="2:8" ht="24" customHeight="1" x14ac:dyDescent="0.3">
      <c r="B479" s="136" t="str">
        <f>'Datos Iniciales'!$B$8</f>
        <v>OBRA PÚBLICA PARA LA EJECUCIÓN DE DIFERENTES MEJORAMIENTOS DE VIVIENDA EN EL CASCO URBANO Y RURAL DEL MUNICIPIO DE MACEO - ANTIOQUIA</v>
      </c>
      <c r="C479" s="136"/>
      <c r="D479" s="136"/>
      <c r="E479" s="136"/>
      <c r="F479" s="136"/>
      <c r="G479" s="136"/>
      <c r="H479" s="110"/>
    </row>
    <row r="480" spans="2:8" ht="15.75" customHeight="1" x14ac:dyDescent="0.3">
      <c r="B480" s="112" t="s">
        <v>381</v>
      </c>
      <c r="C480" s="112"/>
      <c r="D480" s="112"/>
      <c r="E480" s="112"/>
      <c r="F480" s="112"/>
      <c r="G480" s="112"/>
      <c r="H480" s="110"/>
    </row>
    <row r="481" spans="2:8" ht="24" customHeight="1" x14ac:dyDescent="0.3">
      <c r="B481" s="13" t="s">
        <v>382</v>
      </c>
      <c r="C481" s="112" t="s">
        <v>94</v>
      </c>
      <c r="D481" s="112"/>
      <c r="E481" s="112"/>
      <c r="F481" s="13" t="s">
        <v>383</v>
      </c>
      <c r="G481" s="13" t="s">
        <v>384</v>
      </c>
      <c r="H481" s="13" t="s">
        <v>385</v>
      </c>
    </row>
    <row r="482" spans="2:8" ht="52.5" customHeight="1" x14ac:dyDescent="0.3">
      <c r="B482" s="63" t="s">
        <v>461</v>
      </c>
      <c r="C482" s="140" t="s">
        <v>281</v>
      </c>
      <c r="D482" s="140"/>
      <c r="E482" s="140"/>
      <c r="F482" s="17" t="s">
        <v>137</v>
      </c>
      <c r="G482" s="41">
        <f>PRESUPUESTO!$E$129</f>
        <v>4</v>
      </c>
      <c r="H482" s="33">
        <f>H507</f>
        <v>91905.49307535727</v>
      </c>
    </row>
    <row r="483" spans="2:8" ht="15" customHeight="1" x14ac:dyDescent="0.3">
      <c r="B483" s="137" t="s">
        <v>462</v>
      </c>
      <c r="C483" s="137"/>
      <c r="D483" s="137"/>
      <c r="E483" s="137"/>
      <c r="F483" s="137"/>
      <c r="G483" s="137"/>
      <c r="H483" s="137"/>
    </row>
    <row r="484" spans="2:8" ht="15" customHeight="1" x14ac:dyDescent="0.3">
      <c r="B484" s="64" t="s">
        <v>388</v>
      </c>
    </row>
    <row r="485" spans="2:8" ht="15" customHeight="1" x14ac:dyDescent="0.3">
      <c r="B485" s="135" t="s">
        <v>389</v>
      </c>
      <c r="C485" s="135"/>
      <c r="D485" s="135"/>
      <c r="E485" s="135"/>
      <c r="F485" s="135"/>
      <c r="G485" s="135"/>
      <c r="H485" s="135"/>
    </row>
    <row r="486" spans="2:8" ht="24" customHeight="1" x14ac:dyDescent="0.3">
      <c r="B486" s="123" t="s">
        <v>94</v>
      </c>
      <c r="C486" s="123"/>
      <c r="D486" s="123"/>
      <c r="E486" s="31" t="s">
        <v>383</v>
      </c>
      <c r="F486" s="31" t="s">
        <v>364</v>
      </c>
      <c r="G486" s="31" t="s">
        <v>390</v>
      </c>
      <c r="H486" s="31" t="s">
        <v>391</v>
      </c>
    </row>
    <row r="487" spans="2:8" ht="15" customHeight="1" x14ac:dyDescent="0.3">
      <c r="B487" s="134" t="s">
        <v>392</v>
      </c>
      <c r="C487" s="134"/>
      <c r="D487" s="134"/>
      <c r="E487" s="17" t="s">
        <v>393</v>
      </c>
      <c r="F487" s="22">
        <f>EQUIPOS!$D$3</f>
        <v>0.05</v>
      </c>
      <c r="G487" s="65">
        <f>H505</f>
        <v>34813.821735616439</v>
      </c>
      <c r="H487" s="66">
        <f>F487*G487</f>
        <v>1740.6910867808219</v>
      </c>
    </row>
    <row r="488" spans="2:8" ht="15" customHeight="1" x14ac:dyDescent="0.3">
      <c r="G488" s="31" t="s">
        <v>394</v>
      </c>
      <c r="H488" s="67">
        <f>SUM(H487:H487)</f>
        <v>1740.6910867808219</v>
      </c>
    </row>
    <row r="489" spans="2:8" ht="15" customHeight="1" x14ac:dyDescent="0.3">
      <c r="B489" s="135" t="s">
        <v>395</v>
      </c>
      <c r="C489" s="135"/>
      <c r="D489" s="135"/>
      <c r="E489" s="135"/>
      <c r="F489" s="135"/>
      <c r="G489" s="135"/>
      <c r="H489" s="135"/>
    </row>
    <row r="490" spans="2:8" ht="15" customHeight="1" x14ac:dyDescent="0.3">
      <c r="B490" s="123" t="s">
        <v>94</v>
      </c>
      <c r="C490" s="123"/>
      <c r="D490" s="31" t="s">
        <v>383</v>
      </c>
      <c r="E490" s="31" t="s">
        <v>96</v>
      </c>
      <c r="F490" s="31" t="s">
        <v>396</v>
      </c>
      <c r="G490" s="31" t="s">
        <v>397</v>
      </c>
      <c r="H490" s="31" t="s">
        <v>391</v>
      </c>
    </row>
    <row r="491" spans="2:8" ht="15" customHeight="1" x14ac:dyDescent="0.3">
      <c r="B491" s="134" t="s">
        <v>440</v>
      </c>
      <c r="C491" s="134"/>
      <c r="D491" s="17" t="s">
        <v>423</v>
      </c>
      <c r="E491" s="68">
        <v>1.6E-2</v>
      </c>
      <c r="F491" s="27">
        <v>0.05</v>
      </c>
      <c r="G491" s="32">
        <f>'CONCRETOS Y MORTEROS'!$D$5</f>
        <v>546867.8722000001</v>
      </c>
      <c r="H491" s="66">
        <f>E491*(1+F491)*G491</f>
        <v>9187.3802529600034</v>
      </c>
    </row>
    <row r="492" spans="2:8" ht="15" customHeight="1" x14ac:dyDescent="0.3">
      <c r="B492" s="134" t="s">
        <v>441</v>
      </c>
      <c r="C492" s="134"/>
      <c r="D492" s="17" t="s">
        <v>442</v>
      </c>
      <c r="E492" s="68">
        <v>0.32</v>
      </c>
      <c r="F492" s="27">
        <v>0</v>
      </c>
      <c r="G492" s="32">
        <f>'CONCRETOS Y MORTEROS'!$D$7</f>
        <v>17705</v>
      </c>
      <c r="H492" s="66">
        <f>E492*(1+F492)*G492</f>
        <v>5665.6</v>
      </c>
    </row>
    <row r="493" spans="2:8" ht="15" customHeight="1" x14ac:dyDescent="0.3">
      <c r="B493" s="134" t="s">
        <v>463</v>
      </c>
      <c r="C493" s="134"/>
      <c r="D493" s="17" t="s">
        <v>464</v>
      </c>
      <c r="E493" s="68">
        <v>1.7</v>
      </c>
      <c r="F493" s="27">
        <v>0.05</v>
      </c>
      <c r="G493" s="32">
        <f>INSUMOS!$D$8</f>
        <v>6800</v>
      </c>
      <c r="H493" s="66">
        <f>E493*(1+F493)*G493</f>
        <v>12138</v>
      </c>
    </row>
    <row r="494" spans="2:8" ht="15" customHeight="1" x14ac:dyDescent="0.3">
      <c r="B494" s="134" t="s">
        <v>465</v>
      </c>
      <c r="C494" s="134"/>
      <c r="D494" s="17" t="s">
        <v>464</v>
      </c>
      <c r="E494" s="68">
        <v>0.03</v>
      </c>
      <c r="F494" s="27">
        <v>0</v>
      </c>
      <c r="G494" s="32">
        <f>INSUMOS!$D$9</f>
        <v>12500</v>
      </c>
      <c r="H494" s="66">
        <f>E494*(1+F494)*G494</f>
        <v>375</v>
      </c>
    </row>
    <row r="495" spans="2:8" ht="15" customHeight="1" x14ac:dyDescent="0.3">
      <c r="B495" s="134" t="s">
        <v>466</v>
      </c>
      <c r="C495" s="134"/>
      <c r="D495" s="17" t="s">
        <v>399</v>
      </c>
      <c r="E495" s="68">
        <v>1</v>
      </c>
      <c r="F495" s="27">
        <v>0</v>
      </c>
      <c r="G495" s="32">
        <f>INSUMOS!$D$87</f>
        <v>26500</v>
      </c>
      <c r="H495" s="66">
        <f>E495*(1+F495)*G495</f>
        <v>26500</v>
      </c>
    </row>
    <row r="496" spans="2:8" ht="15" customHeight="1" x14ac:dyDescent="0.3">
      <c r="G496" s="31" t="s">
        <v>394</v>
      </c>
      <c r="H496" s="67">
        <f>SUM(H491:H495)</f>
        <v>53865.980252960006</v>
      </c>
    </row>
    <row r="497" spans="2:8" ht="15" customHeight="1" x14ac:dyDescent="0.3">
      <c r="B497" s="135" t="s">
        <v>404</v>
      </c>
      <c r="C497" s="135"/>
      <c r="D497" s="135"/>
      <c r="E497" s="135"/>
      <c r="F497" s="135"/>
      <c r="G497" s="135"/>
      <c r="H497" s="135"/>
    </row>
    <row r="498" spans="2:8" ht="15" customHeight="1" x14ac:dyDescent="0.3">
      <c r="B498" s="123" t="s">
        <v>94</v>
      </c>
      <c r="C498" s="123"/>
      <c r="D498" s="31" t="s">
        <v>383</v>
      </c>
      <c r="E498" s="31" t="s">
        <v>96</v>
      </c>
      <c r="F498" s="31"/>
      <c r="G498" s="31" t="s">
        <v>364</v>
      </c>
      <c r="H498" s="31" t="s">
        <v>391</v>
      </c>
    </row>
    <row r="499" spans="2:8" ht="22.05" customHeight="1" x14ac:dyDescent="0.3">
      <c r="B499" s="134" t="s">
        <v>467</v>
      </c>
      <c r="C499" s="134"/>
      <c r="D499" s="17" t="s">
        <v>431</v>
      </c>
      <c r="E499" s="72">
        <f>0.05*'Datos Iniciales'!$B$26</f>
        <v>0.5</v>
      </c>
      <c r="F499" s="29"/>
      <c r="G499" s="32">
        <f>TRANSPORTE!$D$5</f>
        <v>2970</v>
      </c>
      <c r="H499" s="66">
        <f>E499*G499</f>
        <v>1485</v>
      </c>
    </row>
    <row r="500" spans="2:8" ht="15" customHeight="1" x14ac:dyDescent="0.3">
      <c r="G500" s="31" t="s">
        <v>394</v>
      </c>
      <c r="H500" s="67">
        <f>SUM(H499:H499)</f>
        <v>1485</v>
      </c>
    </row>
    <row r="501" spans="2:8" ht="15" customHeight="1" x14ac:dyDescent="0.3">
      <c r="B501" s="135" t="s">
        <v>406</v>
      </c>
      <c r="C501" s="135"/>
      <c r="D501" s="135"/>
      <c r="E501" s="135"/>
      <c r="F501" s="135"/>
      <c r="G501" s="135"/>
      <c r="H501" s="135"/>
    </row>
    <row r="502" spans="2:8" ht="24" customHeight="1" x14ac:dyDescent="0.3">
      <c r="B502" s="123" t="s">
        <v>407</v>
      </c>
      <c r="C502" s="123"/>
      <c r="D502" s="123"/>
      <c r="E502" s="31" t="s">
        <v>96</v>
      </c>
      <c r="F502" s="31" t="s">
        <v>408</v>
      </c>
      <c r="G502" s="31" t="s">
        <v>390</v>
      </c>
      <c r="H502" s="31" t="s">
        <v>391</v>
      </c>
    </row>
    <row r="503" spans="2:8" ht="15" customHeight="1" x14ac:dyDescent="0.3">
      <c r="B503" s="134" t="s">
        <v>409</v>
      </c>
      <c r="C503" s="134"/>
      <c r="D503" s="134"/>
      <c r="E503" s="69">
        <v>1</v>
      </c>
      <c r="F503" s="32">
        <f>'MANO DE OBRA'!$H$27</f>
        <v>226162.13017808215</v>
      </c>
      <c r="G503" s="68">
        <v>0.1</v>
      </c>
      <c r="H503" s="66">
        <f>E503*F503*G503</f>
        <v>22616.213017808215</v>
      </c>
    </row>
    <row r="504" spans="2:8" ht="15" customHeight="1" x14ac:dyDescent="0.3">
      <c r="B504" s="134" t="s">
        <v>410</v>
      </c>
      <c r="C504" s="134"/>
      <c r="D504" s="134"/>
      <c r="E504" s="69">
        <v>1</v>
      </c>
      <c r="F504" s="32">
        <f>'MANO DE OBRA'!$H$23</f>
        <v>121976.08717808221</v>
      </c>
      <c r="G504" s="68">
        <v>0.1</v>
      </c>
      <c r="H504" s="66">
        <f>E504*F504*G504</f>
        <v>12197.608717808222</v>
      </c>
    </row>
    <row r="505" spans="2:8" ht="15" customHeight="1" x14ac:dyDescent="0.3">
      <c r="G505" s="31" t="s">
        <v>394</v>
      </c>
      <c r="H505" s="67">
        <f>SUM(H503:H504)</f>
        <v>34813.821735616439</v>
      </c>
    </row>
    <row r="506" spans="2:8" ht="15" customHeight="1" x14ac:dyDescent="0.3"/>
    <row r="507" spans="2:8" ht="15" customHeight="1" x14ac:dyDescent="0.3">
      <c r="B507" s="115" t="s">
        <v>295</v>
      </c>
      <c r="C507" s="115"/>
      <c r="D507" s="115"/>
      <c r="E507" s="115"/>
      <c r="F507" s="115"/>
      <c r="G507" s="115"/>
      <c r="H507" s="70">
        <f>H488+H496+H500+H505</f>
        <v>91905.49307535727</v>
      </c>
    </row>
    <row r="508" spans="2:8" ht="15" customHeight="1" x14ac:dyDescent="0.3"/>
    <row r="509" spans="2:8" ht="15" customHeight="1" x14ac:dyDescent="0.3">
      <c r="B509" s="71" t="s">
        <v>411</v>
      </c>
    </row>
    <row r="510" spans="2:8" ht="15" customHeight="1" x14ac:dyDescent="0.3">
      <c r="B510" s="123" t="s">
        <v>94</v>
      </c>
      <c r="C510" s="123"/>
      <c r="D510" s="123"/>
      <c r="E510" s="123"/>
      <c r="F510" s="123"/>
      <c r="G510" s="31" t="s">
        <v>412</v>
      </c>
      <c r="H510" s="31" t="s">
        <v>4</v>
      </c>
    </row>
    <row r="511" spans="2:8" ht="15" customHeight="1" x14ac:dyDescent="0.3">
      <c r="B511" s="110" t="s">
        <v>73</v>
      </c>
      <c r="C511" s="110"/>
      <c r="D511" s="110"/>
      <c r="E511" s="110"/>
      <c r="F511" s="110"/>
      <c r="G511" s="22">
        <f>'Datos Iniciales'!$B$32</f>
        <v>0.28999999999999998</v>
      </c>
      <c r="H511" s="66">
        <f>H507*G511</f>
        <v>26652.592991853606</v>
      </c>
    </row>
    <row r="512" spans="2:8" ht="15" customHeight="1" x14ac:dyDescent="0.3">
      <c r="B512" s="110" t="s">
        <v>74</v>
      </c>
      <c r="C512" s="110"/>
      <c r="D512" s="110"/>
      <c r="E512" s="110"/>
      <c r="F512" s="110"/>
      <c r="G512" s="22">
        <f>'Datos Iniciales'!$B$33</f>
        <v>0.05</v>
      </c>
      <c r="H512" s="66">
        <f>H507*G512</f>
        <v>4595.274653767864</v>
      </c>
    </row>
    <row r="513" spans="2:8" ht="15" customHeight="1" x14ac:dyDescent="0.3">
      <c r="B513" s="138" t="s">
        <v>413</v>
      </c>
      <c r="C513" s="138"/>
      <c r="D513" s="138"/>
      <c r="E513" s="138"/>
      <c r="F513" s="138"/>
      <c r="G513" s="60">
        <f>G511+G512</f>
        <v>0.33999999999999997</v>
      </c>
      <c r="H513" s="67">
        <f>H511+H512</f>
        <v>31247.867645621471</v>
      </c>
    </row>
    <row r="514" spans="2:8" ht="15" customHeight="1" x14ac:dyDescent="0.3"/>
    <row r="515" spans="2:8" ht="15" customHeight="1" x14ac:dyDescent="0.3">
      <c r="B515" s="139" t="s">
        <v>414</v>
      </c>
      <c r="C515" s="139"/>
      <c r="D515" s="139"/>
      <c r="E515" s="139"/>
      <c r="F515" s="139"/>
      <c r="G515" s="139"/>
      <c r="H515" s="37">
        <f>ROUND(H507+H513,0)</f>
        <v>123153</v>
      </c>
    </row>
    <row r="516" spans="2:8" ht="15" customHeight="1" x14ac:dyDescent="0.3"/>
    <row r="517" spans="2:8" ht="15" customHeight="1" x14ac:dyDescent="0.3"/>
    <row r="518" spans="2:8" ht="15.75" customHeight="1" x14ac:dyDescent="0.3">
      <c r="B518" s="123" t="s">
        <v>0</v>
      </c>
      <c r="C518" s="123"/>
      <c r="D518" s="123"/>
      <c r="E518" s="123"/>
      <c r="F518" s="123"/>
      <c r="G518" s="123"/>
      <c r="H518" s="110"/>
    </row>
    <row r="519" spans="2:8" ht="15.75" customHeight="1" x14ac:dyDescent="0.3">
      <c r="B519" s="123" t="s">
        <v>1</v>
      </c>
      <c r="C519" s="123"/>
      <c r="D519" s="123"/>
      <c r="E519" s="123"/>
      <c r="F519" s="123"/>
      <c r="G519" s="123"/>
      <c r="H519" s="110"/>
    </row>
    <row r="520" spans="2:8" ht="24" customHeight="1" x14ac:dyDescent="0.3">
      <c r="B520" s="136" t="str">
        <f>'Datos Iniciales'!$B$8</f>
        <v>OBRA PÚBLICA PARA LA EJECUCIÓN DE DIFERENTES MEJORAMIENTOS DE VIVIENDA EN EL CASCO URBANO Y RURAL DEL MUNICIPIO DE MACEO - ANTIOQUIA</v>
      </c>
      <c r="C520" s="136"/>
      <c r="D520" s="136"/>
      <c r="E520" s="136"/>
      <c r="F520" s="136"/>
      <c r="G520" s="136"/>
      <c r="H520" s="110"/>
    </row>
    <row r="521" spans="2:8" ht="15.75" customHeight="1" x14ac:dyDescent="0.3">
      <c r="B521" s="112" t="s">
        <v>381</v>
      </c>
      <c r="C521" s="112"/>
      <c r="D521" s="112"/>
      <c r="E521" s="112"/>
      <c r="F521" s="112"/>
      <c r="G521" s="112"/>
      <c r="H521" s="110"/>
    </row>
    <row r="522" spans="2:8" ht="24" customHeight="1" x14ac:dyDescent="0.3">
      <c r="B522" s="13" t="s">
        <v>382</v>
      </c>
      <c r="C522" s="112" t="s">
        <v>94</v>
      </c>
      <c r="D522" s="112"/>
      <c r="E522" s="112"/>
      <c r="F522" s="13" t="s">
        <v>383</v>
      </c>
      <c r="G522" s="13" t="s">
        <v>384</v>
      </c>
      <c r="H522" s="13" t="s">
        <v>385</v>
      </c>
    </row>
    <row r="523" spans="2:8" ht="31.5" customHeight="1" x14ac:dyDescent="0.3">
      <c r="B523" s="63" t="s">
        <v>468</v>
      </c>
      <c r="C523" s="140" t="s">
        <v>214</v>
      </c>
      <c r="D523" s="140"/>
      <c r="E523" s="140"/>
      <c r="F523" s="17" t="s">
        <v>104</v>
      </c>
      <c r="G523" s="41">
        <f>PRESUPUESTO!$E$76</f>
        <v>7.5</v>
      </c>
      <c r="H523" s="33">
        <f>H547</f>
        <v>866022.42243368505</v>
      </c>
    </row>
    <row r="524" spans="2:8" ht="15" customHeight="1" x14ac:dyDescent="0.3">
      <c r="B524" s="137" t="s">
        <v>469</v>
      </c>
      <c r="C524" s="137"/>
      <c r="D524" s="137"/>
      <c r="E524" s="137"/>
      <c r="F524" s="137"/>
      <c r="G524" s="137"/>
      <c r="H524" s="137"/>
    </row>
    <row r="525" spans="2:8" ht="15" customHeight="1" x14ac:dyDescent="0.3">
      <c r="B525" s="64" t="s">
        <v>388</v>
      </c>
    </row>
    <row r="526" spans="2:8" ht="15" customHeight="1" x14ac:dyDescent="0.3">
      <c r="B526" s="135" t="s">
        <v>389</v>
      </c>
      <c r="C526" s="135"/>
      <c r="D526" s="135"/>
      <c r="E526" s="135"/>
      <c r="F526" s="135"/>
      <c r="G526" s="135"/>
      <c r="H526" s="135"/>
    </row>
    <row r="527" spans="2:8" ht="24" customHeight="1" x14ac:dyDescent="0.3">
      <c r="B527" s="123" t="s">
        <v>94</v>
      </c>
      <c r="C527" s="123"/>
      <c r="D527" s="123"/>
      <c r="E527" s="31" t="s">
        <v>383</v>
      </c>
      <c r="F527" s="31" t="s">
        <v>364</v>
      </c>
      <c r="G527" s="31" t="s">
        <v>390</v>
      </c>
      <c r="H527" s="31" t="s">
        <v>391</v>
      </c>
    </row>
    <row r="528" spans="2:8" ht="15" customHeight="1" x14ac:dyDescent="0.3">
      <c r="B528" s="134" t="s">
        <v>392</v>
      </c>
      <c r="C528" s="134"/>
      <c r="D528" s="134"/>
      <c r="E528" s="17" t="s">
        <v>393</v>
      </c>
      <c r="F528" s="22">
        <f>EQUIPOS!$D$3</f>
        <v>0.05</v>
      </c>
      <c r="G528" s="65">
        <f>H545</f>
        <v>157094.62535589043</v>
      </c>
      <c r="H528" s="66">
        <f>F528*G528</f>
        <v>7854.731267794522</v>
      </c>
    </row>
    <row r="529" spans="2:8" ht="15" customHeight="1" x14ac:dyDescent="0.3">
      <c r="B529" s="134" t="s">
        <v>434</v>
      </c>
      <c r="C529" s="134"/>
      <c r="D529" s="134"/>
      <c r="E529" s="17" t="s">
        <v>421</v>
      </c>
      <c r="F529" s="65">
        <f>EQUIPOS!$D$4</f>
        <v>53440</v>
      </c>
      <c r="G529" s="68">
        <v>0.22</v>
      </c>
      <c r="H529" s="66">
        <f>F529*G529</f>
        <v>11756.8</v>
      </c>
    </row>
    <row r="530" spans="2:8" ht="15" customHeight="1" x14ac:dyDescent="0.3">
      <c r="B530" s="134" t="s">
        <v>439</v>
      </c>
      <c r="C530" s="134"/>
      <c r="D530" s="134"/>
      <c r="E530" s="17" t="s">
        <v>421</v>
      </c>
      <c r="F530" s="65">
        <f>EQUIPOS!$D$5</f>
        <v>45000</v>
      </c>
      <c r="G530" s="68">
        <v>0.22</v>
      </c>
      <c r="H530" s="66">
        <f>F530*G530</f>
        <v>9900</v>
      </c>
    </row>
    <row r="531" spans="2:8" ht="15" customHeight="1" x14ac:dyDescent="0.3">
      <c r="G531" s="31" t="s">
        <v>394</v>
      </c>
      <c r="H531" s="67">
        <f>SUM(H528:H530)</f>
        <v>29511.531267794522</v>
      </c>
    </row>
    <row r="532" spans="2:8" ht="15" customHeight="1" x14ac:dyDescent="0.3">
      <c r="B532" s="135" t="s">
        <v>395</v>
      </c>
      <c r="C532" s="135"/>
      <c r="D532" s="135"/>
      <c r="E532" s="135"/>
      <c r="F532" s="135"/>
      <c r="G532" s="135"/>
      <c r="H532" s="135"/>
    </row>
    <row r="533" spans="2:8" ht="15" customHeight="1" x14ac:dyDescent="0.3">
      <c r="B533" s="123" t="s">
        <v>94</v>
      </c>
      <c r="C533" s="123"/>
      <c r="D533" s="31" t="s">
        <v>383</v>
      </c>
      <c r="E533" s="31" t="s">
        <v>96</v>
      </c>
      <c r="F533" s="31" t="s">
        <v>396</v>
      </c>
      <c r="G533" s="31" t="s">
        <v>397</v>
      </c>
      <c r="H533" s="31" t="s">
        <v>391</v>
      </c>
    </row>
    <row r="534" spans="2:8" ht="15" customHeight="1" x14ac:dyDescent="0.3">
      <c r="B534" s="134" t="s">
        <v>440</v>
      </c>
      <c r="C534" s="134"/>
      <c r="D534" s="17" t="s">
        <v>423</v>
      </c>
      <c r="E534" s="68">
        <v>1</v>
      </c>
      <c r="F534" s="27">
        <v>0.05</v>
      </c>
      <c r="G534" s="32">
        <f>'CONCRETOS Y MORTEROS'!$D$5</f>
        <v>546867.8722000001</v>
      </c>
      <c r="H534" s="66">
        <f>E534*(1+F534)*G534</f>
        <v>574211.26581000013</v>
      </c>
    </row>
    <row r="535" spans="2:8" ht="15" customHeight="1" x14ac:dyDescent="0.3">
      <c r="B535" s="134" t="s">
        <v>441</v>
      </c>
      <c r="C535" s="134"/>
      <c r="D535" s="17" t="s">
        <v>442</v>
      </c>
      <c r="E535" s="68">
        <v>2</v>
      </c>
      <c r="F535" s="27">
        <v>0</v>
      </c>
      <c r="G535" s="32">
        <f>'CONCRETOS Y MORTEROS'!$D$7</f>
        <v>17705</v>
      </c>
      <c r="H535" s="66">
        <f>E535*(1+F535)*G535</f>
        <v>35410</v>
      </c>
    </row>
    <row r="536" spans="2:8" ht="15" customHeight="1" x14ac:dyDescent="0.3">
      <c r="G536" s="31" t="s">
        <v>394</v>
      </c>
      <c r="H536" s="67">
        <f>SUM(H534:H535)</f>
        <v>609621.26581000013</v>
      </c>
    </row>
    <row r="537" spans="2:8" ht="15" customHeight="1" x14ac:dyDescent="0.3">
      <c r="B537" s="135" t="s">
        <v>404</v>
      </c>
      <c r="C537" s="135"/>
      <c r="D537" s="135"/>
      <c r="E537" s="135"/>
      <c r="F537" s="135"/>
      <c r="G537" s="135"/>
      <c r="H537" s="135"/>
    </row>
    <row r="538" spans="2:8" ht="15" customHeight="1" x14ac:dyDescent="0.3">
      <c r="B538" s="123" t="s">
        <v>94</v>
      </c>
      <c r="C538" s="123"/>
      <c r="D538" s="31" t="s">
        <v>383</v>
      </c>
      <c r="E538" s="31" t="s">
        <v>96</v>
      </c>
      <c r="F538" s="31"/>
      <c r="G538" s="31" t="s">
        <v>364</v>
      </c>
      <c r="H538" s="31" t="s">
        <v>391</v>
      </c>
    </row>
    <row r="539" spans="2:8" ht="22.05" customHeight="1" x14ac:dyDescent="0.3">
      <c r="B539" s="134" t="s">
        <v>470</v>
      </c>
      <c r="C539" s="134"/>
      <c r="D539" s="17" t="s">
        <v>431</v>
      </c>
      <c r="E539" s="72">
        <f>2.35*'Datos Iniciales'!$B$26</f>
        <v>23.5</v>
      </c>
      <c r="F539" s="29"/>
      <c r="G539" s="32">
        <f>TRANSPORTE!$D$5</f>
        <v>2970</v>
      </c>
      <c r="H539" s="66">
        <f>E539*G539</f>
        <v>69795</v>
      </c>
    </row>
    <row r="540" spans="2:8" ht="15" customHeight="1" x14ac:dyDescent="0.3">
      <c r="G540" s="31" t="s">
        <v>394</v>
      </c>
      <c r="H540" s="67">
        <f>SUM(H539:H539)</f>
        <v>69795</v>
      </c>
    </row>
    <row r="541" spans="2:8" ht="15" customHeight="1" x14ac:dyDescent="0.3">
      <c r="B541" s="135" t="s">
        <v>406</v>
      </c>
      <c r="C541" s="135"/>
      <c r="D541" s="135"/>
      <c r="E541" s="135"/>
      <c r="F541" s="135"/>
      <c r="G541" s="135"/>
      <c r="H541" s="135"/>
    </row>
    <row r="542" spans="2:8" ht="24" customHeight="1" x14ac:dyDescent="0.3">
      <c r="B542" s="123" t="s">
        <v>407</v>
      </c>
      <c r="C542" s="123"/>
      <c r="D542" s="123"/>
      <c r="E542" s="31" t="s">
        <v>96</v>
      </c>
      <c r="F542" s="31" t="s">
        <v>408</v>
      </c>
      <c r="G542" s="31" t="s">
        <v>390</v>
      </c>
      <c r="H542" s="31" t="s">
        <v>391</v>
      </c>
    </row>
    <row r="543" spans="2:8" ht="15" customHeight="1" x14ac:dyDescent="0.3">
      <c r="B543" s="134" t="s">
        <v>409</v>
      </c>
      <c r="C543" s="134"/>
      <c r="D543" s="134"/>
      <c r="E543" s="69">
        <v>1</v>
      </c>
      <c r="F543" s="32">
        <f>'MANO DE OBRA'!$H$27</f>
        <v>226162.13017808215</v>
      </c>
      <c r="G543" s="68">
        <v>0.22</v>
      </c>
      <c r="H543" s="66">
        <f>E543*F543*G543</f>
        <v>49755.668639178075</v>
      </c>
    </row>
    <row r="544" spans="2:8" ht="15" customHeight="1" x14ac:dyDescent="0.3">
      <c r="B544" s="134" t="s">
        <v>410</v>
      </c>
      <c r="C544" s="134"/>
      <c r="D544" s="134"/>
      <c r="E544" s="69">
        <v>4</v>
      </c>
      <c r="F544" s="32">
        <f>'MANO DE OBRA'!$H$23</f>
        <v>121976.08717808221</v>
      </c>
      <c r="G544" s="68">
        <v>0.22</v>
      </c>
      <c r="H544" s="66">
        <f>E544*F544*G544</f>
        <v>107338.95671671235</v>
      </c>
    </row>
    <row r="545" spans="2:8" ht="15" customHeight="1" x14ac:dyDescent="0.3">
      <c r="G545" s="31" t="s">
        <v>394</v>
      </c>
      <c r="H545" s="67">
        <f>SUM(H543:H544)</f>
        <v>157094.62535589043</v>
      </c>
    </row>
    <row r="546" spans="2:8" ht="15" customHeight="1" x14ac:dyDescent="0.3"/>
    <row r="547" spans="2:8" ht="15" customHeight="1" x14ac:dyDescent="0.3">
      <c r="B547" s="115" t="s">
        <v>295</v>
      </c>
      <c r="C547" s="115"/>
      <c r="D547" s="115"/>
      <c r="E547" s="115"/>
      <c r="F547" s="115"/>
      <c r="G547" s="115"/>
      <c r="H547" s="70">
        <f>H531+H536+H540+H545</f>
        <v>866022.42243368505</v>
      </c>
    </row>
    <row r="548" spans="2:8" ht="15" customHeight="1" x14ac:dyDescent="0.3"/>
    <row r="549" spans="2:8" ht="15" customHeight="1" x14ac:dyDescent="0.3">
      <c r="B549" s="71" t="s">
        <v>411</v>
      </c>
    </row>
    <row r="550" spans="2:8" ht="15" customHeight="1" x14ac:dyDescent="0.3">
      <c r="B550" s="123" t="s">
        <v>94</v>
      </c>
      <c r="C550" s="123"/>
      <c r="D550" s="123"/>
      <c r="E550" s="123"/>
      <c r="F550" s="123"/>
      <c r="G550" s="31" t="s">
        <v>412</v>
      </c>
      <c r="H550" s="31" t="s">
        <v>4</v>
      </c>
    </row>
    <row r="551" spans="2:8" ht="15" customHeight="1" x14ac:dyDescent="0.3">
      <c r="B551" s="110" t="s">
        <v>73</v>
      </c>
      <c r="C551" s="110"/>
      <c r="D551" s="110"/>
      <c r="E551" s="110"/>
      <c r="F551" s="110"/>
      <c r="G551" s="22">
        <f>'Datos Iniciales'!$B$32</f>
        <v>0.28999999999999998</v>
      </c>
      <c r="H551" s="66">
        <f>H547*G551</f>
        <v>251146.50250576864</v>
      </c>
    </row>
    <row r="552" spans="2:8" ht="15" customHeight="1" x14ac:dyDescent="0.3">
      <c r="B552" s="110" t="s">
        <v>74</v>
      </c>
      <c r="C552" s="110"/>
      <c r="D552" s="110"/>
      <c r="E552" s="110"/>
      <c r="F552" s="110"/>
      <c r="G552" s="22">
        <f>'Datos Iniciales'!$B$33</f>
        <v>0.05</v>
      </c>
      <c r="H552" s="66">
        <f>H547*G552</f>
        <v>43301.121121684257</v>
      </c>
    </row>
    <row r="553" spans="2:8" ht="15" customHeight="1" x14ac:dyDescent="0.3">
      <c r="B553" s="138" t="s">
        <v>413</v>
      </c>
      <c r="C553" s="138"/>
      <c r="D553" s="138"/>
      <c r="E553" s="138"/>
      <c r="F553" s="138"/>
      <c r="G553" s="60">
        <f>G551+G552</f>
        <v>0.33999999999999997</v>
      </c>
      <c r="H553" s="67">
        <f>H551+H552</f>
        <v>294447.62362745288</v>
      </c>
    </row>
    <row r="554" spans="2:8" ht="15" customHeight="1" x14ac:dyDescent="0.3"/>
    <row r="555" spans="2:8" ht="15" customHeight="1" x14ac:dyDescent="0.3">
      <c r="B555" s="139" t="s">
        <v>414</v>
      </c>
      <c r="C555" s="139"/>
      <c r="D555" s="139"/>
      <c r="E555" s="139"/>
      <c r="F555" s="139"/>
      <c r="G555" s="139"/>
      <c r="H555" s="37">
        <f>ROUND(H547+H553,0)</f>
        <v>1160470</v>
      </c>
    </row>
    <row r="556" spans="2:8" ht="15" customHeight="1" x14ac:dyDescent="0.3"/>
    <row r="557" spans="2:8" ht="15" customHeight="1" x14ac:dyDescent="0.3"/>
    <row r="558" spans="2:8" ht="15.75" customHeight="1" x14ac:dyDescent="0.3">
      <c r="B558" s="123" t="s">
        <v>0</v>
      </c>
      <c r="C558" s="123"/>
      <c r="D558" s="123"/>
      <c r="E558" s="123"/>
      <c r="F558" s="123"/>
      <c r="G558" s="123"/>
      <c r="H558" s="110"/>
    </row>
    <row r="559" spans="2:8" ht="15.75" customHeight="1" x14ac:dyDescent="0.3">
      <c r="B559" s="123" t="s">
        <v>1</v>
      </c>
      <c r="C559" s="123"/>
      <c r="D559" s="123"/>
      <c r="E559" s="123"/>
      <c r="F559" s="123"/>
      <c r="G559" s="123"/>
      <c r="H559" s="110"/>
    </row>
    <row r="560" spans="2:8" ht="24" customHeight="1" x14ac:dyDescent="0.3">
      <c r="B560" s="136" t="str">
        <f>'Datos Iniciales'!$B$8</f>
        <v>OBRA PÚBLICA PARA LA EJECUCIÓN DE DIFERENTES MEJORAMIENTOS DE VIVIENDA EN EL CASCO URBANO Y RURAL DEL MUNICIPIO DE MACEO - ANTIOQUIA</v>
      </c>
      <c r="C560" s="136"/>
      <c r="D560" s="136"/>
      <c r="E560" s="136"/>
      <c r="F560" s="136"/>
      <c r="G560" s="136"/>
      <c r="H560" s="110"/>
    </row>
    <row r="561" spans="2:8" ht="15.75" customHeight="1" x14ac:dyDescent="0.3">
      <c r="B561" s="112" t="s">
        <v>381</v>
      </c>
      <c r="C561" s="112"/>
      <c r="D561" s="112"/>
      <c r="E561" s="112"/>
      <c r="F561" s="112"/>
      <c r="G561" s="112"/>
      <c r="H561" s="110"/>
    </row>
    <row r="562" spans="2:8" ht="24" customHeight="1" x14ac:dyDescent="0.3">
      <c r="B562" s="13" t="s">
        <v>382</v>
      </c>
      <c r="C562" s="112" t="s">
        <v>94</v>
      </c>
      <c r="D562" s="112"/>
      <c r="E562" s="112"/>
      <c r="F562" s="13" t="s">
        <v>383</v>
      </c>
      <c r="G562" s="13" t="s">
        <v>384</v>
      </c>
      <c r="H562" s="13" t="s">
        <v>385</v>
      </c>
    </row>
    <row r="563" spans="2:8" ht="52.5" customHeight="1" x14ac:dyDescent="0.3">
      <c r="B563" s="63" t="s">
        <v>471</v>
      </c>
      <c r="C563" s="140" t="s">
        <v>216</v>
      </c>
      <c r="D563" s="140"/>
      <c r="E563" s="140"/>
      <c r="F563" s="17" t="s">
        <v>104</v>
      </c>
      <c r="G563" s="41">
        <f>PRESUPUESTO!$E$77</f>
        <v>12</v>
      </c>
      <c r="H563" s="33">
        <f>H590</f>
        <v>1330737.7037185617</v>
      </c>
    </row>
    <row r="564" spans="2:8" ht="15" customHeight="1" x14ac:dyDescent="0.3">
      <c r="B564" s="137" t="s">
        <v>472</v>
      </c>
      <c r="C564" s="137"/>
      <c r="D564" s="137"/>
      <c r="E564" s="137"/>
      <c r="F564" s="137"/>
      <c r="G564" s="137"/>
      <c r="H564" s="137"/>
    </row>
    <row r="565" spans="2:8" ht="15" customHeight="1" x14ac:dyDescent="0.3">
      <c r="B565" s="64" t="s">
        <v>388</v>
      </c>
    </row>
    <row r="566" spans="2:8" ht="15" customHeight="1" x14ac:dyDescent="0.3">
      <c r="B566" s="135" t="s">
        <v>389</v>
      </c>
      <c r="C566" s="135"/>
      <c r="D566" s="135"/>
      <c r="E566" s="135"/>
      <c r="F566" s="135"/>
      <c r="G566" s="135"/>
      <c r="H566" s="135"/>
    </row>
    <row r="567" spans="2:8" ht="24" customHeight="1" x14ac:dyDescent="0.3">
      <c r="B567" s="123" t="s">
        <v>94</v>
      </c>
      <c r="C567" s="123"/>
      <c r="D567" s="123"/>
      <c r="E567" s="31" t="s">
        <v>383</v>
      </c>
      <c r="F567" s="31" t="s">
        <v>364</v>
      </c>
      <c r="G567" s="31" t="s">
        <v>390</v>
      </c>
      <c r="H567" s="31" t="s">
        <v>391</v>
      </c>
    </row>
    <row r="568" spans="2:8" ht="15" customHeight="1" x14ac:dyDescent="0.3">
      <c r="B568" s="134" t="s">
        <v>392</v>
      </c>
      <c r="C568" s="134"/>
      <c r="D568" s="134"/>
      <c r="E568" s="17" t="s">
        <v>393</v>
      </c>
      <c r="F568" s="22">
        <f>EQUIPOS!$D$3</f>
        <v>0.05</v>
      </c>
      <c r="G568" s="65">
        <f>H588</f>
        <v>414463.27419863013</v>
      </c>
      <c r="H568" s="66">
        <f>F568*G568</f>
        <v>20723.163709931508</v>
      </c>
    </row>
    <row r="569" spans="2:8" ht="15" customHeight="1" x14ac:dyDescent="0.3">
      <c r="B569" s="134" t="s">
        <v>434</v>
      </c>
      <c r="C569" s="134"/>
      <c r="D569" s="134"/>
      <c r="E569" s="17" t="s">
        <v>421</v>
      </c>
      <c r="F569" s="65">
        <f>EQUIPOS!$D$4</f>
        <v>53440</v>
      </c>
      <c r="G569" s="68">
        <v>0.25</v>
      </c>
      <c r="H569" s="66">
        <f>F569*G569</f>
        <v>13360</v>
      </c>
    </row>
    <row r="570" spans="2:8" ht="15" customHeight="1" x14ac:dyDescent="0.3">
      <c r="B570" s="134" t="s">
        <v>439</v>
      </c>
      <c r="C570" s="134"/>
      <c r="D570" s="134"/>
      <c r="E570" s="17" t="s">
        <v>421</v>
      </c>
      <c r="F570" s="65">
        <f>EQUIPOS!$D$5</f>
        <v>45000</v>
      </c>
      <c r="G570" s="68">
        <v>0.25</v>
      </c>
      <c r="H570" s="66">
        <f>F570*G570</f>
        <v>11250</v>
      </c>
    </row>
    <row r="571" spans="2:8" ht="15" customHeight="1" x14ac:dyDescent="0.3">
      <c r="B571" s="134" t="s">
        <v>449</v>
      </c>
      <c r="C571" s="134"/>
      <c r="D571" s="134"/>
      <c r="E571" s="17" t="s">
        <v>421</v>
      </c>
      <c r="F571" s="65">
        <f>EQUIPOS!$D$7</f>
        <v>8900</v>
      </c>
      <c r="G571" s="68">
        <v>1</v>
      </c>
      <c r="H571" s="66">
        <f>F571*G571</f>
        <v>8900</v>
      </c>
    </row>
    <row r="572" spans="2:8" ht="15" customHeight="1" x14ac:dyDescent="0.3">
      <c r="G572" s="31" t="s">
        <v>394</v>
      </c>
      <c r="H572" s="67">
        <f>SUM(H568:H571)</f>
        <v>54233.163709931512</v>
      </c>
    </row>
    <row r="573" spans="2:8" ht="15" customHeight="1" x14ac:dyDescent="0.3">
      <c r="B573" s="135" t="s">
        <v>395</v>
      </c>
      <c r="C573" s="135"/>
      <c r="D573" s="135"/>
      <c r="E573" s="135"/>
      <c r="F573" s="135"/>
      <c r="G573" s="135"/>
      <c r="H573" s="135"/>
    </row>
    <row r="574" spans="2:8" ht="15" customHeight="1" x14ac:dyDescent="0.3">
      <c r="B574" s="123" t="s">
        <v>94</v>
      </c>
      <c r="C574" s="123"/>
      <c r="D574" s="31" t="s">
        <v>383</v>
      </c>
      <c r="E574" s="31" t="s">
        <v>96</v>
      </c>
      <c r="F574" s="31" t="s">
        <v>396</v>
      </c>
      <c r="G574" s="31" t="s">
        <v>397</v>
      </c>
      <c r="H574" s="31" t="s">
        <v>391</v>
      </c>
    </row>
    <row r="575" spans="2:8" ht="15" customHeight="1" x14ac:dyDescent="0.3">
      <c r="B575" s="134" t="s">
        <v>440</v>
      </c>
      <c r="C575" s="134"/>
      <c r="D575" s="17" t="s">
        <v>423</v>
      </c>
      <c r="E575" s="68">
        <v>1</v>
      </c>
      <c r="F575" s="27">
        <v>0.05</v>
      </c>
      <c r="G575" s="32">
        <f>'CONCRETOS Y MORTEROS'!$D$5</f>
        <v>546867.8722000001</v>
      </c>
      <c r="H575" s="66">
        <f>E575*(1+F575)*G575</f>
        <v>574211.26581000013</v>
      </c>
    </row>
    <row r="576" spans="2:8" ht="15" customHeight="1" x14ac:dyDescent="0.3">
      <c r="B576" s="134" t="s">
        <v>441</v>
      </c>
      <c r="C576" s="134"/>
      <c r="D576" s="17" t="s">
        <v>442</v>
      </c>
      <c r="E576" s="68">
        <v>10</v>
      </c>
      <c r="F576" s="27">
        <v>0</v>
      </c>
      <c r="G576" s="32">
        <f>'CONCRETOS Y MORTEROS'!$D$7</f>
        <v>17705</v>
      </c>
      <c r="H576" s="66">
        <f>E576*(1+F576)*G576</f>
        <v>177050</v>
      </c>
    </row>
    <row r="577" spans="2:8" ht="15" customHeight="1" x14ac:dyDescent="0.3">
      <c r="B577" s="134" t="s">
        <v>473</v>
      </c>
      <c r="C577" s="134"/>
      <c r="D577" s="17" t="s">
        <v>399</v>
      </c>
      <c r="E577" s="68">
        <v>1.5</v>
      </c>
      <c r="F577" s="27">
        <v>0</v>
      </c>
      <c r="G577" s="32">
        <f>INSUMOS!$D$12</f>
        <v>18000</v>
      </c>
      <c r="H577" s="66">
        <f>E577*(1+F577)*G577</f>
        <v>27000</v>
      </c>
    </row>
    <row r="578" spans="2:8" ht="15" customHeight="1" x14ac:dyDescent="0.3">
      <c r="B578" s="134" t="s">
        <v>465</v>
      </c>
      <c r="C578" s="134"/>
      <c r="D578" s="17" t="s">
        <v>464</v>
      </c>
      <c r="E578" s="68">
        <v>1</v>
      </c>
      <c r="F578" s="27">
        <v>0</v>
      </c>
      <c r="G578" s="32">
        <f>INSUMOS!$D$9</f>
        <v>12500</v>
      </c>
      <c r="H578" s="66">
        <f>E578*(1+F578)*G578</f>
        <v>12500</v>
      </c>
    </row>
    <row r="579" spans="2:8" ht="15" customHeight="1" x14ac:dyDescent="0.3">
      <c r="G579" s="31" t="s">
        <v>394</v>
      </c>
      <c r="H579" s="67">
        <f>SUM(H575:H578)</f>
        <v>790761.26581000013</v>
      </c>
    </row>
    <row r="580" spans="2:8" ht="15" customHeight="1" x14ac:dyDescent="0.3">
      <c r="B580" s="135" t="s">
        <v>404</v>
      </c>
      <c r="C580" s="135"/>
      <c r="D580" s="135"/>
      <c r="E580" s="135"/>
      <c r="F580" s="135"/>
      <c r="G580" s="135"/>
      <c r="H580" s="135"/>
    </row>
    <row r="581" spans="2:8" ht="15" customHeight="1" x14ac:dyDescent="0.3">
      <c r="B581" s="123" t="s">
        <v>94</v>
      </c>
      <c r="C581" s="123"/>
      <c r="D581" s="31" t="s">
        <v>383</v>
      </c>
      <c r="E581" s="31" t="s">
        <v>96</v>
      </c>
      <c r="F581" s="31"/>
      <c r="G581" s="31" t="s">
        <v>364</v>
      </c>
      <c r="H581" s="31" t="s">
        <v>391</v>
      </c>
    </row>
    <row r="582" spans="2:8" ht="22.05" customHeight="1" x14ac:dyDescent="0.3">
      <c r="B582" s="134" t="s">
        <v>474</v>
      </c>
      <c r="C582" s="134"/>
      <c r="D582" s="17" t="s">
        <v>431</v>
      </c>
      <c r="E582" s="72">
        <f>2.4*'Datos Iniciales'!$B$26</f>
        <v>24</v>
      </c>
      <c r="F582" s="29"/>
      <c r="G582" s="32">
        <f>TRANSPORTE!$D$5</f>
        <v>2970</v>
      </c>
      <c r="H582" s="66">
        <f>E582*G582</f>
        <v>71280</v>
      </c>
    </row>
    <row r="583" spans="2:8" ht="15" customHeight="1" x14ac:dyDescent="0.3">
      <c r="G583" s="31" t="s">
        <v>394</v>
      </c>
      <c r="H583" s="67">
        <f>SUM(H582:H582)</f>
        <v>71280</v>
      </c>
    </row>
    <row r="584" spans="2:8" ht="15" customHeight="1" x14ac:dyDescent="0.3">
      <c r="B584" s="135" t="s">
        <v>406</v>
      </c>
      <c r="C584" s="135"/>
      <c r="D584" s="135"/>
      <c r="E584" s="135"/>
      <c r="F584" s="135"/>
      <c r="G584" s="135"/>
      <c r="H584" s="135"/>
    </row>
    <row r="585" spans="2:8" ht="24" customHeight="1" x14ac:dyDescent="0.3">
      <c r="B585" s="123" t="s">
        <v>407</v>
      </c>
      <c r="C585" s="123"/>
      <c r="D585" s="123"/>
      <c r="E585" s="31" t="s">
        <v>96</v>
      </c>
      <c r="F585" s="31" t="s">
        <v>408</v>
      </c>
      <c r="G585" s="31" t="s">
        <v>390</v>
      </c>
      <c r="H585" s="31" t="s">
        <v>391</v>
      </c>
    </row>
    <row r="586" spans="2:8" ht="15" customHeight="1" x14ac:dyDescent="0.3">
      <c r="B586" s="134" t="s">
        <v>409</v>
      </c>
      <c r="C586" s="134"/>
      <c r="D586" s="134"/>
      <c r="E586" s="69">
        <v>1</v>
      </c>
      <c r="F586" s="32">
        <f>'MANO DE OBRA'!$H$27</f>
        <v>226162.13017808215</v>
      </c>
      <c r="G586" s="68">
        <v>0.7</v>
      </c>
      <c r="H586" s="66">
        <f>E586*F586*G586</f>
        <v>158313.49112465751</v>
      </c>
    </row>
    <row r="587" spans="2:8" ht="15" customHeight="1" x14ac:dyDescent="0.3">
      <c r="B587" s="134" t="s">
        <v>410</v>
      </c>
      <c r="C587" s="134"/>
      <c r="D587" s="134"/>
      <c r="E587" s="69">
        <v>3</v>
      </c>
      <c r="F587" s="32">
        <f>'MANO DE OBRA'!$H$23</f>
        <v>121976.08717808221</v>
      </c>
      <c r="G587" s="68">
        <v>0.7</v>
      </c>
      <c r="H587" s="66">
        <f>E587*F587*G587</f>
        <v>256149.78307397262</v>
      </c>
    </row>
    <row r="588" spans="2:8" ht="15" customHeight="1" x14ac:dyDescent="0.3">
      <c r="G588" s="31" t="s">
        <v>394</v>
      </c>
      <c r="H588" s="67">
        <f>SUM(H586:H587)</f>
        <v>414463.27419863013</v>
      </c>
    </row>
    <row r="589" spans="2:8" ht="15" customHeight="1" x14ac:dyDescent="0.3"/>
    <row r="590" spans="2:8" ht="15" customHeight="1" x14ac:dyDescent="0.3">
      <c r="B590" s="115" t="s">
        <v>295</v>
      </c>
      <c r="C590" s="115"/>
      <c r="D590" s="115"/>
      <c r="E590" s="115"/>
      <c r="F590" s="115"/>
      <c r="G590" s="115"/>
      <c r="H590" s="70">
        <f>H572+H579+H583+H588</f>
        <v>1330737.7037185617</v>
      </c>
    </row>
    <row r="591" spans="2:8" ht="15" customHeight="1" x14ac:dyDescent="0.3"/>
    <row r="592" spans="2:8" ht="15" customHeight="1" x14ac:dyDescent="0.3">
      <c r="B592" s="71" t="s">
        <v>411</v>
      </c>
    </row>
    <row r="593" spans="2:8" ht="15" customHeight="1" x14ac:dyDescent="0.3">
      <c r="B593" s="123" t="s">
        <v>94</v>
      </c>
      <c r="C593" s="123"/>
      <c r="D593" s="123"/>
      <c r="E593" s="123"/>
      <c r="F593" s="123"/>
      <c r="G593" s="31" t="s">
        <v>412</v>
      </c>
      <c r="H593" s="31" t="s">
        <v>4</v>
      </c>
    </row>
    <row r="594" spans="2:8" ht="15" customHeight="1" x14ac:dyDescent="0.3">
      <c r="B594" s="110" t="s">
        <v>73</v>
      </c>
      <c r="C594" s="110"/>
      <c r="D594" s="110"/>
      <c r="E594" s="110"/>
      <c r="F594" s="110"/>
      <c r="G594" s="22">
        <f>'Datos Iniciales'!$B$32</f>
        <v>0.28999999999999998</v>
      </c>
      <c r="H594" s="66">
        <f>H590*G594</f>
        <v>385913.93407838285</v>
      </c>
    </row>
    <row r="595" spans="2:8" ht="15" customHeight="1" x14ac:dyDescent="0.3">
      <c r="B595" s="110" t="s">
        <v>74</v>
      </c>
      <c r="C595" s="110"/>
      <c r="D595" s="110"/>
      <c r="E595" s="110"/>
      <c r="F595" s="110"/>
      <c r="G595" s="22">
        <f>'Datos Iniciales'!$B$33</f>
        <v>0.05</v>
      </c>
      <c r="H595" s="66">
        <f>H590*G595</f>
        <v>66536.885185928084</v>
      </c>
    </row>
    <row r="596" spans="2:8" ht="15" customHeight="1" x14ac:dyDescent="0.3">
      <c r="B596" s="138" t="s">
        <v>413</v>
      </c>
      <c r="C596" s="138"/>
      <c r="D596" s="138"/>
      <c r="E596" s="138"/>
      <c r="F596" s="138"/>
      <c r="G596" s="60">
        <f>G594+G595</f>
        <v>0.33999999999999997</v>
      </c>
      <c r="H596" s="67">
        <f>H594+H595</f>
        <v>452450.81926431094</v>
      </c>
    </row>
    <row r="597" spans="2:8" ht="15" customHeight="1" x14ac:dyDescent="0.3"/>
    <row r="598" spans="2:8" ht="15" customHeight="1" x14ac:dyDescent="0.3">
      <c r="B598" s="139" t="s">
        <v>414</v>
      </c>
      <c r="C598" s="139"/>
      <c r="D598" s="139"/>
      <c r="E598" s="139"/>
      <c r="F598" s="139"/>
      <c r="G598" s="139"/>
      <c r="H598" s="37">
        <f>ROUND(H590+H596,0)</f>
        <v>1783189</v>
      </c>
    </row>
    <row r="599" spans="2:8" ht="15" customHeight="1" x14ac:dyDescent="0.3"/>
    <row r="600" spans="2:8" ht="15" customHeight="1" x14ac:dyDescent="0.3"/>
    <row r="601" spans="2:8" ht="15.75" customHeight="1" x14ac:dyDescent="0.3">
      <c r="B601" s="123" t="s">
        <v>0</v>
      </c>
      <c r="C601" s="123"/>
      <c r="D601" s="123"/>
      <c r="E601" s="123"/>
      <c r="F601" s="123"/>
      <c r="G601" s="123"/>
      <c r="H601" s="110"/>
    </row>
    <row r="602" spans="2:8" ht="15.75" customHeight="1" x14ac:dyDescent="0.3">
      <c r="B602" s="123" t="s">
        <v>1</v>
      </c>
      <c r="C602" s="123"/>
      <c r="D602" s="123"/>
      <c r="E602" s="123"/>
      <c r="F602" s="123"/>
      <c r="G602" s="123"/>
      <c r="H602" s="110"/>
    </row>
    <row r="603" spans="2:8" ht="24" customHeight="1" x14ac:dyDescent="0.3">
      <c r="B603" s="136" t="str">
        <f>'Datos Iniciales'!$B$8</f>
        <v>OBRA PÚBLICA PARA LA EJECUCIÓN DE DIFERENTES MEJORAMIENTOS DE VIVIENDA EN EL CASCO URBANO Y RURAL DEL MUNICIPIO DE MACEO - ANTIOQUIA</v>
      </c>
      <c r="C603" s="136"/>
      <c r="D603" s="136"/>
      <c r="E603" s="136"/>
      <c r="F603" s="136"/>
      <c r="G603" s="136"/>
      <c r="H603" s="110"/>
    </row>
    <row r="604" spans="2:8" ht="15.75" customHeight="1" x14ac:dyDescent="0.3">
      <c r="B604" s="112" t="s">
        <v>381</v>
      </c>
      <c r="C604" s="112"/>
      <c r="D604" s="112"/>
      <c r="E604" s="112"/>
      <c r="F604" s="112"/>
      <c r="G604" s="112"/>
      <c r="H604" s="110"/>
    </row>
    <row r="605" spans="2:8" ht="24" customHeight="1" x14ac:dyDescent="0.3">
      <c r="B605" s="13" t="s">
        <v>382</v>
      </c>
      <c r="C605" s="112" t="s">
        <v>94</v>
      </c>
      <c r="D605" s="112"/>
      <c r="E605" s="112"/>
      <c r="F605" s="13" t="s">
        <v>383</v>
      </c>
      <c r="G605" s="13" t="s">
        <v>384</v>
      </c>
      <c r="H605" s="13" t="s">
        <v>385</v>
      </c>
    </row>
    <row r="606" spans="2:8" ht="31.5" customHeight="1" x14ac:dyDescent="0.3">
      <c r="B606" s="63" t="s">
        <v>475</v>
      </c>
      <c r="C606" s="140" t="s">
        <v>111</v>
      </c>
      <c r="D606" s="140"/>
      <c r="E606" s="140"/>
      <c r="F606" s="17" t="s">
        <v>112</v>
      </c>
      <c r="G606" s="41">
        <f>PRESUPUESTO!$E$11+PRESUPUESTO!$E$38+PRESUPUESTO!$E$78+PRESUPUESTO!$E$90</f>
        <v>3576.27</v>
      </c>
      <c r="H606" s="33">
        <f>H628</f>
        <v>8945.8655128958908</v>
      </c>
    </row>
    <row r="607" spans="2:8" ht="15" customHeight="1" x14ac:dyDescent="0.3">
      <c r="B607" s="137" t="s">
        <v>476</v>
      </c>
      <c r="C607" s="137"/>
      <c r="D607" s="137"/>
      <c r="E607" s="137"/>
      <c r="F607" s="137"/>
      <c r="G607" s="137"/>
      <c r="H607" s="137"/>
    </row>
    <row r="608" spans="2:8" ht="15" customHeight="1" x14ac:dyDescent="0.3">
      <c r="B608" s="64" t="s">
        <v>388</v>
      </c>
    </row>
    <row r="609" spans="2:8" ht="15" customHeight="1" x14ac:dyDescent="0.3">
      <c r="B609" s="135" t="s">
        <v>389</v>
      </c>
      <c r="C609" s="135"/>
      <c r="D609" s="135"/>
      <c r="E609" s="135"/>
      <c r="F609" s="135"/>
      <c r="G609" s="135"/>
      <c r="H609" s="135"/>
    </row>
    <row r="610" spans="2:8" ht="24" customHeight="1" x14ac:dyDescent="0.3">
      <c r="B610" s="123" t="s">
        <v>94</v>
      </c>
      <c r="C610" s="123"/>
      <c r="D610" s="123"/>
      <c r="E610" s="31" t="s">
        <v>383</v>
      </c>
      <c r="F610" s="31" t="s">
        <v>364</v>
      </c>
      <c r="G610" s="31" t="s">
        <v>390</v>
      </c>
      <c r="H610" s="31" t="s">
        <v>391</v>
      </c>
    </row>
    <row r="611" spans="2:8" ht="15" customHeight="1" x14ac:dyDescent="0.3">
      <c r="B611" s="134" t="s">
        <v>392</v>
      </c>
      <c r="C611" s="134"/>
      <c r="D611" s="134"/>
      <c r="E611" s="17" t="s">
        <v>393</v>
      </c>
      <c r="F611" s="22">
        <f>EQUIPOS!$D$3</f>
        <v>0.05</v>
      </c>
      <c r="G611" s="65">
        <f>H626</f>
        <v>1392.5528694246575</v>
      </c>
      <c r="H611" s="66">
        <f>F611*G611</f>
        <v>69.627643471232872</v>
      </c>
    </row>
    <row r="612" spans="2:8" ht="15" customHeight="1" x14ac:dyDescent="0.3">
      <c r="G612" s="31" t="s">
        <v>394</v>
      </c>
      <c r="H612" s="67">
        <f>SUM(H611:H611)</f>
        <v>69.627643471232872</v>
      </c>
    </row>
    <row r="613" spans="2:8" ht="15" customHeight="1" x14ac:dyDescent="0.3">
      <c r="B613" s="135" t="s">
        <v>395</v>
      </c>
      <c r="C613" s="135"/>
      <c r="D613" s="135"/>
      <c r="E613" s="135"/>
      <c r="F613" s="135"/>
      <c r="G613" s="135"/>
      <c r="H613" s="135"/>
    </row>
    <row r="614" spans="2:8" ht="15" customHeight="1" x14ac:dyDescent="0.3">
      <c r="B614" s="123" t="s">
        <v>94</v>
      </c>
      <c r="C614" s="123"/>
      <c r="D614" s="31" t="s">
        <v>383</v>
      </c>
      <c r="E614" s="31" t="s">
        <v>96</v>
      </c>
      <c r="F614" s="31" t="s">
        <v>396</v>
      </c>
      <c r="G614" s="31" t="s">
        <v>397</v>
      </c>
      <c r="H614" s="31" t="s">
        <v>391</v>
      </c>
    </row>
    <row r="615" spans="2:8" ht="15" customHeight="1" x14ac:dyDescent="0.3">
      <c r="B615" s="134" t="s">
        <v>463</v>
      </c>
      <c r="C615" s="134"/>
      <c r="D615" s="17" t="s">
        <v>464</v>
      </c>
      <c r="E615" s="68">
        <v>1</v>
      </c>
      <c r="F615" s="27">
        <v>0.05</v>
      </c>
      <c r="G615" s="32">
        <f>INSUMOS!$D$8</f>
        <v>6800</v>
      </c>
      <c r="H615" s="66">
        <f>E615*(1+F615)*G615</f>
        <v>7140</v>
      </c>
    </row>
    <row r="616" spans="2:8" ht="15" customHeight="1" x14ac:dyDescent="0.3">
      <c r="B616" s="134" t="s">
        <v>465</v>
      </c>
      <c r="C616" s="134"/>
      <c r="D616" s="17" t="s">
        <v>464</v>
      </c>
      <c r="E616" s="68">
        <v>2.5000000000000001E-2</v>
      </c>
      <c r="F616" s="27">
        <v>0</v>
      </c>
      <c r="G616" s="32">
        <f>INSUMOS!$D$9</f>
        <v>12500</v>
      </c>
      <c r="H616" s="66">
        <f>E616*(1+F616)*G616</f>
        <v>312.5</v>
      </c>
    </row>
    <row r="617" spans="2:8" ht="15" customHeight="1" x14ac:dyDescent="0.3">
      <c r="G617" s="31" t="s">
        <v>394</v>
      </c>
      <c r="H617" s="67">
        <f>SUM(H615:H616)</f>
        <v>7452.5</v>
      </c>
    </row>
    <row r="618" spans="2:8" ht="15" customHeight="1" x14ac:dyDescent="0.3">
      <c r="B618" s="135" t="s">
        <v>404</v>
      </c>
      <c r="C618" s="135"/>
      <c r="D618" s="135"/>
      <c r="E618" s="135"/>
      <c r="F618" s="135"/>
      <c r="G618" s="135"/>
      <c r="H618" s="135"/>
    </row>
    <row r="619" spans="2:8" ht="15" customHeight="1" x14ac:dyDescent="0.3">
      <c r="B619" s="123" t="s">
        <v>94</v>
      </c>
      <c r="C619" s="123"/>
      <c r="D619" s="31" t="s">
        <v>383</v>
      </c>
      <c r="E619" s="31" t="s">
        <v>96</v>
      </c>
      <c r="F619" s="31"/>
      <c r="G619" s="31" t="s">
        <v>364</v>
      </c>
      <c r="H619" s="31" t="s">
        <v>391</v>
      </c>
    </row>
    <row r="620" spans="2:8" ht="22.05" customHeight="1" x14ac:dyDescent="0.3">
      <c r="B620" s="134" t="s">
        <v>477</v>
      </c>
      <c r="C620" s="134"/>
      <c r="D620" s="17" t="s">
        <v>431</v>
      </c>
      <c r="E620" s="72">
        <f>0.00105*'Datos Iniciales'!$B$26</f>
        <v>1.0499999999999999E-2</v>
      </c>
      <c r="F620" s="29"/>
      <c r="G620" s="32">
        <f>TRANSPORTE!$D$5</f>
        <v>2970</v>
      </c>
      <c r="H620" s="66">
        <f>E620*G620</f>
        <v>31.184999999999995</v>
      </c>
    </row>
    <row r="621" spans="2:8" ht="15" customHeight="1" x14ac:dyDescent="0.3">
      <c r="G621" s="31" t="s">
        <v>394</v>
      </c>
      <c r="H621" s="67">
        <f>SUM(H620:H620)</f>
        <v>31.184999999999995</v>
      </c>
    </row>
    <row r="622" spans="2:8" ht="15" customHeight="1" x14ac:dyDescent="0.3">
      <c r="B622" s="135" t="s">
        <v>406</v>
      </c>
      <c r="C622" s="135"/>
      <c r="D622" s="135"/>
      <c r="E622" s="135"/>
      <c r="F622" s="135"/>
      <c r="G622" s="135"/>
      <c r="H622" s="135"/>
    </row>
    <row r="623" spans="2:8" ht="24" customHeight="1" x14ac:dyDescent="0.3">
      <c r="B623" s="123" t="s">
        <v>407</v>
      </c>
      <c r="C623" s="123"/>
      <c r="D623" s="123"/>
      <c r="E623" s="31" t="s">
        <v>96</v>
      </c>
      <c r="F623" s="31" t="s">
        <v>408</v>
      </c>
      <c r="G623" s="31" t="s">
        <v>390</v>
      </c>
      <c r="H623" s="31" t="s">
        <v>391</v>
      </c>
    </row>
    <row r="624" spans="2:8" ht="15" customHeight="1" x14ac:dyDescent="0.3">
      <c r="B624" s="134" t="s">
        <v>409</v>
      </c>
      <c r="C624" s="134"/>
      <c r="D624" s="134"/>
      <c r="E624" s="69">
        <v>1</v>
      </c>
      <c r="F624" s="32">
        <f>'MANO DE OBRA'!$H$27</f>
        <v>226162.13017808215</v>
      </c>
      <c r="G624" s="68">
        <v>4.0000000000000001E-3</v>
      </c>
      <c r="H624" s="66">
        <f>E624*F624*G624</f>
        <v>904.6485207123286</v>
      </c>
    </row>
    <row r="625" spans="2:8" ht="15" customHeight="1" x14ac:dyDescent="0.3">
      <c r="B625" s="134" t="s">
        <v>410</v>
      </c>
      <c r="C625" s="134"/>
      <c r="D625" s="134"/>
      <c r="E625" s="69">
        <v>1</v>
      </c>
      <c r="F625" s="32">
        <f>'MANO DE OBRA'!$H$23</f>
        <v>121976.08717808221</v>
      </c>
      <c r="G625" s="68">
        <v>4.0000000000000001E-3</v>
      </c>
      <c r="H625" s="66">
        <f>E625*F625*G625</f>
        <v>487.90434871232884</v>
      </c>
    </row>
    <row r="626" spans="2:8" ht="15" customHeight="1" x14ac:dyDescent="0.3">
      <c r="G626" s="31" t="s">
        <v>394</v>
      </c>
      <c r="H626" s="67">
        <f>SUM(H624:H625)</f>
        <v>1392.5528694246575</v>
      </c>
    </row>
    <row r="627" spans="2:8" ht="15" customHeight="1" x14ac:dyDescent="0.3"/>
    <row r="628" spans="2:8" ht="15" customHeight="1" x14ac:dyDescent="0.3">
      <c r="B628" s="115" t="s">
        <v>295</v>
      </c>
      <c r="C628" s="115"/>
      <c r="D628" s="115"/>
      <c r="E628" s="115"/>
      <c r="F628" s="115"/>
      <c r="G628" s="115"/>
      <c r="H628" s="70">
        <f>H612+H617+H621+H626</f>
        <v>8945.8655128958908</v>
      </c>
    </row>
    <row r="629" spans="2:8" ht="15" customHeight="1" x14ac:dyDescent="0.3"/>
    <row r="630" spans="2:8" ht="15" customHeight="1" x14ac:dyDescent="0.3">
      <c r="B630" s="71" t="s">
        <v>411</v>
      </c>
    </row>
    <row r="631" spans="2:8" ht="15" customHeight="1" x14ac:dyDescent="0.3">
      <c r="B631" s="123" t="s">
        <v>94</v>
      </c>
      <c r="C631" s="123"/>
      <c r="D631" s="123"/>
      <c r="E631" s="123"/>
      <c r="F631" s="123"/>
      <c r="G631" s="31" t="s">
        <v>412</v>
      </c>
      <c r="H631" s="31" t="s">
        <v>4</v>
      </c>
    </row>
    <row r="632" spans="2:8" ht="15" customHeight="1" x14ac:dyDescent="0.3">
      <c r="B632" s="110" t="s">
        <v>73</v>
      </c>
      <c r="C632" s="110"/>
      <c r="D632" s="110"/>
      <c r="E632" s="110"/>
      <c r="F632" s="110"/>
      <c r="G632" s="22">
        <f>'Datos Iniciales'!$B$32</f>
        <v>0.28999999999999998</v>
      </c>
      <c r="H632" s="66">
        <f>H628*G632</f>
        <v>2594.3009987398082</v>
      </c>
    </row>
    <row r="633" spans="2:8" ht="15" customHeight="1" x14ac:dyDescent="0.3">
      <c r="B633" s="110" t="s">
        <v>74</v>
      </c>
      <c r="C633" s="110"/>
      <c r="D633" s="110"/>
      <c r="E633" s="110"/>
      <c r="F633" s="110"/>
      <c r="G633" s="22">
        <f>'Datos Iniciales'!$B$33</f>
        <v>0.05</v>
      </c>
      <c r="H633" s="66">
        <f>H628*G633</f>
        <v>447.29327564479456</v>
      </c>
    </row>
    <row r="634" spans="2:8" ht="15" customHeight="1" x14ac:dyDescent="0.3">
      <c r="B634" s="138" t="s">
        <v>413</v>
      </c>
      <c r="C634" s="138"/>
      <c r="D634" s="138"/>
      <c r="E634" s="138"/>
      <c r="F634" s="138"/>
      <c r="G634" s="60">
        <f>G632+G633</f>
        <v>0.33999999999999997</v>
      </c>
      <c r="H634" s="67">
        <f>H632+H633</f>
        <v>3041.5942743846026</v>
      </c>
    </row>
    <row r="635" spans="2:8" ht="15" customHeight="1" x14ac:dyDescent="0.3"/>
    <row r="636" spans="2:8" ht="15" customHeight="1" x14ac:dyDescent="0.3">
      <c r="B636" s="139" t="s">
        <v>414</v>
      </c>
      <c r="C636" s="139"/>
      <c r="D636" s="139"/>
      <c r="E636" s="139"/>
      <c r="F636" s="139"/>
      <c r="G636" s="139"/>
      <c r="H636" s="37">
        <f>ROUND(H628+H634,0)</f>
        <v>11987</v>
      </c>
    </row>
    <row r="637" spans="2:8" ht="15" customHeight="1" x14ac:dyDescent="0.3"/>
    <row r="638" spans="2:8" ht="15" customHeight="1" x14ac:dyDescent="0.3"/>
    <row r="639" spans="2:8" ht="15.75" customHeight="1" x14ac:dyDescent="0.3">
      <c r="B639" s="123" t="s">
        <v>0</v>
      </c>
      <c r="C639" s="123"/>
      <c r="D639" s="123"/>
      <c r="E639" s="123"/>
      <c r="F639" s="123"/>
      <c r="G639" s="123"/>
      <c r="H639" s="110"/>
    </row>
    <row r="640" spans="2:8" ht="15.75" customHeight="1" x14ac:dyDescent="0.3">
      <c r="B640" s="123" t="s">
        <v>1</v>
      </c>
      <c r="C640" s="123"/>
      <c r="D640" s="123"/>
      <c r="E640" s="123"/>
      <c r="F640" s="123"/>
      <c r="G640" s="123"/>
      <c r="H640" s="110"/>
    </row>
    <row r="641" spans="2:8" ht="24" customHeight="1" x14ac:dyDescent="0.3">
      <c r="B641" s="136" t="str">
        <f>'Datos Iniciales'!$B$8</f>
        <v>OBRA PÚBLICA PARA LA EJECUCIÓN DE DIFERENTES MEJORAMIENTOS DE VIVIENDA EN EL CASCO URBANO Y RURAL DEL MUNICIPIO DE MACEO - ANTIOQUIA</v>
      </c>
      <c r="C641" s="136"/>
      <c r="D641" s="136"/>
      <c r="E641" s="136"/>
      <c r="F641" s="136"/>
      <c r="G641" s="136"/>
      <c r="H641" s="110"/>
    </row>
    <row r="642" spans="2:8" ht="15.75" customHeight="1" x14ac:dyDescent="0.3">
      <c r="B642" s="112" t="s">
        <v>381</v>
      </c>
      <c r="C642" s="112"/>
      <c r="D642" s="112"/>
      <c r="E642" s="112"/>
      <c r="F642" s="112"/>
      <c r="G642" s="112"/>
      <c r="H642" s="110"/>
    </row>
    <row r="643" spans="2:8" ht="24" customHeight="1" x14ac:dyDescent="0.3">
      <c r="B643" s="13" t="s">
        <v>382</v>
      </c>
      <c r="C643" s="112" t="s">
        <v>94</v>
      </c>
      <c r="D643" s="112"/>
      <c r="E643" s="112"/>
      <c r="F643" s="13" t="s">
        <v>383</v>
      </c>
      <c r="G643" s="13" t="s">
        <v>384</v>
      </c>
      <c r="H643" s="13" t="s">
        <v>385</v>
      </c>
    </row>
    <row r="644" spans="2:8" ht="52.5" customHeight="1" x14ac:dyDescent="0.3">
      <c r="B644" s="63" t="s">
        <v>478</v>
      </c>
      <c r="C644" s="140" t="s">
        <v>109</v>
      </c>
      <c r="D644" s="140"/>
      <c r="E644" s="140"/>
      <c r="F644" s="17" t="s">
        <v>101</v>
      </c>
      <c r="G644" s="41">
        <f>PRESUPUESTO!$E$10+PRESUPUESTO!$E$37</f>
        <v>27.27</v>
      </c>
      <c r="H644" s="33">
        <f>H670</f>
        <v>155779.48476665755</v>
      </c>
    </row>
    <row r="645" spans="2:8" ht="15" customHeight="1" x14ac:dyDescent="0.3">
      <c r="B645" s="137" t="s">
        <v>479</v>
      </c>
      <c r="C645" s="137"/>
      <c r="D645" s="137"/>
      <c r="E645" s="137"/>
      <c r="F645" s="137"/>
      <c r="G645" s="137"/>
      <c r="H645" s="137"/>
    </row>
    <row r="646" spans="2:8" ht="15" customHeight="1" x14ac:dyDescent="0.3">
      <c r="B646" s="64" t="s">
        <v>388</v>
      </c>
    </row>
    <row r="647" spans="2:8" ht="15" customHeight="1" x14ac:dyDescent="0.3">
      <c r="B647" s="135" t="s">
        <v>389</v>
      </c>
      <c r="C647" s="135"/>
      <c r="D647" s="135"/>
      <c r="E647" s="135"/>
      <c r="F647" s="135"/>
      <c r="G647" s="135"/>
      <c r="H647" s="135"/>
    </row>
    <row r="648" spans="2:8" ht="24" customHeight="1" x14ac:dyDescent="0.3">
      <c r="B648" s="123" t="s">
        <v>94</v>
      </c>
      <c r="C648" s="123"/>
      <c r="D648" s="123"/>
      <c r="E648" s="31" t="s">
        <v>383</v>
      </c>
      <c r="F648" s="31" t="s">
        <v>364</v>
      </c>
      <c r="G648" s="31" t="s">
        <v>390</v>
      </c>
      <c r="H648" s="31" t="s">
        <v>391</v>
      </c>
    </row>
    <row r="649" spans="2:8" ht="15" customHeight="1" x14ac:dyDescent="0.3">
      <c r="B649" s="134" t="s">
        <v>392</v>
      </c>
      <c r="C649" s="134"/>
      <c r="D649" s="134"/>
      <c r="E649" s="17" t="s">
        <v>393</v>
      </c>
      <c r="F649" s="22">
        <f>EQUIPOS!$D$3</f>
        <v>0.05</v>
      </c>
      <c r="G649" s="65">
        <f>H668</f>
        <v>28206.858272054793</v>
      </c>
      <c r="H649" s="66">
        <f>F649*G649</f>
        <v>1410.3429136027398</v>
      </c>
    </row>
    <row r="650" spans="2:8" ht="15" customHeight="1" x14ac:dyDescent="0.3">
      <c r="B650" s="134" t="s">
        <v>434</v>
      </c>
      <c r="C650" s="134"/>
      <c r="D650" s="134"/>
      <c r="E650" s="17" t="s">
        <v>421</v>
      </c>
      <c r="F650" s="65">
        <f>EQUIPOS!$D$4</f>
        <v>53440</v>
      </c>
      <c r="G650" s="68">
        <v>0.02</v>
      </c>
      <c r="H650" s="66">
        <f>F650*G650</f>
        <v>1068.8</v>
      </c>
    </row>
    <row r="651" spans="2:8" ht="15" customHeight="1" x14ac:dyDescent="0.3">
      <c r="G651" s="31" t="s">
        <v>394</v>
      </c>
      <c r="H651" s="67">
        <f>SUM(H649:H650)</f>
        <v>2479.14291360274</v>
      </c>
    </row>
    <row r="652" spans="2:8" ht="15" customHeight="1" x14ac:dyDescent="0.3">
      <c r="B652" s="135" t="s">
        <v>395</v>
      </c>
      <c r="C652" s="135"/>
      <c r="D652" s="135"/>
      <c r="E652" s="135"/>
      <c r="F652" s="135"/>
      <c r="G652" s="135"/>
      <c r="H652" s="135"/>
    </row>
    <row r="653" spans="2:8" ht="15" customHeight="1" x14ac:dyDescent="0.3">
      <c r="B653" s="123" t="s">
        <v>94</v>
      </c>
      <c r="C653" s="123"/>
      <c r="D653" s="31" t="s">
        <v>383</v>
      </c>
      <c r="E653" s="31" t="s">
        <v>96</v>
      </c>
      <c r="F653" s="31" t="s">
        <v>396</v>
      </c>
      <c r="G653" s="31" t="s">
        <v>397</v>
      </c>
      <c r="H653" s="31" t="s">
        <v>391</v>
      </c>
    </row>
    <row r="654" spans="2:8" ht="15" customHeight="1" x14ac:dyDescent="0.3">
      <c r="B654" s="134" t="s">
        <v>440</v>
      </c>
      <c r="C654" s="134"/>
      <c r="D654" s="17" t="s">
        <v>423</v>
      </c>
      <c r="E654" s="68">
        <v>0.1</v>
      </c>
      <c r="F654" s="27">
        <v>0.05</v>
      </c>
      <c r="G654" s="32">
        <f>'CONCRETOS Y MORTEROS'!$D$5</f>
        <v>546867.8722000001</v>
      </c>
      <c r="H654" s="66">
        <f>E654*(1+F654)*G654</f>
        <v>57421.126581000019</v>
      </c>
    </row>
    <row r="655" spans="2:8" ht="15" customHeight="1" x14ac:dyDescent="0.3">
      <c r="B655" s="134" t="s">
        <v>480</v>
      </c>
      <c r="C655" s="134"/>
      <c r="D655" s="17" t="s">
        <v>423</v>
      </c>
      <c r="E655" s="68">
        <v>0.13</v>
      </c>
      <c r="F655" s="27">
        <v>0</v>
      </c>
      <c r="G655" s="32">
        <f>INSUMOS!$D$6</f>
        <v>227198.9</v>
      </c>
      <c r="H655" s="66">
        <f>E655*(1+F655)*G655</f>
        <v>29535.857</v>
      </c>
    </row>
    <row r="656" spans="2:8" ht="15" customHeight="1" x14ac:dyDescent="0.3">
      <c r="B656" s="134" t="s">
        <v>481</v>
      </c>
      <c r="C656" s="134"/>
      <c r="D656" s="17" t="s">
        <v>442</v>
      </c>
      <c r="E656" s="68">
        <v>1</v>
      </c>
      <c r="F656" s="27">
        <v>0.1</v>
      </c>
      <c r="G656" s="32">
        <f>INSUMOS!$D$17</f>
        <v>17500</v>
      </c>
      <c r="H656" s="66">
        <f>E656*(1+F656)*G656</f>
        <v>19250</v>
      </c>
    </row>
    <row r="657" spans="2:8" ht="15" customHeight="1" x14ac:dyDescent="0.3">
      <c r="B657" s="134" t="s">
        <v>482</v>
      </c>
      <c r="C657" s="134"/>
      <c r="D657" s="17" t="s">
        <v>442</v>
      </c>
      <c r="E657" s="68">
        <v>1</v>
      </c>
      <c r="F657" s="27">
        <v>0.1</v>
      </c>
      <c r="G657" s="32">
        <f>INSUMOS!$D$18</f>
        <v>2600</v>
      </c>
      <c r="H657" s="66">
        <f>E657*(1+F657)*G657</f>
        <v>2860.0000000000005</v>
      </c>
    </row>
    <row r="658" spans="2:8" ht="15" customHeight="1" x14ac:dyDescent="0.3">
      <c r="B658" s="134" t="s">
        <v>441</v>
      </c>
      <c r="C658" s="134"/>
      <c r="D658" s="17" t="s">
        <v>442</v>
      </c>
      <c r="E658" s="68">
        <v>0.1</v>
      </c>
      <c r="F658" s="27">
        <v>0</v>
      </c>
      <c r="G658" s="32">
        <f>'CONCRETOS Y MORTEROS'!$D$7</f>
        <v>17705</v>
      </c>
      <c r="H658" s="66">
        <f>E658*(1+F658)*G658</f>
        <v>1770.5</v>
      </c>
    </row>
    <row r="659" spans="2:8" ht="15" customHeight="1" x14ac:dyDescent="0.3">
      <c r="G659" s="31" t="s">
        <v>394</v>
      </c>
      <c r="H659" s="67">
        <f>SUM(H654:H658)</f>
        <v>110837.48358100002</v>
      </c>
    </row>
    <row r="660" spans="2:8" ht="15" customHeight="1" x14ac:dyDescent="0.3">
      <c r="B660" s="135" t="s">
        <v>404</v>
      </c>
      <c r="C660" s="135"/>
      <c r="D660" s="135"/>
      <c r="E660" s="135"/>
      <c r="F660" s="135"/>
      <c r="G660" s="135"/>
      <c r="H660" s="135"/>
    </row>
    <row r="661" spans="2:8" ht="15" customHeight="1" x14ac:dyDescent="0.3">
      <c r="B661" s="123" t="s">
        <v>94</v>
      </c>
      <c r="C661" s="123"/>
      <c r="D661" s="31" t="s">
        <v>383</v>
      </c>
      <c r="E661" s="31" t="s">
        <v>96</v>
      </c>
      <c r="F661" s="31"/>
      <c r="G661" s="31" t="s">
        <v>364</v>
      </c>
      <c r="H661" s="31" t="s">
        <v>391</v>
      </c>
    </row>
    <row r="662" spans="2:8" ht="22.05" customHeight="1" x14ac:dyDescent="0.3">
      <c r="B662" s="134" t="s">
        <v>483</v>
      </c>
      <c r="C662" s="134"/>
      <c r="D662" s="17" t="s">
        <v>431</v>
      </c>
      <c r="E662" s="72">
        <f>0.48*'Datos Iniciales'!$B$26</f>
        <v>4.8</v>
      </c>
      <c r="F662" s="29"/>
      <c r="G662" s="32">
        <f>TRANSPORTE!$D$5</f>
        <v>2970</v>
      </c>
      <c r="H662" s="66">
        <f>E662*G662</f>
        <v>14256</v>
      </c>
    </row>
    <row r="663" spans="2:8" ht="15" customHeight="1" x14ac:dyDescent="0.3">
      <c r="G663" s="31" t="s">
        <v>394</v>
      </c>
      <c r="H663" s="67">
        <f>SUM(H662:H662)</f>
        <v>14256</v>
      </c>
    </row>
    <row r="664" spans="2:8" ht="15" customHeight="1" x14ac:dyDescent="0.3">
      <c r="B664" s="135" t="s">
        <v>406</v>
      </c>
      <c r="C664" s="135"/>
      <c r="D664" s="135"/>
      <c r="E664" s="135"/>
      <c r="F664" s="135"/>
      <c r="G664" s="135"/>
      <c r="H664" s="135"/>
    </row>
    <row r="665" spans="2:8" ht="24" customHeight="1" x14ac:dyDescent="0.3">
      <c r="B665" s="123" t="s">
        <v>407</v>
      </c>
      <c r="C665" s="123"/>
      <c r="D665" s="123"/>
      <c r="E665" s="31" t="s">
        <v>96</v>
      </c>
      <c r="F665" s="31" t="s">
        <v>408</v>
      </c>
      <c r="G665" s="31" t="s">
        <v>390</v>
      </c>
      <c r="H665" s="31" t="s">
        <v>391</v>
      </c>
    </row>
    <row r="666" spans="2:8" ht="15" customHeight="1" x14ac:dyDescent="0.3">
      <c r="B666" s="134" t="s">
        <v>409</v>
      </c>
      <c r="C666" s="134"/>
      <c r="D666" s="134"/>
      <c r="E666" s="69">
        <v>1</v>
      </c>
      <c r="F666" s="32">
        <f>'MANO DE OBRA'!$H$27</f>
        <v>226162.13017808215</v>
      </c>
      <c r="G666" s="68">
        <v>0.06</v>
      </c>
      <c r="H666" s="66">
        <f>E666*F666*G666</f>
        <v>13569.727810684928</v>
      </c>
    </row>
    <row r="667" spans="2:8" ht="15" customHeight="1" x14ac:dyDescent="0.3">
      <c r="B667" s="134" t="s">
        <v>410</v>
      </c>
      <c r="C667" s="134"/>
      <c r="D667" s="134"/>
      <c r="E667" s="69">
        <v>2</v>
      </c>
      <c r="F667" s="32">
        <f>'MANO DE OBRA'!$H$23</f>
        <v>121976.08717808221</v>
      </c>
      <c r="G667" s="68">
        <v>0.06</v>
      </c>
      <c r="H667" s="66">
        <f>E667*F667*G667</f>
        <v>14637.130461369865</v>
      </c>
    </row>
    <row r="668" spans="2:8" ht="15" customHeight="1" x14ac:dyDescent="0.3">
      <c r="G668" s="31" t="s">
        <v>394</v>
      </c>
      <c r="H668" s="67">
        <f>SUM(H666:H667)</f>
        <v>28206.858272054793</v>
      </c>
    </row>
    <row r="669" spans="2:8" ht="15" customHeight="1" x14ac:dyDescent="0.3"/>
    <row r="670" spans="2:8" ht="15" customHeight="1" x14ac:dyDescent="0.3">
      <c r="B670" s="115" t="s">
        <v>295</v>
      </c>
      <c r="C670" s="115"/>
      <c r="D670" s="115"/>
      <c r="E670" s="115"/>
      <c r="F670" s="115"/>
      <c r="G670" s="115"/>
      <c r="H670" s="70">
        <f>H651+H659+H663+H668</f>
        <v>155779.48476665755</v>
      </c>
    </row>
    <row r="671" spans="2:8" ht="15" customHeight="1" x14ac:dyDescent="0.3"/>
    <row r="672" spans="2:8" ht="15" customHeight="1" x14ac:dyDescent="0.3">
      <c r="B672" s="71" t="s">
        <v>411</v>
      </c>
    </row>
    <row r="673" spans="2:8" ht="15" customHeight="1" x14ac:dyDescent="0.3">
      <c r="B673" s="123" t="s">
        <v>94</v>
      </c>
      <c r="C673" s="123"/>
      <c r="D673" s="123"/>
      <c r="E673" s="123"/>
      <c r="F673" s="123"/>
      <c r="G673" s="31" t="s">
        <v>412</v>
      </c>
      <c r="H673" s="31" t="s">
        <v>4</v>
      </c>
    </row>
    <row r="674" spans="2:8" ht="15" customHeight="1" x14ac:dyDescent="0.3">
      <c r="B674" s="110" t="s">
        <v>73</v>
      </c>
      <c r="C674" s="110"/>
      <c r="D674" s="110"/>
      <c r="E674" s="110"/>
      <c r="F674" s="110"/>
      <c r="G674" s="22">
        <f>'Datos Iniciales'!$B$32</f>
        <v>0.28999999999999998</v>
      </c>
      <c r="H674" s="66">
        <f>H670*G674</f>
        <v>45176.050582330688</v>
      </c>
    </row>
    <row r="675" spans="2:8" ht="15" customHeight="1" x14ac:dyDescent="0.3">
      <c r="B675" s="110" t="s">
        <v>74</v>
      </c>
      <c r="C675" s="110"/>
      <c r="D675" s="110"/>
      <c r="E675" s="110"/>
      <c r="F675" s="110"/>
      <c r="G675" s="22">
        <f>'Datos Iniciales'!$B$33</f>
        <v>0.05</v>
      </c>
      <c r="H675" s="66">
        <f>H670*G675</f>
        <v>7788.9742383328776</v>
      </c>
    </row>
    <row r="676" spans="2:8" ht="15" customHeight="1" x14ac:dyDescent="0.3">
      <c r="B676" s="138" t="s">
        <v>413</v>
      </c>
      <c r="C676" s="138"/>
      <c r="D676" s="138"/>
      <c r="E676" s="138"/>
      <c r="F676" s="138"/>
      <c r="G676" s="60">
        <f>G674+G675</f>
        <v>0.33999999999999997</v>
      </c>
      <c r="H676" s="67">
        <f>H674+H675</f>
        <v>52965.024820663566</v>
      </c>
    </row>
    <row r="677" spans="2:8" ht="15" customHeight="1" x14ac:dyDescent="0.3"/>
    <row r="678" spans="2:8" ht="15" customHeight="1" x14ac:dyDescent="0.3">
      <c r="B678" s="139" t="s">
        <v>414</v>
      </c>
      <c r="C678" s="139"/>
      <c r="D678" s="139"/>
      <c r="E678" s="139"/>
      <c r="F678" s="139"/>
      <c r="G678" s="139"/>
      <c r="H678" s="37">
        <f>ROUND(H670+H676,0)</f>
        <v>208745</v>
      </c>
    </row>
    <row r="679" spans="2:8" ht="15" customHeight="1" x14ac:dyDescent="0.3"/>
    <row r="680" spans="2:8" ht="15" customHeight="1" x14ac:dyDescent="0.3"/>
    <row r="681" spans="2:8" ht="15.75" customHeight="1" x14ac:dyDescent="0.3">
      <c r="B681" s="123" t="s">
        <v>0</v>
      </c>
      <c r="C681" s="123"/>
      <c r="D681" s="123"/>
      <c r="E681" s="123"/>
      <c r="F681" s="123"/>
      <c r="G681" s="123"/>
      <c r="H681" s="110"/>
    </row>
    <row r="682" spans="2:8" ht="15.75" customHeight="1" x14ac:dyDescent="0.3">
      <c r="B682" s="123" t="s">
        <v>1</v>
      </c>
      <c r="C682" s="123"/>
      <c r="D682" s="123"/>
      <c r="E682" s="123"/>
      <c r="F682" s="123"/>
      <c r="G682" s="123"/>
      <c r="H682" s="110"/>
    </row>
    <row r="683" spans="2:8" ht="24" customHeight="1" x14ac:dyDescent="0.3">
      <c r="B683" s="136" t="str">
        <f>'Datos Iniciales'!$B$8</f>
        <v>OBRA PÚBLICA PARA LA EJECUCIÓN DE DIFERENTES MEJORAMIENTOS DE VIVIENDA EN EL CASCO URBANO Y RURAL DEL MUNICIPIO DE MACEO - ANTIOQUIA</v>
      </c>
      <c r="C683" s="136"/>
      <c r="D683" s="136"/>
      <c r="E683" s="136"/>
      <c r="F683" s="136"/>
      <c r="G683" s="136"/>
      <c r="H683" s="110"/>
    </row>
    <row r="684" spans="2:8" ht="15.75" customHeight="1" x14ac:dyDescent="0.3">
      <c r="B684" s="112" t="s">
        <v>381</v>
      </c>
      <c r="C684" s="112"/>
      <c r="D684" s="112"/>
      <c r="E684" s="112"/>
      <c r="F684" s="112"/>
      <c r="G684" s="112"/>
      <c r="H684" s="110"/>
    </row>
    <row r="685" spans="2:8" ht="24" customHeight="1" x14ac:dyDescent="0.3">
      <c r="B685" s="13" t="s">
        <v>382</v>
      </c>
      <c r="C685" s="112" t="s">
        <v>94</v>
      </c>
      <c r="D685" s="112"/>
      <c r="E685" s="112"/>
      <c r="F685" s="13" t="s">
        <v>383</v>
      </c>
      <c r="G685" s="13" t="s">
        <v>384</v>
      </c>
      <c r="H685" s="13" t="s">
        <v>385</v>
      </c>
    </row>
    <row r="686" spans="2:8" ht="63" customHeight="1" x14ac:dyDescent="0.3">
      <c r="B686" s="63" t="s">
        <v>484</v>
      </c>
      <c r="C686" s="140" t="s">
        <v>235</v>
      </c>
      <c r="D686" s="140"/>
      <c r="E686" s="140"/>
      <c r="F686" s="17" t="s">
        <v>101</v>
      </c>
      <c r="G686" s="41">
        <f>PRESUPUESTO!$E$89</f>
        <v>13.94</v>
      </c>
      <c r="H686" s="33">
        <f>H714</f>
        <v>162274.36467376712</v>
      </c>
    </row>
    <row r="687" spans="2:8" ht="15" customHeight="1" x14ac:dyDescent="0.3">
      <c r="B687" s="137" t="s">
        <v>485</v>
      </c>
      <c r="C687" s="137"/>
      <c r="D687" s="137"/>
      <c r="E687" s="137"/>
      <c r="F687" s="137"/>
      <c r="G687" s="137"/>
      <c r="H687" s="137"/>
    </row>
    <row r="688" spans="2:8" ht="15" customHeight="1" x14ac:dyDescent="0.3">
      <c r="B688" s="64" t="s">
        <v>388</v>
      </c>
    </row>
    <row r="689" spans="2:8" ht="15" customHeight="1" x14ac:dyDescent="0.3">
      <c r="B689" s="135" t="s">
        <v>389</v>
      </c>
      <c r="C689" s="135"/>
      <c r="D689" s="135"/>
      <c r="E689" s="135"/>
      <c r="F689" s="135"/>
      <c r="G689" s="135"/>
      <c r="H689" s="135"/>
    </row>
    <row r="690" spans="2:8" ht="24" customHeight="1" x14ac:dyDescent="0.3">
      <c r="B690" s="123" t="s">
        <v>94</v>
      </c>
      <c r="C690" s="123"/>
      <c r="D690" s="123"/>
      <c r="E690" s="31" t="s">
        <v>383</v>
      </c>
      <c r="F690" s="31" t="s">
        <v>364</v>
      </c>
      <c r="G690" s="31" t="s">
        <v>390</v>
      </c>
      <c r="H690" s="31" t="s">
        <v>391</v>
      </c>
    </row>
    <row r="691" spans="2:8" ht="15" customHeight="1" x14ac:dyDescent="0.3">
      <c r="B691" s="134" t="s">
        <v>392</v>
      </c>
      <c r="C691" s="134"/>
      <c r="D691" s="134"/>
      <c r="E691" s="17" t="s">
        <v>393</v>
      </c>
      <c r="F691" s="22">
        <f>EQUIPOS!$D$3</f>
        <v>0.05</v>
      </c>
      <c r="G691" s="65">
        <f>H712</f>
        <v>32908.001317397262</v>
      </c>
      <c r="H691" s="66">
        <f>F691*G691</f>
        <v>1645.4000658698633</v>
      </c>
    </row>
    <row r="692" spans="2:8" ht="15" customHeight="1" x14ac:dyDescent="0.3">
      <c r="B692" s="134" t="s">
        <v>434</v>
      </c>
      <c r="C692" s="134"/>
      <c r="D692" s="134"/>
      <c r="E692" s="17" t="s">
        <v>421</v>
      </c>
      <c r="F692" s="65">
        <f>EQUIPOS!$D$4</f>
        <v>53440</v>
      </c>
      <c r="G692" s="68">
        <v>0.01</v>
      </c>
      <c r="H692" s="66">
        <f>F692*G692</f>
        <v>534.4</v>
      </c>
    </row>
    <row r="693" spans="2:8" ht="15" customHeight="1" x14ac:dyDescent="0.3">
      <c r="B693" s="134" t="s">
        <v>449</v>
      </c>
      <c r="C693" s="134"/>
      <c r="D693" s="134"/>
      <c r="E693" s="17" t="s">
        <v>421</v>
      </c>
      <c r="F693" s="65">
        <f>EQUIPOS!$D$7</f>
        <v>8900</v>
      </c>
      <c r="G693" s="68">
        <v>0.05</v>
      </c>
      <c r="H693" s="66">
        <f>F693*G693</f>
        <v>445</v>
      </c>
    </row>
    <row r="694" spans="2:8" ht="15" customHeight="1" x14ac:dyDescent="0.3">
      <c r="G694" s="31" t="s">
        <v>394</v>
      </c>
      <c r="H694" s="67">
        <f>SUM(H691:H693)</f>
        <v>2624.8000658698634</v>
      </c>
    </row>
    <row r="695" spans="2:8" ht="15" customHeight="1" x14ac:dyDescent="0.3">
      <c r="B695" s="135" t="s">
        <v>395</v>
      </c>
      <c r="C695" s="135"/>
      <c r="D695" s="135"/>
      <c r="E695" s="135"/>
      <c r="F695" s="135"/>
      <c r="G695" s="135"/>
      <c r="H695" s="135"/>
    </row>
    <row r="696" spans="2:8" ht="15" customHeight="1" x14ac:dyDescent="0.3">
      <c r="B696" s="123" t="s">
        <v>94</v>
      </c>
      <c r="C696" s="123"/>
      <c r="D696" s="31" t="s">
        <v>383</v>
      </c>
      <c r="E696" s="31" t="s">
        <v>96</v>
      </c>
      <c r="F696" s="31" t="s">
        <v>396</v>
      </c>
      <c r="G696" s="31" t="s">
        <v>397</v>
      </c>
      <c r="H696" s="31" t="s">
        <v>391</v>
      </c>
    </row>
    <row r="697" spans="2:8" ht="15" customHeight="1" x14ac:dyDescent="0.3">
      <c r="B697" s="134" t="s">
        <v>486</v>
      </c>
      <c r="C697" s="134"/>
      <c r="D697" s="17" t="s">
        <v>399</v>
      </c>
      <c r="E697" s="68">
        <v>5</v>
      </c>
      <c r="F697" s="27">
        <v>0.05</v>
      </c>
      <c r="G697" s="32">
        <f>INSUMOS!$D$20</f>
        <v>8400</v>
      </c>
      <c r="H697" s="66">
        <f t="shared" ref="H697:H702" si="0">E697*(1+F697)*G697</f>
        <v>44100</v>
      </c>
    </row>
    <row r="698" spans="2:8" ht="15" customHeight="1" x14ac:dyDescent="0.3">
      <c r="B698" s="134" t="s">
        <v>487</v>
      </c>
      <c r="C698" s="134"/>
      <c r="D698" s="17" t="s">
        <v>488</v>
      </c>
      <c r="E698" s="68">
        <v>1.1200000000000001</v>
      </c>
      <c r="F698" s="27">
        <v>0.05</v>
      </c>
      <c r="G698" s="32">
        <f>INSUMOS!$D$21</f>
        <v>22000</v>
      </c>
      <c r="H698" s="66">
        <f t="shared" si="0"/>
        <v>25872.000000000004</v>
      </c>
    </row>
    <row r="699" spans="2:8" ht="15" customHeight="1" x14ac:dyDescent="0.3">
      <c r="B699" s="134" t="s">
        <v>440</v>
      </c>
      <c r="C699" s="134"/>
      <c r="D699" s="17" t="s">
        <v>423</v>
      </c>
      <c r="E699" s="68">
        <v>0.05</v>
      </c>
      <c r="F699" s="27">
        <v>0.05</v>
      </c>
      <c r="G699" s="32">
        <f>'CONCRETOS Y MORTEROS'!$D$5</f>
        <v>546867.8722000001</v>
      </c>
      <c r="H699" s="66">
        <f t="shared" si="0"/>
        <v>28710.563290500009</v>
      </c>
    </row>
    <row r="700" spans="2:8" ht="15" customHeight="1" x14ac:dyDescent="0.3">
      <c r="B700" s="134" t="s">
        <v>481</v>
      </c>
      <c r="C700" s="134"/>
      <c r="D700" s="17" t="s">
        <v>442</v>
      </c>
      <c r="E700" s="68">
        <v>1</v>
      </c>
      <c r="F700" s="27">
        <v>0.1</v>
      </c>
      <c r="G700" s="32">
        <f>INSUMOS!$D$17</f>
        <v>17500</v>
      </c>
      <c r="H700" s="66">
        <f t="shared" si="0"/>
        <v>19250</v>
      </c>
    </row>
    <row r="701" spans="2:8" ht="15" customHeight="1" x14ac:dyDescent="0.3">
      <c r="B701" s="134" t="s">
        <v>489</v>
      </c>
      <c r="C701" s="134"/>
      <c r="D701" s="17" t="s">
        <v>490</v>
      </c>
      <c r="E701" s="68">
        <v>0.03</v>
      </c>
      <c r="F701" s="27">
        <v>0</v>
      </c>
      <c r="G701" s="32">
        <f>INSUMOS!$D$3</f>
        <v>42000</v>
      </c>
      <c r="H701" s="66">
        <f t="shared" si="0"/>
        <v>1260</v>
      </c>
    </row>
    <row r="702" spans="2:8" ht="15" customHeight="1" x14ac:dyDescent="0.3">
      <c r="B702" s="134" t="s">
        <v>428</v>
      </c>
      <c r="C702" s="134"/>
      <c r="D702" s="17" t="s">
        <v>399</v>
      </c>
      <c r="E702" s="68">
        <v>0.1</v>
      </c>
      <c r="F702" s="27">
        <v>0</v>
      </c>
      <c r="G702" s="32">
        <f>INSUMOS!$D$86</f>
        <v>25000</v>
      </c>
      <c r="H702" s="66">
        <f t="shared" si="0"/>
        <v>2500</v>
      </c>
    </row>
    <row r="703" spans="2:8" ht="15" customHeight="1" x14ac:dyDescent="0.3">
      <c r="G703" s="31" t="s">
        <v>394</v>
      </c>
      <c r="H703" s="67">
        <f>SUM(H697:H702)</f>
        <v>121692.56329050001</v>
      </c>
    </row>
    <row r="704" spans="2:8" ht="15" customHeight="1" x14ac:dyDescent="0.3">
      <c r="B704" s="135" t="s">
        <v>404</v>
      </c>
      <c r="C704" s="135"/>
      <c r="D704" s="135"/>
      <c r="E704" s="135"/>
      <c r="F704" s="135"/>
      <c r="G704" s="135"/>
      <c r="H704" s="135"/>
    </row>
    <row r="705" spans="2:8" ht="15" customHeight="1" x14ac:dyDescent="0.3">
      <c r="B705" s="123" t="s">
        <v>94</v>
      </c>
      <c r="C705" s="123"/>
      <c r="D705" s="31" t="s">
        <v>383</v>
      </c>
      <c r="E705" s="31" t="s">
        <v>96</v>
      </c>
      <c r="F705" s="31"/>
      <c r="G705" s="31" t="s">
        <v>364</v>
      </c>
      <c r="H705" s="31" t="s">
        <v>391</v>
      </c>
    </row>
    <row r="706" spans="2:8" ht="22.05" customHeight="1" x14ac:dyDescent="0.3">
      <c r="B706" s="134" t="s">
        <v>491</v>
      </c>
      <c r="C706" s="134"/>
      <c r="D706" s="17" t="s">
        <v>431</v>
      </c>
      <c r="E706" s="72">
        <f>0.17*'Datos Iniciales'!$B$26</f>
        <v>1.7000000000000002</v>
      </c>
      <c r="F706" s="29"/>
      <c r="G706" s="32">
        <f>TRANSPORTE!$D$5</f>
        <v>2970</v>
      </c>
      <c r="H706" s="66">
        <f>E706*G706</f>
        <v>5049.0000000000009</v>
      </c>
    </row>
    <row r="707" spans="2:8" ht="15" customHeight="1" x14ac:dyDescent="0.3">
      <c r="G707" s="31" t="s">
        <v>394</v>
      </c>
      <c r="H707" s="67">
        <f>SUM(H706:H706)</f>
        <v>5049.0000000000009</v>
      </c>
    </row>
    <row r="708" spans="2:8" ht="15" customHeight="1" x14ac:dyDescent="0.3">
      <c r="B708" s="135" t="s">
        <v>406</v>
      </c>
      <c r="C708" s="135"/>
      <c r="D708" s="135"/>
      <c r="E708" s="135"/>
      <c r="F708" s="135"/>
      <c r="G708" s="135"/>
      <c r="H708" s="135"/>
    </row>
    <row r="709" spans="2:8" ht="24" customHeight="1" x14ac:dyDescent="0.3">
      <c r="B709" s="123" t="s">
        <v>407</v>
      </c>
      <c r="C709" s="123"/>
      <c r="D709" s="123"/>
      <c r="E709" s="31" t="s">
        <v>96</v>
      </c>
      <c r="F709" s="31" t="s">
        <v>408</v>
      </c>
      <c r="G709" s="31" t="s">
        <v>390</v>
      </c>
      <c r="H709" s="31" t="s">
        <v>391</v>
      </c>
    </row>
    <row r="710" spans="2:8" ht="15" customHeight="1" x14ac:dyDescent="0.3">
      <c r="B710" s="134" t="s">
        <v>409</v>
      </c>
      <c r="C710" s="134"/>
      <c r="D710" s="134"/>
      <c r="E710" s="69">
        <v>1</v>
      </c>
      <c r="F710" s="32">
        <f>'MANO DE OBRA'!$H$27</f>
        <v>226162.13017808215</v>
      </c>
      <c r="G710" s="68">
        <v>7.0000000000000007E-2</v>
      </c>
      <c r="H710" s="66">
        <f>E710*F710*G710</f>
        <v>15831.349112465752</v>
      </c>
    </row>
    <row r="711" spans="2:8" ht="15" customHeight="1" x14ac:dyDescent="0.3">
      <c r="B711" s="134" t="s">
        <v>410</v>
      </c>
      <c r="C711" s="134"/>
      <c r="D711" s="134"/>
      <c r="E711" s="69">
        <v>2</v>
      </c>
      <c r="F711" s="32">
        <f>'MANO DE OBRA'!$H$23</f>
        <v>121976.08717808221</v>
      </c>
      <c r="G711" s="68">
        <v>7.0000000000000007E-2</v>
      </c>
      <c r="H711" s="66">
        <f>E711*F711*G711</f>
        <v>17076.65220493151</v>
      </c>
    </row>
    <row r="712" spans="2:8" ht="15" customHeight="1" x14ac:dyDescent="0.3">
      <c r="G712" s="31" t="s">
        <v>394</v>
      </c>
      <c r="H712" s="67">
        <f>SUM(H710:H711)</f>
        <v>32908.001317397262</v>
      </c>
    </row>
    <row r="713" spans="2:8" ht="15" customHeight="1" x14ac:dyDescent="0.3"/>
    <row r="714" spans="2:8" ht="15" customHeight="1" x14ac:dyDescent="0.3">
      <c r="B714" s="115" t="s">
        <v>295</v>
      </c>
      <c r="C714" s="115"/>
      <c r="D714" s="115"/>
      <c r="E714" s="115"/>
      <c r="F714" s="115"/>
      <c r="G714" s="115"/>
      <c r="H714" s="70">
        <f>H694+H703+H707+H712</f>
        <v>162274.36467376712</v>
      </c>
    </row>
    <row r="715" spans="2:8" ht="15" customHeight="1" x14ac:dyDescent="0.3"/>
    <row r="716" spans="2:8" ht="15" customHeight="1" x14ac:dyDescent="0.3">
      <c r="B716" s="71" t="s">
        <v>411</v>
      </c>
    </row>
    <row r="717" spans="2:8" ht="15" customHeight="1" x14ac:dyDescent="0.3">
      <c r="B717" s="123" t="s">
        <v>94</v>
      </c>
      <c r="C717" s="123"/>
      <c r="D717" s="123"/>
      <c r="E717" s="123"/>
      <c r="F717" s="123"/>
      <c r="G717" s="31" t="s">
        <v>412</v>
      </c>
      <c r="H717" s="31" t="s">
        <v>4</v>
      </c>
    </row>
    <row r="718" spans="2:8" ht="15" customHeight="1" x14ac:dyDescent="0.3">
      <c r="B718" s="110" t="s">
        <v>73</v>
      </c>
      <c r="C718" s="110"/>
      <c r="D718" s="110"/>
      <c r="E718" s="110"/>
      <c r="F718" s="110"/>
      <c r="G718" s="22">
        <f>'Datos Iniciales'!$B$32</f>
        <v>0.28999999999999998</v>
      </c>
      <c r="H718" s="66">
        <f>H714*G718</f>
        <v>47059.565755392461</v>
      </c>
    </row>
    <row r="719" spans="2:8" ht="15" customHeight="1" x14ac:dyDescent="0.3">
      <c r="B719" s="110" t="s">
        <v>74</v>
      </c>
      <c r="C719" s="110"/>
      <c r="D719" s="110"/>
      <c r="E719" s="110"/>
      <c r="F719" s="110"/>
      <c r="G719" s="22">
        <f>'Datos Iniciales'!$B$33</f>
        <v>0.05</v>
      </c>
      <c r="H719" s="66">
        <f>H714*G719</f>
        <v>8113.7182336883561</v>
      </c>
    </row>
    <row r="720" spans="2:8" ht="15" customHeight="1" x14ac:dyDescent="0.3">
      <c r="B720" s="138" t="s">
        <v>413</v>
      </c>
      <c r="C720" s="138"/>
      <c r="D720" s="138"/>
      <c r="E720" s="138"/>
      <c r="F720" s="138"/>
      <c r="G720" s="60">
        <f>G718+G719</f>
        <v>0.33999999999999997</v>
      </c>
      <c r="H720" s="67">
        <f>H718+H719</f>
        <v>55173.283989080817</v>
      </c>
    </row>
    <row r="721" spans="2:8" ht="15" customHeight="1" x14ac:dyDescent="0.3"/>
    <row r="722" spans="2:8" ht="15" customHeight="1" x14ac:dyDescent="0.3">
      <c r="B722" s="139" t="s">
        <v>414</v>
      </c>
      <c r="C722" s="139"/>
      <c r="D722" s="139"/>
      <c r="E722" s="139"/>
      <c r="F722" s="139"/>
      <c r="G722" s="139"/>
      <c r="H722" s="37">
        <f>ROUND(H714+H720,0)</f>
        <v>217448</v>
      </c>
    </row>
    <row r="723" spans="2:8" ht="15" customHeight="1" x14ac:dyDescent="0.3"/>
    <row r="724" spans="2:8" ht="15" customHeight="1" x14ac:dyDescent="0.3"/>
    <row r="725" spans="2:8" ht="15.75" customHeight="1" x14ac:dyDescent="0.3">
      <c r="B725" s="123" t="s">
        <v>0</v>
      </c>
      <c r="C725" s="123"/>
      <c r="D725" s="123"/>
      <c r="E725" s="123"/>
      <c r="F725" s="123"/>
      <c r="G725" s="123"/>
      <c r="H725" s="110"/>
    </row>
    <row r="726" spans="2:8" ht="15.75" customHeight="1" x14ac:dyDescent="0.3">
      <c r="B726" s="123" t="s">
        <v>1</v>
      </c>
      <c r="C726" s="123"/>
      <c r="D726" s="123"/>
      <c r="E726" s="123"/>
      <c r="F726" s="123"/>
      <c r="G726" s="123"/>
      <c r="H726" s="110"/>
    </row>
    <row r="727" spans="2:8" ht="24" customHeight="1" x14ac:dyDescent="0.3">
      <c r="B727" s="136" t="str">
        <f>'Datos Iniciales'!$B$8</f>
        <v>OBRA PÚBLICA PARA LA EJECUCIÓN DE DIFERENTES MEJORAMIENTOS DE VIVIENDA EN EL CASCO URBANO Y RURAL DEL MUNICIPIO DE MACEO - ANTIOQUIA</v>
      </c>
      <c r="C727" s="136"/>
      <c r="D727" s="136"/>
      <c r="E727" s="136"/>
      <c r="F727" s="136"/>
      <c r="G727" s="136"/>
      <c r="H727" s="110"/>
    </row>
    <row r="728" spans="2:8" ht="15.75" customHeight="1" x14ac:dyDescent="0.3">
      <c r="B728" s="112" t="s">
        <v>381</v>
      </c>
      <c r="C728" s="112"/>
      <c r="D728" s="112"/>
      <c r="E728" s="112"/>
      <c r="F728" s="112"/>
      <c r="G728" s="112"/>
      <c r="H728" s="110"/>
    </row>
    <row r="729" spans="2:8" ht="24" customHeight="1" x14ac:dyDescent="0.3">
      <c r="B729" s="13" t="s">
        <v>382</v>
      </c>
      <c r="C729" s="112" t="s">
        <v>94</v>
      </c>
      <c r="D729" s="112"/>
      <c r="E729" s="112"/>
      <c r="F729" s="13" t="s">
        <v>383</v>
      </c>
      <c r="G729" s="13" t="s">
        <v>384</v>
      </c>
      <c r="H729" s="13" t="s">
        <v>385</v>
      </c>
    </row>
    <row r="730" spans="2:8" ht="42" customHeight="1" x14ac:dyDescent="0.3">
      <c r="B730" s="63" t="s">
        <v>492</v>
      </c>
      <c r="C730" s="140" t="s">
        <v>116</v>
      </c>
      <c r="D730" s="140"/>
      <c r="E730" s="140"/>
      <c r="F730" s="17" t="s">
        <v>101</v>
      </c>
      <c r="G730" s="41">
        <f>PRESUPUESTO!$E$13+PRESUPUESTO!$E$40+PRESUPUESTO!$E$92</f>
        <v>136.92000000000002</v>
      </c>
      <c r="H730" s="33">
        <f>H753</f>
        <v>81039.148878717257</v>
      </c>
    </row>
    <row r="731" spans="2:8" ht="15" customHeight="1" x14ac:dyDescent="0.3">
      <c r="B731" s="137" t="s">
        <v>493</v>
      </c>
      <c r="C731" s="137"/>
      <c r="D731" s="137"/>
      <c r="E731" s="137"/>
      <c r="F731" s="137"/>
      <c r="G731" s="137"/>
      <c r="H731" s="137"/>
    </row>
    <row r="732" spans="2:8" ht="15" customHeight="1" x14ac:dyDescent="0.3">
      <c r="B732" s="64" t="s">
        <v>388</v>
      </c>
    </row>
    <row r="733" spans="2:8" ht="15" customHeight="1" x14ac:dyDescent="0.3">
      <c r="B733" s="135" t="s">
        <v>389</v>
      </c>
      <c r="C733" s="135"/>
      <c r="D733" s="135"/>
      <c r="E733" s="135"/>
      <c r="F733" s="135"/>
      <c r="G733" s="135"/>
      <c r="H733" s="135"/>
    </row>
    <row r="734" spans="2:8" ht="24" customHeight="1" x14ac:dyDescent="0.3">
      <c r="B734" s="123" t="s">
        <v>94</v>
      </c>
      <c r="C734" s="123"/>
      <c r="D734" s="123"/>
      <c r="E734" s="31" t="s">
        <v>383</v>
      </c>
      <c r="F734" s="31" t="s">
        <v>364</v>
      </c>
      <c r="G734" s="31" t="s">
        <v>390</v>
      </c>
      <c r="H734" s="31" t="s">
        <v>391</v>
      </c>
    </row>
    <row r="735" spans="2:8" ht="15" customHeight="1" x14ac:dyDescent="0.3">
      <c r="B735" s="134" t="s">
        <v>392</v>
      </c>
      <c r="C735" s="134"/>
      <c r="D735" s="134"/>
      <c r="E735" s="17" t="s">
        <v>393</v>
      </c>
      <c r="F735" s="22">
        <f>EQUIPOS!$D$3</f>
        <v>0.05</v>
      </c>
      <c r="G735" s="65">
        <f>H751</f>
        <v>34813.821735616439</v>
      </c>
      <c r="H735" s="66">
        <f>F735*G735</f>
        <v>1740.6910867808219</v>
      </c>
    </row>
    <row r="736" spans="2:8" ht="15" customHeight="1" x14ac:dyDescent="0.3">
      <c r="B736" s="134" t="s">
        <v>449</v>
      </c>
      <c r="C736" s="134"/>
      <c r="D736" s="134"/>
      <c r="E736" s="17" t="s">
        <v>421</v>
      </c>
      <c r="F736" s="65">
        <f>EQUIPOS!$D$7</f>
        <v>8900</v>
      </c>
      <c r="G736" s="68">
        <v>0.05</v>
      </c>
      <c r="H736" s="66">
        <f>F736*G736</f>
        <v>445</v>
      </c>
    </row>
    <row r="737" spans="2:8" ht="15" customHeight="1" x14ac:dyDescent="0.3">
      <c r="G737" s="31" t="s">
        <v>394</v>
      </c>
      <c r="H737" s="67">
        <f>SUM(H735:H736)</f>
        <v>2185.6910867808219</v>
      </c>
    </row>
    <row r="738" spans="2:8" ht="15" customHeight="1" x14ac:dyDescent="0.3">
      <c r="B738" s="135" t="s">
        <v>395</v>
      </c>
      <c r="C738" s="135"/>
      <c r="D738" s="135"/>
      <c r="E738" s="135"/>
      <c r="F738" s="135"/>
      <c r="G738" s="135"/>
      <c r="H738" s="135"/>
    </row>
    <row r="739" spans="2:8" ht="15" customHeight="1" x14ac:dyDescent="0.3">
      <c r="B739" s="123" t="s">
        <v>94</v>
      </c>
      <c r="C739" s="123"/>
      <c r="D739" s="31" t="s">
        <v>383</v>
      </c>
      <c r="E739" s="31" t="s">
        <v>96</v>
      </c>
      <c r="F739" s="31" t="s">
        <v>396</v>
      </c>
      <c r="G739" s="31" t="s">
        <v>397</v>
      </c>
      <c r="H739" s="31" t="s">
        <v>391</v>
      </c>
    </row>
    <row r="740" spans="2:8" ht="22.05" customHeight="1" x14ac:dyDescent="0.3">
      <c r="B740" s="134" t="s">
        <v>494</v>
      </c>
      <c r="C740" s="134"/>
      <c r="D740" s="17" t="s">
        <v>399</v>
      </c>
      <c r="E740" s="68">
        <v>12.5</v>
      </c>
      <c r="F740" s="27">
        <v>0.05</v>
      </c>
      <c r="G740" s="32">
        <f>INSUMOS!$D$19</f>
        <v>2600</v>
      </c>
      <c r="H740" s="66">
        <f>E740*(1+F740)*G740</f>
        <v>34125</v>
      </c>
    </row>
    <row r="741" spans="2:8" ht="15" customHeight="1" x14ac:dyDescent="0.3">
      <c r="B741" s="134" t="s">
        <v>495</v>
      </c>
      <c r="C741" s="134"/>
      <c r="D741" s="17" t="s">
        <v>423</v>
      </c>
      <c r="E741" s="68">
        <v>1.2E-2</v>
      </c>
      <c r="F741" s="27">
        <v>0.05</v>
      </c>
      <c r="G741" s="32">
        <f>'CONCRETOS Y MORTEROS'!$D$6</f>
        <v>527590.16320000007</v>
      </c>
      <c r="H741" s="66">
        <f>E741*(1+F741)*G741</f>
        <v>6647.6360563200005</v>
      </c>
    </row>
    <row r="742" spans="2:8" ht="15" customHeight="1" x14ac:dyDescent="0.3">
      <c r="G742" s="31" t="s">
        <v>394</v>
      </c>
      <c r="H742" s="67">
        <f>SUM(H740:H741)</f>
        <v>40772.63605632</v>
      </c>
    </row>
    <row r="743" spans="2:8" ht="15" customHeight="1" x14ac:dyDescent="0.3">
      <c r="B743" s="135" t="s">
        <v>404</v>
      </c>
      <c r="C743" s="135"/>
      <c r="D743" s="135"/>
      <c r="E743" s="135"/>
      <c r="F743" s="135"/>
      <c r="G743" s="135"/>
      <c r="H743" s="135"/>
    </row>
    <row r="744" spans="2:8" ht="15" customHeight="1" x14ac:dyDescent="0.3">
      <c r="B744" s="123" t="s">
        <v>94</v>
      </c>
      <c r="C744" s="123"/>
      <c r="D744" s="31" t="s">
        <v>383</v>
      </c>
      <c r="E744" s="31" t="s">
        <v>96</v>
      </c>
      <c r="F744" s="31"/>
      <c r="G744" s="31" t="s">
        <v>364</v>
      </c>
      <c r="H744" s="31" t="s">
        <v>391</v>
      </c>
    </row>
    <row r="745" spans="2:8" ht="22.05" customHeight="1" x14ac:dyDescent="0.3">
      <c r="B745" s="134" t="s">
        <v>496</v>
      </c>
      <c r="C745" s="134"/>
      <c r="D745" s="17" t="s">
        <v>431</v>
      </c>
      <c r="E745" s="72">
        <f>0.11*'Datos Iniciales'!$B$26</f>
        <v>1.1000000000000001</v>
      </c>
      <c r="F745" s="29"/>
      <c r="G745" s="32">
        <f>TRANSPORTE!$D$5</f>
        <v>2970</v>
      </c>
      <c r="H745" s="66">
        <f>E745*G745</f>
        <v>3267.0000000000005</v>
      </c>
    </row>
    <row r="746" spans="2:8" ht="15" customHeight="1" x14ac:dyDescent="0.3">
      <c r="G746" s="31" t="s">
        <v>394</v>
      </c>
      <c r="H746" s="67">
        <f>SUM(H745:H745)</f>
        <v>3267.0000000000005</v>
      </c>
    </row>
    <row r="747" spans="2:8" ht="15" customHeight="1" x14ac:dyDescent="0.3">
      <c r="B747" s="135" t="s">
        <v>406</v>
      </c>
      <c r="C747" s="135"/>
      <c r="D747" s="135"/>
      <c r="E747" s="135"/>
      <c r="F747" s="135"/>
      <c r="G747" s="135"/>
      <c r="H747" s="135"/>
    </row>
    <row r="748" spans="2:8" ht="24" customHeight="1" x14ac:dyDescent="0.3">
      <c r="B748" s="123" t="s">
        <v>407</v>
      </c>
      <c r="C748" s="123"/>
      <c r="D748" s="123"/>
      <c r="E748" s="31" t="s">
        <v>96</v>
      </c>
      <c r="F748" s="31" t="s">
        <v>408</v>
      </c>
      <c r="G748" s="31" t="s">
        <v>390</v>
      </c>
      <c r="H748" s="31" t="s">
        <v>391</v>
      </c>
    </row>
    <row r="749" spans="2:8" ht="15" customHeight="1" x14ac:dyDescent="0.3">
      <c r="B749" s="134" t="s">
        <v>409</v>
      </c>
      <c r="C749" s="134"/>
      <c r="D749" s="134"/>
      <c r="E749" s="69">
        <v>1</v>
      </c>
      <c r="F749" s="32">
        <f>'MANO DE OBRA'!$H$27</f>
        <v>226162.13017808215</v>
      </c>
      <c r="G749" s="68">
        <v>0.1</v>
      </c>
      <c r="H749" s="66">
        <f>E749*F749*G749</f>
        <v>22616.213017808215</v>
      </c>
    </row>
    <row r="750" spans="2:8" ht="15" customHeight="1" x14ac:dyDescent="0.3">
      <c r="B750" s="134" t="s">
        <v>410</v>
      </c>
      <c r="C750" s="134"/>
      <c r="D750" s="134"/>
      <c r="E750" s="69">
        <v>1</v>
      </c>
      <c r="F750" s="32">
        <f>'MANO DE OBRA'!$H$23</f>
        <v>121976.08717808221</v>
      </c>
      <c r="G750" s="68">
        <v>0.1</v>
      </c>
      <c r="H750" s="66">
        <f>E750*F750*G750</f>
        <v>12197.608717808222</v>
      </c>
    </row>
    <row r="751" spans="2:8" ht="15" customHeight="1" x14ac:dyDescent="0.3">
      <c r="G751" s="31" t="s">
        <v>394</v>
      </c>
      <c r="H751" s="67">
        <f>SUM(H749:H750)</f>
        <v>34813.821735616439</v>
      </c>
    </row>
    <row r="752" spans="2:8" ht="15" customHeight="1" x14ac:dyDescent="0.3"/>
    <row r="753" spans="2:8" ht="15" customHeight="1" x14ac:dyDescent="0.3">
      <c r="B753" s="115" t="s">
        <v>295</v>
      </c>
      <c r="C753" s="115"/>
      <c r="D753" s="115"/>
      <c r="E753" s="115"/>
      <c r="F753" s="115"/>
      <c r="G753" s="115"/>
      <c r="H753" s="70">
        <f>H737+H742+H746+H751</f>
        <v>81039.148878717257</v>
      </c>
    </row>
    <row r="754" spans="2:8" ht="15" customHeight="1" x14ac:dyDescent="0.3"/>
    <row r="755" spans="2:8" ht="15" customHeight="1" x14ac:dyDescent="0.3">
      <c r="B755" s="71" t="s">
        <v>411</v>
      </c>
    </row>
    <row r="756" spans="2:8" ht="15" customHeight="1" x14ac:dyDescent="0.3">
      <c r="B756" s="123" t="s">
        <v>94</v>
      </c>
      <c r="C756" s="123"/>
      <c r="D756" s="123"/>
      <c r="E756" s="123"/>
      <c r="F756" s="123"/>
      <c r="G756" s="31" t="s">
        <v>412</v>
      </c>
      <c r="H756" s="31" t="s">
        <v>4</v>
      </c>
    </row>
    <row r="757" spans="2:8" ht="15" customHeight="1" x14ac:dyDescent="0.3">
      <c r="B757" s="110" t="s">
        <v>73</v>
      </c>
      <c r="C757" s="110"/>
      <c r="D757" s="110"/>
      <c r="E757" s="110"/>
      <c r="F757" s="110"/>
      <c r="G757" s="22">
        <f>'Datos Iniciales'!$B$32</f>
        <v>0.28999999999999998</v>
      </c>
      <c r="H757" s="66">
        <f>H753*G757</f>
        <v>23501.353174828004</v>
      </c>
    </row>
    <row r="758" spans="2:8" ht="15" customHeight="1" x14ac:dyDescent="0.3">
      <c r="B758" s="110" t="s">
        <v>74</v>
      </c>
      <c r="C758" s="110"/>
      <c r="D758" s="110"/>
      <c r="E758" s="110"/>
      <c r="F758" s="110"/>
      <c r="G758" s="22">
        <f>'Datos Iniciales'!$B$33</f>
        <v>0.05</v>
      </c>
      <c r="H758" s="66">
        <f>H753*G758</f>
        <v>4051.957443935863</v>
      </c>
    </row>
    <row r="759" spans="2:8" ht="15" customHeight="1" x14ac:dyDescent="0.3">
      <c r="B759" s="138" t="s">
        <v>413</v>
      </c>
      <c r="C759" s="138"/>
      <c r="D759" s="138"/>
      <c r="E759" s="138"/>
      <c r="F759" s="138"/>
      <c r="G759" s="60">
        <f>G757+G758</f>
        <v>0.33999999999999997</v>
      </c>
      <c r="H759" s="67">
        <f>H757+H758</f>
        <v>27553.310618763866</v>
      </c>
    </row>
    <row r="760" spans="2:8" ht="15" customHeight="1" x14ac:dyDescent="0.3"/>
    <row r="761" spans="2:8" ht="15" customHeight="1" x14ac:dyDescent="0.3">
      <c r="B761" s="139" t="s">
        <v>414</v>
      </c>
      <c r="C761" s="139"/>
      <c r="D761" s="139"/>
      <c r="E761" s="139"/>
      <c r="F761" s="139"/>
      <c r="G761" s="139"/>
      <c r="H761" s="37">
        <f>ROUND(H753+H759,0)</f>
        <v>108592</v>
      </c>
    </row>
    <row r="762" spans="2:8" ht="15" customHeight="1" x14ac:dyDescent="0.3"/>
    <row r="763" spans="2:8" ht="15" customHeight="1" x14ac:dyDescent="0.3"/>
    <row r="764" spans="2:8" ht="15.75" customHeight="1" x14ac:dyDescent="0.3">
      <c r="B764" s="123" t="s">
        <v>0</v>
      </c>
      <c r="C764" s="123"/>
      <c r="D764" s="123"/>
      <c r="E764" s="123"/>
      <c r="F764" s="123"/>
      <c r="G764" s="123"/>
      <c r="H764" s="110"/>
    </row>
    <row r="765" spans="2:8" ht="15.75" customHeight="1" x14ac:dyDescent="0.3">
      <c r="B765" s="123" t="s">
        <v>1</v>
      </c>
      <c r="C765" s="123"/>
      <c r="D765" s="123"/>
      <c r="E765" s="123"/>
      <c r="F765" s="123"/>
      <c r="G765" s="123"/>
      <c r="H765" s="110"/>
    </row>
    <row r="766" spans="2:8" ht="24" customHeight="1" x14ac:dyDescent="0.3">
      <c r="B766" s="136" t="str">
        <f>'Datos Iniciales'!$B$8</f>
        <v>OBRA PÚBLICA PARA LA EJECUCIÓN DE DIFERENTES MEJORAMIENTOS DE VIVIENDA EN EL CASCO URBANO Y RURAL DEL MUNICIPIO DE MACEO - ANTIOQUIA</v>
      </c>
      <c r="C766" s="136"/>
      <c r="D766" s="136"/>
      <c r="E766" s="136"/>
      <c r="F766" s="136"/>
      <c r="G766" s="136"/>
      <c r="H766" s="110"/>
    </row>
    <row r="767" spans="2:8" ht="15.75" customHeight="1" x14ac:dyDescent="0.3">
      <c r="B767" s="112" t="s">
        <v>381</v>
      </c>
      <c r="C767" s="112"/>
      <c r="D767" s="112"/>
      <c r="E767" s="112"/>
      <c r="F767" s="112"/>
      <c r="G767" s="112"/>
      <c r="H767" s="110"/>
    </row>
    <row r="768" spans="2:8" ht="24" customHeight="1" x14ac:dyDescent="0.3">
      <c r="B768" s="13" t="s">
        <v>382</v>
      </c>
      <c r="C768" s="112" t="s">
        <v>94</v>
      </c>
      <c r="D768" s="112"/>
      <c r="E768" s="112"/>
      <c r="F768" s="13" t="s">
        <v>383</v>
      </c>
      <c r="G768" s="13" t="s">
        <v>384</v>
      </c>
      <c r="H768" s="13" t="s">
        <v>385</v>
      </c>
    </row>
    <row r="769" spans="2:8" ht="31.5" customHeight="1" x14ac:dyDescent="0.3">
      <c r="B769" s="63" t="s">
        <v>497</v>
      </c>
      <c r="C769" s="140" t="s">
        <v>143</v>
      </c>
      <c r="D769" s="140"/>
      <c r="E769" s="140"/>
      <c r="F769" s="17" t="s">
        <v>101</v>
      </c>
      <c r="G769" s="41">
        <f>PRESUPUESTO!$E$26+PRESUPUESTO!$E$61</f>
        <v>136.62</v>
      </c>
      <c r="H769" s="33">
        <f>H791</f>
        <v>36391.281913278086</v>
      </c>
    </row>
    <row r="770" spans="2:8" ht="15" customHeight="1" x14ac:dyDescent="0.3">
      <c r="B770" s="137" t="s">
        <v>498</v>
      </c>
      <c r="C770" s="137"/>
      <c r="D770" s="137"/>
      <c r="E770" s="137"/>
      <c r="F770" s="137"/>
      <c r="G770" s="137"/>
      <c r="H770" s="137"/>
    </row>
    <row r="771" spans="2:8" ht="15" customHeight="1" x14ac:dyDescent="0.3">
      <c r="B771" s="64" t="s">
        <v>388</v>
      </c>
    </row>
    <row r="772" spans="2:8" ht="15" customHeight="1" x14ac:dyDescent="0.3">
      <c r="B772" s="135" t="s">
        <v>389</v>
      </c>
      <c r="C772" s="135"/>
      <c r="D772" s="135"/>
      <c r="E772" s="135"/>
      <c r="F772" s="135"/>
      <c r="G772" s="135"/>
      <c r="H772" s="135"/>
    </row>
    <row r="773" spans="2:8" ht="24" customHeight="1" x14ac:dyDescent="0.3">
      <c r="B773" s="123" t="s">
        <v>94</v>
      </c>
      <c r="C773" s="123"/>
      <c r="D773" s="123"/>
      <c r="E773" s="31" t="s">
        <v>383</v>
      </c>
      <c r="F773" s="31" t="s">
        <v>364</v>
      </c>
      <c r="G773" s="31" t="s">
        <v>390</v>
      </c>
      <c r="H773" s="31" t="s">
        <v>391</v>
      </c>
    </row>
    <row r="774" spans="2:8" ht="15" customHeight="1" x14ac:dyDescent="0.3">
      <c r="B774" s="134" t="s">
        <v>392</v>
      </c>
      <c r="C774" s="134"/>
      <c r="D774" s="134"/>
      <c r="E774" s="17" t="s">
        <v>393</v>
      </c>
      <c r="F774" s="22">
        <f>EQUIPOS!$D$3</f>
        <v>0.05</v>
      </c>
      <c r="G774" s="65">
        <f>H789</f>
        <v>24369.675214931507</v>
      </c>
      <c r="H774" s="66">
        <f>F774*G774</f>
        <v>1218.4837607465754</v>
      </c>
    </row>
    <row r="775" spans="2:8" ht="15" customHeight="1" x14ac:dyDescent="0.3">
      <c r="B775" s="134" t="s">
        <v>449</v>
      </c>
      <c r="C775" s="134"/>
      <c r="D775" s="134"/>
      <c r="E775" s="17" t="s">
        <v>421</v>
      </c>
      <c r="F775" s="65">
        <f>EQUIPOS!$D$7</f>
        <v>8900</v>
      </c>
      <c r="G775" s="68">
        <v>0.03</v>
      </c>
      <c r="H775" s="66">
        <f>F775*G775</f>
        <v>267</v>
      </c>
    </row>
    <row r="776" spans="2:8" ht="15" customHeight="1" x14ac:dyDescent="0.3">
      <c r="G776" s="31" t="s">
        <v>394</v>
      </c>
      <c r="H776" s="67">
        <f>SUM(H774:H775)</f>
        <v>1485.4837607465754</v>
      </c>
    </row>
    <row r="777" spans="2:8" ht="15" customHeight="1" x14ac:dyDescent="0.3">
      <c r="B777" s="135" t="s">
        <v>395</v>
      </c>
      <c r="C777" s="135"/>
      <c r="D777" s="135"/>
      <c r="E777" s="135"/>
      <c r="F777" s="135"/>
      <c r="G777" s="135"/>
      <c r="H777" s="135"/>
    </row>
    <row r="778" spans="2:8" ht="15" customHeight="1" x14ac:dyDescent="0.3">
      <c r="B778" s="123" t="s">
        <v>94</v>
      </c>
      <c r="C778" s="123"/>
      <c r="D778" s="31" t="s">
        <v>383</v>
      </c>
      <c r="E778" s="31" t="s">
        <v>96</v>
      </c>
      <c r="F778" s="31" t="s">
        <v>396</v>
      </c>
      <c r="G778" s="31" t="s">
        <v>397</v>
      </c>
      <c r="H778" s="31" t="s">
        <v>391</v>
      </c>
    </row>
    <row r="779" spans="2:8" ht="15" customHeight="1" x14ac:dyDescent="0.3">
      <c r="B779" s="134" t="s">
        <v>495</v>
      </c>
      <c r="C779" s="134"/>
      <c r="D779" s="17" t="s">
        <v>423</v>
      </c>
      <c r="E779" s="68">
        <v>1.4999999999999999E-2</v>
      </c>
      <c r="F779" s="27">
        <v>0.2</v>
      </c>
      <c r="G779" s="32">
        <f>'CONCRETOS Y MORTEROS'!$D$6</f>
        <v>527590.16320000007</v>
      </c>
      <c r="H779" s="66">
        <f>E779*(1+F779)*G779</f>
        <v>9496.622937600001</v>
      </c>
    </row>
    <row r="780" spans="2:8" ht="15" customHeight="1" x14ac:dyDescent="0.3">
      <c r="G780" s="31" t="s">
        <v>394</v>
      </c>
      <c r="H780" s="67">
        <f>SUM(H779:H779)</f>
        <v>9496.622937600001</v>
      </c>
    </row>
    <row r="781" spans="2:8" ht="15" customHeight="1" x14ac:dyDescent="0.3">
      <c r="B781" s="135" t="s">
        <v>404</v>
      </c>
      <c r="C781" s="135"/>
      <c r="D781" s="135"/>
      <c r="E781" s="135"/>
      <c r="F781" s="135"/>
      <c r="G781" s="135"/>
      <c r="H781" s="135"/>
    </row>
    <row r="782" spans="2:8" ht="15" customHeight="1" x14ac:dyDescent="0.3">
      <c r="B782" s="123" t="s">
        <v>94</v>
      </c>
      <c r="C782" s="123"/>
      <c r="D782" s="31" t="s">
        <v>383</v>
      </c>
      <c r="E782" s="31" t="s">
        <v>96</v>
      </c>
      <c r="F782" s="31"/>
      <c r="G782" s="31" t="s">
        <v>364</v>
      </c>
      <c r="H782" s="31" t="s">
        <v>391</v>
      </c>
    </row>
    <row r="783" spans="2:8" ht="22.05" customHeight="1" x14ac:dyDescent="0.3">
      <c r="B783" s="134" t="s">
        <v>499</v>
      </c>
      <c r="C783" s="134"/>
      <c r="D783" s="17" t="s">
        <v>431</v>
      </c>
      <c r="E783" s="72">
        <f>0.035*'Datos Iniciales'!$B$26</f>
        <v>0.35000000000000003</v>
      </c>
      <c r="F783" s="29"/>
      <c r="G783" s="32">
        <f>TRANSPORTE!$D$5</f>
        <v>2970</v>
      </c>
      <c r="H783" s="66">
        <f>E783*G783</f>
        <v>1039.5</v>
      </c>
    </row>
    <row r="784" spans="2:8" ht="15" customHeight="1" x14ac:dyDescent="0.3">
      <c r="G784" s="31" t="s">
        <v>394</v>
      </c>
      <c r="H784" s="67">
        <f>SUM(H783:H783)</f>
        <v>1039.5</v>
      </c>
    </row>
    <row r="785" spans="2:8" ht="15" customHeight="1" x14ac:dyDescent="0.3">
      <c r="B785" s="135" t="s">
        <v>406</v>
      </c>
      <c r="C785" s="135"/>
      <c r="D785" s="135"/>
      <c r="E785" s="135"/>
      <c r="F785" s="135"/>
      <c r="G785" s="135"/>
      <c r="H785" s="135"/>
    </row>
    <row r="786" spans="2:8" ht="24" customHeight="1" x14ac:dyDescent="0.3">
      <c r="B786" s="123" t="s">
        <v>407</v>
      </c>
      <c r="C786" s="123"/>
      <c r="D786" s="123"/>
      <c r="E786" s="31" t="s">
        <v>96</v>
      </c>
      <c r="F786" s="31" t="s">
        <v>408</v>
      </c>
      <c r="G786" s="31" t="s">
        <v>390</v>
      </c>
      <c r="H786" s="31" t="s">
        <v>391</v>
      </c>
    </row>
    <row r="787" spans="2:8" ht="15" customHeight="1" x14ac:dyDescent="0.3">
      <c r="B787" s="134" t="s">
        <v>409</v>
      </c>
      <c r="C787" s="134"/>
      <c r="D787" s="134"/>
      <c r="E787" s="69">
        <v>1</v>
      </c>
      <c r="F787" s="32">
        <f>'MANO DE OBRA'!$H$27</f>
        <v>226162.13017808215</v>
      </c>
      <c r="G787" s="68">
        <v>7.0000000000000007E-2</v>
      </c>
      <c r="H787" s="66">
        <f>E787*F787*G787</f>
        <v>15831.349112465752</v>
      </c>
    </row>
    <row r="788" spans="2:8" ht="15" customHeight="1" x14ac:dyDescent="0.3">
      <c r="B788" s="134" t="s">
        <v>410</v>
      </c>
      <c r="C788" s="134"/>
      <c r="D788" s="134"/>
      <c r="E788" s="69">
        <v>1</v>
      </c>
      <c r="F788" s="32">
        <f>'MANO DE OBRA'!$H$23</f>
        <v>121976.08717808221</v>
      </c>
      <c r="G788" s="68">
        <v>7.0000000000000007E-2</v>
      </c>
      <c r="H788" s="66">
        <f>E788*F788*G788</f>
        <v>8538.326102465755</v>
      </c>
    </row>
    <row r="789" spans="2:8" ht="15" customHeight="1" x14ac:dyDescent="0.3">
      <c r="G789" s="31" t="s">
        <v>394</v>
      </c>
      <c r="H789" s="67">
        <f>SUM(H787:H788)</f>
        <v>24369.675214931507</v>
      </c>
    </row>
    <row r="790" spans="2:8" ht="15" customHeight="1" x14ac:dyDescent="0.3"/>
    <row r="791" spans="2:8" ht="15" customHeight="1" x14ac:dyDescent="0.3">
      <c r="B791" s="115" t="s">
        <v>295</v>
      </c>
      <c r="C791" s="115"/>
      <c r="D791" s="115"/>
      <c r="E791" s="115"/>
      <c r="F791" s="115"/>
      <c r="G791" s="115"/>
      <c r="H791" s="70">
        <f>H776+H780+H784+H789</f>
        <v>36391.281913278086</v>
      </c>
    </row>
    <row r="792" spans="2:8" ht="15" customHeight="1" x14ac:dyDescent="0.3"/>
    <row r="793" spans="2:8" ht="15" customHeight="1" x14ac:dyDescent="0.3">
      <c r="B793" s="71" t="s">
        <v>411</v>
      </c>
    </row>
    <row r="794" spans="2:8" ht="15" customHeight="1" x14ac:dyDescent="0.3">
      <c r="B794" s="123" t="s">
        <v>94</v>
      </c>
      <c r="C794" s="123"/>
      <c r="D794" s="123"/>
      <c r="E794" s="123"/>
      <c r="F794" s="123"/>
      <c r="G794" s="31" t="s">
        <v>412</v>
      </c>
      <c r="H794" s="31" t="s">
        <v>4</v>
      </c>
    </row>
    <row r="795" spans="2:8" ht="15" customHeight="1" x14ac:dyDescent="0.3">
      <c r="B795" s="110" t="s">
        <v>73</v>
      </c>
      <c r="C795" s="110"/>
      <c r="D795" s="110"/>
      <c r="E795" s="110"/>
      <c r="F795" s="110"/>
      <c r="G795" s="22">
        <f>'Datos Iniciales'!$B$32</f>
        <v>0.28999999999999998</v>
      </c>
      <c r="H795" s="66">
        <f>H791*G795</f>
        <v>10553.471754850645</v>
      </c>
    </row>
    <row r="796" spans="2:8" ht="15" customHeight="1" x14ac:dyDescent="0.3">
      <c r="B796" s="110" t="s">
        <v>74</v>
      </c>
      <c r="C796" s="110"/>
      <c r="D796" s="110"/>
      <c r="E796" s="110"/>
      <c r="F796" s="110"/>
      <c r="G796" s="22">
        <f>'Datos Iniciales'!$B$33</f>
        <v>0.05</v>
      </c>
      <c r="H796" s="66">
        <f>H791*G796</f>
        <v>1819.5640956639045</v>
      </c>
    </row>
    <row r="797" spans="2:8" ht="15" customHeight="1" x14ac:dyDescent="0.3">
      <c r="B797" s="138" t="s">
        <v>413</v>
      </c>
      <c r="C797" s="138"/>
      <c r="D797" s="138"/>
      <c r="E797" s="138"/>
      <c r="F797" s="138"/>
      <c r="G797" s="60">
        <f>G795+G796</f>
        <v>0.33999999999999997</v>
      </c>
      <c r="H797" s="67">
        <f>H795+H796</f>
        <v>12373.035850514549</v>
      </c>
    </row>
    <row r="798" spans="2:8" ht="15" customHeight="1" x14ac:dyDescent="0.3"/>
    <row r="799" spans="2:8" ht="15" customHeight="1" x14ac:dyDescent="0.3">
      <c r="B799" s="139" t="s">
        <v>414</v>
      </c>
      <c r="C799" s="139"/>
      <c r="D799" s="139"/>
      <c r="E799" s="139"/>
      <c r="F799" s="139"/>
      <c r="G799" s="139"/>
      <c r="H799" s="37">
        <f>ROUND(H791+H797,0)</f>
        <v>48764</v>
      </c>
    </row>
    <row r="800" spans="2:8" ht="15" customHeight="1" x14ac:dyDescent="0.3"/>
    <row r="801" spans="2:8" ht="15" customHeight="1" x14ac:dyDescent="0.3"/>
    <row r="802" spans="2:8" ht="15.75" customHeight="1" x14ac:dyDescent="0.3">
      <c r="B802" s="123" t="s">
        <v>0</v>
      </c>
      <c r="C802" s="123"/>
      <c r="D802" s="123"/>
      <c r="E802" s="123"/>
      <c r="F802" s="123"/>
      <c r="G802" s="123"/>
      <c r="H802" s="110"/>
    </row>
    <row r="803" spans="2:8" ht="15.75" customHeight="1" x14ac:dyDescent="0.3">
      <c r="B803" s="123" t="s">
        <v>1</v>
      </c>
      <c r="C803" s="123"/>
      <c r="D803" s="123"/>
      <c r="E803" s="123"/>
      <c r="F803" s="123"/>
      <c r="G803" s="123"/>
      <c r="H803" s="110"/>
    </row>
    <row r="804" spans="2:8" ht="24" customHeight="1" x14ac:dyDescent="0.3">
      <c r="B804" s="136" t="str">
        <f>'Datos Iniciales'!$B$8</f>
        <v>OBRA PÚBLICA PARA LA EJECUCIÓN DE DIFERENTES MEJORAMIENTOS DE VIVIENDA EN EL CASCO URBANO Y RURAL DEL MUNICIPIO DE MACEO - ANTIOQUIA</v>
      </c>
      <c r="C804" s="136"/>
      <c r="D804" s="136"/>
      <c r="E804" s="136"/>
      <c r="F804" s="136"/>
      <c r="G804" s="136"/>
      <c r="H804" s="110"/>
    </row>
    <row r="805" spans="2:8" ht="15.75" customHeight="1" x14ac:dyDescent="0.3">
      <c r="B805" s="112" t="s">
        <v>381</v>
      </c>
      <c r="C805" s="112"/>
      <c r="D805" s="112"/>
      <c r="E805" s="112"/>
      <c r="F805" s="112"/>
      <c r="G805" s="112"/>
      <c r="H805" s="110"/>
    </row>
    <row r="806" spans="2:8" ht="24" customHeight="1" x14ac:dyDescent="0.3">
      <c r="B806" s="13" t="s">
        <v>382</v>
      </c>
      <c r="C806" s="112" t="s">
        <v>94</v>
      </c>
      <c r="D806" s="112"/>
      <c r="E806" s="112"/>
      <c r="F806" s="13" t="s">
        <v>383</v>
      </c>
      <c r="G806" s="13" t="s">
        <v>384</v>
      </c>
      <c r="H806" s="13" t="s">
        <v>385</v>
      </c>
    </row>
    <row r="807" spans="2:8" ht="30" customHeight="1" x14ac:dyDescent="0.3">
      <c r="B807" s="63" t="s">
        <v>500</v>
      </c>
      <c r="C807" s="140" t="s">
        <v>145</v>
      </c>
      <c r="D807" s="140"/>
      <c r="E807" s="140"/>
      <c r="F807" s="17" t="s">
        <v>101</v>
      </c>
      <c r="G807" s="41">
        <f>PRESUPUESTO!$E$27+PRESUPUESTO!$E$64</f>
        <v>114.9</v>
      </c>
      <c r="H807" s="33">
        <f>H830</f>
        <v>19303.384122773972</v>
      </c>
    </row>
    <row r="808" spans="2:8" ht="15" customHeight="1" x14ac:dyDescent="0.3">
      <c r="B808" s="137" t="s">
        <v>501</v>
      </c>
      <c r="C808" s="137"/>
      <c r="D808" s="137"/>
      <c r="E808" s="137"/>
      <c r="F808" s="137"/>
      <c r="G808" s="137"/>
      <c r="H808" s="137"/>
    </row>
    <row r="809" spans="2:8" ht="15" customHeight="1" x14ac:dyDescent="0.3">
      <c r="B809" s="64" t="s">
        <v>388</v>
      </c>
    </row>
    <row r="810" spans="2:8" ht="15" customHeight="1" x14ac:dyDescent="0.3">
      <c r="B810" s="135" t="s">
        <v>389</v>
      </c>
      <c r="C810" s="135"/>
      <c r="D810" s="135"/>
      <c r="E810" s="135"/>
      <c r="F810" s="135"/>
      <c r="G810" s="135"/>
      <c r="H810" s="135"/>
    </row>
    <row r="811" spans="2:8" ht="24" customHeight="1" x14ac:dyDescent="0.3">
      <c r="B811" s="123" t="s">
        <v>94</v>
      </c>
      <c r="C811" s="123"/>
      <c r="D811" s="123"/>
      <c r="E811" s="31" t="s">
        <v>383</v>
      </c>
      <c r="F811" s="31" t="s">
        <v>364</v>
      </c>
      <c r="G811" s="31" t="s">
        <v>390</v>
      </c>
      <c r="H811" s="31" t="s">
        <v>391</v>
      </c>
    </row>
    <row r="812" spans="2:8" ht="15" customHeight="1" x14ac:dyDescent="0.3">
      <c r="B812" s="134" t="s">
        <v>392</v>
      </c>
      <c r="C812" s="134"/>
      <c r="D812" s="134"/>
      <c r="E812" s="17" t="s">
        <v>393</v>
      </c>
      <c r="F812" s="22">
        <f>EQUIPOS!$D$3</f>
        <v>0.05</v>
      </c>
      <c r="G812" s="65">
        <f>H828</f>
        <v>14357.508688356163</v>
      </c>
      <c r="H812" s="66">
        <f>F812*G812</f>
        <v>717.87543441780826</v>
      </c>
    </row>
    <row r="813" spans="2:8" ht="15" customHeight="1" x14ac:dyDescent="0.3">
      <c r="B813" s="134" t="s">
        <v>449</v>
      </c>
      <c r="C813" s="134"/>
      <c r="D813" s="134"/>
      <c r="E813" s="17" t="s">
        <v>421</v>
      </c>
      <c r="F813" s="65">
        <f>EQUIPOS!$D$7</f>
        <v>8900</v>
      </c>
      <c r="G813" s="68">
        <v>0.02</v>
      </c>
      <c r="H813" s="66">
        <f>F813*G813</f>
        <v>178</v>
      </c>
    </row>
    <row r="814" spans="2:8" ht="15" customHeight="1" x14ac:dyDescent="0.3">
      <c r="G814" s="31" t="s">
        <v>394</v>
      </c>
      <c r="H814" s="67">
        <f>SUM(H812:H813)</f>
        <v>895.87543441780826</v>
      </c>
    </row>
    <row r="815" spans="2:8" ht="15" customHeight="1" x14ac:dyDescent="0.3">
      <c r="B815" s="135" t="s">
        <v>395</v>
      </c>
      <c r="C815" s="135"/>
      <c r="D815" s="135"/>
      <c r="E815" s="135"/>
      <c r="F815" s="135"/>
      <c r="G815" s="135"/>
      <c r="H815" s="135"/>
    </row>
    <row r="816" spans="2:8" ht="15" customHeight="1" x14ac:dyDescent="0.3">
      <c r="B816" s="123" t="s">
        <v>94</v>
      </c>
      <c r="C816" s="123"/>
      <c r="D816" s="31" t="s">
        <v>383</v>
      </c>
      <c r="E816" s="31" t="s">
        <v>96</v>
      </c>
      <c r="F816" s="31" t="s">
        <v>396</v>
      </c>
      <c r="G816" s="31" t="s">
        <v>397</v>
      </c>
      <c r="H816" s="31" t="s">
        <v>391</v>
      </c>
    </row>
    <row r="817" spans="2:8" ht="15" customHeight="1" x14ac:dyDescent="0.3">
      <c r="B817" s="134" t="s">
        <v>502</v>
      </c>
      <c r="C817" s="134"/>
      <c r="D817" s="17" t="s">
        <v>399</v>
      </c>
      <c r="E817" s="68">
        <v>0.04</v>
      </c>
      <c r="F817" s="27">
        <v>0</v>
      </c>
      <c r="G817" s="32">
        <f>INSUMOS!$D$49</f>
        <v>95000</v>
      </c>
      <c r="H817" s="66">
        <f>E817*(1+F817)*G817</f>
        <v>3800</v>
      </c>
    </row>
    <row r="818" spans="2:8" ht="15" customHeight="1" x14ac:dyDescent="0.3">
      <c r="B818" s="134" t="s">
        <v>503</v>
      </c>
      <c r="C818" s="134"/>
      <c r="D818" s="17" t="s">
        <v>399</v>
      </c>
      <c r="E818" s="68">
        <v>0.1</v>
      </c>
      <c r="F818" s="27">
        <v>0</v>
      </c>
      <c r="G818" s="32">
        <f>INSUMOS!$D$56</f>
        <v>2500</v>
      </c>
      <c r="H818" s="66">
        <f>E818*(1+F818)*G818</f>
        <v>250</v>
      </c>
    </row>
    <row r="819" spans="2:8" ht="15" customHeight="1" x14ac:dyDescent="0.3">
      <c r="G819" s="31" t="s">
        <v>394</v>
      </c>
      <c r="H819" s="67">
        <f>SUM(H817:H818)</f>
        <v>4050</v>
      </c>
    </row>
    <row r="820" spans="2:8" ht="15" customHeight="1" x14ac:dyDescent="0.3">
      <c r="B820" s="135" t="s">
        <v>404</v>
      </c>
      <c r="C820" s="135"/>
      <c r="D820" s="135"/>
      <c r="E820" s="135"/>
      <c r="F820" s="135"/>
      <c r="G820" s="135"/>
      <c r="H820" s="135"/>
    </row>
    <row r="821" spans="2:8" ht="15" customHeight="1" x14ac:dyDescent="0.3">
      <c r="B821" s="123" t="s">
        <v>94</v>
      </c>
      <c r="C821" s="123"/>
      <c r="D821" s="31" t="s">
        <v>383</v>
      </c>
      <c r="E821" s="31" t="s">
        <v>96</v>
      </c>
      <c r="F821" s="31"/>
      <c r="G821" s="31" t="s">
        <v>364</v>
      </c>
      <c r="H821" s="31" t="s">
        <v>391</v>
      </c>
    </row>
    <row r="822" spans="2:8" ht="15" customHeight="1" x14ac:dyDescent="0.3">
      <c r="B822" s="137" t="s">
        <v>405</v>
      </c>
      <c r="C822" s="137"/>
      <c r="D822" s="29"/>
      <c r="E822" s="29"/>
      <c r="F822" s="29"/>
      <c r="G822" s="29"/>
      <c r="H822" s="66">
        <v>0</v>
      </c>
    </row>
    <row r="823" spans="2:8" ht="15" customHeight="1" x14ac:dyDescent="0.3">
      <c r="G823" s="31" t="s">
        <v>394</v>
      </c>
      <c r="H823" s="67">
        <f>SUM(H822:H822)</f>
        <v>0</v>
      </c>
    </row>
    <row r="824" spans="2:8" ht="15" customHeight="1" x14ac:dyDescent="0.3">
      <c r="B824" s="135" t="s">
        <v>406</v>
      </c>
      <c r="C824" s="135"/>
      <c r="D824" s="135"/>
      <c r="E824" s="135"/>
      <c r="F824" s="135"/>
      <c r="G824" s="135"/>
      <c r="H824" s="135"/>
    </row>
    <row r="825" spans="2:8" ht="24" customHeight="1" x14ac:dyDescent="0.3">
      <c r="B825" s="123" t="s">
        <v>407</v>
      </c>
      <c r="C825" s="123"/>
      <c r="D825" s="123"/>
      <c r="E825" s="31" t="s">
        <v>96</v>
      </c>
      <c r="F825" s="31" t="s">
        <v>408</v>
      </c>
      <c r="G825" s="31" t="s">
        <v>390</v>
      </c>
      <c r="H825" s="31" t="s">
        <v>391</v>
      </c>
    </row>
    <row r="826" spans="2:8" ht="15" customHeight="1" x14ac:dyDescent="0.3">
      <c r="B826" s="134" t="s">
        <v>504</v>
      </c>
      <c r="C826" s="134"/>
      <c r="D826" s="134"/>
      <c r="E826" s="69">
        <v>1</v>
      </c>
      <c r="F826" s="32">
        <f>'MANO DE OBRA'!$H$25</f>
        <v>226162.13017808215</v>
      </c>
      <c r="G826" s="68">
        <v>0.05</v>
      </c>
      <c r="H826" s="66">
        <f>E826*F826*G826</f>
        <v>11308.106508904108</v>
      </c>
    </row>
    <row r="827" spans="2:8" ht="15" customHeight="1" x14ac:dyDescent="0.3">
      <c r="B827" s="134" t="s">
        <v>410</v>
      </c>
      <c r="C827" s="134"/>
      <c r="D827" s="134"/>
      <c r="E827" s="69">
        <v>0.5</v>
      </c>
      <c r="F827" s="32">
        <f>'MANO DE OBRA'!$H$23</f>
        <v>121976.08717808221</v>
      </c>
      <c r="G827" s="68">
        <v>0.05</v>
      </c>
      <c r="H827" s="66">
        <f>E827*F827*G827</f>
        <v>3049.4021794520554</v>
      </c>
    </row>
    <row r="828" spans="2:8" ht="15" customHeight="1" x14ac:dyDescent="0.3">
      <c r="G828" s="31" t="s">
        <v>394</v>
      </c>
      <c r="H828" s="67">
        <f>SUM(H826:H827)</f>
        <v>14357.508688356163</v>
      </c>
    </row>
    <row r="829" spans="2:8" ht="15" customHeight="1" x14ac:dyDescent="0.3"/>
    <row r="830" spans="2:8" ht="15" customHeight="1" x14ac:dyDescent="0.3">
      <c r="B830" s="115" t="s">
        <v>295</v>
      </c>
      <c r="C830" s="115"/>
      <c r="D830" s="115"/>
      <c r="E830" s="115"/>
      <c r="F830" s="115"/>
      <c r="G830" s="115"/>
      <c r="H830" s="70">
        <f>H814+H819+H823+H828</f>
        <v>19303.384122773972</v>
      </c>
    </row>
    <row r="831" spans="2:8" ht="15" customHeight="1" x14ac:dyDescent="0.3"/>
    <row r="832" spans="2:8" ht="15" customHeight="1" x14ac:dyDescent="0.3">
      <c r="B832" s="71" t="s">
        <v>411</v>
      </c>
    </row>
    <row r="833" spans="2:8" ht="15" customHeight="1" x14ac:dyDescent="0.3">
      <c r="B833" s="123" t="s">
        <v>94</v>
      </c>
      <c r="C833" s="123"/>
      <c r="D833" s="123"/>
      <c r="E833" s="123"/>
      <c r="F833" s="123"/>
      <c r="G833" s="31" t="s">
        <v>412</v>
      </c>
      <c r="H833" s="31" t="s">
        <v>4</v>
      </c>
    </row>
    <row r="834" spans="2:8" ht="15" customHeight="1" x14ac:dyDescent="0.3">
      <c r="B834" s="110" t="s">
        <v>73</v>
      </c>
      <c r="C834" s="110"/>
      <c r="D834" s="110"/>
      <c r="E834" s="110"/>
      <c r="F834" s="110"/>
      <c r="G834" s="22">
        <f>'Datos Iniciales'!$B$32</f>
        <v>0.28999999999999998</v>
      </c>
      <c r="H834" s="66">
        <f>H830*G834</f>
        <v>5597.9813956044518</v>
      </c>
    </row>
    <row r="835" spans="2:8" ht="15" customHeight="1" x14ac:dyDescent="0.3">
      <c r="B835" s="110" t="s">
        <v>74</v>
      </c>
      <c r="C835" s="110"/>
      <c r="D835" s="110"/>
      <c r="E835" s="110"/>
      <c r="F835" s="110"/>
      <c r="G835" s="22">
        <f>'Datos Iniciales'!$B$33</f>
        <v>0.05</v>
      </c>
      <c r="H835" s="66">
        <f>H830*G835</f>
        <v>965.16920613869866</v>
      </c>
    </row>
    <row r="836" spans="2:8" ht="15" customHeight="1" x14ac:dyDescent="0.3">
      <c r="B836" s="138" t="s">
        <v>413</v>
      </c>
      <c r="C836" s="138"/>
      <c r="D836" s="138"/>
      <c r="E836" s="138"/>
      <c r="F836" s="138"/>
      <c r="G836" s="60">
        <f>G834+G835</f>
        <v>0.33999999999999997</v>
      </c>
      <c r="H836" s="67">
        <f>H834+H835</f>
        <v>6563.1506017431502</v>
      </c>
    </row>
    <row r="837" spans="2:8" ht="15" customHeight="1" x14ac:dyDescent="0.3"/>
    <row r="838" spans="2:8" ht="15" customHeight="1" x14ac:dyDescent="0.3">
      <c r="B838" s="139" t="s">
        <v>414</v>
      </c>
      <c r="C838" s="139"/>
      <c r="D838" s="139"/>
      <c r="E838" s="139"/>
      <c r="F838" s="139"/>
      <c r="G838" s="139"/>
      <c r="H838" s="37">
        <f>ROUND(H830+H836,0)</f>
        <v>25867</v>
      </c>
    </row>
    <row r="839" spans="2:8" ht="15" customHeight="1" x14ac:dyDescent="0.3"/>
    <row r="840" spans="2:8" ht="15" customHeight="1" x14ac:dyDescent="0.3"/>
    <row r="841" spans="2:8" ht="15.75" customHeight="1" x14ac:dyDescent="0.3">
      <c r="B841" s="123" t="s">
        <v>0</v>
      </c>
      <c r="C841" s="123"/>
      <c r="D841" s="123"/>
      <c r="E841" s="123"/>
      <c r="F841" s="123"/>
      <c r="G841" s="123"/>
      <c r="H841" s="110"/>
    </row>
    <row r="842" spans="2:8" ht="15.75" customHeight="1" x14ac:dyDescent="0.3">
      <c r="B842" s="123" t="s">
        <v>1</v>
      </c>
      <c r="C842" s="123"/>
      <c r="D842" s="123"/>
      <c r="E842" s="123"/>
      <c r="F842" s="123"/>
      <c r="G842" s="123"/>
      <c r="H842" s="110"/>
    </row>
    <row r="843" spans="2:8" ht="24" customHeight="1" x14ac:dyDescent="0.3">
      <c r="B843" s="136" t="str">
        <f>'Datos Iniciales'!$B$8</f>
        <v>OBRA PÚBLICA PARA LA EJECUCIÓN DE DIFERENTES MEJORAMIENTOS DE VIVIENDA EN EL CASCO URBANO Y RURAL DEL MUNICIPIO DE MACEO - ANTIOQUIA</v>
      </c>
      <c r="C843" s="136"/>
      <c r="D843" s="136"/>
      <c r="E843" s="136"/>
      <c r="F843" s="136"/>
      <c r="G843" s="136"/>
      <c r="H843" s="110"/>
    </row>
    <row r="844" spans="2:8" ht="15.75" customHeight="1" x14ac:dyDescent="0.3">
      <c r="B844" s="112" t="s">
        <v>381</v>
      </c>
      <c r="C844" s="112"/>
      <c r="D844" s="112"/>
      <c r="E844" s="112"/>
      <c r="F844" s="112"/>
      <c r="G844" s="112"/>
      <c r="H844" s="110"/>
    </row>
    <row r="845" spans="2:8" ht="24" customHeight="1" x14ac:dyDescent="0.3">
      <c r="B845" s="13" t="s">
        <v>382</v>
      </c>
      <c r="C845" s="112" t="s">
        <v>94</v>
      </c>
      <c r="D845" s="112"/>
      <c r="E845" s="112"/>
      <c r="F845" s="13" t="s">
        <v>383</v>
      </c>
      <c r="G845" s="13" t="s">
        <v>384</v>
      </c>
      <c r="H845" s="13" t="s">
        <v>385</v>
      </c>
    </row>
    <row r="846" spans="2:8" ht="31.5" customHeight="1" x14ac:dyDescent="0.3">
      <c r="B846" s="63" t="s">
        <v>505</v>
      </c>
      <c r="C846" s="140" t="s">
        <v>147</v>
      </c>
      <c r="D846" s="140"/>
      <c r="E846" s="140"/>
      <c r="F846" s="17" t="s">
        <v>101</v>
      </c>
      <c r="G846" s="41">
        <f>PRESUPUESTO!$E$28+PRESUPUESTO!$E$65+PRESUPUESTO!$E$134</f>
        <v>130.9</v>
      </c>
      <c r="H846" s="33">
        <f>H868</f>
        <v>17410.307298219181</v>
      </c>
    </row>
    <row r="847" spans="2:8" ht="15" customHeight="1" x14ac:dyDescent="0.3">
      <c r="B847" s="137" t="s">
        <v>506</v>
      </c>
      <c r="C847" s="137"/>
      <c r="D847" s="137"/>
      <c r="E847" s="137"/>
      <c r="F847" s="137"/>
      <c r="G847" s="137"/>
      <c r="H847" s="137"/>
    </row>
    <row r="848" spans="2:8" ht="15" customHeight="1" x14ac:dyDescent="0.3">
      <c r="B848" s="64" t="s">
        <v>388</v>
      </c>
    </row>
    <row r="849" spans="2:8" ht="15" customHeight="1" x14ac:dyDescent="0.3">
      <c r="B849" s="135" t="s">
        <v>389</v>
      </c>
      <c r="C849" s="135"/>
      <c r="D849" s="135"/>
      <c r="E849" s="135"/>
      <c r="F849" s="135"/>
      <c r="G849" s="135"/>
      <c r="H849" s="135"/>
    </row>
    <row r="850" spans="2:8" ht="24" customHeight="1" x14ac:dyDescent="0.3">
      <c r="B850" s="123" t="s">
        <v>94</v>
      </c>
      <c r="C850" s="123"/>
      <c r="D850" s="123"/>
      <c r="E850" s="31" t="s">
        <v>383</v>
      </c>
      <c r="F850" s="31" t="s">
        <v>364</v>
      </c>
      <c r="G850" s="31" t="s">
        <v>390</v>
      </c>
      <c r="H850" s="31" t="s">
        <v>391</v>
      </c>
    </row>
    <row r="851" spans="2:8" ht="15" customHeight="1" x14ac:dyDescent="0.3">
      <c r="B851" s="134" t="s">
        <v>392</v>
      </c>
      <c r="C851" s="134"/>
      <c r="D851" s="134"/>
      <c r="E851" s="17" t="s">
        <v>393</v>
      </c>
      <c r="F851" s="22">
        <f>EQUIPOS!$D$3</f>
        <v>0.05</v>
      </c>
      <c r="G851" s="65">
        <f>H866</f>
        <v>11486.006950684932</v>
      </c>
      <c r="H851" s="66">
        <f>F851*G851</f>
        <v>574.30034753424661</v>
      </c>
    </row>
    <row r="852" spans="2:8" ht="15" customHeight="1" x14ac:dyDescent="0.3">
      <c r="G852" s="31" t="s">
        <v>394</v>
      </c>
      <c r="H852" s="67">
        <f>SUM(H851:H851)</f>
        <v>574.30034753424661</v>
      </c>
    </row>
    <row r="853" spans="2:8" ht="15" customHeight="1" x14ac:dyDescent="0.3">
      <c r="B853" s="135" t="s">
        <v>395</v>
      </c>
      <c r="C853" s="135"/>
      <c r="D853" s="135"/>
      <c r="E853" s="135"/>
      <c r="F853" s="135"/>
      <c r="G853" s="135"/>
      <c r="H853" s="135"/>
    </row>
    <row r="854" spans="2:8" ht="15" customHeight="1" x14ac:dyDescent="0.3">
      <c r="B854" s="123" t="s">
        <v>94</v>
      </c>
      <c r="C854" s="123"/>
      <c r="D854" s="31" t="s">
        <v>383</v>
      </c>
      <c r="E854" s="31" t="s">
        <v>96</v>
      </c>
      <c r="F854" s="31" t="s">
        <v>396</v>
      </c>
      <c r="G854" s="31" t="s">
        <v>397</v>
      </c>
      <c r="H854" s="31" t="s">
        <v>391</v>
      </c>
    </row>
    <row r="855" spans="2:8" ht="15" customHeight="1" x14ac:dyDescent="0.3">
      <c r="B855" s="134" t="s">
        <v>507</v>
      </c>
      <c r="C855" s="134"/>
      <c r="D855" s="17" t="s">
        <v>508</v>
      </c>
      <c r="E855" s="68">
        <v>5.5E-2</v>
      </c>
      <c r="F855" s="27">
        <v>0</v>
      </c>
      <c r="G855" s="32">
        <f>INSUMOS!$D$52</f>
        <v>95000</v>
      </c>
      <c r="H855" s="66">
        <f>E855*(1+F855)*G855</f>
        <v>5225</v>
      </c>
    </row>
    <row r="856" spans="2:8" ht="15" customHeight="1" x14ac:dyDescent="0.3">
      <c r="B856" s="134" t="s">
        <v>503</v>
      </c>
      <c r="C856" s="134"/>
      <c r="D856" s="17" t="s">
        <v>399</v>
      </c>
      <c r="E856" s="68">
        <v>0.05</v>
      </c>
      <c r="F856" s="27">
        <v>0</v>
      </c>
      <c r="G856" s="32">
        <f>INSUMOS!$D$56</f>
        <v>2500</v>
      </c>
      <c r="H856" s="66">
        <f>E856*(1+F856)*G856</f>
        <v>125</v>
      </c>
    </row>
    <row r="857" spans="2:8" ht="15" customHeight="1" x14ac:dyDescent="0.3">
      <c r="G857" s="31" t="s">
        <v>394</v>
      </c>
      <c r="H857" s="67">
        <f>SUM(H855:H856)</f>
        <v>5350</v>
      </c>
    </row>
    <row r="858" spans="2:8" ht="15" customHeight="1" x14ac:dyDescent="0.3">
      <c r="B858" s="135" t="s">
        <v>404</v>
      </c>
      <c r="C858" s="135"/>
      <c r="D858" s="135"/>
      <c r="E858" s="135"/>
      <c r="F858" s="135"/>
      <c r="G858" s="135"/>
      <c r="H858" s="135"/>
    </row>
    <row r="859" spans="2:8" ht="15" customHeight="1" x14ac:dyDescent="0.3">
      <c r="B859" s="123" t="s">
        <v>94</v>
      </c>
      <c r="C859" s="123"/>
      <c r="D859" s="31" t="s">
        <v>383</v>
      </c>
      <c r="E859" s="31" t="s">
        <v>96</v>
      </c>
      <c r="F859" s="31"/>
      <c r="G859" s="31" t="s">
        <v>364</v>
      </c>
      <c r="H859" s="31" t="s">
        <v>391</v>
      </c>
    </row>
    <row r="860" spans="2:8" ht="15" customHeight="1" x14ac:dyDescent="0.3">
      <c r="B860" s="137" t="s">
        <v>405</v>
      </c>
      <c r="C860" s="137"/>
      <c r="D860" s="29"/>
      <c r="E860" s="29"/>
      <c r="F860" s="29"/>
      <c r="G860" s="29"/>
      <c r="H860" s="66">
        <v>0</v>
      </c>
    </row>
    <row r="861" spans="2:8" ht="15" customHeight="1" x14ac:dyDescent="0.3">
      <c r="G861" s="31" t="s">
        <v>394</v>
      </c>
      <c r="H861" s="67">
        <f>SUM(H860:H860)</f>
        <v>0</v>
      </c>
    </row>
    <row r="862" spans="2:8" ht="15" customHeight="1" x14ac:dyDescent="0.3">
      <c r="B862" s="135" t="s">
        <v>406</v>
      </c>
      <c r="C862" s="135"/>
      <c r="D862" s="135"/>
      <c r="E862" s="135"/>
      <c r="F862" s="135"/>
      <c r="G862" s="135"/>
      <c r="H862" s="135"/>
    </row>
    <row r="863" spans="2:8" ht="24" customHeight="1" x14ac:dyDescent="0.3">
      <c r="B863" s="123" t="s">
        <v>407</v>
      </c>
      <c r="C863" s="123"/>
      <c r="D863" s="123"/>
      <c r="E863" s="31" t="s">
        <v>96</v>
      </c>
      <c r="F863" s="31" t="s">
        <v>408</v>
      </c>
      <c r="G863" s="31" t="s">
        <v>390</v>
      </c>
      <c r="H863" s="31" t="s">
        <v>391</v>
      </c>
    </row>
    <row r="864" spans="2:8" ht="15" customHeight="1" x14ac:dyDescent="0.3">
      <c r="B864" s="134" t="s">
        <v>504</v>
      </c>
      <c r="C864" s="134"/>
      <c r="D864" s="134"/>
      <c r="E864" s="69">
        <v>1</v>
      </c>
      <c r="F864" s="32">
        <f>'MANO DE OBRA'!$H$25</f>
        <v>226162.13017808215</v>
      </c>
      <c r="G864" s="68">
        <v>0.04</v>
      </c>
      <c r="H864" s="66">
        <f>E864*F864*G864</f>
        <v>9046.4852071232872</v>
      </c>
    </row>
    <row r="865" spans="2:8" ht="15" customHeight="1" x14ac:dyDescent="0.3">
      <c r="B865" s="134" t="s">
        <v>410</v>
      </c>
      <c r="C865" s="134"/>
      <c r="D865" s="134"/>
      <c r="E865" s="69">
        <v>0.5</v>
      </c>
      <c r="F865" s="32">
        <f>'MANO DE OBRA'!$H$23</f>
        <v>121976.08717808221</v>
      </c>
      <c r="G865" s="68">
        <v>0.04</v>
      </c>
      <c r="H865" s="66">
        <f>E865*F865*G865</f>
        <v>2439.5217435616441</v>
      </c>
    </row>
    <row r="866" spans="2:8" ht="15" customHeight="1" x14ac:dyDescent="0.3">
      <c r="G866" s="31" t="s">
        <v>394</v>
      </c>
      <c r="H866" s="67">
        <f>SUM(H864:H865)</f>
        <v>11486.006950684932</v>
      </c>
    </row>
    <row r="867" spans="2:8" ht="15" customHeight="1" x14ac:dyDescent="0.3"/>
    <row r="868" spans="2:8" ht="15" customHeight="1" x14ac:dyDescent="0.3">
      <c r="B868" s="115" t="s">
        <v>295</v>
      </c>
      <c r="C868" s="115"/>
      <c r="D868" s="115"/>
      <c r="E868" s="115"/>
      <c r="F868" s="115"/>
      <c r="G868" s="115"/>
      <c r="H868" s="70">
        <f>H852+H857+H861+H866</f>
        <v>17410.307298219181</v>
      </c>
    </row>
    <row r="869" spans="2:8" ht="15" customHeight="1" x14ac:dyDescent="0.3"/>
    <row r="870" spans="2:8" ht="15" customHeight="1" x14ac:dyDescent="0.3">
      <c r="B870" s="71" t="s">
        <v>411</v>
      </c>
    </row>
    <row r="871" spans="2:8" ht="15" customHeight="1" x14ac:dyDescent="0.3">
      <c r="B871" s="123" t="s">
        <v>94</v>
      </c>
      <c r="C871" s="123"/>
      <c r="D871" s="123"/>
      <c r="E871" s="123"/>
      <c r="F871" s="123"/>
      <c r="G871" s="31" t="s">
        <v>412</v>
      </c>
      <c r="H871" s="31" t="s">
        <v>4</v>
      </c>
    </row>
    <row r="872" spans="2:8" ht="15" customHeight="1" x14ac:dyDescent="0.3">
      <c r="B872" s="110" t="s">
        <v>73</v>
      </c>
      <c r="C872" s="110"/>
      <c r="D872" s="110"/>
      <c r="E872" s="110"/>
      <c r="F872" s="110"/>
      <c r="G872" s="22">
        <f>'Datos Iniciales'!$B$32</f>
        <v>0.28999999999999998</v>
      </c>
      <c r="H872" s="66">
        <f>H868*G872</f>
        <v>5048.9891164835617</v>
      </c>
    </row>
    <row r="873" spans="2:8" ht="15" customHeight="1" x14ac:dyDescent="0.3">
      <c r="B873" s="110" t="s">
        <v>74</v>
      </c>
      <c r="C873" s="110"/>
      <c r="D873" s="110"/>
      <c r="E873" s="110"/>
      <c r="F873" s="110"/>
      <c r="G873" s="22">
        <f>'Datos Iniciales'!$B$33</f>
        <v>0.05</v>
      </c>
      <c r="H873" s="66">
        <f>H868*G873</f>
        <v>870.51536491095908</v>
      </c>
    </row>
    <row r="874" spans="2:8" ht="15" customHeight="1" x14ac:dyDescent="0.3">
      <c r="B874" s="138" t="s">
        <v>413</v>
      </c>
      <c r="C874" s="138"/>
      <c r="D874" s="138"/>
      <c r="E874" s="138"/>
      <c r="F874" s="138"/>
      <c r="G874" s="60">
        <f>G872+G873</f>
        <v>0.33999999999999997</v>
      </c>
      <c r="H874" s="67">
        <f>H872+H873</f>
        <v>5919.5044813945206</v>
      </c>
    </row>
    <row r="875" spans="2:8" ht="15" customHeight="1" x14ac:dyDescent="0.3"/>
    <row r="876" spans="2:8" ht="15" customHeight="1" x14ac:dyDescent="0.3">
      <c r="B876" s="139" t="s">
        <v>414</v>
      </c>
      <c r="C876" s="139"/>
      <c r="D876" s="139"/>
      <c r="E876" s="139"/>
      <c r="F876" s="139"/>
      <c r="G876" s="139"/>
      <c r="H876" s="37">
        <f>ROUND(H868+H874,0)</f>
        <v>23330</v>
      </c>
    </row>
    <row r="877" spans="2:8" ht="15" customHeight="1" x14ac:dyDescent="0.3"/>
    <row r="878" spans="2:8" ht="15" customHeight="1" x14ac:dyDescent="0.3"/>
    <row r="879" spans="2:8" ht="15.75" customHeight="1" x14ac:dyDescent="0.3">
      <c r="B879" s="123" t="s">
        <v>0</v>
      </c>
      <c r="C879" s="123"/>
      <c r="D879" s="123"/>
      <c r="E879" s="123"/>
      <c r="F879" s="123"/>
      <c r="G879" s="123"/>
      <c r="H879" s="110"/>
    </row>
    <row r="880" spans="2:8" ht="15.75" customHeight="1" x14ac:dyDescent="0.3">
      <c r="B880" s="123" t="s">
        <v>1</v>
      </c>
      <c r="C880" s="123"/>
      <c r="D880" s="123"/>
      <c r="E880" s="123"/>
      <c r="F880" s="123"/>
      <c r="G880" s="123"/>
      <c r="H880" s="110"/>
    </row>
    <row r="881" spans="2:8" ht="24" customHeight="1" x14ac:dyDescent="0.3">
      <c r="B881" s="136" t="str">
        <f>'Datos Iniciales'!$B$8</f>
        <v>OBRA PÚBLICA PARA LA EJECUCIÓN DE DIFERENTES MEJORAMIENTOS DE VIVIENDA EN EL CASCO URBANO Y RURAL DEL MUNICIPIO DE MACEO - ANTIOQUIA</v>
      </c>
      <c r="C881" s="136"/>
      <c r="D881" s="136"/>
      <c r="E881" s="136"/>
      <c r="F881" s="136"/>
      <c r="G881" s="136"/>
      <c r="H881" s="110"/>
    </row>
    <row r="882" spans="2:8" ht="15.75" customHeight="1" x14ac:dyDescent="0.3">
      <c r="B882" s="112" t="s">
        <v>381</v>
      </c>
      <c r="C882" s="112"/>
      <c r="D882" s="112"/>
      <c r="E882" s="112"/>
      <c r="F882" s="112"/>
      <c r="G882" s="112"/>
      <c r="H882" s="110"/>
    </row>
    <row r="883" spans="2:8" ht="24" customHeight="1" x14ac:dyDescent="0.3">
      <c r="B883" s="13" t="s">
        <v>382</v>
      </c>
      <c r="C883" s="112" t="s">
        <v>94</v>
      </c>
      <c r="D883" s="112"/>
      <c r="E883" s="112"/>
      <c r="F883" s="13" t="s">
        <v>383</v>
      </c>
      <c r="G883" s="13" t="s">
        <v>384</v>
      </c>
      <c r="H883" s="13" t="s">
        <v>385</v>
      </c>
    </row>
    <row r="884" spans="2:8" ht="30" customHeight="1" x14ac:dyDescent="0.3">
      <c r="B884" s="63" t="s">
        <v>509</v>
      </c>
      <c r="C884" s="140" t="s">
        <v>290</v>
      </c>
      <c r="D884" s="140"/>
      <c r="E884" s="140"/>
      <c r="F884" s="17" t="s">
        <v>101</v>
      </c>
      <c r="G884" s="41">
        <f>PRESUPUESTO!$E$135</f>
        <v>16</v>
      </c>
      <c r="H884" s="33">
        <f>H907</f>
        <v>21434.845710496571</v>
      </c>
    </row>
    <row r="885" spans="2:8" ht="15" customHeight="1" x14ac:dyDescent="0.3">
      <c r="B885" s="137" t="s">
        <v>510</v>
      </c>
      <c r="C885" s="137"/>
      <c r="D885" s="137"/>
      <c r="E885" s="137"/>
      <c r="F885" s="137"/>
      <c r="G885" s="137"/>
      <c r="H885" s="137"/>
    </row>
    <row r="886" spans="2:8" ht="15" customHeight="1" x14ac:dyDescent="0.3">
      <c r="B886" s="64" t="s">
        <v>388</v>
      </c>
    </row>
    <row r="887" spans="2:8" ht="15" customHeight="1" x14ac:dyDescent="0.3">
      <c r="B887" s="135" t="s">
        <v>389</v>
      </c>
      <c r="C887" s="135"/>
      <c r="D887" s="135"/>
      <c r="E887" s="135"/>
      <c r="F887" s="135"/>
      <c r="G887" s="135"/>
      <c r="H887" s="135"/>
    </row>
    <row r="888" spans="2:8" ht="24" customHeight="1" x14ac:dyDescent="0.3">
      <c r="B888" s="123" t="s">
        <v>94</v>
      </c>
      <c r="C888" s="123"/>
      <c r="D888" s="123"/>
      <c r="E888" s="31" t="s">
        <v>383</v>
      </c>
      <c r="F888" s="31" t="s">
        <v>364</v>
      </c>
      <c r="G888" s="31" t="s">
        <v>390</v>
      </c>
      <c r="H888" s="31" t="s">
        <v>391</v>
      </c>
    </row>
    <row r="889" spans="2:8" ht="15" customHeight="1" x14ac:dyDescent="0.3">
      <c r="B889" s="134" t="s">
        <v>392</v>
      </c>
      <c r="C889" s="134"/>
      <c r="D889" s="134"/>
      <c r="E889" s="17" t="s">
        <v>393</v>
      </c>
      <c r="F889" s="22">
        <f>EQUIPOS!$D$3</f>
        <v>0.05</v>
      </c>
      <c r="G889" s="65">
        <f>H905</f>
        <v>12921.757819520546</v>
      </c>
      <c r="H889" s="66">
        <f>F889*G889</f>
        <v>646.08789097602732</v>
      </c>
    </row>
    <row r="890" spans="2:8" ht="15" customHeight="1" x14ac:dyDescent="0.3">
      <c r="B890" s="134" t="s">
        <v>449</v>
      </c>
      <c r="C890" s="134"/>
      <c r="D890" s="134"/>
      <c r="E890" s="17" t="s">
        <v>421</v>
      </c>
      <c r="F890" s="65">
        <f>EQUIPOS!$D$7</f>
        <v>8900</v>
      </c>
      <c r="G890" s="68">
        <v>0.03</v>
      </c>
      <c r="H890" s="66">
        <f>F890*G890</f>
        <v>267</v>
      </c>
    </row>
    <row r="891" spans="2:8" ht="15" customHeight="1" x14ac:dyDescent="0.3">
      <c r="G891" s="31" t="s">
        <v>394</v>
      </c>
      <c r="H891" s="67">
        <f>SUM(H889:H890)</f>
        <v>913.08789097602732</v>
      </c>
    </row>
    <row r="892" spans="2:8" ht="15" customHeight="1" x14ac:dyDescent="0.3">
      <c r="B892" s="135" t="s">
        <v>395</v>
      </c>
      <c r="C892" s="135"/>
      <c r="D892" s="135"/>
      <c r="E892" s="135"/>
      <c r="F892" s="135"/>
      <c r="G892" s="135"/>
      <c r="H892" s="135"/>
    </row>
    <row r="893" spans="2:8" ht="15" customHeight="1" x14ac:dyDescent="0.3">
      <c r="B893" s="123" t="s">
        <v>94</v>
      </c>
      <c r="C893" s="123"/>
      <c r="D893" s="31" t="s">
        <v>383</v>
      </c>
      <c r="E893" s="31" t="s">
        <v>96</v>
      </c>
      <c r="F893" s="31" t="s">
        <v>396</v>
      </c>
      <c r="G893" s="31" t="s">
        <v>397</v>
      </c>
      <c r="H893" s="31" t="s">
        <v>391</v>
      </c>
    </row>
    <row r="894" spans="2:8" ht="15" customHeight="1" x14ac:dyDescent="0.3">
      <c r="B894" s="134" t="s">
        <v>511</v>
      </c>
      <c r="C894" s="134"/>
      <c r="D894" s="17" t="s">
        <v>508</v>
      </c>
      <c r="E894" s="68">
        <v>6.5000000000000002E-2</v>
      </c>
      <c r="F894" s="27">
        <v>0</v>
      </c>
      <c r="G894" s="32">
        <f>INSUMOS!$D$53</f>
        <v>115000</v>
      </c>
      <c r="H894" s="66">
        <f>E894*(1+F894)*G894</f>
        <v>7475</v>
      </c>
    </row>
    <row r="895" spans="2:8" ht="15" customHeight="1" x14ac:dyDescent="0.3">
      <c r="B895" s="134" t="s">
        <v>503</v>
      </c>
      <c r="C895" s="134"/>
      <c r="D895" s="17" t="s">
        <v>399</v>
      </c>
      <c r="E895" s="68">
        <v>0.05</v>
      </c>
      <c r="F895" s="27">
        <v>0</v>
      </c>
      <c r="G895" s="32">
        <f>INSUMOS!$D$56</f>
        <v>2500</v>
      </c>
      <c r="H895" s="66">
        <f>E895*(1+F895)*G895</f>
        <v>125</v>
      </c>
    </row>
    <row r="896" spans="2:8" ht="15" customHeight="1" x14ac:dyDescent="0.3">
      <c r="G896" s="31" t="s">
        <v>394</v>
      </c>
      <c r="H896" s="67">
        <f>SUM(H894:H895)</f>
        <v>7600</v>
      </c>
    </row>
    <row r="897" spans="2:8" ht="15" customHeight="1" x14ac:dyDescent="0.3">
      <c r="B897" s="135" t="s">
        <v>404</v>
      </c>
      <c r="C897" s="135"/>
      <c r="D897" s="135"/>
      <c r="E897" s="135"/>
      <c r="F897" s="135"/>
      <c r="G897" s="135"/>
      <c r="H897" s="135"/>
    </row>
    <row r="898" spans="2:8" ht="15" customHeight="1" x14ac:dyDescent="0.3">
      <c r="B898" s="123" t="s">
        <v>94</v>
      </c>
      <c r="C898" s="123"/>
      <c r="D898" s="31" t="s">
        <v>383</v>
      </c>
      <c r="E898" s="31" t="s">
        <v>96</v>
      </c>
      <c r="F898" s="31"/>
      <c r="G898" s="31" t="s">
        <v>364</v>
      </c>
      <c r="H898" s="31" t="s">
        <v>391</v>
      </c>
    </row>
    <row r="899" spans="2:8" ht="15" customHeight="1" x14ac:dyDescent="0.3">
      <c r="B899" s="137" t="s">
        <v>405</v>
      </c>
      <c r="C899" s="137"/>
      <c r="D899" s="29"/>
      <c r="E899" s="29"/>
      <c r="F899" s="29"/>
      <c r="G899" s="29"/>
      <c r="H899" s="66">
        <v>0</v>
      </c>
    </row>
    <row r="900" spans="2:8" ht="15" customHeight="1" x14ac:dyDescent="0.3">
      <c r="G900" s="31" t="s">
        <v>394</v>
      </c>
      <c r="H900" s="67">
        <f>SUM(H899:H899)</f>
        <v>0</v>
      </c>
    </row>
    <row r="901" spans="2:8" ht="15" customHeight="1" x14ac:dyDescent="0.3">
      <c r="B901" s="135" t="s">
        <v>406</v>
      </c>
      <c r="C901" s="135"/>
      <c r="D901" s="135"/>
      <c r="E901" s="135"/>
      <c r="F901" s="135"/>
      <c r="G901" s="135"/>
      <c r="H901" s="135"/>
    </row>
    <row r="902" spans="2:8" ht="24" customHeight="1" x14ac:dyDescent="0.3">
      <c r="B902" s="123" t="s">
        <v>407</v>
      </c>
      <c r="C902" s="123"/>
      <c r="D902" s="123"/>
      <c r="E902" s="31" t="s">
        <v>96</v>
      </c>
      <c r="F902" s="31" t="s">
        <v>408</v>
      </c>
      <c r="G902" s="31" t="s">
        <v>390</v>
      </c>
      <c r="H902" s="31" t="s">
        <v>391</v>
      </c>
    </row>
    <row r="903" spans="2:8" ht="15" customHeight="1" x14ac:dyDescent="0.3">
      <c r="B903" s="134" t="s">
        <v>504</v>
      </c>
      <c r="C903" s="134"/>
      <c r="D903" s="134"/>
      <c r="E903" s="69">
        <v>1</v>
      </c>
      <c r="F903" s="32">
        <f>'MANO DE OBRA'!$H$25</f>
        <v>226162.13017808215</v>
      </c>
      <c r="G903" s="68">
        <v>4.4999999999999998E-2</v>
      </c>
      <c r="H903" s="66">
        <f>E903*F903*G903</f>
        <v>10177.295858013696</v>
      </c>
    </row>
    <row r="904" spans="2:8" ht="15" customHeight="1" x14ac:dyDescent="0.3">
      <c r="B904" s="134" t="s">
        <v>410</v>
      </c>
      <c r="C904" s="134"/>
      <c r="D904" s="134"/>
      <c r="E904" s="69">
        <v>0.5</v>
      </c>
      <c r="F904" s="32">
        <f>'MANO DE OBRA'!$H$23</f>
        <v>121976.08717808221</v>
      </c>
      <c r="G904" s="68">
        <v>4.4999999999999998E-2</v>
      </c>
      <c r="H904" s="66">
        <f>E904*F904*G904</f>
        <v>2744.4619615068495</v>
      </c>
    </row>
    <row r="905" spans="2:8" ht="15" customHeight="1" x14ac:dyDescent="0.3">
      <c r="G905" s="31" t="s">
        <v>394</v>
      </c>
      <c r="H905" s="67">
        <f>SUM(H903:H904)</f>
        <v>12921.757819520546</v>
      </c>
    </row>
    <row r="906" spans="2:8" ht="15" customHeight="1" x14ac:dyDescent="0.3"/>
    <row r="907" spans="2:8" ht="15" customHeight="1" x14ac:dyDescent="0.3">
      <c r="B907" s="115" t="s">
        <v>295</v>
      </c>
      <c r="C907" s="115"/>
      <c r="D907" s="115"/>
      <c r="E907" s="115"/>
      <c r="F907" s="115"/>
      <c r="G907" s="115"/>
      <c r="H907" s="70">
        <f>H891+H896+H900+H905</f>
        <v>21434.845710496571</v>
      </c>
    </row>
    <row r="908" spans="2:8" ht="15" customHeight="1" x14ac:dyDescent="0.3"/>
    <row r="909" spans="2:8" ht="15" customHeight="1" x14ac:dyDescent="0.3">
      <c r="B909" s="71" t="s">
        <v>411</v>
      </c>
    </row>
    <row r="910" spans="2:8" ht="15" customHeight="1" x14ac:dyDescent="0.3">
      <c r="B910" s="123" t="s">
        <v>94</v>
      </c>
      <c r="C910" s="123"/>
      <c r="D910" s="123"/>
      <c r="E910" s="123"/>
      <c r="F910" s="123"/>
      <c r="G910" s="31" t="s">
        <v>412</v>
      </c>
      <c r="H910" s="31" t="s">
        <v>4</v>
      </c>
    </row>
    <row r="911" spans="2:8" ht="15" customHeight="1" x14ac:dyDescent="0.3">
      <c r="B911" s="110" t="s">
        <v>73</v>
      </c>
      <c r="C911" s="110"/>
      <c r="D911" s="110"/>
      <c r="E911" s="110"/>
      <c r="F911" s="110"/>
      <c r="G911" s="22">
        <f>'Datos Iniciales'!$B$32</f>
        <v>0.28999999999999998</v>
      </c>
      <c r="H911" s="66">
        <f>H907*G911</f>
        <v>6216.1052560440048</v>
      </c>
    </row>
    <row r="912" spans="2:8" ht="15" customHeight="1" x14ac:dyDescent="0.3">
      <c r="B912" s="110" t="s">
        <v>74</v>
      </c>
      <c r="C912" s="110"/>
      <c r="D912" s="110"/>
      <c r="E912" s="110"/>
      <c r="F912" s="110"/>
      <c r="G912" s="22">
        <f>'Datos Iniciales'!$B$33</f>
        <v>0.05</v>
      </c>
      <c r="H912" s="66">
        <f>H907*G912</f>
        <v>1071.7422855248285</v>
      </c>
    </row>
    <row r="913" spans="2:8" ht="15" customHeight="1" x14ac:dyDescent="0.3">
      <c r="B913" s="138" t="s">
        <v>413</v>
      </c>
      <c r="C913" s="138"/>
      <c r="D913" s="138"/>
      <c r="E913" s="138"/>
      <c r="F913" s="138"/>
      <c r="G913" s="60">
        <f>G911+G912</f>
        <v>0.33999999999999997</v>
      </c>
      <c r="H913" s="67">
        <f>H911+H912</f>
        <v>7287.8475415688335</v>
      </c>
    </row>
    <row r="914" spans="2:8" ht="15" customHeight="1" x14ac:dyDescent="0.3"/>
    <row r="915" spans="2:8" ht="15" customHeight="1" x14ac:dyDescent="0.3">
      <c r="B915" s="139" t="s">
        <v>414</v>
      </c>
      <c r="C915" s="139"/>
      <c r="D915" s="139"/>
      <c r="E915" s="139"/>
      <c r="F915" s="139"/>
      <c r="G915" s="139"/>
      <c r="H915" s="37">
        <f>ROUND(H907+H913,0)</f>
        <v>28723</v>
      </c>
    </row>
    <row r="916" spans="2:8" ht="15" customHeight="1" x14ac:dyDescent="0.3"/>
    <row r="917" spans="2:8" ht="15" customHeight="1" x14ac:dyDescent="0.3"/>
    <row r="918" spans="2:8" ht="15.75" customHeight="1" x14ac:dyDescent="0.3">
      <c r="B918" s="123" t="s">
        <v>0</v>
      </c>
      <c r="C918" s="123"/>
      <c r="D918" s="123"/>
      <c r="E918" s="123"/>
      <c r="F918" s="123"/>
      <c r="G918" s="123"/>
      <c r="H918" s="110"/>
    </row>
    <row r="919" spans="2:8" ht="15.75" customHeight="1" x14ac:dyDescent="0.3">
      <c r="B919" s="123" t="s">
        <v>1</v>
      </c>
      <c r="C919" s="123"/>
      <c r="D919" s="123"/>
      <c r="E919" s="123"/>
      <c r="F919" s="123"/>
      <c r="G919" s="123"/>
      <c r="H919" s="110"/>
    </row>
    <row r="920" spans="2:8" ht="24" customHeight="1" x14ac:dyDescent="0.3">
      <c r="B920" s="136" t="str">
        <f>'Datos Iniciales'!$B$8</f>
        <v>OBRA PÚBLICA PARA LA EJECUCIÓN DE DIFERENTES MEJORAMIENTOS DE VIVIENDA EN EL CASCO URBANO Y RURAL DEL MUNICIPIO DE MACEO - ANTIOQUIA</v>
      </c>
      <c r="C920" s="136"/>
      <c r="D920" s="136"/>
      <c r="E920" s="136"/>
      <c r="F920" s="136"/>
      <c r="G920" s="136"/>
      <c r="H920" s="110"/>
    </row>
    <row r="921" spans="2:8" ht="15.75" customHeight="1" x14ac:dyDescent="0.3">
      <c r="B921" s="112" t="s">
        <v>381</v>
      </c>
      <c r="C921" s="112"/>
      <c r="D921" s="112"/>
      <c r="E921" s="112"/>
      <c r="F921" s="112"/>
      <c r="G921" s="112"/>
      <c r="H921" s="110"/>
    </row>
    <row r="922" spans="2:8" ht="24" customHeight="1" x14ac:dyDescent="0.3">
      <c r="B922" s="13" t="s">
        <v>382</v>
      </c>
      <c r="C922" s="112" t="s">
        <v>94</v>
      </c>
      <c r="D922" s="112"/>
      <c r="E922" s="112"/>
      <c r="F922" s="13" t="s">
        <v>383</v>
      </c>
      <c r="G922" s="13" t="s">
        <v>384</v>
      </c>
      <c r="H922" s="13" t="s">
        <v>385</v>
      </c>
    </row>
    <row r="923" spans="2:8" ht="31.5" customHeight="1" x14ac:dyDescent="0.3">
      <c r="B923" s="63" t="s">
        <v>512</v>
      </c>
      <c r="C923" s="140" t="s">
        <v>287</v>
      </c>
      <c r="D923" s="140"/>
      <c r="E923" s="140"/>
      <c r="F923" s="17" t="s">
        <v>101</v>
      </c>
      <c r="G923" s="41">
        <f>PRESUPUESTO!$E$133</f>
        <v>32</v>
      </c>
      <c r="H923" s="33">
        <f>H946</f>
        <v>19055.384122773972</v>
      </c>
    </row>
    <row r="924" spans="2:8" ht="15" customHeight="1" x14ac:dyDescent="0.3">
      <c r="B924" s="137" t="s">
        <v>513</v>
      </c>
      <c r="C924" s="137"/>
      <c r="D924" s="137"/>
      <c r="E924" s="137"/>
      <c r="F924" s="137"/>
      <c r="G924" s="137"/>
      <c r="H924" s="137"/>
    </row>
    <row r="925" spans="2:8" ht="15" customHeight="1" x14ac:dyDescent="0.3">
      <c r="B925" s="64" t="s">
        <v>388</v>
      </c>
    </row>
    <row r="926" spans="2:8" ht="15" customHeight="1" x14ac:dyDescent="0.3">
      <c r="B926" s="135" t="s">
        <v>389</v>
      </c>
      <c r="C926" s="135"/>
      <c r="D926" s="135"/>
      <c r="E926" s="135"/>
      <c r="F926" s="135"/>
      <c r="G926" s="135"/>
      <c r="H926" s="135"/>
    </row>
    <row r="927" spans="2:8" ht="24" customHeight="1" x14ac:dyDescent="0.3">
      <c r="B927" s="123" t="s">
        <v>94</v>
      </c>
      <c r="C927" s="123"/>
      <c r="D927" s="123"/>
      <c r="E927" s="31" t="s">
        <v>383</v>
      </c>
      <c r="F927" s="31" t="s">
        <v>364</v>
      </c>
      <c r="G927" s="31" t="s">
        <v>390</v>
      </c>
      <c r="H927" s="31" t="s">
        <v>391</v>
      </c>
    </row>
    <row r="928" spans="2:8" ht="15" customHeight="1" x14ac:dyDescent="0.3">
      <c r="B928" s="134" t="s">
        <v>392</v>
      </c>
      <c r="C928" s="134"/>
      <c r="D928" s="134"/>
      <c r="E928" s="17" t="s">
        <v>393</v>
      </c>
      <c r="F928" s="22">
        <f>EQUIPOS!$D$3</f>
        <v>0.05</v>
      </c>
      <c r="G928" s="65">
        <f>H944</f>
        <v>14357.508688356163</v>
      </c>
      <c r="H928" s="66">
        <f>F928*G928</f>
        <v>717.87543441780826</v>
      </c>
    </row>
    <row r="929" spans="2:8" ht="15" customHeight="1" x14ac:dyDescent="0.3">
      <c r="G929" s="31" t="s">
        <v>394</v>
      </c>
      <c r="H929" s="67">
        <f>SUM(H928:H928)</f>
        <v>717.87543441780826</v>
      </c>
    </row>
    <row r="930" spans="2:8" ht="15" customHeight="1" x14ac:dyDescent="0.3">
      <c r="B930" s="135" t="s">
        <v>395</v>
      </c>
      <c r="C930" s="135"/>
      <c r="D930" s="135"/>
      <c r="E930" s="135"/>
      <c r="F930" s="135"/>
      <c r="G930" s="135"/>
      <c r="H930" s="135"/>
    </row>
    <row r="931" spans="2:8" ht="15" customHeight="1" x14ac:dyDescent="0.3">
      <c r="B931" s="123" t="s">
        <v>94</v>
      </c>
      <c r="C931" s="123"/>
      <c r="D931" s="31" t="s">
        <v>383</v>
      </c>
      <c r="E931" s="31" t="s">
        <v>96</v>
      </c>
      <c r="F931" s="31" t="s">
        <v>396</v>
      </c>
      <c r="G931" s="31" t="s">
        <v>397</v>
      </c>
      <c r="H931" s="31" t="s">
        <v>391</v>
      </c>
    </row>
    <row r="932" spans="2:8" ht="15" customHeight="1" x14ac:dyDescent="0.3">
      <c r="B932" s="134" t="s">
        <v>514</v>
      </c>
      <c r="C932" s="134"/>
      <c r="D932" s="17" t="s">
        <v>488</v>
      </c>
      <c r="E932" s="68">
        <v>1.2</v>
      </c>
      <c r="F932" s="27">
        <v>0</v>
      </c>
      <c r="G932" s="32">
        <f>INSUMOS!$D$51</f>
        <v>250</v>
      </c>
      <c r="H932" s="66">
        <f>E932*(1+F932)*G932</f>
        <v>300</v>
      </c>
    </row>
    <row r="933" spans="2:8" ht="15" customHeight="1" x14ac:dyDescent="0.3">
      <c r="B933" s="134" t="s">
        <v>515</v>
      </c>
      <c r="C933" s="134"/>
      <c r="D933" s="17" t="s">
        <v>399</v>
      </c>
      <c r="E933" s="68">
        <v>3.5000000000000003E-2</v>
      </c>
      <c r="F933" s="27">
        <v>0</v>
      </c>
      <c r="G933" s="32">
        <f>INSUMOS!$D$50</f>
        <v>98000</v>
      </c>
      <c r="H933" s="66">
        <f>E933*(1+F933)*G933</f>
        <v>3430.0000000000005</v>
      </c>
    </row>
    <row r="934" spans="2:8" ht="15" customHeight="1" x14ac:dyDescent="0.3">
      <c r="B934" s="134" t="s">
        <v>503</v>
      </c>
      <c r="C934" s="134"/>
      <c r="D934" s="17" t="s">
        <v>399</v>
      </c>
      <c r="E934" s="68">
        <v>0.1</v>
      </c>
      <c r="F934" s="27">
        <v>0</v>
      </c>
      <c r="G934" s="32">
        <f>INSUMOS!$D$56</f>
        <v>2500</v>
      </c>
      <c r="H934" s="66">
        <f>E934*(1+F934)*G934</f>
        <v>250</v>
      </c>
    </row>
    <row r="935" spans="2:8" ht="15" customHeight="1" x14ac:dyDescent="0.3">
      <c r="G935" s="31" t="s">
        <v>394</v>
      </c>
      <c r="H935" s="67">
        <f>SUM(H932:H934)</f>
        <v>3980.0000000000005</v>
      </c>
    </row>
    <row r="936" spans="2:8" ht="15" customHeight="1" x14ac:dyDescent="0.3">
      <c r="B936" s="135" t="s">
        <v>404</v>
      </c>
      <c r="C936" s="135"/>
      <c r="D936" s="135"/>
      <c r="E936" s="135"/>
      <c r="F936" s="135"/>
      <c r="G936" s="135"/>
      <c r="H936" s="135"/>
    </row>
    <row r="937" spans="2:8" ht="15" customHeight="1" x14ac:dyDescent="0.3">
      <c r="B937" s="123" t="s">
        <v>94</v>
      </c>
      <c r="C937" s="123"/>
      <c r="D937" s="31" t="s">
        <v>383</v>
      </c>
      <c r="E937" s="31" t="s">
        <v>96</v>
      </c>
      <c r="F937" s="31"/>
      <c r="G937" s="31" t="s">
        <v>364</v>
      </c>
      <c r="H937" s="31" t="s">
        <v>391</v>
      </c>
    </row>
    <row r="938" spans="2:8" ht="15" customHeight="1" x14ac:dyDescent="0.3">
      <c r="B938" s="137" t="s">
        <v>405</v>
      </c>
      <c r="C938" s="137"/>
      <c r="D938" s="29"/>
      <c r="E938" s="29"/>
      <c r="F938" s="29"/>
      <c r="G938" s="29"/>
      <c r="H938" s="66">
        <v>0</v>
      </c>
    </row>
    <row r="939" spans="2:8" ht="15" customHeight="1" x14ac:dyDescent="0.3">
      <c r="G939" s="31" t="s">
        <v>394</v>
      </c>
      <c r="H939" s="67">
        <f>SUM(H938:H938)</f>
        <v>0</v>
      </c>
    </row>
    <row r="940" spans="2:8" ht="15" customHeight="1" x14ac:dyDescent="0.3">
      <c r="B940" s="135" t="s">
        <v>406</v>
      </c>
      <c r="C940" s="135"/>
      <c r="D940" s="135"/>
      <c r="E940" s="135"/>
      <c r="F940" s="135"/>
      <c r="G940" s="135"/>
      <c r="H940" s="135"/>
    </row>
    <row r="941" spans="2:8" ht="24" customHeight="1" x14ac:dyDescent="0.3">
      <c r="B941" s="123" t="s">
        <v>407</v>
      </c>
      <c r="C941" s="123"/>
      <c r="D941" s="123"/>
      <c r="E941" s="31" t="s">
        <v>96</v>
      </c>
      <c r="F941" s="31" t="s">
        <v>408</v>
      </c>
      <c r="G941" s="31" t="s">
        <v>390</v>
      </c>
      <c r="H941" s="31" t="s">
        <v>391</v>
      </c>
    </row>
    <row r="942" spans="2:8" ht="15" customHeight="1" x14ac:dyDescent="0.3">
      <c r="B942" s="134" t="s">
        <v>504</v>
      </c>
      <c r="C942" s="134"/>
      <c r="D942" s="134"/>
      <c r="E942" s="69">
        <v>1</v>
      </c>
      <c r="F942" s="32">
        <f>'MANO DE OBRA'!$H$25</f>
        <v>226162.13017808215</v>
      </c>
      <c r="G942" s="68">
        <v>0.05</v>
      </c>
      <c r="H942" s="66">
        <f>E942*F942*G942</f>
        <v>11308.106508904108</v>
      </c>
    </row>
    <row r="943" spans="2:8" ht="15" customHeight="1" x14ac:dyDescent="0.3">
      <c r="B943" s="134" t="s">
        <v>410</v>
      </c>
      <c r="C943" s="134"/>
      <c r="D943" s="134"/>
      <c r="E943" s="69">
        <v>0.5</v>
      </c>
      <c r="F943" s="32">
        <f>'MANO DE OBRA'!$H$23</f>
        <v>121976.08717808221</v>
      </c>
      <c r="G943" s="68">
        <v>0.05</v>
      </c>
      <c r="H943" s="66">
        <f>E943*F943*G943</f>
        <v>3049.4021794520554</v>
      </c>
    </row>
    <row r="944" spans="2:8" ht="15" customHeight="1" x14ac:dyDescent="0.3">
      <c r="G944" s="31" t="s">
        <v>394</v>
      </c>
      <c r="H944" s="67">
        <f>SUM(H942:H943)</f>
        <v>14357.508688356163</v>
      </c>
    </row>
    <row r="945" spans="2:8" ht="15" customHeight="1" x14ac:dyDescent="0.3"/>
    <row r="946" spans="2:8" ht="15" customHeight="1" x14ac:dyDescent="0.3">
      <c r="B946" s="115" t="s">
        <v>295</v>
      </c>
      <c r="C946" s="115"/>
      <c r="D946" s="115"/>
      <c r="E946" s="115"/>
      <c r="F946" s="115"/>
      <c r="G946" s="115"/>
      <c r="H946" s="70">
        <f>H929+H935+H939+H944</f>
        <v>19055.384122773972</v>
      </c>
    </row>
    <row r="947" spans="2:8" ht="15" customHeight="1" x14ac:dyDescent="0.3"/>
    <row r="948" spans="2:8" ht="15" customHeight="1" x14ac:dyDescent="0.3">
      <c r="B948" s="71" t="s">
        <v>411</v>
      </c>
    </row>
    <row r="949" spans="2:8" ht="15" customHeight="1" x14ac:dyDescent="0.3">
      <c r="B949" s="123" t="s">
        <v>94</v>
      </c>
      <c r="C949" s="123"/>
      <c r="D949" s="123"/>
      <c r="E949" s="123"/>
      <c r="F949" s="123"/>
      <c r="G949" s="31" t="s">
        <v>412</v>
      </c>
      <c r="H949" s="31" t="s">
        <v>4</v>
      </c>
    </row>
    <row r="950" spans="2:8" ht="15" customHeight="1" x14ac:dyDescent="0.3">
      <c r="B950" s="110" t="s">
        <v>73</v>
      </c>
      <c r="C950" s="110"/>
      <c r="D950" s="110"/>
      <c r="E950" s="110"/>
      <c r="F950" s="110"/>
      <c r="G950" s="22">
        <f>'Datos Iniciales'!$B$32</f>
        <v>0.28999999999999998</v>
      </c>
      <c r="H950" s="66">
        <f>H946*G950</f>
        <v>5526.0613956044517</v>
      </c>
    </row>
    <row r="951" spans="2:8" ht="15" customHeight="1" x14ac:dyDescent="0.3">
      <c r="B951" s="110" t="s">
        <v>74</v>
      </c>
      <c r="C951" s="110"/>
      <c r="D951" s="110"/>
      <c r="E951" s="110"/>
      <c r="F951" s="110"/>
      <c r="G951" s="22">
        <f>'Datos Iniciales'!$B$33</f>
        <v>0.05</v>
      </c>
      <c r="H951" s="66">
        <f>H946*G951</f>
        <v>952.76920613869868</v>
      </c>
    </row>
    <row r="952" spans="2:8" ht="15" customHeight="1" x14ac:dyDescent="0.3">
      <c r="B952" s="138" t="s">
        <v>413</v>
      </c>
      <c r="C952" s="138"/>
      <c r="D952" s="138"/>
      <c r="E952" s="138"/>
      <c r="F952" s="138"/>
      <c r="G952" s="60">
        <f>G950+G951</f>
        <v>0.33999999999999997</v>
      </c>
      <c r="H952" s="67">
        <f>H950+H951</f>
        <v>6478.8306017431505</v>
      </c>
    </row>
    <row r="953" spans="2:8" ht="15" customHeight="1" x14ac:dyDescent="0.3"/>
    <row r="954" spans="2:8" ht="15" customHeight="1" x14ac:dyDescent="0.3">
      <c r="B954" s="139" t="s">
        <v>414</v>
      </c>
      <c r="C954" s="139"/>
      <c r="D954" s="139"/>
      <c r="E954" s="139"/>
      <c r="F954" s="139"/>
      <c r="G954" s="139"/>
      <c r="H954" s="37">
        <f>ROUND(H946+H952,0)</f>
        <v>25534</v>
      </c>
    </row>
    <row r="955" spans="2:8" ht="15" customHeight="1" x14ac:dyDescent="0.3"/>
    <row r="956" spans="2:8" ht="15" customHeight="1" x14ac:dyDescent="0.3"/>
    <row r="957" spans="2:8" ht="15.75" customHeight="1" x14ac:dyDescent="0.3">
      <c r="B957" s="123" t="s">
        <v>0</v>
      </c>
      <c r="C957" s="123"/>
      <c r="D957" s="123"/>
      <c r="E957" s="123"/>
      <c r="F957" s="123"/>
      <c r="G957" s="123"/>
      <c r="H957" s="110"/>
    </row>
    <row r="958" spans="2:8" ht="15.75" customHeight="1" x14ac:dyDescent="0.3">
      <c r="B958" s="123" t="s">
        <v>1</v>
      </c>
      <c r="C958" s="123"/>
      <c r="D958" s="123"/>
      <c r="E958" s="123"/>
      <c r="F958" s="123"/>
      <c r="G958" s="123"/>
      <c r="H958" s="110"/>
    </row>
    <row r="959" spans="2:8" ht="24" customHeight="1" x14ac:dyDescent="0.3">
      <c r="B959" s="136" t="str">
        <f>'Datos Iniciales'!$B$8</f>
        <v>OBRA PÚBLICA PARA LA EJECUCIÓN DE DIFERENTES MEJORAMIENTOS DE VIVIENDA EN EL CASCO URBANO Y RURAL DEL MUNICIPIO DE MACEO - ANTIOQUIA</v>
      </c>
      <c r="C959" s="136"/>
      <c r="D959" s="136"/>
      <c r="E959" s="136"/>
      <c r="F959" s="136"/>
      <c r="G959" s="136"/>
      <c r="H959" s="110"/>
    </row>
    <row r="960" spans="2:8" ht="15.75" customHeight="1" x14ac:dyDescent="0.3">
      <c r="B960" s="112" t="s">
        <v>381</v>
      </c>
      <c r="C960" s="112"/>
      <c r="D960" s="112"/>
      <c r="E960" s="112"/>
      <c r="F960" s="112"/>
      <c r="G960" s="112"/>
      <c r="H960" s="110"/>
    </row>
    <row r="961" spans="2:8" ht="24" customHeight="1" x14ac:dyDescent="0.3">
      <c r="B961" s="13" t="s">
        <v>382</v>
      </c>
      <c r="C961" s="112" t="s">
        <v>94</v>
      </c>
      <c r="D961" s="112"/>
      <c r="E961" s="112"/>
      <c r="F961" s="13" t="s">
        <v>383</v>
      </c>
      <c r="G961" s="13" t="s">
        <v>384</v>
      </c>
      <c r="H961" s="13" t="s">
        <v>385</v>
      </c>
    </row>
    <row r="962" spans="2:8" ht="31.5" customHeight="1" x14ac:dyDescent="0.3">
      <c r="B962" s="63" t="s">
        <v>516</v>
      </c>
      <c r="C962" s="140" t="s">
        <v>149</v>
      </c>
      <c r="D962" s="140"/>
      <c r="E962" s="140"/>
      <c r="F962" s="17" t="s">
        <v>101</v>
      </c>
      <c r="G962" s="41">
        <f>PRESUPUESTO!$E$29</f>
        <v>21.21</v>
      </c>
      <c r="H962" s="33">
        <f>H987</f>
        <v>87540.56824554794</v>
      </c>
    </row>
    <row r="963" spans="2:8" ht="15" customHeight="1" x14ac:dyDescent="0.3">
      <c r="B963" s="137" t="s">
        <v>517</v>
      </c>
      <c r="C963" s="137"/>
      <c r="D963" s="137"/>
      <c r="E963" s="137"/>
      <c r="F963" s="137"/>
      <c r="G963" s="137"/>
      <c r="H963" s="137"/>
    </row>
    <row r="964" spans="2:8" ht="15" customHeight="1" x14ac:dyDescent="0.3">
      <c r="B964" s="64" t="s">
        <v>388</v>
      </c>
    </row>
    <row r="965" spans="2:8" ht="15" customHeight="1" x14ac:dyDescent="0.3">
      <c r="B965" s="135" t="s">
        <v>389</v>
      </c>
      <c r="C965" s="135"/>
      <c r="D965" s="135"/>
      <c r="E965" s="135"/>
      <c r="F965" s="135"/>
      <c r="G965" s="135"/>
      <c r="H965" s="135"/>
    </row>
    <row r="966" spans="2:8" ht="24" customHeight="1" x14ac:dyDescent="0.3">
      <c r="B966" s="123" t="s">
        <v>94</v>
      </c>
      <c r="C966" s="123"/>
      <c r="D966" s="123"/>
      <c r="E966" s="31" t="s">
        <v>383</v>
      </c>
      <c r="F966" s="31" t="s">
        <v>364</v>
      </c>
      <c r="G966" s="31" t="s">
        <v>390</v>
      </c>
      <c r="H966" s="31" t="s">
        <v>391</v>
      </c>
    </row>
    <row r="967" spans="2:8" ht="15" customHeight="1" x14ac:dyDescent="0.3">
      <c r="B967" s="134" t="s">
        <v>392</v>
      </c>
      <c r="C967" s="134"/>
      <c r="D967" s="134"/>
      <c r="E967" s="17" t="s">
        <v>393</v>
      </c>
      <c r="F967" s="22">
        <f>EQUIPOS!$D$3</f>
        <v>0.05</v>
      </c>
      <c r="G967" s="65">
        <f>H985</f>
        <v>28715.017376712327</v>
      </c>
      <c r="H967" s="66">
        <f>F967*G967</f>
        <v>1435.7508688356165</v>
      </c>
    </row>
    <row r="968" spans="2:8" ht="15" customHeight="1" x14ac:dyDescent="0.3">
      <c r="B968" s="134" t="s">
        <v>518</v>
      </c>
      <c r="C968" s="134"/>
      <c r="D968" s="134"/>
      <c r="E968" s="17" t="s">
        <v>421</v>
      </c>
      <c r="F968" s="65">
        <f>EQUIPOS!$D$8</f>
        <v>15000</v>
      </c>
      <c r="G968" s="68">
        <v>0.1</v>
      </c>
      <c r="H968" s="66">
        <f>F968*G968</f>
        <v>1500</v>
      </c>
    </row>
    <row r="969" spans="2:8" ht="15" customHeight="1" x14ac:dyDescent="0.3">
      <c r="G969" s="31" t="s">
        <v>394</v>
      </c>
      <c r="H969" s="67">
        <f>SUM(H967:H968)</f>
        <v>2935.7508688356165</v>
      </c>
    </row>
    <row r="970" spans="2:8" ht="15" customHeight="1" x14ac:dyDescent="0.3">
      <c r="B970" s="135" t="s">
        <v>395</v>
      </c>
      <c r="C970" s="135"/>
      <c r="D970" s="135"/>
      <c r="E970" s="135"/>
      <c r="F970" s="135"/>
      <c r="G970" s="135"/>
      <c r="H970" s="135"/>
    </row>
    <row r="971" spans="2:8" ht="15" customHeight="1" x14ac:dyDescent="0.3">
      <c r="B971" s="123" t="s">
        <v>94</v>
      </c>
      <c r="C971" s="123"/>
      <c r="D971" s="31" t="s">
        <v>383</v>
      </c>
      <c r="E971" s="31" t="s">
        <v>96</v>
      </c>
      <c r="F971" s="31" t="s">
        <v>396</v>
      </c>
      <c r="G971" s="31" t="s">
        <v>397</v>
      </c>
      <c r="H971" s="31" t="s">
        <v>391</v>
      </c>
    </row>
    <row r="972" spans="2:8" ht="15" customHeight="1" x14ac:dyDescent="0.3">
      <c r="B972" s="134" t="s">
        <v>519</v>
      </c>
      <c r="C972" s="134"/>
      <c r="D972" s="17" t="s">
        <v>442</v>
      </c>
      <c r="E972" s="68">
        <v>1</v>
      </c>
      <c r="F972" s="27">
        <v>0.05</v>
      </c>
      <c r="G972" s="32">
        <f>INSUMOS!$D$42</f>
        <v>38000</v>
      </c>
      <c r="H972" s="66">
        <f>E972*(1+F972)*G972</f>
        <v>39900</v>
      </c>
    </row>
    <row r="973" spans="2:8" ht="15" customHeight="1" x14ac:dyDescent="0.3">
      <c r="B973" s="134" t="s">
        <v>520</v>
      </c>
      <c r="C973" s="134"/>
      <c r="D973" s="17" t="s">
        <v>490</v>
      </c>
      <c r="E973" s="68">
        <v>0.2</v>
      </c>
      <c r="F973" s="27">
        <v>0</v>
      </c>
      <c r="G973" s="32">
        <f>INSUMOS!$D$45</f>
        <v>37500</v>
      </c>
      <c r="H973" s="66">
        <f>E973*(1+F973)*G973</f>
        <v>7500</v>
      </c>
    </row>
    <row r="974" spans="2:8" ht="15" customHeight="1" x14ac:dyDescent="0.3">
      <c r="B974" s="134" t="s">
        <v>521</v>
      </c>
      <c r="C974" s="134"/>
      <c r="D974" s="17" t="s">
        <v>464</v>
      </c>
      <c r="E974" s="68">
        <v>0.3</v>
      </c>
      <c r="F974" s="27">
        <v>0</v>
      </c>
      <c r="G974" s="32">
        <f>INSUMOS!$D$46</f>
        <v>5500</v>
      </c>
      <c r="H974" s="66">
        <f>E974*(1+F974)*G974</f>
        <v>1650</v>
      </c>
    </row>
    <row r="975" spans="2:8" ht="15" customHeight="1" x14ac:dyDescent="0.3">
      <c r="G975" s="31" t="s">
        <v>394</v>
      </c>
      <c r="H975" s="67">
        <f>SUM(H972:H974)</f>
        <v>49050</v>
      </c>
    </row>
    <row r="976" spans="2:8" ht="15" customHeight="1" x14ac:dyDescent="0.3">
      <c r="B976" s="135" t="s">
        <v>404</v>
      </c>
      <c r="C976" s="135"/>
      <c r="D976" s="135"/>
      <c r="E976" s="135"/>
      <c r="F976" s="135"/>
      <c r="G976" s="135"/>
      <c r="H976" s="135"/>
    </row>
    <row r="977" spans="2:8" ht="15" customHeight="1" x14ac:dyDescent="0.3">
      <c r="B977" s="123" t="s">
        <v>94</v>
      </c>
      <c r="C977" s="123"/>
      <c r="D977" s="31" t="s">
        <v>383</v>
      </c>
      <c r="E977" s="31" t="s">
        <v>96</v>
      </c>
      <c r="F977" s="31"/>
      <c r="G977" s="31" t="s">
        <v>364</v>
      </c>
      <c r="H977" s="31" t="s">
        <v>391</v>
      </c>
    </row>
    <row r="978" spans="2:8" ht="22.05" customHeight="1" x14ac:dyDescent="0.3">
      <c r="B978" s="134" t="s">
        <v>522</v>
      </c>
      <c r="C978" s="134"/>
      <c r="D978" s="17" t="s">
        <v>431</v>
      </c>
      <c r="E978" s="72">
        <f>0.025*'Datos Iniciales'!$B$31</f>
        <v>3.1625000000000001</v>
      </c>
      <c r="F978" s="29"/>
      <c r="G978" s="32">
        <f>TRANSPORTE!$D$4</f>
        <v>1928</v>
      </c>
      <c r="H978" s="66">
        <f>E978*G978</f>
        <v>6097.3</v>
      </c>
    </row>
    <row r="979" spans="2:8" ht="22.05" customHeight="1" x14ac:dyDescent="0.3">
      <c r="B979" s="134" t="s">
        <v>523</v>
      </c>
      <c r="C979" s="134"/>
      <c r="D979" s="17" t="s">
        <v>431</v>
      </c>
      <c r="E979" s="72">
        <f>0.025*'Datos Iniciales'!$B$26</f>
        <v>0.25</v>
      </c>
      <c r="F979" s="29"/>
      <c r="G979" s="32">
        <f>TRANSPORTE!$D$5</f>
        <v>2970</v>
      </c>
      <c r="H979" s="66">
        <f>E979*G979</f>
        <v>742.5</v>
      </c>
    </row>
    <row r="980" spans="2:8" ht="15" customHeight="1" x14ac:dyDescent="0.3">
      <c r="G980" s="31" t="s">
        <v>394</v>
      </c>
      <c r="H980" s="67">
        <f>SUM(H978:H979)</f>
        <v>6839.8</v>
      </c>
    </row>
    <row r="981" spans="2:8" ht="15" customHeight="1" x14ac:dyDescent="0.3">
      <c r="B981" s="135" t="s">
        <v>406</v>
      </c>
      <c r="C981" s="135"/>
      <c r="D981" s="135"/>
      <c r="E981" s="135"/>
      <c r="F981" s="135"/>
      <c r="G981" s="135"/>
      <c r="H981" s="135"/>
    </row>
    <row r="982" spans="2:8" ht="24" customHeight="1" x14ac:dyDescent="0.3">
      <c r="B982" s="123" t="s">
        <v>407</v>
      </c>
      <c r="C982" s="123"/>
      <c r="D982" s="123"/>
      <c r="E982" s="31" t="s">
        <v>96</v>
      </c>
      <c r="F982" s="31" t="s">
        <v>408</v>
      </c>
      <c r="G982" s="31" t="s">
        <v>390</v>
      </c>
      <c r="H982" s="31" t="s">
        <v>391</v>
      </c>
    </row>
    <row r="983" spans="2:8" ht="15" customHeight="1" x14ac:dyDescent="0.3">
      <c r="B983" s="134" t="s">
        <v>409</v>
      </c>
      <c r="C983" s="134"/>
      <c r="D983" s="134"/>
      <c r="E983" s="69">
        <v>1</v>
      </c>
      <c r="F983" s="32">
        <f>'MANO DE OBRA'!$H$27</f>
        <v>226162.13017808215</v>
      </c>
      <c r="G983" s="68">
        <v>0.1</v>
      </c>
      <c r="H983" s="66">
        <f>E983*F983*G983</f>
        <v>22616.213017808215</v>
      </c>
    </row>
    <row r="984" spans="2:8" ht="15" customHeight="1" x14ac:dyDescent="0.3">
      <c r="B984" s="134" t="s">
        <v>410</v>
      </c>
      <c r="C984" s="134"/>
      <c r="D984" s="134"/>
      <c r="E984" s="69">
        <v>0.5</v>
      </c>
      <c r="F984" s="32">
        <f>'MANO DE OBRA'!$H$23</f>
        <v>121976.08717808221</v>
      </c>
      <c r="G984" s="68">
        <v>0.1</v>
      </c>
      <c r="H984" s="66">
        <f>E984*F984*G984</f>
        <v>6098.8043589041108</v>
      </c>
    </row>
    <row r="985" spans="2:8" ht="15" customHeight="1" x14ac:dyDescent="0.3">
      <c r="G985" s="31" t="s">
        <v>394</v>
      </c>
      <c r="H985" s="67">
        <f>SUM(H983:H984)</f>
        <v>28715.017376712327</v>
      </c>
    </row>
    <row r="986" spans="2:8" ht="15" customHeight="1" x14ac:dyDescent="0.3"/>
    <row r="987" spans="2:8" ht="15" customHeight="1" x14ac:dyDescent="0.3">
      <c r="B987" s="115" t="s">
        <v>295</v>
      </c>
      <c r="C987" s="115"/>
      <c r="D987" s="115"/>
      <c r="E987" s="115"/>
      <c r="F987" s="115"/>
      <c r="G987" s="115"/>
      <c r="H987" s="70">
        <f>H969+H975+H980+H985</f>
        <v>87540.56824554794</v>
      </c>
    </row>
    <row r="988" spans="2:8" ht="15" customHeight="1" x14ac:dyDescent="0.3"/>
    <row r="989" spans="2:8" ht="15" customHeight="1" x14ac:dyDescent="0.3">
      <c r="B989" s="71" t="s">
        <v>411</v>
      </c>
    </row>
    <row r="990" spans="2:8" ht="15" customHeight="1" x14ac:dyDescent="0.3">
      <c r="B990" s="123" t="s">
        <v>94</v>
      </c>
      <c r="C990" s="123"/>
      <c r="D990" s="123"/>
      <c r="E990" s="123"/>
      <c r="F990" s="123"/>
      <c r="G990" s="31" t="s">
        <v>412</v>
      </c>
      <c r="H990" s="31" t="s">
        <v>4</v>
      </c>
    </row>
    <row r="991" spans="2:8" ht="15" customHeight="1" x14ac:dyDescent="0.3">
      <c r="B991" s="110" t="s">
        <v>73</v>
      </c>
      <c r="C991" s="110"/>
      <c r="D991" s="110"/>
      <c r="E991" s="110"/>
      <c r="F991" s="110"/>
      <c r="G991" s="22">
        <f>'Datos Iniciales'!$B$32</f>
        <v>0.28999999999999998</v>
      </c>
      <c r="H991" s="66">
        <f>H987*G991</f>
        <v>25386.764791208901</v>
      </c>
    </row>
    <row r="992" spans="2:8" ht="15" customHeight="1" x14ac:dyDescent="0.3">
      <c r="B992" s="110" t="s">
        <v>74</v>
      </c>
      <c r="C992" s="110"/>
      <c r="D992" s="110"/>
      <c r="E992" s="110"/>
      <c r="F992" s="110"/>
      <c r="G992" s="22">
        <f>'Datos Iniciales'!$B$33</f>
        <v>0.05</v>
      </c>
      <c r="H992" s="66">
        <f>H987*G992</f>
        <v>4377.0284122773974</v>
      </c>
    </row>
    <row r="993" spans="2:8" ht="15" customHeight="1" x14ac:dyDescent="0.3">
      <c r="B993" s="138" t="s">
        <v>413</v>
      </c>
      <c r="C993" s="138"/>
      <c r="D993" s="138"/>
      <c r="E993" s="138"/>
      <c r="F993" s="138"/>
      <c r="G993" s="60">
        <f>G991+G992</f>
        <v>0.33999999999999997</v>
      </c>
      <c r="H993" s="67">
        <f>H991+H992</f>
        <v>29763.793203486297</v>
      </c>
    </row>
    <row r="994" spans="2:8" ht="15" customHeight="1" x14ac:dyDescent="0.3"/>
    <row r="995" spans="2:8" ht="15" customHeight="1" x14ac:dyDescent="0.3">
      <c r="B995" s="139" t="s">
        <v>414</v>
      </c>
      <c r="C995" s="139"/>
      <c r="D995" s="139"/>
      <c r="E995" s="139"/>
      <c r="F995" s="139"/>
      <c r="G995" s="139"/>
      <c r="H995" s="37">
        <f>ROUND(H987+H993,0)</f>
        <v>117304</v>
      </c>
    </row>
    <row r="996" spans="2:8" ht="15" customHeight="1" x14ac:dyDescent="0.3"/>
    <row r="997" spans="2:8" ht="15" customHeight="1" x14ac:dyDescent="0.3"/>
    <row r="998" spans="2:8" ht="15.75" customHeight="1" x14ac:dyDescent="0.3">
      <c r="B998" s="123" t="s">
        <v>0</v>
      </c>
      <c r="C998" s="123"/>
      <c r="D998" s="123"/>
      <c r="E998" s="123"/>
      <c r="F998" s="123"/>
      <c r="G998" s="123"/>
      <c r="H998" s="110"/>
    </row>
    <row r="999" spans="2:8" ht="15.75" customHeight="1" x14ac:dyDescent="0.3">
      <c r="B999" s="123" t="s">
        <v>1</v>
      </c>
      <c r="C999" s="123"/>
      <c r="D999" s="123"/>
      <c r="E999" s="123"/>
      <c r="F999" s="123"/>
      <c r="G999" s="123"/>
      <c r="H999" s="110"/>
    </row>
    <row r="1000" spans="2:8" ht="24" customHeight="1" x14ac:dyDescent="0.3">
      <c r="B1000" s="136" t="str">
        <f>'Datos Iniciales'!$B$8</f>
        <v>OBRA PÚBLICA PARA LA EJECUCIÓN DE DIFERENTES MEJORAMIENTOS DE VIVIENDA EN EL CASCO URBANO Y RURAL DEL MUNICIPIO DE MACEO - ANTIOQUIA</v>
      </c>
      <c r="C1000" s="136"/>
      <c r="D1000" s="136"/>
      <c r="E1000" s="136"/>
      <c r="F1000" s="136"/>
      <c r="G1000" s="136"/>
      <c r="H1000" s="110"/>
    </row>
    <row r="1001" spans="2:8" ht="15.75" customHeight="1" x14ac:dyDescent="0.3">
      <c r="B1001" s="112" t="s">
        <v>381</v>
      </c>
      <c r="C1001" s="112"/>
      <c r="D1001" s="112"/>
      <c r="E1001" s="112"/>
      <c r="F1001" s="112"/>
      <c r="G1001" s="112"/>
      <c r="H1001" s="110"/>
    </row>
    <row r="1002" spans="2:8" ht="24" customHeight="1" x14ac:dyDescent="0.3">
      <c r="B1002" s="13" t="s">
        <v>382</v>
      </c>
      <c r="C1002" s="112" t="s">
        <v>94</v>
      </c>
      <c r="D1002" s="112"/>
      <c r="E1002" s="112"/>
      <c r="F1002" s="13" t="s">
        <v>383</v>
      </c>
      <c r="G1002" s="13" t="s">
        <v>384</v>
      </c>
      <c r="H1002" s="13" t="s">
        <v>385</v>
      </c>
    </row>
    <row r="1003" spans="2:8" ht="42" customHeight="1" x14ac:dyDescent="0.3">
      <c r="B1003" s="63" t="s">
        <v>524</v>
      </c>
      <c r="C1003" s="140" t="s">
        <v>195</v>
      </c>
      <c r="D1003" s="140"/>
      <c r="E1003" s="140"/>
      <c r="F1003" s="17" t="s">
        <v>101</v>
      </c>
      <c r="G1003" s="41">
        <f>PRESUPUESTO!$E$62+PRESUPUESTO!$E$115</f>
        <v>11.98</v>
      </c>
      <c r="H1003" s="33">
        <f>H1030</f>
        <v>113361.61532185753</v>
      </c>
    </row>
    <row r="1004" spans="2:8" ht="15" customHeight="1" x14ac:dyDescent="0.3">
      <c r="B1004" s="137" t="s">
        <v>525</v>
      </c>
      <c r="C1004" s="137"/>
      <c r="D1004" s="137"/>
      <c r="E1004" s="137"/>
      <c r="F1004" s="137"/>
      <c r="G1004" s="137"/>
      <c r="H1004" s="137"/>
    </row>
    <row r="1005" spans="2:8" ht="15" customHeight="1" x14ac:dyDescent="0.3">
      <c r="B1005" s="64" t="s">
        <v>388</v>
      </c>
    </row>
    <row r="1006" spans="2:8" ht="15" customHeight="1" x14ac:dyDescent="0.3">
      <c r="B1006" s="135" t="s">
        <v>389</v>
      </c>
      <c r="C1006" s="135"/>
      <c r="D1006" s="135"/>
      <c r="E1006" s="135"/>
      <c r="F1006" s="135"/>
      <c r="G1006" s="135"/>
      <c r="H1006" s="135"/>
    </row>
    <row r="1007" spans="2:8" ht="24" customHeight="1" x14ac:dyDescent="0.3">
      <c r="B1007" s="123" t="s">
        <v>94</v>
      </c>
      <c r="C1007" s="123"/>
      <c r="D1007" s="123"/>
      <c r="E1007" s="31" t="s">
        <v>383</v>
      </c>
      <c r="F1007" s="31" t="s">
        <v>364</v>
      </c>
      <c r="G1007" s="31" t="s">
        <v>390</v>
      </c>
      <c r="H1007" s="31" t="s">
        <v>391</v>
      </c>
    </row>
    <row r="1008" spans="2:8" ht="15" customHeight="1" x14ac:dyDescent="0.3">
      <c r="B1008" s="134" t="s">
        <v>392</v>
      </c>
      <c r="C1008" s="134"/>
      <c r="D1008" s="134"/>
      <c r="E1008" s="17" t="s">
        <v>393</v>
      </c>
      <c r="F1008" s="22">
        <f>EQUIPOS!$D$3</f>
        <v>0.05</v>
      </c>
      <c r="G1008" s="65">
        <f>H1028</f>
        <v>34458.020852054789</v>
      </c>
      <c r="H1008" s="66">
        <f>F1008*G1008</f>
        <v>1722.9010426027396</v>
      </c>
    </row>
    <row r="1009" spans="2:8" ht="15" customHeight="1" x14ac:dyDescent="0.3">
      <c r="B1009" s="134" t="s">
        <v>518</v>
      </c>
      <c r="C1009" s="134"/>
      <c r="D1009" s="134"/>
      <c r="E1009" s="17" t="s">
        <v>421</v>
      </c>
      <c r="F1009" s="65">
        <f>EQUIPOS!$D$8</f>
        <v>15000</v>
      </c>
      <c r="G1009" s="68">
        <v>0.12</v>
      </c>
      <c r="H1009" s="66">
        <f>F1009*G1009</f>
        <v>1800</v>
      </c>
    </row>
    <row r="1010" spans="2:8" ht="15" customHeight="1" x14ac:dyDescent="0.3">
      <c r="G1010" s="31" t="s">
        <v>394</v>
      </c>
      <c r="H1010" s="67">
        <f>SUM(H1008:H1009)</f>
        <v>3522.9010426027398</v>
      </c>
    </row>
    <row r="1011" spans="2:8" ht="15" customHeight="1" x14ac:dyDescent="0.3">
      <c r="B1011" s="135" t="s">
        <v>395</v>
      </c>
      <c r="C1011" s="135"/>
      <c r="D1011" s="135"/>
      <c r="E1011" s="135"/>
      <c r="F1011" s="135"/>
      <c r="G1011" s="135"/>
      <c r="H1011" s="135"/>
    </row>
    <row r="1012" spans="2:8" ht="15" customHeight="1" x14ac:dyDescent="0.3">
      <c r="B1012" s="123" t="s">
        <v>94</v>
      </c>
      <c r="C1012" s="123"/>
      <c r="D1012" s="31" t="s">
        <v>383</v>
      </c>
      <c r="E1012" s="31" t="s">
        <v>96</v>
      </c>
      <c r="F1012" s="31" t="s">
        <v>396</v>
      </c>
      <c r="G1012" s="31" t="s">
        <v>397</v>
      </c>
      <c r="H1012" s="31" t="s">
        <v>391</v>
      </c>
    </row>
    <row r="1013" spans="2:8" ht="15" customHeight="1" x14ac:dyDescent="0.3">
      <c r="B1013" s="134" t="s">
        <v>526</v>
      </c>
      <c r="C1013" s="134"/>
      <c r="D1013" s="17" t="s">
        <v>442</v>
      </c>
      <c r="E1013" s="68">
        <v>1</v>
      </c>
      <c r="F1013" s="27">
        <v>0.05</v>
      </c>
      <c r="G1013" s="32">
        <f>INSUMOS!$D$43</f>
        <v>42000</v>
      </c>
      <c r="H1013" s="66">
        <f>E1013*(1+F1013)*G1013</f>
        <v>44100</v>
      </c>
    </row>
    <row r="1014" spans="2:8" ht="15" customHeight="1" x14ac:dyDescent="0.3">
      <c r="B1014" s="134" t="s">
        <v>495</v>
      </c>
      <c r="C1014" s="134"/>
      <c r="D1014" s="17" t="s">
        <v>423</v>
      </c>
      <c r="E1014" s="68">
        <v>0.02</v>
      </c>
      <c r="F1014" s="27">
        <v>0.05</v>
      </c>
      <c r="G1014" s="32">
        <f>'CONCRETOS Y MORTEROS'!$D$6</f>
        <v>527590.16320000007</v>
      </c>
      <c r="H1014" s="66">
        <f>E1014*(1+F1014)*G1014</f>
        <v>11079.393427200002</v>
      </c>
    </row>
    <row r="1015" spans="2:8" ht="15" customHeight="1" x14ac:dyDescent="0.3">
      <c r="B1015" s="134" t="s">
        <v>527</v>
      </c>
      <c r="C1015" s="134"/>
      <c r="D1015" s="17" t="s">
        <v>464</v>
      </c>
      <c r="E1015" s="68">
        <v>0.25</v>
      </c>
      <c r="F1015" s="27">
        <v>0</v>
      </c>
      <c r="G1015" s="32">
        <f>INSUMOS!$D$47</f>
        <v>11500</v>
      </c>
      <c r="H1015" s="66">
        <f>E1015*(1+F1015)*G1015</f>
        <v>2875</v>
      </c>
    </row>
    <row r="1016" spans="2:8" ht="15" customHeight="1" x14ac:dyDescent="0.3">
      <c r="B1016" s="134" t="s">
        <v>520</v>
      </c>
      <c r="C1016" s="134"/>
      <c r="D1016" s="17" t="s">
        <v>490</v>
      </c>
      <c r="E1016" s="68">
        <v>0.2</v>
      </c>
      <c r="F1016" s="27">
        <v>0</v>
      </c>
      <c r="G1016" s="32">
        <f>INSUMOS!$D$45</f>
        <v>37500</v>
      </c>
      <c r="H1016" s="66">
        <f>E1016*(1+F1016)*G1016</f>
        <v>7500</v>
      </c>
    </row>
    <row r="1017" spans="2:8" ht="15" customHeight="1" x14ac:dyDescent="0.3">
      <c r="B1017" s="134" t="s">
        <v>521</v>
      </c>
      <c r="C1017" s="134"/>
      <c r="D1017" s="17" t="s">
        <v>464</v>
      </c>
      <c r="E1017" s="68">
        <v>0.3</v>
      </c>
      <c r="F1017" s="27">
        <v>0</v>
      </c>
      <c r="G1017" s="32">
        <f>INSUMOS!$D$46</f>
        <v>5500</v>
      </c>
      <c r="H1017" s="66">
        <f>E1017*(1+F1017)*G1017</f>
        <v>1650</v>
      </c>
    </row>
    <row r="1018" spans="2:8" ht="15" customHeight="1" x14ac:dyDescent="0.3">
      <c r="G1018" s="31" t="s">
        <v>394</v>
      </c>
      <c r="H1018" s="67">
        <f>SUM(H1013:H1017)</f>
        <v>67204.393427200004</v>
      </c>
    </row>
    <row r="1019" spans="2:8" ht="15" customHeight="1" x14ac:dyDescent="0.3">
      <c r="B1019" s="135" t="s">
        <v>404</v>
      </c>
      <c r="C1019" s="135"/>
      <c r="D1019" s="135"/>
      <c r="E1019" s="135"/>
      <c r="F1019" s="135"/>
      <c r="G1019" s="135"/>
      <c r="H1019" s="135"/>
    </row>
    <row r="1020" spans="2:8" ht="15" customHeight="1" x14ac:dyDescent="0.3">
      <c r="B1020" s="123" t="s">
        <v>94</v>
      </c>
      <c r="C1020" s="123"/>
      <c r="D1020" s="31" t="s">
        <v>383</v>
      </c>
      <c r="E1020" s="31" t="s">
        <v>96</v>
      </c>
      <c r="F1020" s="31"/>
      <c r="G1020" s="31" t="s">
        <v>364</v>
      </c>
      <c r="H1020" s="31" t="s">
        <v>391</v>
      </c>
    </row>
    <row r="1021" spans="2:8" ht="22.05" customHeight="1" x14ac:dyDescent="0.3">
      <c r="B1021" s="134" t="s">
        <v>522</v>
      </c>
      <c r="C1021" s="134"/>
      <c r="D1021" s="17" t="s">
        <v>431</v>
      </c>
      <c r="E1021" s="72">
        <f>0.025*'Datos Iniciales'!$B$31</f>
        <v>3.1625000000000001</v>
      </c>
      <c r="F1021" s="29"/>
      <c r="G1021" s="32">
        <f>TRANSPORTE!$D$4</f>
        <v>1928</v>
      </c>
      <c r="H1021" s="66">
        <f>E1021*G1021</f>
        <v>6097.3</v>
      </c>
    </row>
    <row r="1022" spans="2:8" ht="22.05" customHeight="1" x14ac:dyDescent="0.3">
      <c r="B1022" s="134" t="s">
        <v>528</v>
      </c>
      <c r="C1022" s="134"/>
      <c r="D1022" s="17" t="s">
        <v>431</v>
      </c>
      <c r="E1022" s="72">
        <f>0.07*'Datos Iniciales'!$B$26</f>
        <v>0.70000000000000007</v>
      </c>
      <c r="F1022" s="29"/>
      <c r="G1022" s="32">
        <f>TRANSPORTE!$D$5</f>
        <v>2970</v>
      </c>
      <c r="H1022" s="66">
        <f>E1022*G1022</f>
        <v>2079</v>
      </c>
    </row>
    <row r="1023" spans="2:8" ht="15" customHeight="1" x14ac:dyDescent="0.3">
      <c r="G1023" s="31" t="s">
        <v>394</v>
      </c>
      <c r="H1023" s="67">
        <f>SUM(H1021:H1022)</f>
        <v>8176.3</v>
      </c>
    </row>
    <row r="1024" spans="2:8" ht="15" customHeight="1" x14ac:dyDescent="0.3">
      <c r="B1024" s="135" t="s">
        <v>406</v>
      </c>
      <c r="C1024" s="135"/>
      <c r="D1024" s="135"/>
      <c r="E1024" s="135"/>
      <c r="F1024" s="135"/>
      <c r="G1024" s="135"/>
      <c r="H1024" s="135"/>
    </row>
    <row r="1025" spans="2:8" ht="24" customHeight="1" x14ac:dyDescent="0.3">
      <c r="B1025" s="123" t="s">
        <v>407</v>
      </c>
      <c r="C1025" s="123"/>
      <c r="D1025" s="123"/>
      <c r="E1025" s="31" t="s">
        <v>96</v>
      </c>
      <c r="F1025" s="31" t="s">
        <v>408</v>
      </c>
      <c r="G1025" s="31" t="s">
        <v>390</v>
      </c>
      <c r="H1025" s="31" t="s">
        <v>391</v>
      </c>
    </row>
    <row r="1026" spans="2:8" ht="15" customHeight="1" x14ac:dyDescent="0.3">
      <c r="B1026" s="134" t="s">
        <v>409</v>
      </c>
      <c r="C1026" s="134"/>
      <c r="D1026" s="134"/>
      <c r="E1026" s="69">
        <v>1</v>
      </c>
      <c r="F1026" s="32">
        <f>'MANO DE OBRA'!$H$27</f>
        <v>226162.13017808215</v>
      </c>
      <c r="G1026" s="68">
        <v>0.12</v>
      </c>
      <c r="H1026" s="66">
        <f>E1026*F1026*G1026</f>
        <v>27139.455621369856</v>
      </c>
    </row>
    <row r="1027" spans="2:8" ht="15" customHeight="1" x14ac:dyDescent="0.3">
      <c r="B1027" s="134" t="s">
        <v>410</v>
      </c>
      <c r="C1027" s="134"/>
      <c r="D1027" s="134"/>
      <c r="E1027" s="69">
        <v>0.5</v>
      </c>
      <c r="F1027" s="32">
        <f>'MANO DE OBRA'!$H$23</f>
        <v>121976.08717808221</v>
      </c>
      <c r="G1027" s="68">
        <v>0.12</v>
      </c>
      <c r="H1027" s="66">
        <f>E1027*F1027*G1027</f>
        <v>7318.5652306849324</v>
      </c>
    </row>
    <row r="1028" spans="2:8" ht="15" customHeight="1" x14ac:dyDescent="0.3">
      <c r="G1028" s="31" t="s">
        <v>394</v>
      </c>
      <c r="H1028" s="67">
        <f>SUM(H1026:H1027)</f>
        <v>34458.020852054789</v>
      </c>
    </row>
    <row r="1029" spans="2:8" ht="15" customHeight="1" x14ac:dyDescent="0.3"/>
    <row r="1030" spans="2:8" ht="15" customHeight="1" x14ac:dyDescent="0.3">
      <c r="B1030" s="115" t="s">
        <v>295</v>
      </c>
      <c r="C1030" s="115"/>
      <c r="D1030" s="115"/>
      <c r="E1030" s="115"/>
      <c r="F1030" s="115"/>
      <c r="G1030" s="115"/>
      <c r="H1030" s="70">
        <f>H1010+H1018+H1023+H1028</f>
        <v>113361.61532185753</v>
      </c>
    </row>
    <row r="1031" spans="2:8" ht="15" customHeight="1" x14ac:dyDescent="0.3"/>
    <row r="1032" spans="2:8" ht="15" customHeight="1" x14ac:dyDescent="0.3">
      <c r="B1032" s="71" t="s">
        <v>411</v>
      </c>
    </row>
    <row r="1033" spans="2:8" ht="15" customHeight="1" x14ac:dyDescent="0.3">
      <c r="B1033" s="123" t="s">
        <v>94</v>
      </c>
      <c r="C1033" s="123"/>
      <c r="D1033" s="123"/>
      <c r="E1033" s="123"/>
      <c r="F1033" s="123"/>
      <c r="G1033" s="31" t="s">
        <v>412</v>
      </c>
      <c r="H1033" s="31" t="s">
        <v>4</v>
      </c>
    </row>
    <row r="1034" spans="2:8" ht="15" customHeight="1" x14ac:dyDescent="0.3">
      <c r="B1034" s="110" t="s">
        <v>73</v>
      </c>
      <c r="C1034" s="110"/>
      <c r="D1034" s="110"/>
      <c r="E1034" s="110"/>
      <c r="F1034" s="110"/>
      <c r="G1034" s="22">
        <f>'Datos Iniciales'!$B$32</f>
        <v>0.28999999999999998</v>
      </c>
      <c r="H1034" s="66">
        <f>H1030*G1034</f>
        <v>32874.868443338681</v>
      </c>
    </row>
    <row r="1035" spans="2:8" ht="15" customHeight="1" x14ac:dyDescent="0.3">
      <c r="B1035" s="110" t="s">
        <v>74</v>
      </c>
      <c r="C1035" s="110"/>
      <c r="D1035" s="110"/>
      <c r="E1035" s="110"/>
      <c r="F1035" s="110"/>
      <c r="G1035" s="22">
        <f>'Datos Iniciales'!$B$33</f>
        <v>0.05</v>
      </c>
      <c r="H1035" s="66">
        <f>H1030*G1035</f>
        <v>5668.0807660928767</v>
      </c>
    </row>
    <row r="1036" spans="2:8" ht="15" customHeight="1" x14ac:dyDescent="0.3">
      <c r="B1036" s="138" t="s">
        <v>413</v>
      </c>
      <c r="C1036" s="138"/>
      <c r="D1036" s="138"/>
      <c r="E1036" s="138"/>
      <c r="F1036" s="138"/>
      <c r="G1036" s="60">
        <f>G1034+G1035</f>
        <v>0.33999999999999997</v>
      </c>
      <c r="H1036" s="67">
        <f>H1034+H1035</f>
        <v>38542.949209431557</v>
      </c>
    </row>
    <row r="1037" spans="2:8" ht="15" customHeight="1" x14ac:dyDescent="0.3"/>
    <row r="1038" spans="2:8" ht="15" customHeight="1" x14ac:dyDescent="0.3">
      <c r="B1038" s="139" t="s">
        <v>414</v>
      </c>
      <c r="C1038" s="139"/>
      <c r="D1038" s="139"/>
      <c r="E1038" s="139"/>
      <c r="F1038" s="139"/>
      <c r="G1038" s="139"/>
      <c r="H1038" s="37">
        <f>ROUND(H1030+H1036,0)</f>
        <v>151905</v>
      </c>
    </row>
    <row r="1039" spans="2:8" ht="15" customHeight="1" x14ac:dyDescent="0.3"/>
    <row r="1040" spans="2:8" ht="15" customHeight="1" x14ac:dyDescent="0.3"/>
    <row r="1041" spans="2:8" ht="15.75" customHeight="1" x14ac:dyDescent="0.3">
      <c r="B1041" s="123" t="s">
        <v>0</v>
      </c>
      <c r="C1041" s="123"/>
      <c r="D1041" s="123"/>
      <c r="E1041" s="123"/>
      <c r="F1041" s="123"/>
      <c r="G1041" s="123"/>
      <c r="H1041" s="110"/>
    </row>
    <row r="1042" spans="2:8" ht="15.75" customHeight="1" x14ac:dyDescent="0.3">
      <c r="B1042" s="123" t="s">
        <v>1</v>
      </c>
      <c r="C1042" s="123"/>
      <c r="D1042" s="123"/>
      <c r="E1042" s="123"/>
      <c r="F1042" s="123"/>
      <c r="G1042" s="123"/>
      <c r="H1042" s="110"/>
    </row>
    <row r="1043" spans="2:8" ht="24" customHeight="1" x14ac:dyDescent="0.3">
      <c r="B1043" s="136" t="str">
        <f>'Datos Iniciales'!$B$8</f>
        <v>OBRA PÚBLICA PARA LA EJECUCIÓN DE DIFERENTES MEJORAMIENTOS DE VIVIENDA EN EL CASCO URBANO Y RURAL DEL MUNICIPIO DE MACEO - ANTIOQUIA</v>
      </c>
      <c r="C1043" s="136"/>
      <c r="D1043" s="136"/>
      <c r="E1043" s="136"/>
      <c r="F1043" s="136"/>
      <c r="G1043" s="136"/>
      <c r="H1043" s="110"/>
    </row>
    <row r="1044" spans="2:8" ht="15.75" customHeight="1" x14ac:dyDescent="0.3">
      <c r="B1044" s="112" t="s">
        <v>381</v>
      </c>
      <c r="C1044" s="112"/>
      <c r="D1044" s="112"/>
      <c r="E1044" s="112"/>
      <c r="F1044" s="112"/>
      <c r="G1044" s="112"/>
      <c r="H1044" s="110"/>
    </row>
    <row r="1045" spans="2:8" ht="24" customHeight="1" x14ac:dyDescent="0.3">
      <c r="B1045" s="13" t="s">
        <v>382</v>
      </c>
      <c r="C1045" s="112" t="s">
        <v>94</v>
      </c>
      <c r="D1045" s="112"/>
      <c r="E1045" s="112"/>
      <c r="F1045" s="13" t="s">
        <v>383</v>
      </c>
      <c r="G1045" s="13" t="s">
        <v>384</v>
      </c>
      <c r="H1045" s="13" t="s">
        <v>385</v>
      </c>
    </row>
    <row r="1046" spans="2:8" ht="31.5" customHeight="1" x14ac:dyDescent="0.3">
      <c r="B1046" s="63" t="s">
        <v>529</v>
      </c>
      <c r="C1046" s="140" t="s">
        <v>197</v>
      </c>
      <c r="D1046" s="140"/>
      <c r="E1046" s="140"/>
      <c r="F1046" s="17" t="s">
        <v>101</v>
      </c>
      <c r="G1046" s="41">
        <f>PRESUPUESTO!$E$63+PRESUPUESTO!$E$116</f>
        <v>29.119999999999997</v>
      </c>
      <c r="H1046" s="33">
        <f>H1072</f>
        <v>93254.945894657518</v>
      </c>
    </row>
    <row r="1047" spans="2:8" ht="15" customHeight="1" x14ac:dyDescent="0.3">
      <c r="B1047" s="137" t="s">
        <v>530</v>
      </c>
      <c r="C1047" s="137"/>
      <c r="D1047" s="137"/>
      <c r="E1047" s="137"/>
      <c r="F1047" s="137"/>
      <c r="G1047" s="137"/>
      <c r="H1047" s="137"/>
    </row>
    <row r="1048" spans="2:8" ht="15" customHeight="1" x14ac:dyDescent="0.3">
      <c r="B1048" s="64" t="s">
        <v>388</v>
      </c>
    </row>
    <row r="1049" spans="2:8" ht="15" customHeight="1" x14ac:dyDescent="0.3">
      <c r="B1049" s="135" t="s">
        <v>389</v>
      </c>
      <c r="C1049" s="135"/>
      <c r="D1049" s="135"/>
      <c r="E1049" s="135"/>
      <c r="F1049" s="135"/>
      <c r="G1049" s="135"/>
      <c r="H1049" s="135"/>
    </row>
    <row r="1050" spans="2:8" ht="24" customHeight="1" x14ac:dyDescent="0.3">
      <c r="B1050" s="123" t="s">
        <v>94</v>
      </c>
      <c r="C1050" s="123"/>
      <c r="D1050" s="123"/>
      <c r="E1050" s="31" t="s">
        <v>383</v>
      </c>
      <c r="F1050" s="31" t="s">
        <v>364</v>
      </c>
      <c r="G1050" s="31" t="s">
        <v>390</v>
      </c>
      <c r="H1050" s="31" t="s">
        <v>391</v>
      </c>
    </row>
    <row r="1051" spans="2:8" ht="15" customHeight="1" x14ac:dyDescent="0.3">
      <c r="B1051" s="134" t="s">
        <v>392</v>
      </c>
      <c r="C1051" s="134"/>
      <c r="D1051" s="134"/>
      <c r="E1051" s="17" t="s">
        <v>393</v>
      </c>
      <c r="F1051" s="22">
        <f>EQUIPOS!$D$3</f>
        <v>0.05</v>
      </c>
      <c r="G1051" s="65">
        <f>H1070</f>
        <v>34458.020852054789</v>
      </c>
      <c r="H1051" s="66">
        <f>F1051*G1051</f>
        <v>1722.9010426027396</v>
      </c>
    </row>
    <row r="1052" spans="2:8" ht="15" customHeight="1" x14ac:dyDescent="0.3">
      <c r="B1052" s="134" t="s">
        <v>518</v>
      </c>
      <c r="C1052" s="134"/>
      <c r="D1052" s="134"/>
      <c r="E1052" s="17" t="s">
        <v>421</v>
      </c>
      <c r="F1052" s="65">
        <f>EQUIPOS!$D$8</f>
        <v>15000</v>
      </c>
      <c r="G1052" s="68">
        <v>0.12</v>
      </c>
      <c r="H1052" s="66">
        <f>F1052*G1052</f>
        <v>1800</v>
      </c>
    </row>
    <row r="1053" spans="2:8" ht="15" customHeight="1" x14ac:dyDescent="0.3">
      <c r="G1053" s="31" t="s">
        <v>394</v>
      </c>
      <c r="H1053" s="67">
        <f>SUM(H1051:H1052)</f>
        <v>3522.9010426027398</v>
      </c>
    </row>
    <row r="1054" spans="2:8" ht="15" customHeight="1" x14ac:dyDescent="0.3">
      <c r="B1054" s="135" t="s">
        <v>395</v>
      </c>
      <c r="C1054" s="135"/>
      <c r="D1054" s="135"/>
      <c r="E1054" s="135"/>
      <c r="F1054" s="135"/>
      <c r="G1054" s="135"/>
      <c r="H1054" s="135"/>
    </row>
    <row r="1055" spans="2:8" ht="15" customHeight="1" x14ac:dyDescent="0.3">
      <c r="B1055" s="123" t="s">
        <v>94</v>
      </c>
      <c r="C1055" s="123"/>
      <c r="D1055" s="31" t="s">
        <v>383</v>
      </c>
      <c r="E1055" s="31" t="s">
        <v>96</v>
      </c>
      <c r="F1055" s="31" t="s">
        <v>396</v>
      </c>
      <c r="G1055" s="31" t="s">
        <v>397</v>
      </c>
      <c r="H1055" s="31" t="s">
        <v>391</v>
      </c>
    </row>
    <row r="1056" spans="2:8" ht="15" customHeight="1" x14ac:dyDescent="0.3">
      <c r="B1056" s="134" t="s">
        <v>531</v>
      </c>
      <c r="C1056" s="134"/>
      <c r="D1056" s="17" t="s">
        <v>442</v>
      </c>
      <c r="E1056" s="68">
        <v>1</v>
      </c>
      <c r="F1056" s="27">
        <v>0.08</v>
      </c>
      <c r="G1056" s="32">
        <f>INSUMOS!$D$44</f>
        <v>36000</v>
      </c>
      <c r="H1056" s="66">
        <f>E1056*(1+F1056)*G1056</f>
        <v>38880</v>
      </c>
    </row>
    <row r="1057" spans="2:8" ht="15" customHeight="1" x14ac:dyDescent="0.3">
      <c r="B1057" s="134" t="s">
        <v>520</v>
      </c>
      <c r="C1057" s="134"/>
      <c r="D1057" s="17" t="s">
        <v>490</v>
      </c>
      <c r="E1057" s="68">
        <v>0.2</v>
      </c>
      <c r="F1057" s="27">
        <v>0</v>
      </c>
      <c r="G1057" s="32">
        <f>INSUMOS!$D$45</f>
        <v>37500</v>
      </c>
      <c r="H1057" s="66">
        <f>E1057*(1+F1057)*G1057</f>
        <v>7500</v>
      </c>
    </row>
    <row r="1058" spans="2:8" ht="15" customHeight="1" x14ac:dyDescent="0.3">
      <c r="B1058" s="134" t="s">
        <v>521</v>
      </c>
      <c r="C1058" s="134"/>
      <c r="D1058" s="17" t="s">
        <v>464</v>
      </c>
      <c r="E1058" s="68">
        <v>0.25</v>
      </c>
      <c r="F1058" s="27">
        <v>0</v>
      </c>
      <c r="G1058" s="32">
        <f>INSUMOS!$D$46</f>
        <v>5500</v>
      </c>
      <c r="H1058" s="66">
        <f>E1058*(1+F1058)*G1058</f>
        <v>1375</v>
      </c>
    </row>
    <row r="1059" spans="2:8" ht="15" customHeight="1" x14ac:dyDescent="0.3">
      <c r="B1059" s="134" t="s">
        <v>532</v>
      </c>
      <c r="C1059" s="134"/>
      <c r="D1059" s="17" t="s">
        <v>488</v>
      </c>
      <c r="E1059" s="68">
        <v>0.5</v>
      </c>
      <c r="F1059" s="27">
        <v>0</v>
      </c>
      <c r="G1059" s="32">
        <f>INSUMOS!$D$48</f>
        <v>3000</v>
      </c>
      <c r="H1059" s="66">
        <f>E1059*(1+F1059)*G1059</f>
        <v>1500</v>
      </c>
    </row>
    <row r="1060" spans="2:8" ht="15" customHeight="1" x14ac:dyDescent="0.3">
      <c r="G1060" s="31" t="s">
        <v>394</v>
      </c>
      <c r="H1060" s="67">
        <f>SUM(H1056:H1059)</f>
        <v>49255</v>
      </c>
    </row>
    <row r="1061" spans="2:8" ht="15" customHeight="1" x14ac:dyDescent="0.3">
      <c r="B1061" s="135" t="s">
        <v>404</v>
      </c>
      <c r="C1061" s="135"/>
      <c r="D1061" s="135"/>
      <c r="E1061" s="135"/>
      <c r="F1061" s="135"/>
      <c r="G1061" s="135"/>
      <c r="H1061" s="135"/>
    </row>
    <row r="1062" spans="2:8" ht="15" customHeight="1" x14ac:dyDescent="0.3">
      <c r="B1062" s="123" t="s">
        <v>94</v>
      </c>
      <c r="C1062" s="123"/>
      <c r="D1062" s="31" t="s">
        <v>383</v>
      </c>
      <c r="E1062" s="31" t="s">
        <v>96</v>
      </c>
      <c r="F1062" s="31"/>
      <c r="G1062" s="31" t="s">
        <v>364</v>
      </c>
      <c r="H1062" s="31" t="s">
        <v>391</v>
      </c>
    </row>
    <row r="1063" spans="2:8" ht="22.05" customHeight="1" x14ac:dyDescent="0.3">
      <c r="B1063" s="134" t="s">
        <v>533</v>
      </c>
      <c r="C1063" s="134"/>
      <c r="D1063" s="17" t="s">
        <v>431</v>
      </c>
      <c r="E1063" s="72">
        <f>0.022*'Datos Iniciales'!$B$31</f>
        <v>2.7829999999999999</v>
      </c>
      <c r="F1063" s="29"/>
      <c r="G1063" s="32">
        <f>TRANSPORTE!$D$4</f>
        <v>1928</v>
      </c>
      <c r="H1063" s="66">
        <f>E1063*G1063</f>
        <v>5365.6239999999998</v>
      </c>
    </row>
    <row r="1064" spans="2:8" ht="22.05" customHeight="1" x14ac:dyDescent="0.3">
      <c r="B1064" s="134" t="s">
        <v>534</v>
      </c>
      <c r="C1064" s="134"/>
      <c r="D1064" s="17" t="s">
        <v>431</v>
      </c>
      <c r="E1064" s="72">
        <f>0.022*'Datos Iniciales'!$B$26</f>
        <v>0.21999999999999997</v>
      </c>
      <c r="F1064" s="29"/>
      <c r="G1064" s="32">
        <f>TRANSPORTE!$D$5</f>
        <v>2970</v>
      </c>
      <c r="H1064" s="66">
        <f>E1064*G1064</f>
        <v>653.4</v>
      </c>
    </row>
    <row r="1065" spans="2:8" ht="15" customHeight="1" x14ac:dyDescent="0.3">
      <c r="G1065" s="31" t="s">
        <v>394</v>
      </c>
      <c r="H1065" s="67">
        <f>SUM(H1063:H1064)</f>
        <v>6019.0239999999994</v>
      </c>
    </row>
    <row r="1066" spans="2:8" ht="15" customHeight="1" x14ac:dyDescent="0.3">
      <c r="B1066" s="135" t="s">
        <v>406</v>
      </c>
      <c r="C1066" s="135"/>
      <c r="D1066" s="135"/>
      <c r="E1066" s="135"/>
      <c r="F1066" s="135"/>
      <c r="G1066" s="135"/>
      <c r="H1066" s="135"/>
    </row>
    <row r="1067" spans="2:8" ht="24" customHeight="1" x14ac:dyDescent="0.3">
      <c r="B1067" s="123" t="s">
        <v>407</v>
      </c>
      <c r="C1067" s="123"/>
      <c r="D1067" s="123"/>
      <c r="E1067" s="31" t="s">
        <v>96</v>
      </c>
      <c r="F1067" s="31" t="s">
        <v>408</v>
      </c>
      <c r="G1067" s="31" t="s">
        <v>390</v>
      </c>
      <c r="H1067" s="31" t="s">
        <v>391</v>
      </c>
    </row>
    <row r="1068" spans="2:8" ht="15" customHeight="1" x14ac:dyDescent="0.3">
      <c r="B1068" s="134" t="s">
        <v>409</v>
      </c>
      <c r="C1068" s="134"/>
      <c r="D1068" s="134"/>
      <c r="E1068" s="69">
        <v>1</v>
      </c>
      <c r="F1068" s="32">
        <f>'MANO DE OBRA'!$H$27</f>
        <v>226162.13017808215</v>
      </c>
      <c r="G1068" s="68">
        <v>0.12</v>
      </c>
      <c r="H1068" s="66">
        <f>E1068*F1068*G1068</f>
        <v>27139.455621369856</v>
      </c>
    </row>
    <row r="1069" spans="2:8" ht="15" customHeight="1" x14ac:dyDescent="0.3">
      <c r="B1069" s="134" t="s">
        <v>410</v>
      </c>
      <c r="C1069" s="134"/>
      <c r="D1069" s="134"/>
      <c r="E1069" s="69">
        <v>0.5</v>
      </c>
      <c r="F1069" s="32">
        <f>'MANO DE OBRA'!$H$23</f>
        <v>121976.08717808221</v>
      </c>
      <c r="G1069" s="68">
        <v>0.12</v>
      </c>
      <c r="H1069" s="66">
        <f>E1069*F1069*G1069</f>
        <v>7318.5652306849324</v>
      </c>
    </row>
    <row r="1070" spans="2:8" ht="15" customHeight="1" x14ac:dyDescent="0.3">
      <c r="G1070" s="31" t="s">
        <v>394</v>
      </c>
      <c r="H1070" s="67">
        <f>SUM(H1068:H1069)</f>
        <v>34458.020852054789</v>
      </c>
    </row>
    <row r="1071" spans="2:8" ht="15" customHeight="1" x14ac:dyDescent="0.3"/>
    <row r="1072" spans="2:8" ht="15" customHeight="1" x14ac:dyDescent="0.3">
      <c r="B1072" s="115" t="s">
        <v>295</v>
      </c>
      <c r="C1072" s="115"/>
      <c r="D1072" s="115"/>
      <c r="E1072" s="115"/>
      <c r="F1072" s="115"/>
      <c r="G1072" s="115"/>
      <c r="H1072" s="70">
        <f>H1053+H1060+H1065+H1070</f>
        <v>93254.945894657518</v>
      </c>
    </row>
    <row r="1073" spans="2:8" ht="15" customHeight="1" x14ac:dyDescent="0.3"/>
    <row r="1074" spans="2:8" ht="15" customHeight="1" x14ac:dyDescent="0.3">
      <c r="B1074" s="71" t="s">
        <v>411</v>
      </c>
    </row>
    <row r="1075" spans="2:8" ht="15" customHeight="1" x14ac:dyDescent="0.3">
      <c r="B1075" s="123" t="s">
        <v>94</v>
      </c>
      <c r="C1075" s="123"/>
      <c r="D1075" s="123"/>
      <c r="E1075" s="123"/>
      <c r="F1075" s="123"/>
      <c r="G1075" s="31" t="s">
        <v>412</v>
      </c>
      <c r="H1075" s="31" t="s">
        <v>4</v>
      </c>
    </row>
    <row r="1076" spans="2:8" ht="15" customHeight="1" x14ac:dyDescent="0.3">
      <c r="B1076" s="110" t="s">
        <v>73</v>
      </c>
      <c r="C1076" s="110"/>
      <c r="D1076" s="110"/>
      <c r="E1076" s="110"/>
      <c r="F1076" s="110"/>
      <c r="G1076" s="22">
        <f>'Datos Iniciales'!$B$32</f>
        <v>0.28999999999999998</v>
      </c>
      <c r="H1076" s="66">
        <f>H1072*G1076</f>
        <v>27043.934309450677</v>
      </c>
    </row>
    <row r="1077" spans="2:8" ht="15" customHeight="1" x14ac:dyDescent="0.3">
      <c r="B1077" s="110" t="s">
        <v>74</v>
      </c>
      <c r="C1077" s="110"/>
      <c r="D1077" s="110"/>
      <c r="E1077" s="110"/>
      <c r="F1077" s="110"/>
      <c r="G1077" s="22">
        <f>'Datos Iniciales'!$B$33</f>
        <v>0.05</v>
      </c>
      <c r="H1077" s="66">
        <f>H1072*G1077</f>
        <v>4662.7472947328761</v>
      </c>
    </row>
    <row r="1078" spans="2:8" ht="15" customHeight="1" x14ac:dyDescent="0.3">
      <c r="B1078" s="138" t="s">
        <v>413</v>
      </c>
      <c r="C1078" s="138"/>
      <c r="D1078" s="138"/>
      <c r="E1078" s="138"/>
      <c r="F1078" s="138"/>
      <c r="G1078" s="60">
        <f>G1076+G1077</f>
        <v>0.33999999999999997</v>
      </c>
      <c r="H1078" s="67">
        <f>H1076+H1077</f>
        <v>31706.681604183552</v>
      </c>
    </row>
    <row r="1079" spans="2:8" ht="15" customHeight="1" x14ac:dyDescent="0.3"/>
    <row r="1080" spans="2:8" ht="15" customHeight="1" x14ac:dyDescent="0.3">
      <c r="B1080" s="139" t="s">
        <v>414</v>
      </c>
      <c r="C1080" s="139"/>
      <c r="D1080" s="139"/>
      <c r="E1080" s="139"/>
      <c r="F1080" s="139"/>
      <c r="G1080" s="139"/>
      <c r="H1080" s="37">
        <f>ROUND(H1072+H1078,0)</f>
        <v>124962</v>
      </c>
    </row>
    <row r="1081" spans="2:8" ht="15" customHeight="1" x14ac:dyDescent="0.3"/>
    <row r="1082" spans="2:8" ht="15" customHeight="1" x14ac:dyDescent="0.3"/>
    <row r="1083" spans="2:8" ht="15.75" customHeight="1" x14ac:dyDescent="0.3">
      <c r="B1083" s="123" t="s">
        <v>0</v>
      </c>
      <c r="C1083" s="123"/>
      <c r="D1083" s="123"/>
      <c r="E1083" s="123"/>
      <c r="F1083" s="123"/>
      <c r="G1083" s="123"/>
      <c r="H1083" s="110"/>
    </row>
    <row r="1084" spans="2:8" ht="15.75" customHeight="1" x14ac:dyDescent="0.3">
      <c r="B1084" s="123" t="s">
        <v>1</v>
      </c>
      <c r="C1084" s="123"/>
      <c r="D1084" s="123"/>
      <c r="E1084" s="123"/>
      <c r="F1084" s="123"/>
      <c r="G1084" s="123"/>
      <c r="H1084" s="110"/>
    </row>
    <row r="1085" spans="2:8" ht="24" customHeight="1" x14ac:dyDescent="0.3">
      <c r="B1085" s="136" t="str">
        <f>'Datos Iniciales'!$B$8</f>
        <v>OBRA PÚBLICA PARA LA EJECUCIÓN DE DIFERENTES MEJORAMIENTOS DE VIVIENDA EN EL CASCO URBANO Y RURAL DEL MUNICIPIO DE MACEO - ANTIOQUIA</v>
      </c>
      <c r="C1085" s="136"/>
      <c r="D1085" s="136"/>
      <c r="E1085" s="136"/>
      <c r="F1085" s="136"/>
      <c r="G1085" s="136"/>
      <c r="H1085" s="110"/>
    </row>
    <row r="1086" spans="2:8" ht="15.75" customHeight="1" x14ac:dyDescent="0.3">
      <c r="B1086" s="112" t="s">
        <v>381</v>
      </c>
      <c r="C1086" s="112"/>
      <c r="D1086" s="112"/>
      <c r="E1086" s="112"/>
      <c r="F1086" s="112"/>
      <c r="G1086" s="112"/>
      <c r="H1086" s="110"/>
    </row>
    <row r="1087" spans="2:8" ht="24" customHeight="1" x14ac:dyDescent="0.3">
      <c r="B1087" s="13" t="s">
        <v>382</v>
      </c>
      <c r="C1087" s="112" t="s">
        <v>94</v>
      </c>
      <c r="D1087" s="112"/>
      <c r="E1087" s="112"/>
      <c r="F1087" s="13" t="s">
        <v>383</v>
      </c>
      <c r="G1087" s="13" t="s">
        <v>384</v>
      </c>
      <c r="H1087" s="13" t="s">
        <v>385</v>
      </c>
    </row>
    <row r="1088" spans="2:8" ht="31.5" customHeight="1" x14ac:dyDescent="0.3">
      <c r="B1088" s="63" t="s">
        <v>535</v>
      </c>
      <c r="C1088" s="140" t="s">
        <v>136</v>
      </c>
      <c r="D1088" s="140"/>
      <c r="E1088" s="140"/>
      <c r="F1088" s="17" t="s">
        <v>137</v>
      </c>
      <c r="G1088" s="41">
        <f>PRESUPUESTO!$E$23+PRESUPUESTO!$E$111</f>
        <v>13</v>
      </c>
      <c r="H1088" s="33">
        <f>H1111</f>
        <v>34709.643041660958</v>
      </c>
    </row>
    <row r="1089" spans="2:8" ht="15" customHeight="1" x14ac:dyDescent="0.3">
      <c r="B1089" s="137" t="s">
        <v>536</v>
      </c>
      <c r="C1089" s="137"/>
      <c r="D1089" s="137"/>
      <c r="E1089" s="137"/>
      <c r="F1089" s="137"/>
      <c r="G1089" s="137"/>
      <c r="H1089" s="137"/>
    </row>
    <row r="1090" spans="2:8" ht="15" customHeight="1" x14ac:dyDescent="0.3">
      <c r="B1090" s="64" t="s">
        <v>388</v>
      </c>
    </row>
    <row r="1091" spans="2:8" ht="15" customHeight="1" x14ac:dyDescent="0.3">
      <c r="B1091" s="135" t="s">
        <v>389</v>
      </c>
      <c r="C1091" s="135"/>
      <c r="D1091" s="135"/>
      <c r="E1091" s="135"/>
      <c r="F1091" s="135"/>
      <c r="G1091" s="135"/>
      <c r="H1091" s="135"/>
    </row>
    <row r="1092" spans="2:8" ht="24" customHeight="1" x14ac:dyDescent="0.3">
      <c r="B1092" s="123" t="s">
        <v>94</v>
      </c>
      <c r="C1092" s="123"/>
      <c r="D1092" s="123"/>
      <c r="E1092" s="31" t="s">
        <v>383</v>
      </c>
      <c r="F1092" s="31" t="s">
        <v>364</v>
      </c>
      <c r="G1092" s="31" t="s">
        <v>390</v>
      </c>
      <c r="H1092" s="31" t="s">
        <v>391</v>
      </c>
    </row>
    <row r="1093" spans="2:8" ht="15" customHeight="1" x14ac:dyDescent="0.3">
      <c r="B1093" s="134" t="s">
        <v>392</v>
      </c>
      <c r="C1093" s="134"/>
      <c r="D1093" s="134"/>
      <c r="E1093" s="17" t="s">
        <v>393</v>
      </c>
      <c r="F1093" s="22">
        <f>EQUIPOS!$D$3</f>
        <v>0.05</v>
      </c>
      <c r="G1093" s="65">
        <f>H1109</f>
        <v>19342.517182534248</v>
      </c>
      <c r="H1093" s="66">
        <f>F1093*G1093</f>
        <v>967.12585912671238</v>
      </c>
    </row>
    <row r="1094" spans="2:8" ht="15" customHeight="1" x14ac:dyDescent="0.3">
      <c r="G1094" s="31" t="s">
        <v>394</v>
      </c>
      <c r="H1094" s="67">
        <f>SUM(H1093:H1093)</f>
        <v>967.12585912671238</v>
      </c>
    </row>
    <row r="1095" spans="2:8" ht="15" customHeight="1" x14ac:dyDescent="0.3">
      <c r="B1095" s="135" t="s">
        <v>395</v>
      </c>
      <c r="C1095" s="135"/>
      <c r="D1095" s="135"/>
      <c r="E1095" s="135"/>
      <c r="F1095" s="135"/>
      <c r="G1095" s="135"/>
      <c r="H1095" s="135"/>
    </row>
    <row r="1096" spans="2:8" ht="15" customHeight="1" x14ac:dyDescent="0.3">
      <c r="B1096" s="123" t="s">
        <v>94</v>
      </c>
      <c r="C1096" s="123"/>
      <c r="D1096" s="31" t="s">
        <v>383</v>
      </c>
      <c r="E1096" s="31" t="s">
        <v>96</v>
      </c>
      <c r="F1096" s="31" t="s">
        <v>396</v>
      </c>
      <c r="G1096" s="31" t="s">
        <v>397</v>
      </c>
      <c r="H1096" s="31" t="s">
        <v>391</v>
      </c>
    </row>
    <row r="1097" spans="2:8" ht="15" customHeight="1" x14ac:dyDescent="0.3">
      <c r="B1097" s="134" t="s">
        <v>537</v>
      </c>
      <c r="C1097" s="134"/>
      <c r="D1097" s="17" t="s">
        <v>399</v>
      </c>
      <c r="E1097" s="68">
        <v>1</v>
      </c>
      <c r="F1097" s="27">
        <v>0</v>
      </c>
      <c r="G1097" s="32">
        <f>INSUMOS!$D$77</f>
        <v>11000</v>
      </c>
      <c r="H1097" s="66">
        <f>E1097*(1+F1097)*G1097</f>
        <v>11000</v>
      </c>
    </row>
    <row r="1098" spans="2:8" ht="15" customHeight="1" x14ac:dyDescent="0.3">
      <c r="B1098" s="134" t="s">
        <v>538</v>
      </c>
      <c r="C1098" s="134"/>
      <c r="D1098" s="17" t="s">
        <v>399</v>
      </c>
      <c r="E1098" s="68">
        <v>1</v>
      </c>
      <c r="F1098" s="27">
        <v>0</v>
      </c>
      <c r="G1098" s="32">
        <f>INSUMOS!$D$75</f>
        <v>2500</v>
      </c>
      <c r="H1098" s="66">
        <f>E1098*(1+F1098)*G1098</f>
        <v>2500</v>
      </c>
    </row>
    <row r="1099" spans="2:8" ht="15" customHeight="1" x14ac:dyDescent="0.3">
      <c r="B1099" s="134" t="s">
        <v>539</v>
      </c>
      <c r="C1099" s="134"/>
      <c r="D1099" s="17" t="s">
        <v>399</v>
      </c>
      <c r="E1099" s="68">
        <v>0.05</v>
      </c>
      <c r="F1099" s="27">
        <v>0</v>
      </c>
      <c r="G1099" s="32">
        <f>INSUMOS!$D$83</f>
        <v>18000</v>
      </c>
      <c r="H1099" s="66">
        <f>E1099*(1+F1099)*G1099</f>
        <v>900</v>
      </c>
    </row>
    <row r="1100" spans="2:8" ht="15" customHeight="1" x14ac:dyDescent="0.3">
      <c r="G1100" s="31" t="s">
        <v>394</v>
      </c>
      <c r="H1100" s="67">
        <f>SUM(H1097:H1099)</f>
        <v>14400</v>
      </c>
    </row>
    <row r="1101" spans="2:8" ht="15" customHeight="1" x14ac:dyDescent="0.3">
      <c r="B1101" s="135" t="s">
        <v>404</v>
      </c>
      <c r="C1101" s="135"/>
      <c r="D1101" s="135"/>
      <c r="E1101" s="135"/>
      <c r="F1101" s="135"/>
      <c r="G1101" s="135"/>
      <c r="H1101" s="135"/>
    </row>
    <row r="1102" spans="2:8" ht="15" customHeight="1" x14ac:dyDescent="0.3">
      <c r="B1102" s="123" t="s">
        <v>94</v>
      </c>
      <c r="C1102" s="123"/>
      <c r="D1102" s="31" t="s">
        <v>383</v>
      </c>
      <c r="E1102" s="31" t="s">
        <v>96</v>
      </c>
      <c r="F1102" s="31"/>
      <c r="G1102" s="31" t="s">
        <v>364</v>
      </c>
      <c r="H1102" s="31" t="s">
        <v>391</v>
      </c>
    </row>
    <row r="1103" spans="2:8" ht="15" customHeight="1" x14ac:dyDescent="0.3">
      <c r="B1103" s="137" t="s">
        <v>405</v>
      </c>
      <c r="C1103" s="137"/>
      <c r="D1103" s="29"/>
      <c r="E1103" s="29"/>
      <c r="F1103" s="29"/>
      <c r="G1103" s="29"/>
      <c r="H1103" s="66">
        <v>0</v>
      </c>
    </row>
    <row r="1104" spans="2:8" ht="15" customHeight="1" x14ac:dyDescent="0.3">
      <c r="G1104" s="31" t="s">
        <v>394</v>
      </c>
      <c r="H1104" s="67">
        <f>SUM(H1103:H1103)</f>
        <v>0</v>
      </c>
    </row>
    <row r="1105" spans="2:8" ht="15" customHeight="1" x14ac:dyDescent="0.3">
      <c r="B1105" s="135" t="s">
        <v>406</v>
      </c>
      <c r="C1105" s="135"/>
      <c r="D1105" s="135"/>
      <c r="E1105" s="135"/>
      <c r="F1105" s="135"/>
      <c r="G1105" s="135"/>
      <c r="H1105" s="135"/>
    </row>
    <row r="1106" spans="2:8" ht="24" customHeight="1" x14ac:dyDescent="0.3">
      <c r="B1106" s="123" t="s">
        <v>407</v>
      </c>
      <c r="C1106" s="123"/>
      <c r="D1106" s="123"/>
      <c r="E1106" s="31" t="s">
        <v>96</v>
      </c>
      <c r="F1106" s="31" t="s">
        <v>408</v>
      </c>
      <c r="G1106" s="31" t="s">
        <v>390</v>
      </c>
      <c r="H1106" s="31" t="s">
        <v>391</v>
      </c>
    </row>
    <row r="1107" spans="2:8" ht="15" customHeight="1" x14ac:dyDescent="0.3">
      <c r="B1107" s="134" t="s">
        <v>540</v>
      </c>
      <c r="C1107" s="134"/>
      <c r="D1107" s="134"/>
      <c r="E1107" s="69">
        <v>1</v>
      </c>
      <c r="F1107" s="32">
        <f>'MANO DE OBRA'!$H$24</f>
        <v>264874.25647260272</v>
      </c>
      <c r="G1107" s="68">
        <v>0.05</v>
      </c>
      <c r="H1107" s="66">
        <f>E1107*F1107*G1107</f>
        <v>13243.712823630136</v>
      </c>
    </row>
    <row r="1108" spans="2:8" ht="15" customHeight="1" x14ac:dyDescent="0.3">
      <c r="B1108" s="134" t="s">
        <v>410</v>
      </c>
      <c r="C1108" s="134"/>
      <c r="D1108" s="134"/>
      <c r="E1108" s="69">
        <v>1</v>
      </c>
      <c r="F1108" s="32">
        <f>'MANO DE OBRA'!$H$23</f>
        <v>121976.08717808221</v>
      </c>
      <c r="G1108" s="68">
        <v>0.05</v>
      </c>
      <c r="H1108" s="66">
        <f>E1108*F1108*G1108</f>
        <v>6098.8043589041108</v>
      </c>
    </row>
    <row r="1109" spans="2:8" ht="15" customHeight="1" x14ac:dyDescent="0.3">
      <c r="G1109" s="31" t="s">
        <v>394</v>
      </c>
      <c r="H1109" s="67">
        <f>SUM(H1107:H1108)</f>
        <v>19342.517182534248</v>
      </c>
    </row>
    <row r="1110" spans="2:8" ht="15" customHeight="1" x14ac:dyDescent="0.3"/>
    <row r="1111" spans="2:8" ht="15" customHeight="1" x14ac:dyDescent="0.3">
      <c r="B1111" s="115" t="s">
        <v>295</v>
      </c>
      <c r="C1111" s="115"/>
      <c r="D1111" s="115"/>
      <c r="E1111" s="115"/>
      <c r="F1111" s="115"/>
      <c r="G1111" s="115"/>
      <c r="H1111" s="70">
        <f>H1094+H1100+H1104+H1109</f>
        <v>34709.643041660958</v>
      </c>
    </row>
    <row r="1112" spans="2:8" ht="15" customHeight="1" x14ac:dyDescent="0.3"/>
    <row r="1113" spans="2:8" ht="15" customHeight="1" x14ac:dyDescent="0.3">
      <c r="B1113" s="71" t="s">
        <v>411</v>
      </c>
    </row>
    <row r="1114" spans="2:8" ht="15" customHeight="1" x14ac:dyDescent="0.3">
      <c r="B1114" s="123" t="s">
        <v>94</v>
      </c>
      <c r="C1114" s="123"/>
      <c r="D1114" s="123"/>
      <c r="E1114" s="123"/>
      <c r="F1114" s="123"/>
      <c r="G1114" s="31" t="s">
        <v>412</v>
      </c>
      <c r="H1114" s="31" t="s">
        <v>4</v>
      </c>
    </row>
    <row r="1115" spans="2:8" ht="15" customHeight="1" x14ac:dyDescent="0.3">
      <c r="B1115" s="110" t="s">
        <v>73</v>
      </c>
      <c r="C1115" s="110"/>
      <c r="D1115" s="110"/>
      <c r="E1115" s="110"/>
      <c r="F1115" s="110"/>
      <c r="G1115" s="22">
        <f>'Datos Iniciales'!$B$32</f>
        <v>0.28999999999999998</v>
      </c>
      <c r="H1115" s="66">
        <f>H1111*G1115</f>
        <v>10065.796482081678</v>
      </c>
    </row>
    <row r="1116" spans="2:8" ht="15" customHeight="1" x14ac:dyDescent="0.3">
      <c r="B1116" s="110" t="s">
        <v>74</v>
      </c>
      <c r="C1116" s="110"/>
      <c r="D1116" s="110"/>
      <c r="E1116" s="110"/>
      <c r="F1116" s="110"/>
      <c r="G1116" s="22">
        <f>'Datos Iniciales'!$B$33</f>
        <v>0.05</v>
      </c>
      <c r="H1116" s="66">
        <f>H1111*G1116</f>
        <v>1735.482152083048</v>
      </c>
    </row>
    <row r="1117" spans="2:8" ht="15" customHeight="1" x14ac:dyDescent="0.3">
      <c r="B1117" s="138" t="s">
        <v>413</v>
      </c>
      <c r="C1117" s="138"/>
      <c r="D1117" s="138"/>
      <c r="E1117" s="138"/>
      <c r="F1117" s="138"/>
      <c r="G1117" s="60">
        <f>G1115+G1116</f>
        <v>0.33999999999999997</v>
      </c>
      <c r="H1117" s="67">
        <f>H1115+H1116</f>
        <v>11801.278634164726</v>
      </c>
    </row>
    <row r="1118" spans="2:8" ht="15" customHeight="1" x14ac:dyDescent="0.3"/>
    <row r="1119" spans="2:8" ht="15" customHeight="1" x14ac:dyDescent="0.3">
      <c r="B1119" s="139" t="s">
        <v>414</v>
      </c>
      <c r="C1119" s="139"/>
      <c r="D1119" s="139"/>
      <c r="E1119" s="139"/>
      <c r="F1119" s="139"/>
      <c r="G1119" s="139"/>
      <c r="H1119" s="37">
        <f>ROUND(H1111+H1117,0)</f>
        <v>46511</v>
      </c>
    </row>
    <row r="1120" spans="2:8" ht="15" customHeight="1" x14ac:dyDescent="0.3"/>
    <row r="1121" spans="2:8" ht="15" customHeight="1" x14ac:dyDescent="0.3"/>
    <row r="1122" spans="2:8" ht="15.75" customHeight="1" x14ac:dyDescent="0.3">
      <c r="B1122" s="123" t="s">
        <v>0</v>
      </c>
      <c r="C1122" s="123"/>
      <c r="D1122" s="123"/>
      <c r="E1122" s="123"/>
      <c r="F1122" s="123"/>
      <c r="G1122" s="123"/>
      <c r="H1122" s="110"/>
    </row>
    <row r="1123" spans="2:8" ht="15.75" customHeight="1" x14ac:dyDescent="0.3">
      <c r="B1123" s="123" t="s">
        <v>1</v>
      </c>
      <c r="C1123" s="123"/>
      <c r="D1123" s="123"/>
      <c r="E1123" s="123"/>
      <c r="F1123" s="123"/>
      <c r="G1123" s="123"/>
      <c r="H1123" s="110"/>
    </row>
    <row r="1124" spans="2:8" ht="24" customHeight="1" x14ac:dyDescent="0.3">
      <c r="B1124" s="136" t="str">
        <f>'Datos Iniciales'!$B$8</f>
        <v>OBRA PÚBLICA PARA LA EJECUCIÓN DE DIFERENTES MEJORAMIENTOS DE VIVIENDA EN EL CASCO URBANO Y RURAL DEL MUNICIPIO DE MACEO - ANTIOQUIA</v>
      </c>
      <c r="C1124" s="136"/>
      <c r="D1124" s="136"/>
      <c r="E1124" s="136"/>
      <c r="F1124" s="136"/>
      <c r="G1124" s="136"/>
      <c r="H1124" s="110"/>
    </row>
    <row r="1125" spans="2:8" ht="15.75" customHeight="1" x14ac:dyDescent="0.3">
      <c r="B1125" s="112" t="s">
        <v>381</v>
      </c>
      <c r="C1125" s="112"/>
      <c r="D1125" s="112"/>
      <c r="E1125" s="112"/>
      <c r="F1125" s="112"/>
      <c r="G1125" s="112"/>
      <c r="H1125" s="110"/>
    </row>
    <row r="1126" spans="2:8" ht="24" customHeight="1" x14ac:dyDescent="0.3">
      <c r="B1126" s="13" t="s">
        <v>382</v>
      </c>
      <c r="C1126" s="112" t="s">
        <v>94</v>
      </c>
      <c r="D1126" s="112"/>
      <c r="E1126" s="112"/>
      <c r="F1126" s="13" t="s">
        <v>383</v>
      </c>
      <c r="G1126" s="13" t="s">
        <v>384</v>
      </c>
      <c r="H1126" s="13" t="s">
        <v>385</v>
      </c>
    </row>
    <row r="1127" spans="2:8" ht="30" customHeight="1" x14ac:dyDescent="0.3">
      <c r="B1127" s="63" t="s">
        <v>541</v>
      </c>
      <c r="C1127" s="140" t="s">
        <v>189</v>
      </c>
      <c r="D1127" s="140"/>
      <c r="E1127" s="140"/>
      <c r="F1127" s="17" t="s">
        <v>137</v>
      </c>
      <c r="G1127" s="41">
        <f>PRESUPUESTO!$E$58+PRESUPUESTO!$E$112</f>
        <v>5</v>
      </c>
      <c r="H1127" s="33">
        <f>H1150</f>
        <v>75771.571649993144</v>
      </c>
    </row>
    <row r="1128" spans="2:8" ht="15" customHeight="1" x14ac:dyDescent="0.3">
      <c r="B1128" s="137" t="s">
        <v>542</v>
      </c>
      <c r="C1128" s="137"/>
      <c r="D1128" s="137"/>
      <c r="E1128" s="137"/>
      <c r="F1128" s="137"/>
      <c r="G1128" s="137"/>
      <c r="H1128" s="137"/>
    </row>
    <row r="1129" spans="2:8" ht="15" customHeight="1" x14ac:dyDescent="0.3">
      <c r="B1129" s="64" t="s">
        <v>388</v>
      </c>
    </row>
    <row r="1130" spans="2:8" ht="15" customHeight="1" x14ac:dyDescent="0.3">
      <c r="B1130" s="135" t="s">
        <v>389</v>
      </c>
      <c r="C1130" s="135"/>
      <c r="D1130" s="135"/>
      <c r="E1130" s="135"/>
      <c r="F1130" s="135"/>
      <c r="G1130" s="135"/>
      <c r="H1130" s="135"/>
    </row>
    <row r="1131" spans="2:8" ht="24" customHeight="1" x14ac:dyDescent="0.3">
      <c r="B1131" s="123" t="s">
        <v>94</v>
      </c>
      <c r="C1131" s="123"/>
      <c r="D1131" s="123"/>
      <c r="E1131" s="31" t="s">
        <v>383</v>
      </c>
      <c r="F1131" s="31" t="s">
        <v>364</v>
      </c>
      <c r="G1131" s="31" t="s">
        <v>390</v>
      </c>
      <c r="H1131" s="31" t="s">
        <v>391</v>
      </c>
    </row>
    <row r="1132" spans="2:8" ht="15" customHeight="1" x14ac:dyDescent="0.3">
      <c r="B1132" s="134" t="s">
        <v>392</v>
      </c>
      <c r="C1132" s="134"/>
      <c r="D1132" s="134"/>
      <c r="E1132" s="17" t="s">
        <v>393</v>
      </c>
      <c r="F1132" s="22">
        <f>EQUIPOS!$D$3</f>
        <v>0.05</v>
      </c>
      <c r="G1132" s="65">
        <f>H1148</f>
        <v>23211.020619041094</v>
      </c>
      <c r="H1132" s="66">
        <f>F1132*G1132</f>
        <v>1160.5510309520548</v>
      </c>
    </row>
    <row r="1133" spans="2:8" ht="15" customHeight="1" x14ac:dyDescent="0.3">
      <c r="G1133" s="31" t="s">
        <v>394</v>
      </c>
      <c r="H1133" s="67">
        <f>SUM(H1132:H1132)</f>
        <v>1160.5510309520548</v>
      </c>
    </row>
    <row r="1134" spans="2:8" ht="15" customHeight="1" x14ac:dyDescent="0.3">
      <c r="B1134" s="135" t="s">
        <v>395</v>
      </c>
      <c r="C1134" s="135"/>
      <c r="D1134" s="135"/>
      <c r="E1134" s="135"/>
      <c r="F1134" s="135"/>
      <c r="G1134" s="135"/>
      <c r="H1134" s="135"/>
    </row>
    <row r="1135" spans="2:8" ht="15" customHeight="1" x14ac:dyDescent="0.3">
      <c r="B1135" s="123" t="s">
        <v>94</v>
      </c>
      <c r="C1135" s="123"/>
      <c r="D1135" s="31" t="s">
        <v>383</v>
      </c>
      <c r="E1135" s="31" t="s">
        <v>96</v>
      </c>
      <c r="F1135" s="31" t="s">
        <v>396</v>
      </c>
      <c r="G1135" s="31" t="s">
        <v>397</v>
      </c>
      <c r="H1135" s="31" t="s">
        <v>391</v>
      </c>
    </row>
    <row r="1136" spans="2:8" ht="15" customHeight="1" x14ac:dyDescent="0.3">
      <c r="B1136" s="134" t="s">
        <v>543</v>
      </c>
      <c r="C1136" s="134"/>
      <c r="D1136" s="17" t="s">
        <v>399</v>
      </c>
      <c r="E1136" s="68">
        <v>1</v>
      </c>
      <c r="F1136" s="27">
        <v>0</v>
      </c>
      <c r="G1136" s="32">
        <f>INSUMOS!$D$78</f>
        <v>48000</v>
      </c>
      <c r="H1136" s="66">
        <f>E1136*(1+F1136)*G1136</f>
        <v>48000</v>
      </c>
    </row>
    <row r="1137" spans="2:8" ht="15" customHeight="1" x14ac:dyDescent="0.3">
      <c r="B1137" s="134" t="s">
        <v>538</v>
      </c>
      <c r="C1137" s="134"/>
      <c r="D1137" s="17" t="s">
        <v>399</v>
      </c>
      <c r="E1137" s="68">
        <v>1</v>
      </c>
      <c r="F1137" s="27">
        <v>0</v>
      </c>
      <c r="G1137" s="32">
        <f>INSUMOS!$D$75</f>
        <v>2500</v>
      </c>
      <c r="H1137" s="66">
        <f>E1137*(1+F1137)*G1137</f>
        <v>2500</v>
      </c>
    </row>
    <row r="1138" spans="2:8" ht="15" customHeight="1" x14ac:dyDescent="0.3">
      <c r="B1138" s="134" t="s">
        <v>539</v>
      </c>
      <c r="C1138" s="134"/>
      <c r="D1138" s="17" t="s">
        <v>399</v>
      </c>
      <c r="E1138" s="68">
        <v>0.05</v>
      </c>
      <c r="F1138" s="27">
        <v>0</v>
      </c>
      <c r="G1138" s="32">
        <f>INSUMOS!$D$83</f>
        <v>18000</v>
      </c>
      <c r="H1138" s="66">
        <f>E1138*(1+F1138)*G1138</f>
        <v>900</v>
      </c>
    </row>
    <row r="1139" spans="2:8" ht="15" customHeight="1" x14ac:dyDescent="0.3">
      <c r="G1139" s="31" t="s">
        <v>394</v>
      </c>
      <c r="H1139" s="67">
        <f>SUM(H1136:H1138)</f>
        <v>51400</v>
      </c>
    </row>
    <row r="1140" spans="2:8" ht="15" customHeight="1" x14ac:dyDescent="0.3">
      <c r="B1140" s="135" t="s">
        <v>404</v>
      </c>
      <c r="C1140" s="135"/>
      <c r="D1140" s="135"/>
      <c r="E1140" s="135"/>
      <c r="F1140" s="135"/>
      <c r="G1140" s="135"/>
      <c r="H1140" s="135"/>
    </row>
    <row r="1141" spans="2:8" ht="15" customHeight="1" x14ac:dyDescent="0.3">
      <c r="B1141" s="123" t="s">
        <v>94</v>
      </c>
      <c r="C1141" s="123"/>
      <c r="D1141" s="31" t="s">
        <v>383</v>
      </c>
      <c r="E1141" s="31" t="s">
        <v>96</v>
      </c>
      <c r="F1141" s="31"/>
      <c r="G1141" s="31" t="s">
        <v>364</v>
      </c>
      <c r="H1141" s="31" t="s">
        <v>391</v>
      </c>
    </row>
    <row r="1142" spans="2:8" ht="15" customHeight="1" x14ac:dyDescent="0.3">
      <c r="B1142" s="137" t="s">
        <v>405</v>
      </c>
      <c r="C1142" s="137"/>
      <c r="D1142" s="29"/>
      <c r="E1142" s="29"/>
      <c r="F1142" s="29"/>
      <c r="G1142" s="29"/>
      <c r="H1142" s="66">
        <v>0</v>
      </c>
    </row>
    <row r="1143" spans="2:8" ht="15" customHeight="1" x14ac:dyDescent="0.3">
      <c r="G1143" s="31" t="s">
        <v>394</v>
      </c>
      <c r="H1143" s="67">
        <f>SUM(H1142:H1142)</f>
        <v>0</v>
      </c>
    </row>
    <row r="1144" spans="2:8" ht="15" customHeight="1" x14ac:dyDescent="0.3">
      <c r="B1144" s="135" t="s">
        <v>406</v>
      </c>
      <c r="C1144" s="135"/>
      <c r="D1144" s="135"/>
      <c r="E1144" s="135"/>
      <c r="F1144" s="135"/>
      <c r="G1144" s="135"/>
      <c r="H1144" s="135"/>
    </row>
    <row r="1145" spans="2:8" ht="24" customHeight="1" x14ac:dyDescent="0.3">
      <c r="B1145" s="123" t="s">
        <v>407</v>
      </c>
      <c r="C1145" s="123"/>
      <c r="D1145" s="123"/>
      <c r="E1145" s="31" t="s">
        <v>96</v>
      </c>
      <c r="F1145" s="31" t="s">
        <v>408</v>
      </c>
      <c r="G1145" s="31" t="s">
        <v>390</v>
      </c>
      <c r="H1145" s="31" t="s">
        <v>391</v>
      </c>
    </row>
    <row r="1146" spans="2:8" ht="15" customHeight="1" x14ac:dyDescent="0.3">
      <c r="B1146" s="134" t="s">
        <v>540</v>
      </c>
      <c r="C1146" s="134"/>
      <c r="D1146" s="134"/>
      <c r="E1146" s="69">
        <v>1</v>
      </c>
      <c r="F1146" s="32">
        <f>'MANO DE OBRA'!$H$24</f>
        <v>264874.25647260272</v>
      </c>
      <c r="G1146" s="68">
        <v>0.06</v>
      </c>
      <c r="H1146" s="66">
        <f>E1146*F1146*G1146</f>
        <v>15892.455388356162</v>
      </c>
    </row>
    <row r="1147" spans="2:8" ht="15" customHeight="1" x14ac:dyDescent="0.3">
      <c r="B1147" s="134" t="s">
        <v>410</v>
      </c>
      <c r="C1147" s="134"/>
      <c r="D1147" s="134"/>
      <c r="E1147" s="69">
        <v>1</v>
      </c>
      <c r="F1147" s="32">
        <f>'MANO DE OBRA'!$H$23</f>
        <v>121976.08717808221</v>
      </c>
      <c r="G1147" s="68">
        <v>0.06</v>
      </c>
      <c r="H1147" s="66">
        <f>E1147*F1147*G1147</f>
        <v>7318.5652306849324</v>
      </c>
    </row>
    <row r="1148" spans="2:8" ht="15" customHeight="1" x14ac:dyDescent="0.3">
      <c r="G1148" s="31" t="s">
        <v>394</v>
      </c>
      <c r="H1148" s="67">
        <f>SUM(H1146:H1147)</f>
        <v>23211.020619041094</v>
      </c>
    </row>
    <row r="1149" spans="2:8" ht="15" customHeight="1" x14ac:dyDescent="0.3"/>
    <row r="1150" spans="2:8" ht="15" customHeight="1" x14ac:dyDescent="0.3">
      <c r="B1150" s="115" t="s">
        <v>295</v>
      </c>
      <c r="C1150" s="115"/>
      <c r="D1150" s="115"/>
      <c r="E1150" s="115"/>
      <c r="F1150" s="115"/>
      <c r="G1150" s="115"/>
      <c r="H1150" s="70">
        <f>H1133+H1139+H1143+H1148</f>
        <v>75771.571649993144</v>
      </c>
    </row>
    <row r="1151" spans="2:8" ht="15" customHeight="1" x14ac:dyDescent="0.3"/>
    <row r="1152" spans="2:8" ht="15" customHeight="1" x14ac:dyDescent="0.3">
      <c r="B1152" s="71" t="s">
        <v>411</v>
      </c>
    </row>
    <row r="1153" spans="2:8" ht="15" customHeight="1" x14ac:dyDescent="0.3">
      <c r="B1153" s="123" t="s">
        <v>94</v>
      </c>
      <c r="C1153" s="123"/>
      <c r="D1153" s="123"/>
      <c r="E1153" s="123"/>
      <c r="F1153" s="123"/>
      <c r="G1153" s="31" t="s">
        <v>412</v>
      </c>
      <c r="H1153" s="31" t="s">
        <v>4</v>
      </c>
    </row>
    <row r="1154" spans="2:8" ht="15" customHeight="1" x14ac:dyDescent="0.3">
      <c r="B1154" s="110" t="s">
        <v>73</v>
      </c>
      <c r="C1154" s="110"/>
      <c r="D1154" s="110"/>
      <c r="E1154" s="110"/>
      <c r="F1154" s="110"/>
      <c r="G1154" s="22">
        <f>'Datos Iniciales'!$B$32</f>
        <v>0.28999999999999998</v>
      </c>
      <c r="H1154" s="66">
        <f>H1150*G1154</f>
        <v>21973.755778498009</v>
      </c>
    </row>
    <row r="1155" spans="2:8" ht="15" customHeight="1" x14ac:dyDescent="0.3">
      <c r="B1155" s="110" t="s">
        <v>74</v>
      </c>
      <c r="C1155" s="110"/>
      <c r="D1155" s="110"/>
      <c r="E1155" s="110"/>
      <c r="F1155" s="110"/>
      <c r="G1155" s="22">
        <f>'Datos Iniciales'!$B$33</f>
        <v>0.05</v>
      </c>
      <c r="H1155" s="66">
        <f>H1150*G1155</f>
        <v>3788.5785824996574</v>
      </c>
    </row>
    <row r="1156" spans="2:8" ht="15" customHeight="1" x14ac:dyDescent="0.3">
      <c r="B1156" s="138" t="s">
        <v>413</v>
      </c>
      <c r="C1156" s="138"/>
      <c r="D1156" s="138"/>
      <c r="E1156" s="138"/>
      <c r="F1156" s="138"/>
      <c r="G1156" s="60">
        <f>G1154+G1155</f>
        <v>0.33999999999999997</v>
      </c>
      <c r="H1156" s="67">
        <f>H1154+H1155</f>
        <v>25762.334360997665</v>
      </c>
    </row>
    <row r="1157" spans="2:8" ht="15" customHeight="1" x14ac:dyDescent="0.3"/>
    <row r="1158" spans="2:8" ht="15" customHeight="1" x14ac:dyDescent="0.3">
      <c r="B1158" s="139" t="s">
        <v>414</v>
      </c>
      <c r="C1158" s="139"/>
      <c r="D1158" s="139"/>
      <c r="E1158" s="139"/>
      <c r="F1158" s="139"/>
      <c r="G1158" s="139"/>
      <c r="H1158" s="37">
        <f>ROUND(H1150+H1156,0)</f>
        <v>101534</v>
      </c>
    </row>
    <row r="1159" spans="2:8" ht="15" customHeight="1" x14ac:dyDescent="0.3"/>
    <row r="1160" spans="2:8" ht="15" customHeight="1" x14ac:dyDescent="0.3"/>
    <row r="1161" spans="2:8" ht="15.75" customHeight="1" x14ac:dyDescent="0.3">
      <c r="B1161" s="123" t="s">
        <v>0</v>
      </c>
      <c r="C1161" s="123"/>
      <c r="D1161" s="123"/>
      <c r="E1161" s="123"/>
      <c r="F1161" s="123"/>
      <c r="G1161" s="123"/>
      <c r="H1161" s="110"/>
    </row>
    <row r="1162" spans="2:8" ht="15.75" customHeight="1" x14ac:dyDescent="0.3">
      <c r="B1162" s="123" t="s">
        <v>1</v>
      </c>
      <c r="C1162" s="123"/>
      <c r="D1162" s="123"/>
      <c r="E1162" s="123"/>
      <c r="F1162" s="123"/>
      <c r="G1162" s="123"/>
      <c r="H1162" s="110"/>
    </row>
    <row r="1163" spans="2:8" ht="24" customHeight="1" x14ac:dyDescent="0.3">
      <c r="B1163" s="136" t="str">
        <f>'Datos Iniciales'!$B$8</f>
        <v>OBRA PÚBLICA PARA LA EJECUCIÓN DE DIFERENTES MEJORAMIENTOS DE VIVIENDA EN EL CASCO URBANO Y RURAL DEL MUNICIPIO DE MACEO - ANTIOQUIA</v>
      </c>
      <c r="C1163" s="136"/>
      <c r="D1163" s="136"/>
      <c r="E1163" s="136"/>
      <c r="F1163" s="136"/>
      <c r="G1163" s="136"/>
      <c r="H1163" s="110"/>
    </row>
    <row r="1164" spans="2:8" ht="15.75" customHeight="1" x14ac:dyDescent="0.3">
      <c r="B1164" s="112" t="s">
        <v>381</v>
      </c>
      <c r="C1164" s="112"/>
      <c r="D1164" s="112"/>
      <c r="E1164" s="112"/>
      <c r="F1164" s="112"/>
      <c r="G1164" s="112"/>
      <c r="H1164" s="110"/>
    </row>
    <row r="1165" spans="2:8" ht="24" customHeight="1" x14ac:dyDescent="0.3">
      <c r="B1165" s="13" t="s">
        <v>382</v>
      </c>
      <c r="C1165" s="112" t="s">
        <v>94</v>
      </c>
      <c r="D1165" s="112"/>
      <c r="E1165" s="112"/>
      <c r="F1165" s="13" t="s">
        <v>383</v>
      </c>
      <c r="G1165" s="13" t="s">
        <v>384</v>
      </c>
      <c r="H1165" s="13" t="s">
        <v>385</v>
      </c>
    </row>
    <row r="1166" spans="2:8" ht="30" customHeight="1" x14ac:dyDescent="0.3">
      <c r="B1166" s="63" t="s">
        <v>544</v>
      </c>
      <c r="C1166" s="140" t="s">
        <v>191</v>
      </c>
      <c r="D1166" s="140"/>
      <c r="E1166" s="140"/>
      <c r="F1166" s="17" t="s">
        <v>137</v>
      </c>
      <c r="G1166" s="41">
        <f>PRESUPUESTO!$E$59+PRESUPUESTO!$E$113</f>
        <v>8</v>
      </c>
      <c r="H1166" s="33">
        <f>H1189</f>
        <v>31209.643041660958</v>
      </c>
    </row>
    <row r="1167" spans="2:8" ht="15" customHeight="1" x14ac:dyDescent="0.3">
      <c r="B1167" s="137" t="s">
        <v>545</v>
      </c>
      <c r="C1167" s="137"/>
      <c r="D1167" s="137"/>
      <c r="E1167" s="137"/>
      <c r="F1167" s="137"/>
      <c r="G1167" s="137"/>
      <c r="H1167" s="137"/>
    </row>
    <row r="1168" spans="2:8" ht="15" customHeight="1" x14ac:dyDescent="0.3">
      <c r="B1168" s="64" t="s">
        <v>388</v>
      </c>
    </row>
    <row r="1169" spans="2:8" ht="15" customHeight="1" x14ac:dyDescent="0.3">
      <c r="B1169" s="135" t="s">
        <v>389</v>
      </c>
      <c r="C1169" s="135"/>
      <c r="D1169" s="135"/>
      <c r="E1169" s="135"/>
      <c r="F1169" s="135"/>
      <c r="G1169" s="135"/>
      <c r="H1169" s="135"/>
    </row>
    <row r="1170" spans="2:8" ht="24" customHeight="1" x14ac:dyDescent="0.3">
      <c r="B1170" s="123" t="s">
        <v>94</v>
      </c>
      <c r="C1170" s="123"/>
      <c r="D1170" s="123"/>
      <c r="E1170" s="31" t="s">
        <v>383</v>
      </c>
      <c r="F1170" s="31" t="s">
        <v>364</v>
      </c>
      <c r="G1170" s="31" t="s">
        <v>390</v>
      </c>
      <c r="H1170" s="31" t="s">
        <v>391</v>
      </c>
    </row>
    <row r="1171" spans="2:8" ht="15" customHeight="1" x14ac:dyDescent="0.3">
      <c r="B1171" s="134" t="s">
        <v>392</v>
      </c>
      <c r="C1171" s="134"/>
      <c r="D1171" s="134"/>
      <c r="E1171" s="17" t="s">
        <v>393</v>
      </c>
      <c r="F1171" s="22">
        <f>EQUIPOS!$D$3</f>
        <v>0.05</v>
      </c>
      <c r="G1171" s="65">
        <f>H1187</f>
        <v>19342.517182534248</v>
      </c>
      <c r="H1171" s="66">
        <f>F1171*G1171</f>
        <v>967.12585912671238</v>
      </c>
    </row>
    <row r="1172" spans="2:8" ht="15" customHeight="1" x14ac:dyDescent="0.3">
      <c r="G1172" s="31" t="s">
        <v>394</v>
      </c>
      <c r="H1172" s="67">
        <f>SUM(H1171:H1171)</f>
        <v>967.12585912671238</v>
      </c>
    </row>
    <row r="1173" spans="2:8" ht="15" customHeight="1" x14ac:dyDescent="0.3">
      <c r="B1173" s="135" t="s">
        <v>395</v>
      </c>
      <c r="C1173" s="135"/>
      <c r="D1173" s="135"/>
      <c r="E1173" s="135"/>
      <c r="F1173" s="135"/>
      <c r="G1173" s="135"/>
      <c r="H1173" s="135"/>
    </row>
    <row r="1174" spans="2:8" ht="15" customHeight="1" x14ac:dyDescent="0.3">
      <c r="B1174" s="123" t="s">
        <v>94</v>
      </c>
      <c r="C1174" s="123"/>
      <c r="D1174" s="31" t="s">
        <v>383</v>
      </c>
      <c r="E1174" s="31" t="s">
        <v>96</v>
      </c>
      <c r="F1174" s="31" t="s">
        <v>396</v>
      </c>
      <c r="G1174" s="31" t="s">
        <v>397</v>
      </c>
      <c r="H1174" s="31" t="s">
        <v>391</v>
      </c>
    </row>
    <row r="1175" spans="2:8" ht="15" customHeight="1" x14ac:dyDescent="0.3">
      <c r="B1175" s="134" t="s">
        <v>546</v>
      </c>
      <c r="C1175" s="134"/>
      <c r="D1175" s="17" t="s">
        <v>399</v>
      </c>
      <c r="E1175" s="68">
        <v>1</v>
      </c>
      <c r="F1175" s="27">
        <v>0</v>
      </c>
      <c r="G1175" s="32">
        <f>INSUMOS!$D$79</f>
        <v>7500</v>
      </c>
      <c r="H1175" s="66">
        <f>E1175*(1+F1175)*G1175</f>
        <v>7500</v>
      </c>
    </row>
    <row r="1176" spans="2:8" ht="15" customHeight="1" x14ac:dyDescent="0.3">
      <c r="B1176" s="134" t="s">
        <v>538</v>
      </c>
      <c r="C1176" s="134"/>
      <c r="D1176" s="17" t="s">
        <v>399</v>
      </c>
      <c r="E1176" s="68">
        <v>1</v>
      </c>
      <c r="F1176" s="27">
        <v>0</v>
      </c>
      <c r="G1176" s="32">
        <f>INSUMOS!$D$75</f>
        <v>2500</v>
      </c>
      <c r="H1176" s="66">
        <f>E1176*(1+F1176)*G1176</f>
        <v>2500</v>
      </c>
    </row>
    <row r="1177" spans="2:8" ht="15" customHeight="1" x14ac:dyDescent="0.3">
      <c r="B1177" s="134" t="s">
        <v>539</v>
      </c>
      <c r="C1177" s="134"/>
      <c r="D1177" s="17" t="s">
        <v>399</v>
      </c>
      <c r="E1177" s="68">
        <v>0.05</v>
      </c>
      <c r="F1177" s="27">
        <v>0</v>
      </c>
      <c r="G1177" s="32">
        <f>INSUMOS!$D$83</f>
        <v>18000</v>
      </c>
      <c r="H1177" s="66">
        <f>E1177*(1+F1177)*G1177</f>
        <v>900</v>
      </c>
    </row>
    <row r="1178" spans="2:8" ht="15" customHeight="1" x14ac:dyDescent="0.3">
      <c r="G1178" s="31" t="s">
        <v>394</v>
      </c>
      <c r="H1178" s="67">
        <f>SUM(H1175:H1177)</f>
        <v>10900</v>
      </c>
    </row>
    <row r="1179" spans="2:8" ht="15" customHeight="1" x14ac:dyDescent="0.3">
      <c r="B1179" s="135" t="s">
        <v>404</v>
      </c>
      <c r="C1179" s="135"/>
      <c r="D1179" s="135"/>
      <c r="E1179" s="135"/>
      <c r="F1179" s="135"/>
      <c r="G1179" s="135"/>
      <c r="H1179" s="135"/>
    </row>
    <row r="1180" spans="2:8" ht="15" customHeight="1" x14ac:dyDescent="0.3">
      <c r="B1180" s="123" t="s">
        <v>94</v>
      </c>
      <c r="C1180" s="123"/>
      <c r="D1180" s="31" t="s">
        <v>383</v>
      </c>
      <c r="E1180" s="31" t="s">
        <v>96</v>
      </c>
      <c r="F1180" s="31"/>
      <c r="G1180" s="31" t="s">
        <v>364</v>
      </c>
      <c r="H1180" s="31" t="s">
        <v>391</v>
      </c>
    </row>
    <row r="1181" spans="2:8" ht="15" customHeight="1" x14ac:dyDescent="0.3">
      <c r="B1181" s="137" t="s">
        <v>405</v>
      </c>
      <c r="C1181" s="137"/>
      <c r="D1181" s="29"/>
      <c r="E1181" s="29"/>
      <c r="F1181" s="29"/>
      <c r="G1181" s="29"/>
      <c r="H1181" s="66">
        <v>0</v>
      </c>
    </row>
    <row r="1182" spans="2:8" ht="15" customHeight="1" x14ac:dyDescent="0.3">
      <c r="G1182" s="31" t="s">
        <v>394</v>
      </c>
      <c r="H1182" s="67">
        <f>SUM(H1181:H1181)</f>
        <v>0</v>
      </c>
    </row>
    <row r="1183" spans="2:8" ht="15" customHeight="1" x14ac:dyDescent="0.3">
      <c r="B1183" s="135" t="s">
        <v>406</v>
      </c>
      <c r="C1183" s="135"/>
      <c r="D1183" s="135"/>
      <c r="E1183" s="135"/>
      <c r="F1183" s="135"/>
      <c r="G1183" s="135"/>
      <c r="H1183" s="135"/>
    </row>
    <row r="1184" spans="2:8" ht="24" customHeight="1" x14ac:dyDescent="0.3">
      <c r="B1184" s="123" t="s">
        <v>407</v>
      </c>
      <c r="C1184" s="123"/>
      <c r="D1184" s="123"/>
      <c r="E1184" s="31" t="s">
        <v>96</v>
      </c>
      <c r="F1184" s="31" t="s">
        <v>408</v>
      </c>
      <c r="G1184" s="31" t="s">
        <v>390</v>
      </c>
      <c r="H1184" s="31" t="s">
        <v>391</v>
      </c>
    </row>
    <row r="1185" spans="2:8" ht="15" customHeight="1" x14ac:dyDescent="0.3">
      <c r="B1185" s="134" t="s">
        <v>540</v>
      </c>
      <c r="C1185" s="134"/>
      <c r="D1185" s="134"/>
      <c r="E1185" s="69">
        <v>1</v>
      </c>
      <c r="F1185" s="32">
        <f>'MANO DE OBRA'!$H$24</f>
        <v>264874.25647260272</v>
      </c>
      <c r="G1185" s="68">
        <v>0.05</v>
      </c>
      <c r="H1185" s="66">
        <f>E1185*F1185*G1185</f>
        <v>13243.712823630136</v>
      </c>
    </row>
    <row r="1186" spans="2:8" ht="15" customHeight="1" x14ac:dyDescent="0.3">
      <c r="B1186" s="134" t="s">
        <v>410</v>
      </c>
      <c r="C1186" s="134"/>
      <c r="D1186" s="134"/>
      <c r="E1186" s="69">
        <v>1</v>
      </c>
      <c r="F1186" s="32">
        <f>'MANO DE OBRA'!$H$23</f>
        <v>121976.08717808221</v>
      </c>
      <c r="G1186" s="68">
        <v>0.05</v>
      </c>
      <c r="H1186" s="66">
        <f>E1186*F1186*G1186</f>
        <v>6098.8043589041108</v>
      </c>
    </row>
    <row r="1187" spans="2:8" ht="15" customHeight="1" x14ac:dyDescent="0.3">
      <c r="G1187" s="31" t="s">
        <v>394</v>
      </c>
      <c r="H1187" s="67">
        <f>SUM(H1185:H1186)</f>
        <v>19342.517182534248</v>
      </c>
    </row>
    <row r="1188" spans="2:8" ht="15" customHeight="1" x14ac:dyDescent="0.3"/>
    <row r="1189" spans="2:8" ht="15" customHeight="1" x14ac:dyDescent="0.3">
      <c r="B1189" s="115" t="s">
        <v>295</v>
      </c>
      <c r="C1189" s="115"/>
      <c r="D1189" s="115"/>
      <c r="E1189" s="115"/>
      <c r="F1189" s="115"/>
      <c r="G1189" s="115"/>
      <c r="H1189" s="70">
        <f>H1172+H1178+H1182+H1187</f>
        <v>31209.643041660958</v>
      </c>
    </row>
    <row r="1190" spans="2:8" ht="15" customHeight="1" x14ac:dyDescent="0.3"/>
    <row r="1191" spans="2:8" ht="15" customHeight="1" x14ac:dyDescent="0.3">
      <c r="B1191" s="71" t="s">
        <v>411</v>
      </c>
    </row>
    <row r="1192" spans="2:8" ht="15" customHeight="1" x14ac:dyDescent="0.3">
      <c r="B1192" s="123" t="s">
        <v>94</v>
      </c>
      <c r="C1192" s="123"/>
      <c r="D1192" s="123"/>
      <c r="E1192" s="123"/>
      <c r="F1192" s="123"/>
      <c r="G1192" s="31" t="s">
        <v>412</v>
      </c>
      <c r="H1192" s="31" t="s">
        <v>4</v>
      </c>
    </row>
    <row r="1193" spans="2:8" ht="15" customHeight="1" x14ac:dyDescent="0.3">
      <c r="B1193" s="110" t="s">
        <v>73</v>
      </c>
      <c r="C1193" s="110"/>
      <c r="D1193" s="110"/>
      <c r="E1193" s="110"/>
      <c r="F1193" s="110"/>
      <c r="G1193" s="22">
        <f>'Datos Iniciales'!$B$32</f>
        <v>0.28999999999999998</v>
      </c>
      <c r="H1193" s="66">
        <f>H1189*G1193</f>
        <v>9050.7964820816778</v>
      </c>
    </row>
    <row r="1194" spans="2:8" ht="15" customHeight="1" x14ac:dyDescent="0.3">
      <c r="B1194" s="110" t="s">
        <v>74</v>
      </c>
      <c r="C1194" s="110"/>
      <c r="D1194" s="110"/>
      <c r="E1194" s="110"/>
      <c r="F1194" s="110"/>
      <c r="G1194" s="22">
        <f>'Datos Iniciales'!$B$33</f>
        <v>0.05</v>
      </c>
      <c r="H1194" s="66">
        <f>H1189*G1194</f>
        <v>1560.482152083048</v>
      </c>
    </row>
    <row r="1195" spans="2:8" ht="15" customHeight="1" x14ac:dyDescent="0.3">
      <c r="B1195" s="138" t="s">
        <v>413</v>
      </c>
      <c r="C1195" s="138"/>
      <c r="D1195" s="138"/>
      <c r="E1195" s="138"/>
      <c r="F1195" s="138"/>
      <c r="G1195" s="60">
        <f>G1193+G1194</f>
        <v>0.33999999999999997</v>
      </c>
      <c r="H1195" s="67">
        <f>H1193+H1194</f>
        <v>10611.278634164726</v>
      </c>
    </row>
    <row r="1196" spans="2:8" ht="15" customHeight="1" x14ac:dyDescent="0.3"/>
    <row r="1197" spans="2:8" ht="15" customHeight="1" x14ac:dyDescent="0.3">
      <c r="B1197" s="139" t="s">
        <v>414</v>
      </c>
      <c r="C1197" s="139"/>
      <c r="D1197" s="139"/>
      <c r="E1197" s="139"/>
      <c r="F1197" s="139"/>
      <c r="G1197" s="139"/>
      <c r="H1197" s="37">
        <f>ROUND(H1189+H1195,0)</f>
        <v>41821</v>
      </c>
    </row>
    <row r="1198" spans="2:8" ht="15" customHeight="1" x14ac:dyDescent="0.3"/>
    <row r="1199" spans="2:8" ht="15" customHeight="1" x14ac:dyDescent="0.3"/>
    <row r="1200" spans="2:8" ht="15.75" customHeight="1" x14ac:dyDescent="0.3">
      <c r="B1200" s="123" t="s">
        <v>0</v>
      </c>
      <c r="C1200" s="123"/>
      <c r="D1200" s="123"/>
      <c r="E1200" s="123"/>
      <c r="F1200" s="123"/>
      <c r="G1200" s="123"/>
      <c r="H1200" s="110"/>
    </row>
    <row r="1201" spans="2:8" ht="15.75" customHeight="1" x14ac:dyDescent="0.3">
      <c r="B1201" s="123" t="s">
        <v>1</v>
      </c>
      <c r="C1201" s="123"/>
      <c r="D1201" s="123"/>
      <c r="E1201" s="123"/>
      <c r="F1201" s="123"/>
      <c r="G1201" s="123"/>
      <c r="H1201" s="110"/>
    </row>
    <row r="1202" spans="2:8" ht="24" customHeight="1" x14ac:dyDescent="0.3">
      <c r="B1202" s="136" t="str">
        <f>'Datos Iniciales'!$B$8</f>
        <v>OBRA PÚBLICA PARA LA EJECUCIÓN DE DIFERENTES MEJORAMIENTOS DE VIVIENDA EN EL CASCO URBANO Y RURAL DEL MUNICIPIO DE MACEO - ANTIOQUIA</v>
      </c>
      <c r="C1202" s="136"/>
      <c r="D1202" s="136"/>
      <c r="E1202" s="136"/>
      <c r="F1202" s="136"/>
      <c r="G1202" s="136"/>
      <c r="H1202" s="110"/>
    </row>
    <row r="1203" spans="2:8" ht="15.75" customHeight="1" x14ac:dyDescent="0.3">
      <c r="B1203" s="112" t="s">
        <v>381</v>
      </c>
      <c r="C1203" s="112"/>
      <c r="D1203" s="112"/>
      <c r="E1203" s="112"/>
      <c r="F1203" s="112"/>
      <c r="G1203" s="112"/>
      <c r="H1203" s="110"/>
    </row>
    <row r="1204" spans="2:8" ht="24" customHeight="1" x14ac:dyDescent="0.3">
      <c r="B1204" s="13" t="s">
        <v>382</v>
      </c>
      <c r="C1204" s="112" t="s">
        <v>94</v>
      </c>
      <c r="D1204" s="112"/>
      <c r="E1204" s="112"/>
      <c r="F1204" s="13" t="s">
        <v>383</v>
      </c>
      <c r="G1204" s="13" t="s">
        <v>384</v>
      </c>
      <c r="H1204" s="13" t="s">
        <v>385</v>
      </c>
    </row>
    <row r="1205" spans="2:8" ht="30" customHeight="1" x14ac:dyDescent="0.3">
      <c r="B1205" s="63" t="s">
        <v>547</v>
      </c>
      <c r="C1205" s="140" t="s">
        <v>139</v>
      </c>
      <c r="D1205" s="140"/>
      <c r="E1205" s="140"/>
      <c r="F1205" s="17" t="s">
        <v>137</v>
      </c>
      <c r="G1205" s="41">
        <f>PRESUPUESTO!$E$24</f>
        <v>6</v>
      </c>
      <c r="H1205" s="33">
        <f>H1228</f>
        <v>37209.643041660958</v>
      </c>
    </row>
    <row r="1206" spans="2:8" ht="15" customHeight="1" x14ac:dyDescent="0.3">
      <c r="B1206" s="137" t="s">
        <v>548</v>
      </c>
      <c r="C1206" s="137"/>
      <c r="D1206" s="137"/>
      <c r="E1206" s="137"/>
      <c r="F1206" s="137"/>
      <c r="G1206" s="137"/>
      <c r="H1206" s="137"/>
    </row>
    <row r="1207" spans="2:8" ht="15" customHeight="1" x14ac:dyDescent="0.3">
      <c r="B1207" s="64" t="s">
        <v>388</v>
      </c>
    </row>
    <row r="1208" spans="2:8" ht="15" customHeight="1" x14ac:dyDescent="0.3">
      <c r="B1208" s="135" t="s">
        <v>389</v>
      </c>
      <c r="C1208" s="135"/>
      <c r="D1208" s="135"/>
      <c r="E1208" s="135"/>
      <c r="F1208" s="135"/>
      <c r="G1208" s="135"/>
      <c r="H1208" s="135"/>
    </row>
    <row r="1209" spans="2:8" ht="24" customHeight="1" x14ac:dyDescent="0.3">
      <c r="B1209" s="123" t="s">
        <v>94</v>
      </c>
      <c r="C1209" s="123"/>
      <c r="D1209" s="123"/>
      <c r="E1209" s="31" t="s">
        <v>383</v>
      </c>
      <c r="F1209" s="31" t="s">
        <v>364</v>
      </c>
      <c r="G1209" s="31" t="s">
        <v>390</v>
      </c>
      <c r="H1209" s="31" t="s">
        <v>391</v>
      </c>
    </row>
    <row r="1210" spans="2:8" ht="15" customHeight="1" x14ac:dyDescent="0.3">
      <c r="B1210" s="134" t="s">
        <v>392</v>
      </c>
      <c r="C1210" s="134"/>
      <c r="D1210" s="134"/>
      <c r="E1210" s="17" t="s">
        <v>393</v>
      </c>
      <c r="F1210" s="22">
        <f>EQUIPOS!$D$3</f>
        <v>0.05</v>
      </c>
      <c r="G1210" s="65">
        <f>H1226</f>
        <v>19342.517182534248</v>
      </c>
      <c r="H1210" s="66">
        <f>F1210*G1210</f>
        <v>967.12585912671238</v>
      </c>
    </row>
    <row r="1211" spans="2:8" ht="15" customHeight="1" x14ac:dyDescent="0.3">
      <c r="G1211" s="31" t="s">
        <v>394</v>
      </c>
      <c r="H1211" s="67">
        <f>SUM(H1210:H1210)</f>
        <v>967.12585912671238</v>
      </c>
    </row>
    <row r="1212" spans="2:8" ht="15" customHeight="1" x14ac:dyDescent="0.3">
      <c r="B1212" s="135" t="s">
        <v>395</v>
      </c>
      <c r="C1212" s="135"/>
      <c r="D1212" s="135"/>
      <c r="E1212" s="135"/>
      <c r="F1212" s="135"/>
      <c r="G1212" s="135"/>
      <c r="H1212" s="135"/>
    </row>
    <row r="1213" spans="2:8" ht="15" customHeight="1" x14ac:dyDescent="0.3">
      <c r="B1213" s="123" t="s">
        <v>94</v>
      </c>
      <c r="C1213" s="123"/>
      <c r="D1213" s="31" t="s">
        <v>383</v>
      </c>
      <c r="E1213" s="31" t="s">
        <v>96</v>
      </c>
      <c r="F1213" s="31" t="s">
        <v>396</v>
      </c>
      <c r="G1213" s="31" t="s">
        <v>397</v>
      </c>
      <c r="H1213" s="31" t="s">
        <v>391</v>
      </c>
    </row>
    <row r="1214" spans="2:8" ht="15" customHeight="1" x14ac:dyDescent="0.3">
      <c r="B1214" s="134" t="s">
        <v>549</v>
      </c>
      <c r="C1214" s="134"/>
      <c r="D1214" s="17" t="s">
        <v>399</v>
      </c>
      <c r="E1214" s="68">
        <v>1</v>
      </c>
      <c r="F1214" s="27">
        <v>0</v>
      </c>
      <c r="G1214" s="32">
        <f>INSUMOS!$D$80</f>
        <v>13500</v>
      </c>
      <c r="H1214" s="66">
        <f>E1214*(1+F1214)*G1214</f>
        <v>13500</v>
      </c>
    </row>
    <row r="1215" spans="2:8" ht="15" customHeight="1" x14ac:dyDescent="0.3">
      <c r="B1215" s="134" t="s">
        <v>538</v>
      </c>
      <c r="C1215" s="134"/>
      <c r="D1215" s="17" t="s">
        <v>399</v>
      </c>
      <c r="E1215" s="68">
        <v>1</v>
      </c>
      <c r="F1215" s="27">
        <v>0</v>
      </c>
      <c r="G1215" s="32">
        <f>INSUMOS!$D$75</f>
        <v>2500</v>
      </c>
      <c r="H1215" s="66">
        <f>E1215*(1+F1215)*G1215</f>
        <v>2500</v>
      </c>
    </row>
    <row r="1216" spans="2:8" ht="15" customHeight="1" x14ac:dyDescent="0.3">
      <c r="B1216" s="134" t="s">
        <v>539</v>
      </c>
      <c r="C1216" s="134"/>
      <c r="D1216" s="17" t="s">
        <v>399</v>
      </c>
      <c r="E1216" s="68">
        <v>0.05</v>
      </c>
      <c r="F1216" s="27">
        <v>0</v>
      </c>
      <c r="G1216" s="32">
        <f>INSUMOS!$D$83</f>
        <v>18000</v>
      </c>
      <c r="H1216" s="66">
        <f>E1216*(1+F1216)*G1216</f>
        <v>900</v>
      </c>
    </row>
    <row r="1217" spans="2:8" ht="15" customHeight="1" x14ac:dyDescent="0.3">
      <c r="G1217" s="31" t="s">
        <v>394</v>
      </c>
      <c r="H1217" s="67">
        <f>SUM(H1214:H1216)</f>
        <v>16900</v>
      </c>
    </row>
    <row r="1218" spans="2:8" ht="15" customHeight="1" x14ac:dyDescent="0.3">
      <c r="B1218" s="135" t="s">
        <v>404</v>
      </c>
      <c r="C1218" s="135"/>
      <c r="D1218" s="135"/>
      <c r="E1218" s="135"/>
      <c r="F1218" s="135"/>
      <c r="G1218" s="135"/>
      <c r="H1218" s="135"/>
    </row>
    <row r="1219" spans="2:8" ht="15" customHeight="1" x14ac:dyDescent="0.3">
      <c r="B1219" s="123" t="s">
        <v>94</v>
      </c>
      <c r="C1219" s="123"/>
      <c r="D1219" s="31" t="s">
        <v>383</v>
      </c>
      <c r="E1219" s="31" t="s">
        <v>96</v>
      </c>
      <c r="F1219" s="31"/>
      <c r="G1219" s="31" t="s">
        <v>364</v>
      </c>
      <c r="H1219" s="31" t="s">
        <v>391</v>
      </c>
    </row>
    <row r="1220" spans="2:8" ht="15" customHeight="1" x14ac:dyDescent="0.3">
      <c r="B1220" s="137" t="s">
        <v>405</v>
      </c>
      <c r="C1220" s="137"/>
      <c r="D1220" s="29"/>
      <c r="E1220" s="29"/>
      <c r="F1220" s="29"/>
      <c r="G1220" s="29"/>
      <c r="H1220" s="66">
        <v>0</v>
      </c>
    </row>
    <row r="1221" spans="2:8" ht="15" customHeight="1" x14ac:dyDescent="0.3">
      <c r="G1221" s="31" t="s">
        <v>394</v>
      </c>
      <c r="H1221" s="67">
        <f>SUM(H1220:H1220)</f>
        <v>0</v>
      </c>
    </row>
    <row r="1222" spans="2:8" ht="15" customHeight="1" x14ac:dyDescent="0.3">
      <c r="B1222" s="135" t="s">
        <v>406</v>
      </c>
      <c r="C1222" s="135"/>
      <c r="D1222" s="135"/>
      <c r="E1222" s="135"/>
      <c r="F1222" s="135"/>
      <c r="G1222" s="135"/>
      <c r="H1222" s="135"/>
    </row>
    <row r="1223" spans="2:8" ht="24" customHeight="1" x14ac:dyDescent="0.3">
      <c r="B1223" s="123" t="s">
        <v>407</v>
      </c>
      <c r="C1223" s="123"/>
      <c r="D1223" s="123"/>
      <c r="E1223" s="31" t="s">
        <v>96</v>
      </c>
      <c r="F1223" s="31" t="s">
        <v>408</v>
      </c>
      <c r="G1223" s="31" t="s">
        <v>390</v>
      </c>
      <c r="H1223" s="31" t="s">
        <v>391</v>
      </c>
    </row>
    <row r="1224" spans="2:8" ht="15" customHeight="1" x14ac:dyDescent="0.3">
      <c r="B1224" s="134" t="s">
        <v>540</v>
      </c>
      <c r="C1224" s="134"/>
      <c r="D1224" s="134"/>
      <c r="E1224" s="69">
        <v>1</v>
      </c>
      <c r="F1224" s="32">
        <f>'MANO DE OBRA'!$H$24</f>
        <v>264874.25647260272</v>
      </c>
      <c r="G1224" s="68">
        <v>0.05</v>
      </c>
      <c r="H1224" s="66">
        <f>E1224*F1224*G1224</f>
        <v>13243.712823630136</v>
      </c>
    </row>
    <row r="1225" spans="2:8" ht="15" customHeight="1" x14ac:dyDescent="0.3">
      <c r="B1225" s="134" t="s">
        <v>410</v>
      </c>
      <c r="C1225" s="134"/>
      <c r="D1225" s="134"/>
      <c r="E1225" s="69">
        <v>1</v>
      </c>
      <c r="F1225" s="32">
        <f>'MANO DE OBRA'!$H$23</f>
        <v>121976.08717808221</v>
      </c>
      <c r="G1225" s="68">
        <v>0.05</v>
      </c>
      <c r="H1225" s="66">
        <f>E1225*F1225*G1225</f>
        <v>6098.8043589041108</v>
      </c>
    </row>
    <row r="1226" spans="2:8" ht="15" customHeight="1" x14ac:dyDescent="0.3">
      <c r="G1226" s="31" t="s">
        <v>394</v>
      </c>
      <c r="H1226" s="67">
        <f>SUM(H1224:H1225)</f>
        <v>19342.517182534248</v>
      </c>
    </row>
    <row r="1227" spans="2:8" ht="15" customHeight="1" x14ac:dyDescent="0.3"/>
    <row r="1228" spans="2:8" ht="15" customHeight="1" x14ac:dyDescent="0.3">
      <c r="B1228" s="115" t="s">
        <v>295</v>
      </c>
      <c r="C1228" s="115"/>
      <c r="D1228" s="115"/>
      <c r="E1228" s="115"/>
      <c r="F1228" s="115"/>
      <c r="G1228" s="115"/>
      <c r="H1228" s="70">
        <f>H1211+H1217+H1221+H1226</f>
        <v>37209.643041660958</v>
      </c>
    </row>
    <row r="1229" spans="2:8" ht="15" customHeight="1" x14ac:dyDescent="0.3"/>
    <row r="1230" spans="2:8" ht="15" customHeight="1" x14ac:dyDescent="0.3">
      <c r="B1230" s="71" t="s">
        <v>411</v>
      </c>
    </row>
    <row r="1231" spans="2:8" ht="15" customHeight="1" x14ac:dyDescent="0.3">
      <c r="B1231" s="123" t="s">
        <v>94</v>
      </c>
      <c r="C1231" s="123"/>
      <c r="D1231" s="123"/>
      <c r="E1231" s="123"/>
      <c r="F1231" s="123"/>
      <c r="G1231" s="31" t="s">
        <v>412</v>
      </c>
      <c r="H1231" s="31" t="s">
        <v>4</v>
      </c>
    </row>
    <row r="1232" spans="2:8" ht="15" customHeight="1" x14ac:dyDescent="0.3">
      <c r="B1232" s="110" t="s">
        <v>73</v>
      </c>
      <c r="C1232" s="110"/>
      <c r="D1232" s="110"/>
      <c r="E1232" s="110"/>
      <c r="F1232" s="110"/>
      <c r="G1232" s="22">
        <f>'Datos Iniciales'!$B$32</f>
        <v>0.28999999999999998</v>
      </c>
      <c r="H1232" s="66">
        <f>H1228*G1232</f>
        <v>10790.796482081678</v>
      </c>
    </row>
    <row r="1233" spans="2:8" ht="15" customHeight="1" x14ac:dyDescent="0.3">
      <c r="B1233" s="110" t="s">
        <v>74</v>
      </c>
      <c r="C1233" s="110"/>
      <c r="D1233" s="110"/>
      <c r="E1233" s="110"/>
      <c r="F1233" s="110"/>
      <c r="G1233" s="22">
        <f>'Datos Iniciales'!$B$33</f>
        <v>0.05</v>
      </c>
      <c r="H1233" s="66">
        <f>H1228*G1233</f>
        <v>1860.482152083048</v>
      </c>
    </row>
    <row r="1234" spans="2:8" ht="15" customHeight="1" x14ac:dyDescent="0.3">
      <c r="B1234" s="138" t="s">
        <v>413</v>
      </c>
      <c r="C1234" s="138"/>
      <c r="D1234" s="138"/>
      <c r="E1234" s="138"/>
      <c r="F1234" s="138"/>
      <c r="G1234" s="60">
        <f>G1232+G1233</f>
        <v>0.33999999999999997</v>
      </c>
      <c r="H1234" s="67">
        <f>H1232+H1233</f>
        <v>12651.278634164726</v>
      </c>
    </row>
    <row r="1235" spans="2:8" ht="15" customHeight="1" x14ac:dyDescent="0.3"/>
    <row r="1236" spans="2:8" ht="15" customHeight="1" x14ac:dyDescent="0.3">
      <c r="B1236" s="139" t="s">
        <v>414</v>
      </c>
      <c r="C1236" s="139"/>
      <c r="D1236" s="139"/>
      <c r="E1236" s="139"/>
      <c r="F1236" s="139"/>
      <c r="G1236" s="139"/>
      <c r="H1236" s="37">
        <f>ROUND(H1228+H1234,0)</f>
        <v>49861</v>
      </c>
    </row>
    <row r="1237" spans="2:8" ht="15" customHeight="1" x14ac:dyDescent="0.3"/>
    <row r="1238" spans="2:8" ht="15" customHeight="1" x14ac:dyDescent="0.3"/>
    <row r="1239" spans="2:8" ht="15.75" customHeight="1" x14ac:dyDescent="0.3">
      <c r="B1239" s="123" t="s">
        <v>0</v>
      </c>
      <c r="C1239" s="123"/>
      <c r="D1239" s="123"/>
      <c r="E1239" s="123"/>
      <c r="F1239" s="123"/>
      <c r="G1239" s="123"/>
      <c r="H1239" s="110"/>
    </row>
    <row r="1240" spans="2:8" ht="15.75" customHeight="1" x14ac:dyDescent="0.3">
      <c r="B1240" s="123" t="s">
        <v>1</v>
      </c>
      <c r="C1240" s="123"/>
      <c r="D1240" s="123"/>
      <c r="E1240" s="123"/>
      <c r="F1240" s="123"/>
      <c r="G1240" s="123"/>
      <c r="H1240" s="110"/>
    </row>
    <row r="1241" spans="2:8" ht="24" customHeight="1" x14ac:dyDescent="0.3">
      <c r="B1241" s="136" t="str">
        <f>'Datos Iniciales'!$B$8</f>
        <v>OBRA PÚBLICA PARA LA EJECUCIÓN DE DIFERENTES MEJORAMIENTOS DE VIVIENDA EN EL CASCO URBANO Y RURAL DEL MUNICIPIO DE MACEO - ANTIOQUIA</v>
      </c>
      <c r="C1241" s="136"/>
      <c r="D1241" s="136"/>
      <c r="E1241" s="136"/>
      <c r="F1241" s="136"/>
      <c r="G1241" s="136"/>
      <c r="H1241" s="110"/>
    </row>
    <row r="1242" spans="2:8" ht="15.75" customHeight="1" x14ac:dyDescent="0.3">
      <c r="B1242" s="112" t="s">
        <v>381</v>
      </c>
      <c r="C1242" s="112"/>
      <c r="D1242" s="112"/>
      <c r="E1242" s="112"/>
      <c r="F1242" s="112"/>
      <c r="G1242" s="112"/>
      <c r="H1242" s="110"/>
    </row>
    <row r="1243" spans="2:8" ht="24" customHeight="1" x14ac:dyDescent="0.3">
      <c r="B1243" s="13" t="s">
        <v>382</v>
      </c>
      <c r="C1243" s="112" t="s">
        <v>94</v>
      </c>
      <c r="D1243" s="112"/>
      <c r="E1243" s="112"/>
      <c r="F1243" s="13" t="s">
        <v>383</v>
      </c>
      <c r="G1243" s="13" t="s">
        <v>384</v>
      </c>
      <c r="H1243" s="13" t="s">
        <v>385</v>
      </c>
    </row>
    <row r="1244" spans="2:8" ht="30" customHeight="1" x14ac:dyDescent="0.3">
      <c r="B1244" s="63" t="s">
        <v>550</v>
      </c>
      <c r="C1244" s="140" t="s">
        <v>141</v>
      </c>
      <c r="D1244" s="140"/>
      <c r="E1244" s="140"/>
      <c r="F1244" s="17" t="s">
        <v>137</v>
      </c>
      <c r="G1244" s="41">
        <f>PRESUPUESTO!$E$25+PRESUPUESTO!$E$60+PRESUPUESTO!$E$114</f>
        <v>11</v>
      </c>
      <c r="H1244" s="33">
        <f>H1269</f>
        <v>40309.643041660958</v>
      </c>
    </row>
    <row r="1245" spans="2:8" ht="15" customHeight="1" x14ac:dyDescent="0.3">
      <c r="B1245" s="137" t="s">
        <v>551</v>
      </c>
      <c r="C1245" s="137"/>
      <c r="D1245" s="137"/>
      <c r="E1245" s="137"/>
      <c r="F1245" s="137"/>
      <c r="G1245" s="137"/>
      <c r="H1245" s="137"/>
    </row>
    <row r="1246" spans="2:8" ht="15" customHeight="1" x14ac:dyDescent="0.3">
      <c r="B1246" s="64" t="s">
        <v>388</v>
      </c>
    </row>
    <row r="1247" spans="2:8" ht="15" customHeight="1" x14ac:dyDescent="0.3">
      <c r="B1247" s="135" t="s">
        <v>389</v>
      </c>
      <c r="C1247" s="135"/>
      <c r="D1247" s="135"/>
      <c r="E1247" s="135"/>
      <c r="F1247" s="135"/>
      <c r="G1247" s="135"/>
      <c r="H1247" s="135"/>
    </row>
    <row r="1248" spans="2:8" ht="24" customHeight="1" x14ac:dyDescent="0.3">
      <c r="B1248" s="123" t="s">
        <v>94</v>
      </c>
      <c r="C1248" s="123"/>
      <c r="D1248" s="123"/>
      <c r="E1248" s="31" t="s">
        <v>383</v>
      </c>
      <c r="F1248" s="31" t="s">
        <v>364</v>
      </c>
      <c r="G1248" s="31" t="s">
        <v>390</v>
      </c>
      <c r="H1248" s="31" t="s">
        <v>391</v>
      </c>
    </row>
    <row r="1249" spans="2:8" ht="15" customHeight="1" x14ac:dyDescent="0.3">
      <c r="B1249" s="134" t="s">
        <v>392</v>
      </c>
      <c r="C1249" s="134"/>
      <c r="D1249" s="134"/>
      <c r="E1249" s="17" t="s">
        <v>393</v>
      </c>
      <c r="F1249" s="22">
        <f>EQUIPOS!$D$3</f>
        <v>0.05</v>
      </c>
      <c r="G1249" s="65">
        <f>H1267</f>
        <v>19342.517182534248</v>
      </c>
      <c r="H1249" s="66">
        <f>F1249*G1249</f>
        <v>967.12585912671238</v>
      </c>
    </row>
    <row r="1250" spans="2:8" ht="15" customHeight="1" x14ac:dyDescent="0.3">
      <c r="B1250" s="134" t="s">
        <v>552</v>
      </c>
      <c r="C1250" s="134"/>
      <c r="D1250" s="134"/>
      <c r="E1250" s="17" t="s">
        <v>421</v>
      </c>
      <c r="F1250" s="65">
        <f>EQUIPOS!$D$11</f>
        <v>12000</v>
      </c>
      <c r="G1250" s="68">
        <v>0.05</v>
      </c>
      <c r="H1250" s="66">
        <f>F1250*G1250</f>
        <v>600</v>
      </c>
    </row>
    <row r="1251" spans="2:8" ht="15" customHeight="1" x14ac:dyDescent="0.3">
      <c r="G1251" s="31" t="s">
        <v>394</v>
      </c>
      <c r="H1251" s="67">
        <f>SUM(H1249:H1250)</f>
        <v>1567.1258591267124</v>
      </c>
    </row>
    <row r="1252" spans="2:8" ht="15" customHeight="1" x14ac:dyDescent="0.3">
      <c r="B1252" s="135" t="s">
        <v>395</v>
      </c>
      <c r="C1252" s="135"/>
      <c r="D1252" s="135"/>
      <c r="E1252" s="135"/>
      <c r="F1252" s="135"/>
      <c r="G1252" s="135"/>
      <c r="H1252" s="135"/>
    </row>
    <row r="1253" spans="2:8" ht="15" customHeight="1" x14ac:dyDescent="0.3">
      <c r="B1253" s="123" t="s">
        <v>94</v>
      </c>
      <c r="C1253" s="123"/>
      <c r="D1253" s="31" t="s">
        <v>383</v>
      </c>
      <c r="E1253" s="31" t="s">
        <v>96</v>
      </c>
      <c r="F1253" s="31" t="s">
        <v>396</v>
      </c>
      <c r="G1253" s="31" t="s">
        <v>397</v>
      </c>
      <c r="H1253" s="31" t="s">
        <v>391</v>
      </c>
    </row>
    <row r="1254" spans="2:8" ht="15" customHeight="1" x14ac:dyDescent="0.3">
      <c r="B1254" s="134" t="s">
        <v>553</v>
      </c>
      <c r="C1254" s="134"/>
      <c r="D1254" s="17" t="s">
        <v>399</v>
      </c>
      <c r="E1254" s="68">
        <v>1</v>
      </c>
      <c r="F1254" s="27">
        <v>0</v>
      </c>
      <c r="G1254" s="32">
        <f>INSUMOS!$D$81</f>
        <v>6800</v>
      </c>
      <c r="H1254" s="66">
        <f>E1254*(1+F1254)*G1254</f>
        <v>6800</v>
      </c>
    </row>
    <row r="1255" spans="2:8" ht="15" customHeight="1" x14ac:dyDescent="0.3">
      <c r="B1255" s="134" t="s">
        <v>554</v>
      </c>
      <c r="C1255" s="134"/>
      <c r="D1255" s="17" t="s">
        <v>399</v>
      </c>
      <c r="E1255" s="68">
        <v>1</v>
      </c>
      <c r="F1255" s="27">
        <v>0</v>
      </c>
      <c r="G1255" s="32">
        <f>INSUMOS!$D$76</f>
        <v>5200</v>
      </c>
      <c r="H1255" s="66">
        <f>E1255*(1+F1255)*G1255</f>
        <v>5200</v>
      </c>
    </row>
    <row r="1256" spans="2:8" ht="15" customHeight="1" x14ac:dyDescent="0.3">
      <c r="B1256" s="134" t="s">
        <v>555</v>
      </c>
      <c r="C1256" s="134"/>
      <c r="D1256" s="17" t="s">
        <v>399</v>
      </c>
      <c r="E1256" s="68">
        <v>1</v>
      </c>
      <c r="F1256" s="27">
        <v>0</v>
      </c>
      <c r="G1256" s="32">
        <f>INSUMOS!$D$82</f>
        <v>6500</v>
      </c>
      <c r="H1256" s="66">
        <f>E1256*(1+F1256)*G1256</f>
        <v>6500</v>
      </c>
    </row>
    <row r="1257" spans="2:8" ht="15" customHeight="1" x14ac:dyDescent="0.3">
      <c r="B1257" s="134" t="s">
        <v>539</v>
      </c>
      <c r="C1257" s="134"/>
      <c r="D1257" s="17" t="s">
        <v>399</v>
      </c>
      <c r="E1257" s="68">
        <v>0.05</v>
      </c>
      <c r="F1257" s="27">
        <v>0</v>
      </c>
      <c r="G1257" s="32">
        <f>INSUMOS!$D$83</f>
        <v>18000</v>
      </c>
      <c r="H1257" s="66">
        <f>E1257*(1+F1257)*G1257</f>
        <v>900</v>
      </c>
    </row>
    <row r="1258" spans="2:8" ht="15" customHeight="1" x14ac:dyDescent="0.3">
      <c r="G1258" s="31" t="s">
        <v>394</v>
      </c>
      <c r="H1258" s="67">
        <f>SUM(H1254:H1257)</f>
        <v>19400</v>
      </c>
    </row>
    <row r="1259" spans="2:8" ht="15" customHeight="1" x14ac:dyDescent="0.3">
      <c r="B1259" s="135" t="s">
        <v>404</v>
      </c>
      <c r="C1259" s="135"/>
      <c r="D1259" s="135"/>
      <c r="E1259" s="135"/>
      <c r="F1259" s="135"/>
      <c r="G1259" s="135"/>
      <c r="H1259" s="135"/>
    </row>
    <row r="1260" spans="2:8" ht="15" customHeight="1" x14ac:dyDescent="0.3">
      <c r="B1260" s="123" t="s">
        <v>94</v>
      </c>
      <c r="C1260" s="123"/>
      <c r="D1260" s="31" t="s">
        <v>383</v>
      </c>
      <c r="E1260" s="31" t="s">
        <v>96</v>
      </c>
      <c r="F1260" s="31"/>
      <c r="G1260" s="31" t="s">
        <v>364</v>
      </c>
      <c r="H1260" s="31" t="s">
        <v>391</v>
      </c>
    </row>
    <row r="1261" spans="2:8" ht="15" customHeight="1" x14ac:dyDescent="0.3">
      <c r="B1261" s="137" t="s">
        <v>405</v>
      </c>
      <c r="C1261" s="137"/>
      <c r="D1261" s="29"/>
      <c r="E1261" s="29"/>
      <c r="F1261" s="29"/>
      <c r="G1261" s="29"/>
      <c r="H1261" s="66">
        <v>0</v>
      </c>
    </row>
    <row r="1262" spans="2:8" ht="15" customHeight="1" x14ac:dyDescent="0.3">
      <c r="G1262" s="31" t="s">
        <v>394</v>
      </c>
      <c r="H1262" s="67">
        <f>SUM(H1261:H1261)</f>
        <v>0</v>
      </c>
    </row>
    <row r="1263" spans="2:8" ht="15" customHeight="1" x14ac:dyDescent="0.3">
      <c r="B1263" s="135" t="s">
        <v>406</v>
      </c>
      <c r="C1263" s="135"/>
      <c r="D1263" s="135"/>
      <c r="E1263" s="135"/>
      <c r="F1263" s="135"/>
      <c r="G1263" s="135"/>
      <c r="H1263" s="135"/>
    </row>
    <row r="1264" spans="2:8" ht="24" customHeight="1" x14ac:dyDescent="0.3">
      <c r="B1264" s="123" t="s">
        <v>407</v>
      </c>
      <c r="C1264" s="123"/>
      <c r="D1264" s="123"/>
      <c r="E1264" s="31" t="s">
        <v>96</v>
      </c>
      <c r="F1264" s="31" t="s">
        <v>408</v>
      </c>
      <c r="G1264" s="31" t="s">
        <v>390</v>
      </c>
      <c r="H1264" s="31" t="s">
        <v>391</v>
      </c>
    </row>
    <row r="1265" spans="2:8" ht="15" customHeight="1" x14ac:dyDescent="0.3">
      <c r="B1265" s="134" t="s">
        <v>540</v>
      </c>
      <c r="C1265" s="134"/>
      <c r="D1265" s="134"/>
      <c r="E1265" s="69">
        <v>1</v>
      </c>
      <c r="F1265" s="32">
        <f>'MANO DE OBRA'!$H$24</f>
        <v>264874.25647260272</v>
      </c>
      <c r="G1265" s="68">
        <v>0.05</v>
      </c>
      <c r="H1265" s="66">
        <f>E1265*F1265*G1265</f>
        <v>13243.712823630136</v>
      </c>
    </row>
    <row r="1266" spans="2:8" ht="15" customHeight="1" x14ac:dyDescent="0.3">
      <c r="B1266" s="134" t="s">
        <v>410</v>
      </c>
      <c r="C1266" s="134"/>
      <c r="D1266" s="134"/>
      <c r="E1266" s="69">
        <v>1</v>
      </c>
      <c r="F1266" s="32">
        <f>'MANO DE OBRA'!$H$23</f>
        <v>121976.08717808221</v>
      </c>
      <c r="G1266" s="68">
        <v>0.05</v>
      </c>
      <c r="H1266" s="66">
        <f>E1266*F1266*G1266</f>
        <v>6098.8043589041108</v>
      </c>
    </row>
    <row r="1267" spans="2:8" ht="15" customHeight="1" x14ac:dyDescent="0.3">
      <c r="G1267" s="31" t="s">
        <v>394</v>
      </c>
      <c r="H1267" s="67">
        <f>SUM(H1265:H1266)</f>
        <v>19342.517182534248</v>
      </c>
    </row>
    <row r="1268" spans="2:8" ht="15" customHeight="1" x14ac:dyDescent="0.3"/>
    <row r="1269" spans="2:8" ht="15" customHeight="1" x14ac:dyDescent="0.3">
      <c r="B1269" s="115" t="s">
        <v>295</v>
      </c>
      <c r="C1269" s="115"/>
      <c r="D1269" s="115"/>
      <c r="E1269" s="115"/>
      <c r="F1269" s="115"/>
      <c r="G1269" s="115"/>
      <c r="H1269" s="70">
        <f>H1251+H1258+H1262+H1267</f>
        <v>40309.643041660958</v>
      </c>
    </row>
    <row r="1270" spans="2:8" ht="15" customHeight="1" x14ac:dyDescent="0.3"/>
    <row r="1271" spans="2:8" ht="15" customHeight="1" x14ac:dyDescent="0.3">
      <c r="B1271" s="71" t="s">
        <v>411</v>
      </c>
    </row>
    <row r="1272" spans="2:8" ht="15" customHeight="1" x14ac:dyDescent="0.3">
      <c r="B1272" s="123" t="s">
        <v>94</v>
      </c>
      <c r="C1272" s="123"/>
      <c r="D1272" s="123"/>
      <c r="E1272" s="123"/>
      <c r="F1272" s="123"/>
      <c r="G1272" s="31" t="s">
        <v>412</v>
      </c>
      <c r="H1272" s="31" t="s">
        <v>4</v>
      </c>
    </row>
    <row r="1273" spans="2:8" ht="15" customHeight="1" x14ac:dyDescent="0.3">
      <c r="B1273" s="110" t="s">
        <v>73</v>
      </c>
      <c r="C1273" s="110"/>
      <c r="D1273" s="110"/>
      <c r="E1273" s="110"/>
      <c r="F1273" s="110"/>
      <c r="G1273" s="22">
        <f>'Datos Iniciales'!$B$32</f>
        <v>0.28999999999999998</v>
      </c>
      <c r="H1273" s="66">
        <f>H1269*G1273</f>
        <v>11689.796482081678</v>
      </c>
    </row>
    <row r="1274" spans="2:8" ht="15" customHeight="1" x14ac:dyDescent="0.3">
      <c r="B1274" s="110" t="s">
        <v>74</v>
      </c>
      <c r="C1274" s="110"/>
      <c r="D1274" s="110"/>
      <c r="E1274" s="110"/>
      <c r="F1274" s="110"/>
      <c r="G1274" s="22">
        <f>'Datos Iniciales'!$B$33</f>
        <v>0.05</v>
      </c>
      <c r="H1274" s="66">
        <f>H1269*G1274</f>
        <v>2015.482152083048</v>
      </c>
    </row>
    <row r="1275" spans="2:8" ht="15" customHeight="1" x14ac:dyDescent="0.3">
      <c r="B1275" s="138" t="s">
        <v>413</v>
      </c>
      <c r="C1275" s="138"/>
      <c r="D1275" s="138"/>
      <c r="E1275" s="138"/>
      <c r="F1275" s="138"/>
      <c r="G1275" s="60">
        <f>G1273+G1274</f>
        <v>0.33999999999999997</v>
      </c>
      <c r="H1275" s="67">
        <f>H1273+H1274</f>
        <v>13705.278634164726</v>
      </c>
    </row>
    <row r="1276" spans="2:8" ht="15" customHeight="1" x14ac:dyDescent="0.3"/>
    <row r="1277" spans="2:8" ht="15" customHeight="1" x14ac:dyDescent="0.3">
      <c r="B1277" s="139" t="s">
        <v>414</v>
      </c>
      <c r="C1277" s="139"/>
      <c r="D1277" s="139"/>
      <c r="E1277" s="139"/>
      <c r="F1277" s="139"/>
      <c r="G1277" s="139"/>
      <c r="H1277" s="37">
        <f>ROUND(H1269+H1275,0)</f>
        <v>54015</v>
      </c>
    </row>
    <row r="1278" spans="2:8" ht="15" customHeight="1" x14ac:dyDescent="0.3"/>
    <row r="1279" spans="2:8" ht="15" customHeight="1" x14ac:dyDescent="0.3"/>
    <row r="1280" spans="2:8" ht="15.75" customHeight="1" x14ac:dyDescent="0.3">
      <c r="B1280" s="123" t="s">
        <v>0</v>
      </c>
      <c r="C1280" s="123"/>
      <c r="D1280" s="123"/>
      <c r="E1280" s="123"/>
      <c r="F1280" s="123"/>
      <c r="G1280" s="123"/>
      <c r="H1280" s="110"/>
    </row>
    <row r="1281" spans="2:8" ht="15.75" customHeight="1" x14ac:dyDescent="0.3">
      <c r="B1281" s="123" t="s">
        <v>1</v>
      </c>
      <c r="C1281" s="123"/>
      <c r="D1281" s="123"/>
      <c r="E1281" s="123"/>
      <c r="F1281" s="123"/>
      <c r="G1281" s="123"/>
      <c r="H1281" s="110"/>
    </row>
    <row r="1282" spans="2:8" ht="24" customHeight="1" x14ac:dyDescent="0.3">
      <c r="B1282" s="136" t="str">
        <f>'Datos Iniciales'!$B$8</f>
        <v>OBRA PÚBLICA PARA LA EJECUCIÓN DE DIFERENTES MEJORAMIENTOS DE VIVIENDA EN EL CASCO URBANO Y RURAL DEL MUNICIPIO DE MACEO - ANTIOQUIA</v>
      </c>
      <c r="C1282" s="136"/>
      <c r="D1282" s="136"/>
      <c r="E1282" s="136"/>
      <c r="F1282" s="136"/>
      <c r="G1282" s="136"/>
      <c r="H1282" s="110"/>
    </row>
    <row r="1283" spans="2:8" ht="15.75" customHeight="1" x14ac:dyDescent="0.3">
      <c r="B1283" s="112" t="s">
        <v>381</v>
      </c>
      <c r="C1283" s="112"/>
      <c r="D1283" s="112"/>
      <c r="E1283" s="112"/>
      <c r="F1283" s="112"/>
      <c r="G1283" s="112"/>
      <c r="H1283" s="110"/>
    </row>
    <row r="1284" spans="2:8" ht="24" customHeight="1" x14ac:dyDescent="0.3">
      <c r="B1284" s="13" t="s">
        <v>382</v>
      </c>
      <c r="C1284" s="112" t="s">
        <v>94</v>
      </c>
      <c r="D1284" s="112"/>
      <c r="E1284" s="112"/>
      <c r="F1284" s="13" t="s">
        <v>383</v>
      </c>
      <c r="G1284" s="13" t="s">
        <v>384</v>
      </c>
      <c r="H1284" s="13" t="s">
        <v>385</v>
      </c>
    </row>
    <row r="1285" spans="2:8" ht="31.5" customHeight="1" x14ac:dyDescent="0.3">
      <c r="B1285" s="63" t="s">
        <v>556</v>
      </c>
      <c r="C1285" s="140" t="s">
        <v>132</v>
      </c>
      <c r="D1285" s="140"/>
      <c r="E1285" s="140"/>
      <c r="F1285" s="17" t="s">
        <v>107</v>
      </c>
      <c r="G1285" s="41">
        <f>PRESUPUESTO!$E$21+PRESUPUESTO!$E$56+PRESUPUESTO!$E$109</f>
        <v>78</v>
      </c>
      <c r="H1285" s="33">
        <f>H1307</f>
        <v>9192.892912498286</v>
      </c>
    </row>
    <row r="1286" spans="2:8" ht="15" customHeight="1" x14ac:dyDescent="0.3">
      <c r="B1286" s="137" t="s">
        <v>557</v>
      </c>
      <c r="C1286" s="137"/>
      <c r="D1286" s="137"/>
      <c r="E1286" s="137"/>
      <c r="F1286" s="137"/>
      <c r="G1286" s="137"/>
      <c r="H1286" s="137"/>
    </row>
    <row r="1287" spans="2:8" ht="15" customHeight="1" x14ac:dyDescent="0.3">
      <c r="B1287" s="64" t="s">
        <v>388</v>
      </c>
    </row>
    <row r="1288" spans="2:8" ht="15" customHeight="1" x14ac:dyDescent="0.3">
      <c r="B1288" s="135" t="s">
        <v>389</v>
      </c>
      <c r="C1288" s="135"/>
      <c r="D1288" s="135"/>
      <c r="E1288" s="135"/>
      <c r="F1288" s="135"/>
      <c r="G1288" s="135"/>
      <c r="H1288" s="135"/>
    </row>
    <row r="1289" spans="2:8" ht="24" customHeight="1" x14ac:dyDescent="0.3">
      <c r="B1289" s="123" t="s">
        <v>94</v>
      </c>
      <c r="C1289" s="123"/>
      <c r="D1289" s="123"/>
      <c r="E1289" s="31" t="s">
        <v>383</v>
      </c>
      <c r="F1289" s="31" t="s">
        <v>364</v>
      </c>
      <c r="G1289" s="31" t="s">
        <v>390</v>
      </c>
      <c r="H1289" s="31" t="s">
        <v>391</v>
      </c>
    </row>
    <row r="1290" spans="2:8" ht="15" customHeight="1" x14ac:dyDescent="0.3">
      <c r="B1290" s="134" t="s">
        <v>392</v>
      </c>
      <c r="C1290" s="134"/>
      <c r="D1290" s="134"/>
      <c r="E1290" s="17" t="s">
        <v>393</v>
      </c>
      <c r="F1290" s="22">
        <f>EQUIPOS!$D$3</f>
        <v>0.05</v>
      </c>
      <c r="G1290" s="65">
        <f>H1305</f>
        <v>5802.7551547602734</v>
      </c>
      <c r="H1290" s="66">
        <f>F1290*G1290</f>
        <v>290.1377577380137</v>
      </c>
    </row>
    <row r="1291" spans="2:8" ht="15" customHeight="1" x14ac:dyDescent="0.3">
      <c r="G1291" s="31" t="s">
        <v>394</v>
      </c>
      <c r="H1291" s="67">
        <f>SUM(H1290:H1290)</f>
        <v>290.1377577380137</v>
      </c>
    </row>
    <row r="1292" spans="2:8" ht="15" customHeight="1" x14ac:dyDescent="0.3">
      <c r="B1292" s="135" t="s">
        <v>395</v>
      </c>
      <c r="C1292" s="135"/>
      <c r="D1292" s="135"/>
      <c r="E1292" s="135"/>
      <c r="F1292" s="135"/>
      <c r="G1292" s="135"/>
      <c r="H1292" s="135"/>
    </row>
    <row r="1293" spans="2:8" ht="15" customHeight="1" x14ac:dyDescent="0.3">
      <c r="B1293" s="123" t="s">
        <v>94</v>
      </c>
      <c r="C1293" s="123"/>
      <c r="D1293" s="31" t="s">
        <v>383</v>
      </c>
      <c r="E1293" s="31" t="s">
        <v>96</v>
      </c>
      <c r="F1293" s="31" t="s">
        <v>396</v>
      </c>
      <c r="G1293" s="31" t="s">
        <v>397</v>
      </c>
      <c r="H1293" s="31" t="s">
        <v>391</v>
      </c>
    </row>
    <row r="1294" spans="2:8" ht="15" customHeight="1" x14ac:dyDescent="0.3">
      <c r="B1294" s="134" t="s">
        <v>558</v>
      </c>
      <c r="C1294" s="134"/>
      <c r="D1294" s="17" t="s">
        <v>488</v>
      </c>
      <c r="E1294" s="68">
        <v>1</v>
      </c>
      <c r="F1294" s="27">
        <v>0.05</v>
      </c>
      <c r="G1294" s="32">
        <f>INSUMOS!$D$72</f>
        <v>2000</v>
      </c>
      <c r="H1294" s="66">
        <f>E1294*(1+F1294)*G1294</f>
        <v>2100</v>
      </c>
    </row>
    <row r="1295" spans="2:8" ht="15" customHeight="1" x14ac:dyDescent="0.3">
      <c r="B1295" s="134" t="s">
        <v>559</v>
      </c>
      <c r="C1295" s="134"/>
      <c r="D1295" s="17" t="s">
        <v>399</v>
      </c>
      <c r="E1295" s="68">
        <v>0.5</v>
      </c>
      <c r="F1295" s="27">
        <v>0</v>
      </c>
      <c r="G1295" s="32">
        <f>INSUMOS!$D$73</f>
        <v>2000</v>
      </c>
      <c r="H1295" s="66">
        <f>E1295*(1+F1295)*G1295</f>
        <v>1000</v>
      </c>
    </row>
    <row r="1296" spans="2:8" ht="15" customHeight="1" x14ac:dyDescent="0.3">
      <c r="G1296" s="31" t="s">
        <v>394</v>
      </c>
      <c r="H1296" s="67">
        <f>SUM(H1294:H1295)</f>
        <v>3100</v>
      </c>
    </row>
    <row r="1297" spans="2:8" ht="15" customHeight="1" x14ac:dyDescent="0.3">
      <c r="B1297" s="135" t="s">
        <v>404</v>
      </c>
      <c r="C1297" s="135"/>
      <c r="D1297" s="135"/>
      <c r="E1297" s="135"/>
      <c r="F1297" s="135"/>
      <c r="G1297" s="135"/>
      <c r="H1297" s="135"/>
    </row>
    <row r="1298" spans="2:8" ht="15" customHeight="1" x14ac:dyDescent="0.3">
      <c r="B1298" s="123" t="s">
        <v>94</v>
      </c>
      <c r="C1298" s="123"/>
      <c r="D1298" s="31" t="s">
        <v>383</v>
      </c>
      <c r="E1298" s="31" t="s">
        <v>96</v>
      </c>
      <c r="F1298" s="31"/>
      <c r="G1298" s="31" t="s">
        <v>364</v>
      </c>
      <c r="H1298" s="31" t="s">
        <v>391</v>
      </c>
    </row>
    <row r="1299" spans="2:8" ht="15" customHeight="1" x14ac:dyDescent="0.3">
      <c r="B1299" s="137" t="s">
        <v>405</v>
      </c>
      <c r="C1299" s="137"/>
      <c r="D1299" s="29"/>
      <c r="E1299" s="29"/>
      <c r="F1299" s="29"/>
      <c r="G1299" s="29"/>
      <c r="H1299" s="66">
        <v>0</v>
      </c>
    </row>
    <row r="1300" spans="2:8" ht="15" customHeight="1" x14ac:dyDescent="0.3">
      <c r="G1300" s="31" t="s">
        <v>394</v>
      </c>
      <c r="H1300" s="67">
        <f>SUM(H1299:H1299)</f>
        <v>0</v>
      </c>
    </row>
    <row r="1301" spans="2:8" ht="15" customHeight="1" x14ac:dyDescent="0.3">
      <c r="B1301" s="135" t="s">
        <v>406</v>
      </c>
      <c r="C1301" s="135"/>
      <c r="D1301" s="135"/>
      <c r="E1301" s="135"/>
      <c r="F1301" s="135"/>
      <c r="G1301" s="135"/>
      <c r="H1301" s="135"/>
    </row>
    <row r="1302" spans="2:8" ht="24" customHeight="1" x14ac:dyDescent="0.3">
      <c r="B1302" s="123" t="s">
        <v>407</v>
      </c>
      <c r="C1302" s="123"/>
      <c r="D1302" s="123"/>
      <c r="E1302" s="31" t="s">
        <v>96</v>
      </c>
      <c r="F1302" s="31" t="s">
        <v>408</v>
      </c>
      <c r="G1302" s="31" t="s">
        <v>390</v>
      </c>
      <c r="H1302" s="31" t="s">
        <v>391</v>
      </c>
    </row>
    <row r="1303" spans="2:8" ht="15" customHeight="1" x14ac:dyDescent="0.3">
      <c r="B1303" s="134" t="s">
        <v>540</v>
      </c>
      <c r="C1303" s="134"/>
      <c r="D1303" s="134"/>
      <c r="E1303" s="69">
        <v>1</v>
      </c>
      <c r="F1303" s="32">
        <f>'MANO DE OBRA'!$H$24</f>
        <v>264874.25647260272</v>
      </c>
      <c r="G1303" s="68">
        <v>1.4999999999999999E-2</v>
      </c>
      <c r="H1303" s="66">
        <f>E1303*F1303*G1303</f>
        <v>3973.1138470890405</v>
      </c>
    </row>
    <row r="1304" spans="2:8" ht="15" customHeight="1" x14ac:dyDescent="0.3">
      <c r="B1304" s="134" t="s">
        <v>410</v>
      </c>
      <c r="C1304" s="134"/>
      <c r="D1304" s="134"/>
      <c r="E1304" s="69">
        <v>1</v>
      </c>
      <c r="F1304" s="32">
        <f>'MANO DE OBRA'!$H$23</f>
        <v>121976.08717808221</v>
      </c>
      <c r="G1304" s="68">
        <v>1.4999999999999999E-2</v>
      </c>
      <c r="H1304" s="66">
        <f>E1304*F1304*G1304</f>
        <v>1829.6413076712331</v>
      </c>
    </row>
    <row r="1305" spans="2:8" ht="15" customHeight="1" x14ac:dyDescent="0.3">
      <c r="G1305" s="31" t="s">
        <v>394</v>
      </c>
      <c r="H1305" s="67">
        <f>SUM(H1303:H1304)</f>
        <v>5802.7551547602734</v>
      </c>
    </row>
    <row r="1306" spans="2:8" ht="15" customHeight="1" x14ac:dyDescent="0.3"/>
    <row r="1307" spans="2:8" ht="15" customHeight="1" x14ac:dyDescent="0.3">
      <c r="B1307" s="115" t="s">
        <v>295</v>
      </c>
      <c r="C1307" s="115"/>
      <c r="D1307" s="115"/>
      <c r="E1307" s="115"/>
      <c r="F1307" s="115"/>
      <c r="G1307" s="115"/>
      <c r="H1307" s="70">
        <f>H1291+H1296+H1300+H1305</f>
        <v>9192.892912498286</v>
      </c>
    </row>
    <row r="1308" spans="2:8" ht="15" customHeight="1" x14ac:dyDescent="0.3"/>
    <row r="1309" spans="2:8" ht="15" customHeight="1" x14ac:dyDescent="0.3">
      <c r="B1309" s="71" t="s">
        <v>411</v>
      </c>
    </row>
    <row r="1310" spans="2:8" ht="15" customHeight="1" x14ac:dyDescent="0.3">
      <c r="B1310" s="123" t="s">
        <v>94</v>
      </c>
      <c r="C1310" s="123"/>
      <c r="D1310" s="123"/>
      <c r="E1310" s="123"/>
      <c r="F1310" s="123"/>
      <c r="G1310" s="31" t="s">
        <v>412</v>
      </c>
      <c r="H1310" s="31" t="s">
        <v>4</v>
      </c>
    </row>
    <row r="1311" spans="2:8" ht="15" customHeight="1" x14ac:dyDescent="0.3">
      <c r="B1311" s="110" t="s">
        <v>73</v>
      </c>
      <c r="C1311" s="110"/>
      <c r="D1311" s="110"/>
      <c r="E1311" s="110"/>
      <c r="F1311" s="110"/>
      <c r="G1311" s="22">
        <f>'Datos Iniciales'!$B$32</f>
        <v>0.28999999999999998</v>
      </c>
      <c r="H1311" s="66">
        <f>H1307*G1311</f>
        <v>2665.9389446245027</v>
      </c>
    </row>
    <row r="1312" spans="2:8" ht="15" customHeight="1" x14ac:dyDescent="0.3">
      <c r="B1312" s="110" t="s">
        <v>74</v>
      </c>
      <c r="C1312" s="110"/>
      <c r="D1312" s="110"/>
      <c r="E1312" s="110"/>
      <c r="F1312" s="110"/>
      <c r="G1312" s="22">
        <f>'Datos Iniciales'!$B$33</f>
        <v>0.05</v>
      </c>
      <c r="H1312" s="66">
        <f>H1307*G1312</f>
        <v>459.64464562491435</v>
      </c>
    </row>
    <row r="1313" spans="2:8" ht="15" customHeight="1" x14ac:dyDescent="0.3">
      <c r="B1313" s="138" t="s">
        <v>413</v>
      </c>
      <c r="C1313" s="138"/>
      <c r="D1313" s="138"/>
      <c r="E1313" s="138"/>
      <c r="F1313" s="138"/>
      <c r="G1313" s="60">
        <f>G1311+G1312</f>
        <v>0.33999999999999997</v>
      </c>
      <c r="H1313" s="67">
        <f>H1311+H1312</f>
        <v>3125.5835902494173</v>
      </c>
    </row>
    <row r="1314" spans="2:8" ht="15" customHeight="1" x14ac:dyDescent="0.3"/>
    <row r="1315" spans="2:8" ht="15" customHeight="1" x14ac:dyDescent="0.3">
      <c r="B1315" s="139" t="s">
        <v>414</v>
      </c>
      <c r="C1315" s="139"/>
      <c r="D1315" s="139"/>
      <c r="E1315" s="139"/>
      <c r="F1315" s="139"/>
      <c r="G1315" s="139"/>
      <c r="H1315" s="37">
        <f>ROUND(H1307+H1313,0)</f>
        <v>12318</v>
      </c>
    </row>
    <row r="1316" spans="2:8" ht="15" customHeight="1" x14ac:dyDescent="0.3"/>
    <row r="1317" spans="2:8" ht="15" customHeight="1" x14ac:dyDescent="0.3"/>
    <row r="1318" spans="2:8" ht="15.75" customHeight="1" x14ac:dyDescent="0.3">
      <c r="B1318" s="123" t="s">
        <v>0</v>
      </c>
      <c r="C1318" s="123"/>
      <c r="D1318" s="123"/>
      <c r="E1318" s="123"/>
      <c r="F1318" s="123"/>
      <c r="G1318" s="123"/>
      <c r="H1318" s="110"/>
    </row>
    <row r="1319" spans="2:8" ht="15.75" customHeight="1" x14ac:dyDescent="0.3">
      <c r="B1319" s="123" t="s">
        <v>1</v>
      </c>
      <c r="C1319" s="123"/>
      <c r="D1319" s="123"/>
      <c r="E1319" s="123"/>
      <c r="F1319" s="123"/>
      <c r="G1319" s="123"/>
      <c r="H1319" s="110"/>
    </row>
    <row r="1320" spans="2:8" ht="24" customHeight="1" x14ac:dyDescent="0.3">
      <c r="B1320" s="136" t="str">
        <f>'Datos Iniciales'!$B$8</f>
        <v>OBRA PÚBLICA PARA LA EJECUCIÓN DE DIFERENTES MEJORAMIENTOS DE VIVIENDA EN EL CASCO URBANO Y RURAL DEL MUNICIPIO DE MACEO - ANTIOQUIA</v>
      </c>
      <c r="C1320" s="136"/>
      <c r="D1320" s="136"/>
      <c r="E1320" s="136"/>
      <c r="F1320" s="136"/>
      <c r="G1320" s="136"/>
      <c r="H1320" s="110"/>
    </row>
    <row r="1321" spans="2:8" ht="15.75" customHeight="1" x14ac:dyDescent="0.3">
      <c r="B1321" s="112" t="s">
        <v>381</v>
      </c>
      <c r="C1321" s="112"/>
      <c r="D1321" s="112"/>
      <c r="E1321" s="112"/>
      <c r="F1321" s="112"/>
      <c r="G1321" s="112"/>
      <c r="H1321" s="110"/>
    </row>
    <row r="1322" spans="2:8" ht="24" customHeight="1" x14ac:dyDescent="0.3">
      <c r="B1322" s="13" t="s">
        <v>382</v>
      </c>
      <c r="C1322" s="112" t="s">
        <v>94</v>
      </c>
      <c r="D1322" s="112"/>
      <c r="E1322" s="112"/>
      <c r="F1322" s="13" t="s">
        <v>383</v>
      </c>
      <c r="G1322" s="13" t="s">
        <v>384</v>
      </c>
      <c r="H1322" s="13" t="s">
        <v>385</v>
      </c>
    </row>
    <row r="1323" spans="2:8" ht="30" customHeight="1" x14ac:dyDescent="0.3">
      <c r="B1323" s="63" t="s">
        <v>560</v>
      </c>
      <c r="C1323" s="140" t="s">
        <v>134</v>
      </c>
      <c r="D1323" s="140"/>
      <c r="E1323" s="140"/>
      <c r="F1323" s="17" t="s">
        <v>107</v>
      </c>
      <c r="G1323" s="41">
        <f>PRESUPUESTO!$E$22+PRESUPUESTO!$E$57+PRESUPUESTO!$E$110</f>
        <v>240</v>
      </c>
      <c r="H1323" s="33">
        <f>H1345</f>
        <v>5887.1571649993148</v>
      </c>
    </row>
    <row r="1324" spans="2:8" ht="15" customHeight="1" x14ac:dyDescent="0.3">
      <c r="B1324" s="137" t="s">
        <v>561</v>
      </c>
      <c r="C1324" s="137"/>
      <c r="D1324" s="137"/>
      <c r="E1324" s="137"/>
      <c r="F1324" s="137"/>
      <c r="G1324" s="137"/>
      <c r="H1324" s="137"/>
    </row>
    <row r="1325" spans="2:8" ht="15" customHeight="1" x14ac:dyDescent="0.3">
      <c r="B1325" s="64" t="s">
        <v>388</v>
      </c>
    </row>
    <row r="1326" spans="2:8" ht="15" customHeight="1" x14ac:dyDescent="0.3">
      <c r="B1326" s="135" t="s">
        <v>389</v>
      </c>
      <c r="C1326" s="135"/>
      <c r="D1326" s="135"/>
      <c r="E1326" s="135"/>
      <c r="F1326" s="135"/>
      <c r="G1326" s="135"/>
      <c r="H1326" s="135"/>
    </row>
    <row r="1327" spans="2:8" ht="24" customHeight="1" x14ac:dyDescent="0.3">
      <c r="B1327" s="123" t="s">
        <v>94</v>
      </c>
      <c r="C1327" s="123"/>
      <c r="D1327" s="123"/>
      <c r="E1327" s="31" t="s">
        <v>383</v>
      </c>
      <c r="F1327" s="31" t="s">
        <v>364</v>
      </c>
      <c r="G1327" s="31" t="s">
        <v>390</v>
      </c>
      <c r="H1327" s="31" t="s">
        <v>391</v>
      </c>
    </row>
    <row r="1328" spans="2:8" ht="15" customHeight="1" x14ac:dyDescent="0.3">
      <c r="B1328" s="134" t="s">
        <v>392</v>
      </c>
      <c r="C1328" s="134"/>
      <c r="D1328" s="134"/>
      <c r="E1328" s="17" t="s">
        <v>393</v>
      </c>
      <c r="F1328" s="22">
        <f>EQUIPOS!$D$3</f>
        <v>0.05</v>
      </c>
      <c r="G1328" s="65">
        <f>H1343</f>
        <v>2321.1020619041096</v>
      </c>
      <c r="H1328" s="66">
        <f>F1328*G1328</f>
        <v>116.05510309520548</v>
      </c>
    </row>
    <row r="1329" spans="2:8" ht="15" customHeight="1" x14ac:dyDescent="0.3">
      <c r="G1329" s="31" t="s">
        <v>394</v>
      </c>
      <c r="H1329" s="67">
        <f>SUM(H1328:H1328)</f>
        <v>116.05510309520548</v>
      </c>
    </row>
    <row r="1330" spans="2:8" ht="15" customHeight="1" x14ac:dyDescent="0.3">
      <c r="B1330" s="135" t="s">
        <v>395</v>
      </c>
      <c r="C1330" s="135"/>
      <c r="D1330" s="135"/>
      <c r="E1330" s="135"/>
      <c r="F1330" s="135"/>
      <c r="G1330" s="135"/>
      <c r="H1330" s="135"/>
    </row>
    <row r="1331" spans="2:8" ht="15" customHeight="1" x14ac:dyDescent="0.3">
      <c r="B1331" s="123" t="s">
        <v>94</v>
      </c>
      <c r="C1331" s="123"/>
      <c r="D1331" s="31" t="s">
        <v>383</v>
      </c>
      <c r="E1331" s="31" t="s">
        <v>96</v>
      </c>
      <c r="F1331" s="31" t="s">
        <v>396</v>
      </c>
      <c r="G1331" s="31" t="s">
        <v>397</v>
      </c>
      <c r="H1331" s="31" t="s">
        <v>391</v>
      </c>
    </row>
    <row r="1332" spans="2:8" ht="15" customHeight="1" x14ac:dyDescent="0.3">
      <c r="B1332" s="134" t="s">
        <v>562</v>
      </c>
      <c r="C1332" s="134"/>
      <c r="D1332" s="17" t="s">
        <v>488</v>
      </c>
      <c r="E1332" s="68">
        <v>1</v>
      </c>
      <c r="F1332" s="27">
        <v>0.05</v>
      </c>
      <c r="G1332" s="32">
        <f>INSUMOS!$D$74</f>
        <v>3200</v>
      </c>
      <c r="H1332" s="66">
        <f>E1332*(1+F1332)*G1332</f>
        <v>3360</v>
      </c>
    </row>
    <row r="1333" spans="2:8" ht="15" customHeight="1" x14ac:dyDescent="0.3">
      <c r="B1333" s="134" t="s">
        <v>539</v>
      </c>
      <c r="C1333" s="134"/>
      <c r="D1333" s="17" t="s">
        <v>399</v>
      </c>
      <c r="E1333" s="68">
        <v>5.0000000000000001E-3</v>
      </c>
      <c r="F1333" s="27">
        <v>0</v>
      </c>
      <c r="G1333" s="32">
        <f>INSUMOS!$D$83</f>
        <v>18000</v>
      </c>
      <c r="H1333" s="66">
        <f>E1333*(1+F1333)*G1333</f>
        <v>90</v>
      </c>
    </row>
    <row r="1334" spans="2:8" ht="15" customHeight="1" x14ac:dyDescent="0.3">
      <c r="G1334" s="31" t="s">
        <v>394</v>
      </c>
      <c r="H1334" s="67">
        <f>SUM(H1332:H1333)</f>
        <v>3450</v>
      </c>
    </row>
    <row r="1335" spans="2:8" ht="15" customHeight="1" x14ac:dyDescent="0.3">
      <c r="B1335" s="135" t="s">
        <v>404</v>
      </c>
      <c r="C1335" s="135"/>
      <c r="D1335" s="135"/>
      <c r="E1335" s="135"/>
      <c r="F1335" s="135"/>
      <c r="G1335" s="135"/>
      <c r="H1335" s="135"/>
    </row>
    <row r="1336" spans="2:8" ht="15" customHeight="1" x14ac:dyDescent="0.3">
      <c r="B1336" s="123" t="s">
        <v>94</v>
      </c>
      <c r="C1336" s="123"/>
      <c r="D1336" s="31" t="s">
        <v>383</v>
      </c>
      <c r="E1336" s="31" t="s">
        <v>96</v>
      </c>
      <c r="F1336" s="31"/>
      <c r="G1336" s="31" t="s">
        <v>364</v>
      </c>
      <c r="H1336" s="31" t="s">
        <v>391</v>
      </c>
    </row>
    <row r="1337" spans="2:8" ht="15" customHeight="1" x14ac:dyDescent="0.3">
      <c r="B1337" s="137" t="s">
        <v>405</v>
      </c>
      <c r="C1337" s="137"/>
      <c r="D1337" s="29"/>
      <c r="E1337" s="29"/>
      <c r="F1337" s="29"/>
      <c r="G1337" s="29"/>
      <c r="H1337" s="66">
        <v>0</v>
      </c>
    </row>
    <row r="1338" spans="2:8" ht="15" customHeight="1" x14ac:dyDescent="0.3">
      <c r="G1338" s="31" t="s">
        <v>394</v>
      </c>
      <c r="H1338" s="67">
        <f>SUM(H1337:H1337)</f>
        <v>0</v>
      </c>
    </row>
    <row r="1339" spans="2:8" ht="15" customHeight="1" x14ac:dyDescent="0.3">
      <c r="B1339" s="135" t="s">
        <v>406</v>
      </c>
      <c r="C1339" s="135"/>
      <c r="D1339" s="135"/>
      <c r="E1339" s="135"/>
      <c r="F1339" s="135"/>
      <c r="G1339" s="135"/>
      <c r="H1339" s="135"/>
    </row>
    <row r="1340" spans="2:8" ht="24" customHeight="1" x14ac:dyDescent="0.3">
      <c r="B1340" s="123" t="s">
        <v>407</v>
      </c>
      <c r="C1340" s="123"/>
      <c r="D1340" s="123"/>
      <c r="E1340" s="31" t="s">
        <v>96</v>
      </c>
      <c r="F1340" s="31" t="s">
        <v>408</v>
      </c>
      <c r="G1340" s="31" t="s">
        <v>390</v>
      </c>
      <c r="H1340" s="31" t="s">
        <v>391</v>
      </c>
    </row>
    <row r="1341" spans="2:8" ht="15" customHeight="1" x14ac:dyDescent="0.3">
      <c r="B1341" s="134" t="s">
        <v>540</v>
      </c>
      <c r="C1341" s="134"/>
      <c r="D1341" s="134"/>
      <c r="E1341" s="69">
        <v>1</v>
      </c>
      <c r="F1341" s="32">
        <f>'MANO DE OBRA'!$H$24</f>
        <v>264874.25647260272</v>
      </c>
      <c r="G1341" s="68">
        <v>6.0000000000000001E-3</v>
      </c>
      <c r="H1341" s="66">
        <f>E1341*F1341*G1341</f>
        <v>1589.2455388356163</v>
      </c>
    </row>
    <row r="1342" spans="2:8" ht="15" customHeight="1" x14ac:dyDescent="0.3">
      <c r="B1342" s="134" t="s">
        <v>410</v>
      </c>
      <c r="C1342" s="134"/>
      <c r="D1342" s="134"/>
      <c r="E1342" s="69">
        <v>1</v>
      </c>
      <c r="F1342" s="32">
        <f>'MANO DE OBRA'!$H$23</f>
        <v>121976.08717808221</v>
      </c>
      <c r="G1342" s="68">
        <v>6.0000000000000001E-3</v>
      </c>
      <c r="H1342" s="66">
        <f>E1342*F1342*G1342</f>
        <v>731.85652306849329</v>
      </c>
    </row>
    <row r="1343" spans="2:8" ht="15" customHeight="1" x14ac:dyDescent="0.3">
      <c r="G1343" s="31" t="s">
        <v>394</v>
      </c>
      <c r="H1343" s="67">
        <f>SUM(H1341:H1342)</f>
        <v>2321.1020619041096</v>
      </c>
    </row>
    <row r="1344" spans="2:8" ht="15" customHeight="1" x14ac:dyDescent="0.3"/>
    <row r="1345" spans="2:8" ht="15" customHeight="1" x14ac:dyDescent="0.3">
      <c r="B1345" s="115" t="s">
        <v>295</v>
      </c>
      <c r="C1345" s="115"/>
      <c r="D1345" s="115"/>
      <c r="E1345" s="115"/>
      <c r="F1345" s="115"/>
      <c r="G1345" s="115"/>
      <c r="H1345" s="70">
        <f>H1329+H1334+H1338+H1343</f>
        <v>5887.1571649993148</v>
      </c>
    </row>
    <row r="1346" spans="2:8" ht="15" customHeight="1" x14ac:dyDescent="0.3"/>
    <row r="1347" spans="2:8" ht="15" customHeight="1" x14ac:dyDescent="0.3">
      <c r="B1347" s="71" t="s">
        <v>411</v>
      </c>
    </row>
    <row r="1348" spans="2:8" ht="15" customHeight="1" x14ac:dyDescent="0.3">
      <c r="B1348" s="123" t="s">
        <v>94</v>
      </c>
      <c r="C1348" s="123"/>
      <c r="D1348" s="123"/>
      <c r="E1348" s="123"/>
      <c r="F1348" s="123"/>
      <c r="G1348" s="31" t="s">
        <v>412</v>
      </c>
      <c r="H1348" s="31" t="s">
        <v>4</v>
      </c>
    </row>
    <row r="1349" spans="2:8" ht="15" customHeight="1" x14ac:dyDescent="0.3">
      <c r="B1349" s="110" t="s">
        <v>73</v>
      </c>
      <c r="C1349" s="110"/>
      <c r="D1349" s="110"/>
      <c r="E1349" s="110"/>
      <c r="F1349" s="110"/>
      <c r="G1349" s="22">
        <f>'Datos Iniciales'!$B$32</f>
        <v>0.28999999999999998</v>
      </c>
      <c r="H1349" s="66">
        <f>H1345*G1349</f>
        <v>1707.2755778498013</v>
      </c>
    </row>
    <row r="1350" spans="2:8" ht="15" customHeight="1" x14ac:dyDescent="0.3">
      <c r="B1350" s="110" t="s">
        <v>74</v>
      </c>
      <c r="C1350" s="110"/>
      <c r="D1350" s="110"/>
      <c r="E1350" s="110"/>
      <c r="F1350" s="110"/>
      <c r="G1350" s="22">
        <f>'Datos Iniciales'!$B$33</f>
        <v>0.05</v>
      </c>
      <c r="H1350" s="66">
        <f>H1345*G1350</f>
        <v>294.35785824996577</v>
      </c>
    </row>
    <row r="1351" spans="2:8" ht="15" customHeight="1" x14ac:dyDescent="0.3">
      <c r="B1351" s="138" t="s">
        <v>413</v>
      </c>
      <c r="C1351" s="138"/>
      <c r="D1351" s="138"/>
      <c r="E1351" s="138"/>
      <c r="F1351" s="138"/>
      <c r="G1351" s="60">
        <f>G1349+G1350</f>
        <v>0.33999999999999997</v>
      </c>
      <c r="H1351" s="67">
        <f>H1349+H1350</f>
        <v>2001.6334360997671</v>
      </c>
    </row>
    <row r="1352" spans="2:8" ht="15" customHeight="1" x14ac:dyDescent="0.3"/>
    <row r="1353" spans="2:8" ht="15" customHeight="1" x14ac:dyDescent="0.3">
      <c r="B1353" s="139" t="s">
        <v>414</v>
      </c>
      <c r="C1353" s="139"/>
      <c r="D1353" s="139"/>
      <c r="E1353" s="139"/>
      <c r="F1353" s="139"/>
      <c r="G1353" s="139"/>
      <c r="H1353" s="37">
        <f>ROUND(H1345+H1351,0)</f>
        <v>7889</v>
      </c>
    </row>
    <row r="1354" spans="2:8" ht="15" customHeight="1" x14ac:dyDescent="0.3"/>
    <row r="1355" spans="2:8" ht="15" customHeight="1" x14ac:dyDescent="0.3"/>
    <row r="1356" spans="2:8" ht="15.75" customHeight="1" x14ac:dyDescent="0.3">
      <c r="B1356" s="123" t="s">
        <v>0</v>
      </c>
      <c r="C1356" s="123"/>
      <c r="D1356" s="123"/>
      <c r="E1356" s="123"/>
      <c r="F1356" s="123"/>
      <c r="G1356" s="123"/>
      <c r="H1356" s="110"/>
    </row>
    <row r="1357" spans="2:8" ht="15.75" customHeight="1" x14ac:dyDescent="0.3">
      <c r="B1357" s="123" t="s">
        <v>1</v>
      </c>
      <c r="C1357" s="123"/>
      <c r="D1357" s="123"/>
      <c r="E1357" s="123"/>
      <c r="F1357" s="123"/>
      <c r="G1357" s="123"/>
      <c r="H1357" s="110"/>
    </row>
    <row r="1358" spans="2:8" ht="24" customHeight="1" x14ac:dyDescent="0.3">
      <c r="B1358" s="136" t="str">
        <f>'Datos Iniciales'!$B$8</f>
        <v>OBRA PÚBLICA PARA LA EJECUCIÓN DE DIFERENTES MEJORAMIENTOS DE VIVIENDA EN EL CASCO URBANO Y RURAL DEL MUNICIPIO DE MACEO - ANTIOQUIA</v>
      </c>
      <c r="C1358" s="136"/>
      <c r="D1358" s="136"/>
      <c r="E1358" s="136"/>
      <c r="F1358" s="136"/>
      <c r="G1358" s="136"/>
      <c r="H1358" s="110"/>
    </row>
    <row r="1359" spans="2:8" ht="15.75" customHeight="1" x14ac:dyDescent="0.3">
      <c r="B1359" s="112" t="s">
        <v>381</v>
      </c>
      <c r="C1359" s="112"/>
      <c r="D1359" s="112"/>
      <c r="E1359" s="112"/>
      <c r="F1359" s="112"/>
      <c r="G1359" s="112"/>
      <c r="H1359" s="110"/>
    </row>
    <row r="1360" spans="2:8" ht="24" customHeight="1" x14ac:dyDescent="0.3">
      <c r="B1360" s="13" t="s">
        <v>382</v>
      </c>
      <c r="C1360" s="112" t="s">
        <v>94</v>
      </c>
      <c r="D1360" s="112"/>
      <c r="E1360" s="112"/>
      <c r="F1360" s="13" t="s">
        <v>383</v>
      </c>
      <c r="G1360" s="13" t="s">
        <v>384</v>
      </c>
      <c r="H1360" s="13" t="s">
        <v>385</v>
      </c>
    </row>
    <row r="1361" spans="2:8" ht="42" customHeight="1" x14ac:dyDescent="0.3">
      <c r="B1361" s="63" t="s">
        <v>563</v>
      </c>
      <c r="C1361" s="140" t="s">
        <v>151</v>
      </c>
      <c r="D1361" s="140"/>
      <c r="E1361" s="140"/>
      <c r="F1361" s="17" t="s">
        <v>137</v>
      </c>
      <c r="G1361" s="41">
        <f>PRESUPUESTO!$E$30+PRESUPUESTO!$E$69+PRESUPUESTO!$E$122</f>
        <v>7</v>
      </c>
      <c r="H1361" s="33">
        <f>H1385</f>
        <v>1027792.4165103904</v>
      </c>
    </row>
    <row r="1362" spans="2:8" ht="15" customHeight="1" x14ac:dyDescent="0.3">
      <c r="B1362" s="137" t="s">
        <v>564</v>
      </c>
      <c r="C1362" s="137"/>
      <c r="D1362" s="137"/>
      <c r="E1362" s="137"/>
      <c r="F1362" s="137"/>
      <c r="G1362" s="137"/>
      <c r="H1362" s="137"/>
    </row>
    <row r="1363" spans="2:8" ht="15" customHeight="1" x14ac:dyDescent="0.3">
      <c r="B1363" s="64" t="s">
        <v>388</v>
      </c>
    </row>
    <row r="1364" spans="2:8" ht="15" customHeight="1" x14ac:dyDescent="0.3">
      <c r="B1364" s="135" t="s">
        <v>389</v>
      </c>
      <c r="C1364" s="135"/>
      <c r="D1364" s="135"/>
      <c r="E1364" s="135"/>
      <c r="F1364" s="135"/>
      <c r="G1364" s="135"/>
      <c r="H1364" s="135"/>
    </row>
    <row r="1365" spans="2:8" ht="24" customHeight="1" x14ac:dyDescent="0.3">
      <c r="B1365" s="123" t="s">
        <v>94</v>
      </c>
      <c r="C1365" s="123"/>
      <c r="D1365" s="123"/>
      <c r="E1365" s="31" t="s">
        <v>383</v>
      </c>
      <c r="F1365" s="31" t="s">
        <v>364</v>
      </c>
      <c r="G1365" s="31" t="s">
        <v>390</v>
      </c>
      <c r="H1365" s="31" t="s">
        <v>391</v>
      </c>
    </row>
    <row r="1366" spans="2:8" ht="15" customHeight="1" x14ac:dyDescent="0.3">
      <c r="B1366" s="134" t="s">
        <v>392</v>
      </c>
      <c r="C1366" s="134"/>
      <c r="D1366" s="134"/>
      <c r="E1366" s="17" t="s">
        <v>393</v>
      </c>
      <c r="F1366" s="22">
        <f>EQUIPOS!$D$3</f>
        <v>0.05</v>
      </c>
      <c r="G1366" s="65">
        <f>H1383</f>
        <v>121848.37607465751</v>
      </c>
      <c r="H1366" s="66">
        <f>F1366*G1366</f>
        <v>6092.4188037328759</v>
      </c>
    </row>
    <row r="1367" spans="2:8" ht="15" customHeight="1" x14ac:dyDescent="0.3">
      <c r="G1367" s="31" t="s">
        <v>394</v>
      </c>
      <c r="H1367" s="67">
        <f>SUM(H1366:H1366)</f>
        <v>6092.4188037328759</v>
      </c>
    </row>
    <row r="1368" spans="2:8" ht="15" customHeight="1" x14ac:dyDescent="0.3">
      <c r="B1368" s="135" t="s">
        <v>395</v>
      </c>
      <c r="C1368" s="135"/>
      <c r="D1368" s="135"/>
      <c r="E1368" s="135"/>
      <c r="F1368" s="135"/>
      <c r="G1368" s="135"/>
      <c r="H1368" s="135"/>
    </row>
    <row r="1369" spans="2:8" ht="15" customHeight="1" x14ac:dyDescent="0.3">
      <c r="B1369" s="123" t="s">
        <v>94</v>
      </c>
      <c r="C1369" s="123"/>
      <c r="D1369" s="31" t="s">
        <v>383</v>
      </c>
      <c r="E1369" s="31" t="s">
        <v>96</v>
      </c>
      <c r="F1369" s="31" t="s">
        <v>396</v>
      </c>
      <c r="G1369" s="31" t="s">
        <v>397</v>
      </c>
      <c r="H1369" s="31" t="s">
        <v>391</v>
      </c>
    </row>
    <row r="1370" spans="2:8" ht="22.05" customHeight="1" x14ac:dyDescent="0.3">
      <c r="B1370" s="134" t="s">
        <v>565</v>
      </c>
      <c r="C1370" s="134"/>
      <c r="D1370" s="17" t="s">
        <v>399</v>
      </c>
      <c r="E1370" s="68">
        <v>1</v>
      </c>
      <c r="F1370" s="27">
        <v>0</v>
      </c>
      <c r="G1370" s="32">
        <f>INSUMOS!$D$57</f>
        <v>820000</v>
      </c>
      <c r="H1370" s="66">
        <f>E1370*(1+F1370)*G1370</f>
        <v>820000</v>
      </c>
    </row>
    <row r="1371" spans="2:8" ht="15" customHeight="1" x14ac:dyDescent="0.3">
      <c r="B1371" s="134" t="s">
        <v>566</v>
      </c>
      <c r="C1371" s="134"/>
      <c r="D1371" s="17" t="s">
        <v>399</v>
      </c>
      <c r="E1371" s="68">
        <v>1</v>
      </c>
      <c r="F1371" s="27">
        <v>0</v>
      </c>
      <c r="G1371" s="32">
        <f>INSUMOS!$D$59</f>
        <v>65000</v>
      </c>
      <c r="H1371" s="66">
        <f>E1371*(1+F1371)*G1371</f>
        <v>65000</v>
      </c>
    </row>
    <row r="1372" spans="2:8" ht="15" customHeight="1" x14ac:dyDescent="0.3">
      <c r="B1372" s="134" t="s">
        <v>495</v>
      </c>
      <c r="C1372" s="134"/>
      <c r="D1372" s="17" t="s">
        <v>423</v>
      </c>
      <c r="E1372" s="68">
        <v>0.01</v>
      </c>
      <c r="F1372" s="27">
        <v>0</v>
      </c>
      <c r="G1372" s="32">
        <f>'CONCRETOS Y MORTEROS'!$D$6</f>
        <v>527590.16320000007</v>
      </c>
      <c r="H1372" s="66">
        <f>E1372*(1+F1372)*G1372</f>
        <v>5275.901632000001</v>
      </c>
    </row>
    <row r="1373" spans="2:8" ht="15" customHeight="1" x14ac:dyDescent="0.3">
      <c r="G1373" s="31" t="s">
        <v>394</v>
      </c>
      <c r="H1373" s="67">
        <f>SUM(H1370:H1372)</f>
        <v>890275.90163199999</v>
      </c>
    </row>
    <row r="1374" spans="2:8" ht="15" customHeight="1" x14ac:dyDescent="0.3">
      <c r="B1374" s="135" t="s">
        <v>404</v>
      </c>
      <c r="C1374" s="135"/>
      <c r="D1374" s="135"/>
      <c r="E1374" s="135"/>
      <c r="F1374" s="135"/>
      <c r="G1374" s="135"/>
      <c r="H1374" s="135"/>
    </row>
    <row r="1375" spans="2:8" ht="15" customHeight="1" x14ac:dyDescent="0.3">
      <c r="B1375" s="123" t="s">
        <v>94</v>
      </c>
      <c r="C1375" s="123"/>
      <c r="D1375" s="31" t="s">
        <v>383</v>
      </c>
      <c r="E1375" s="31" t="s">
        <v>96</v>
      </c>
      <c r="F1375" s="31"/>
      <c r="G1375" s="31" t="s">
        <v>364</v>
      </c>
      <c r="H1375" s="31" t="s">
        <v>391</v>
      </c>
    </row>
    <row r="1376" spans="2:8" ht="22.05" customHeight="1" x14ac:dyDescent="0.3">
      <c r="B1376" s="134" t="s">
        <v>567</v>
      </c>
      <c r="C1376" s="134"/>
      <c r="D1376" s="17" t="s">
        <v>431</v>
      </c>
      <c r="E1376" s="72">
        <f>0.035*'Datos Iniciales'!$B$31</f>
        <v>4.4275000000000002</v>
      </c>
      <c r="F1376" s="29"/>
      <c r="G1376" s="32">
        <f>TRANSPORTE!$D$4</f>
        <v>1928</v>
      </c>
      <c r="H1376" s="66">
        <f>E1376*G1376</f>
        <v>8536.2200000000012</v>
      </c>
    </row>
    <row r="1377" spans="2:8" ht="22.05" customHeight="1" x14ac:dyDescent="0.3">
      <c r="B1377" s="134" t="s">
        <v>499</v>
      </c>
      <c r="C1377" s="134"/>
      <c r="D1377" s="17" t="s">
        <v>431</v>
      </c>
      <c r="E1377" s="72">
        <f>0.035*'Datos Iniciales'!$B$26</f>
        <v>0.35000000000000003</v>
      </c>
      <c r="F1377" s="29"/>
      <c r="G1377" s="32">
        <f>TRANSPORTE!$D$5</f>
        <v>2970</v>
      </c>
      <c r="H1377" s="66">
        <f>E1377*G1377</f>
        <v>1039.5</v>
      </c>
    </row>
    <row r="1378" spans="2:8" ht="15" customHeight="1" x14ac:dyDescent="0.3">
      <c r="G1378" s="31" t="s">
        <v>394</v>
      </c>
      <c r="H1378" s="67">
        <f>SUM(H1376:H1377)</f>
        <v>9575.7200000000012</v>
      </c>
    </row>
    <row r="1379" spans="2:8" ht="15" customHeight="1" x14ac:dyDescent="0.3">
      <c r="B1379" s="135" t="s">
        <v>406</v>
      </c>
      <c r="C1379" s="135"/>
      <c r="D1379" s="135"/>
      <c r="E1379" s="135"/>
      <c r="F1379" s="135"/>
      <c r="G1379" s="135"/>
      <c r="H1379" s="135"/>
    </row>
    <row r="1380" spans="2:8" ht="24" customHeight="1" x14ac:dyDescent="0.3">
      <c r="B1380" s="123" t="s">
        <v>407</v>
      </c>
      <c r="C1380" s="123"/>
      <c r="D1380" s="123"/>
      <c r="E1380" s="31" t="s">
        <v>96</v>
      </c>
      <c r="F1380" s="31" t="s">
        <v>408</v>
      </c>
      <c r="G1380" s="31" t="s">
        <v>390</v>
      </c>
      <c r="H1380" s="31" t="s">
        <v>391</v>
      </c>
    </row>
    <row r="1381" spans="2:8" ht="15" customHeight="1" x14ac:dyDescent="0.3">
      <c r="B1381" s="134" t="s">
        <v>409</v>
      </c>
      <c r="C1381" s="134"/>
      <c r="D1381" s="134"/>
      <c r="E1381" s="69">
        <v>1</v>
      </c>
      <c r="F1381" s="32">
        <f>'MANO DE OBRA'!$H$27</f>
        <v>226162.13017808215</v>
      </c>
      <c r="G1381" s="68">
        <v>0.35</v>
      </c>
      <c r="H1381" s="66">
        <f>E1381*F1381*G1381</f>
        <v>79156.745562328753</v>
      </c>
    </row>
    <row r="1382" spans="2:8" ht="15" customHeight="1" x14ac:dyDescent="0.3">
      <c r="B1382" s="134" t="s">
        <v>410</v>
      </c>
      <c r="C1382" s="134"/>
      <c r="D1382" s="134"/>
      <c r="E1382" s="69">
        <v>1</v>
      </c>
      <c r="F1382" s="32">
        <f>'MANO DE OBRA'!$H$23</f>
        <v>121976.08717808221</v>
      </c>
      <c r="G1382" s="68">
        <v>0.35</v>
      </c>
      <c r="H1382" s="66">
        <f>E1382*F1382*G1382</f>
        <v>42691.630512328768</v>
      </c>
    </row>
    <row r="1383" spans="2:8" ht="15" customHeight="1" x14ac:dyDescent="0.3">
      <c r="G1383" s="31" t="s">
        <v>394</v>
      </c>
      <c r="H1383" s="67">
        <f>SUM(H1381:H1382)</f>
        <v>121848.37607465751</v>
      </c>
    </row>
    <row r="1384" spans="2:8" ht="15" customHeight="1" x14ac:dyDescent="0.3"/>
    <row r="1385" spans="2:8" ht="15" customHeight="1" x14ac:dyDescent="0.3">
      <c r="B1385" s="115" t="s">
        <v>295</v>
      </c>
      <c r="C1385" s="115"/>
      <c r="D1385" s="115"/>
      <c r="E1385" s="115"/>
      <c r="F1385" s="115"/>
      <c r="G1385" s="115"/>
      <c r="H1385" s="70">
        <f>H1367+H1373+H1378+H1383</f>
        <v>1027792.4165103904</v>
      </c>
    </row>
    <row r="1386" spans="2:8" ht="15" customHeight="1" x14ac:dyDescent="0.3"/>
    <row r="1387" spans="2:8" ht="15" customHeight="1" x14ac:dyDescent="0.3">
      <c r="B1387" s="71" t="s">
        <v>411</v>
      </c>
    </row>
    <row r="1388" spans="2:8" ht="15" customHeight="1" x14ac:dyDescent="0.3">
      <c r="B1388" s="123" t="s">
        <v>94</v>
      </c>
      <c r="C1388" s="123"/>
      <c r="D1388" s="123"/>
      <c r="E1388" s="123"/>
      <c r="F1388" s="123"/>
      <c r="G1388" s="31" t="s">
        <v>412</v>
      </c>
      <c r="H1388" s="31" t="s">
        <v>4</v>
      </c>
    </row>
    <row r="1389" spans="2:8" ht="15" customHeight="1" x14ac:dyDescent="0.3">
      <c r="B1389" s="110" t="s">
        <v>73</v>
      </c>
      <c r="C1389" s="110"/>
      <c r="D1389" s="110"/>
      <c r="E1389" s="110"/>
      <c r="F1389" s="110"/>
      <c r="G1389" s="22">
        <f>'Datos Iniciales'!$B$32</f>
        <v>0.28999999999999998</v>
      </c>
      <c r="H1389" s="66">
        <f>H1385*G1389</f>
        <v>298059.80078801321</v>
      </c>
    </row>
    <row r="1390" spans="2:8" ht="15" customHeight="1" x14ac:dyDescent="0.3">
      <c r="B1390" s="110" t="s">
        <v>74</v>
      </c>
      <c r="C1390" s="110"/>
      <c r="D1390" s="110"/>
      <c r="E1390" s="110"/>
      <c r="F1390" s="110"/>
      <c r="G1390" s="22">
        <f>'Datos Iniciales'!$B$33</f>
        <v>0.05</v>
      </c>
      <c r="H1390" s="66">
        <f>H1385*G1390</f>
        <v>51389.620825519523</v>
      </c>
    </row>
    <row r="1391" spans="2:8" ht="15" customHeight="1" x14ac:dyDescent="0.3">
      <c r="B1391" s="138" t="s">
        <v>413</v>
      </c>
      <c r="C1391" s="138"/>
      <c r="D1391" s="138"/>
      <c r="E1391" s="138"/>
      <c r="F1391" s="138"/>
      <c r="G1391" s="60">
        <f>G1389+G1390</f>
        <v>0.33999999999999997</v>
      </c>
      <c r="H1391" s="67">
        <f>H1389+H1390</f>
        <v>349449.4216135327</v>
      </c>
    </row>
    <row r="1392" spans="2:8" ht="15" customHeight="1" x14ac:dyDescent="0.3"/>
    <row r="1393" spans="2:8" ht="15" customHeight="1" x14ac:dyDescent="0.3">
      <c r="B1393" s="139" t="s">
        <v>414</v>
      </c>
      <c r="C1393" s="139"/>
      <c r="D1393" s="139"/>
      <c r="E1393" s="139"/>
      <c r="F1393" s="139"/>
      <c r="G1393" s="139"/>
      <c r="H1393" s="37">
        <f>ROUND(H1385+H1391,0)</f>
        <v>1377242</v>
      </c>
    </row>
    <row r="1394" spans="2:8" ht="15" customHeight="1" x14ac:dyDescent="0.3"/>
    <row r="1395" spans="2:8" ht="15" customHeight="1" x14ac:dyDescent="0.3"/>
    <row r="1396" spans="2:8" ht="15.75" customHeight="1" x14ac:dyDescent="0.3">
      <c r="B1396" s="123" t="s">
        <v>0</v>
      </c>
      <c r="C1396" s="123"/>
      <c r="D1396" s="123"/>
      <c r="E1396" s="123"/>
      <c r="F1396" s="123"/>
      <c r="G1396" s="123"/>
      <c r="H1396" s="110"/>
    </row>
    <row r="1397" spans="2:8" ht="15.75" customHeight="1" x14ac:dyDescent="0.3">
      <c r="B1397" s="123" t="s">
        <v>1</v>
      </c>
      <c r="C1397" s="123"/>
      <c r="D1397" s="123"/>
      <c r="E1397" s="123"/>
      <c r="F1397" s="123"/>
      <c r="G1397" s="123"/>
      <c r="H1397" s="110"/>
    </row>
    <row r="1398" spans="2:8" ht="24" customHeight="1" x14ac:dyDescent="0.3">
      <c r="B1398" s="136" t="str">
        <f>'Datos Iniciales'!$B$8</f>
        <v>OBRA PÚBLICA PARA LA EJECUCIÓN DE DIFERENTES MEJORAMIENTOS DE VIVIENDA EN EL CASCO URBANO Y RURAL DEL MUNICIPIO DE MACEO - ANTIOQUIA</v>
      </c>
      <c r="C1398" s="136"/>
      <c r="D1398" s="136"/>
      <c r="E1398" s="136"/>
      <c r="F1398" s="136"/>
      <c r="G1398" s="136"/>
      <c r="H1398" s="110"/>
    </row>
    <row r="1399" spans="2:8" ht="15.75" customHeight="1" x14ac:dyDescent="0.3">
      <c r="B1399" s="112" t="s">
        <v>381</v>
      </c>
      <c r="C1399" s="112"/>
      <c r="D1399" s="112"/>
      <c r="E1399" s="112"/>
      <c r="F1399" s="112"/>
      <c r="G1399" s="112"/>
      <c r="H1399" s="110"/>
    </row>
    <row r="1400" spans="2:8" ht="24" customHeight="1" x14ac:dyDescent="0.3">
      <c r="B1400" s="13" t="s">
        <v>382</v>
      </c>
      <c r="C1400" s="112" t="s">
        <v>94</v>
      </c>
      <c r="D1400" s="112"/>
      <c r="E1400" s="112"/>
      <c r="F1400" s="13" t="s">
        <v>383</v>
      </c>
      <c r="G1400" s="13" t="s">
        <v>384</v>
      </c>
      <c r="H1400" s="13" t="s">
        <v>385</v>
      </c>
    </row>
    <row r="1401" spans="2:8" ht="42" customHeight="1" x14ac:dyDescent="0.3">
      <c r="B1401" s="63" t="s">
        <v>568</v>
      </c>
      <c r="C1401" s="140" t="s">
        <v>271</v>
      </c>
      <c r="D1401" s="140"/>
      <c r="E1401" s="140"/>
      <c r="F1401" s="17" t="s">
        <v>137</v>
      </c>
      <c r="G1401" s="41">
        <f>PRESUPUESTO!$E$121</f>
        <v>1</v>
      </c>
      <c r="H1401" s="33">
        <f>H1425</f>
        <v>1144860.7732479891</v>
      </c>
    </row>
    <row r="1402" spans="2:8" ht="15" customHeight="1" x14ac:dyDescent="0.3">
      <c r="B1402" s="137" t="s">
        <v>569</v>
      </c>
      <c r="C1402" s="137"/>
      <c r="D1402" s="137"/>
      <c r="E1402" s="137"/>
      <c r="F1402" s="137"/>
      <c r="G1402" s="137"/>
      <c r="H1402" s="137"/>
    </row>
    <row r="1403" spans="2:8" ht="15" customHeight="1" x14ac:dyDescent="0.3">
      <c r="B1403" s="64" t="s">
        <v>388</v>
      </c>
    </row>
    <row r="1404" spans="2:8" ht="15" customHeight="1" x14ac:dyDescent="0.3">
      <c r="B1404" s="135" t="s">
        <v>389</v>
      </c>
      <c r="C1404" s="135"/>
      <c r="D1404" s="135"/>
      <c r="E1404" s="135"/>
      <c r="F1404" s="135"/>
      <c r="G1404" s="135"/>
      <c r="H1404" s="135"/>
    </row>
    <row r="1405" spans="2:8" ht="24" customHeight="1" x14ac:dyDescent="0.3">
      <c r="B1405" s="123" t="s">
        <v>94</v>
      </c>
      <c r="C1405" s="123"/>
      <c r="D1405" s="123"/>
      <c r="E1405" s="31" t="s">
        <v>383</v>
      </c>
      <c r="F1405" s="31" t="s">
        <v>364</v>
      </c>
      <c r="G1405" s="31" t="s">
        <v>390</v>
      </c>
      <c r="H1405" s="31" t="s">
        <v>391</v>
      </c>
    </row>
    <row r="1406" spans="2:8" ht="15" customHeight="1" x14ac:dyDescent="0.3">
      <c r="B1406" s="134" t="s">
        <v>392</v>
      </c>
      <c r="C1406" s="134"/>
      <c r="D1406" s="134"/>
      <c r="E1406" s="17" t="s">
        <v>393</v>
      </c>
      <c r="F1406" s="22">
        <f>EQUIPOS!$D$3</f>
        <v>0.05</v>
      </c>
      <c r="G1406" s="65">
        <f>H1423</f>
        <v>139255.28694246575</v>
      </c>
      <c r="H1406" s="66">
        <f>F1406*G1406</f>
        <v>6962.7643471232877</v>
      </c>
    </row>
    <row r="1407" spans="2:8" ht="15" customHeight="1" x14ac:dyDescent="0.3">
      <c r="G1407" s="31" t="s">
        <v>394</v>
      </c>
      <c r="H1407" s="67">
        <f>SUM(H1406:H1406)</f>
        <v>6962.7643471232877</v>
      </c>
    </row>
    <row r="1408" spans="2:8" ht="15" customHeight="1" x14ac:dyDescent="0.3">
      <c r="B1408" s="135" t="s">
        <v>395</v>
      </c>
      <c r="C1408" s="135"/>
      <c r="D1408" s="135"/>
      <c r="E1408" s="135"/>
      <c r="F1408" s="135"/>
      <c r="G1408" s="135"/>
      <c r="H1408" s="135"/>
    </row>
    <row r="1409" spans="2:8" ht="15" customHeight="1" x14ac:dyDescent="0.3">
      <c r="B1409" s="123" t="s">
        <v>94</v>
      </c>
      <c r="C1409" s="123"/>
      <c r="D1409" s="31" t="s">
        <v>383</v>
      </c>
      <c r="E1409" s="31" t="s">
        <v>96</v>
      </c>
      <c r="F1409" s="31" t="s">
        <v>396</v>
      </c>
      <c r="G1409" s="31" t="s">
        <v>397</v>
      </c>
      <c r="H1409" s="31" t="s">
        <v>391</v>
      </c>
    </row>
    <row r="1410" spans="2:8" ht="22.05" customHeight="1" x14ac:dyDescent="0.3">
      <c r="B1410" s="134" t="s">
        <v>570</v>
      </c>
      <c r="C1410" s="134"/>
      <c r="D1410" s="17" t="s">
        <v>399</v>
      </c>
      <c r="E1410" s="68">
        <v>1</v>
      </c>
      <c r="F1410" s="27">
        <v>0</v>
      </c>
      <c r="G1410" s="32">
        <f>INSUMOS!$D$58</f>
        <v>915000</v>
      </c>
      <c r="H1410" s="66">
        <f>E1410*(1+F1410)*G1410</f>
        <v>915000</v>
      </c>
    </row>
    <row r="1411" spans="2:8" ht="15" customHeight="1" x14ac:dyDescent="0.3">
      <c r="B1411" s="134" t="s">
        <v>566</v>
      </c>
      <c r="C1411" s="134"/>
      <c r="D1411" s="17" t="s">
        <v>399</v>
      </c>
      <c r="E1411" s="68">
        <v>1</v>
      </c>
      <c r="F1411" s="27">
        <v>0</v>
      </c>
      <c r="G1411" s="32">
        <f>INSUMOS!$D$59</f>
        <v>65000</v>
      </c>
      <c r="H1411" s="66">
        <f>E1411*(1+F1411)*G1411</f>
        <v>65000</v>
      </c>
    </row>
    <row r="1412" spans="2:8" ht="15" customHeight="1" x14ac:dyDescent="0.3">
      <c r="B1412" s="134" t="s">
        <v>495</v>
      </c>
      <c r="C1412" s="134"/>
      <c r="D1412" s="17" t="s">
        <v>423</v>
      </c>
      <c r="E1412" s="68">
        <v>1.2E-2</v>
      </c>
      <c r="F1412" s="27">
        <v>0</v>
      </c>
      <c r="G1412" s="32">
        <f>'CONCRETOS Y MORTEROS'!$D$6</f>
        <v>527590.16320000007</v>
      </c>
      <c r="H1412" s="66">
        <f>E1412*(1+F1412)*G1412</f>
        <v>6331.081958400001</v>
      </c>
    </row>
    <row r="1413" spans="2:8" ht="15" customHeight="1" x14ac:dyDescent="0.3">
      <c r="G1413" s="31" t="s">
        <v>394</v>
      </c>
      <c r="H1413" s="67">
        <f>SUM(H1410:H1412)</f>
        <v>986331.08195839997</v>
      </c>
    </row>
    <row r="1414" spans="2:8" ht="15" customHeight="1" x14ac:dyDescent="0.3">
      <c r="B1414" s="135" t="s">
        <v>404</v>
      </c>
      <c r="C1414" s="135"/>
      <c r="D1414" s="135"/>
      <c r="E1414" s="135"/>
      <c r="F1414" s="135"/>
      <c r="G1414" s="135"/>
      <c r="H1414" s="135"/>
    </row>
    <row r="1415" spans="2:8" ht="15" customHeight="1" x14ac:dyDescent="0.3">
      <c r="B1415" s="123" t="s">
        <v>94</v>
      </c>
      <c r="C1415" s="123"/>
      <c r="D1415" s="31" t="s">
        <v>383</v>
      </c>
      <c r="E1415" s="31" t="s">
        <v>96</v>
      </c>
      <c r="F1415" s="31"/>
      <c r="G1415" s="31" t="s">
        <v>364</v>
      </c>
      <c r="H1415" s="31" t="s">
        <v>391</v>
      </c>
    </row>
    <row r="1416" spans="2:8" ht="22.05" customHeight="1" x14ac:dyDescent="0.3">
      <c r="B1416" s="134" t="s">
        <v>571</v>
      </c>
      <c r="C1416" s="134"/>
      <c r="D1416" s="17" t="s">
        <v>431</v>
      </c>
      <c r="E1416" s="72">
        <f>0.045*'Datos Iniciales'!$B$31</f>
        <v>5.6924999999999999</v>
      </c>
      <c r="F1416" s="29"/>
      <c r="G1416" s="32">
        <f>TRANSPORTE!$D$4</f>
        <v>1928</v>
      </c>
      <c r="H1416" s="66">
        <f>E1416*G1416</f>
        <v>10975.14</v>
      </c>
    </row>
    <row r="1417" spans="2:8" ht="22.05" customHeight="1" x14ac:dyDescent="0.3">
      <c r="B1417" s="134" t="s">
        <v>572</v>
      </c>
      <c r="C1417" s="134"/>
      <c r="D1417" s="17" t="s">
        <v>431</v>
      </c>
      <c r="E1417" s="72">
        <f>0.045*'Datos Iniciales'!$B$26</f>
        <v>0.44999999999999996</v>
      </c>
      <c r="F1417" s="29"/>
      <c r="G1417" s="32">
        <f>TRANSPORTE!$D$5</f>
        <v>2970</v>
      </c>
      <c r="H1417" s="66">
        <f>E1417*G1417</f>
        <v>1336.4999999999998</v>
      </c>
    </row>
    <row r="1418" spans="2:8" ht="15" customHeight="1" x14ac:dyDescent="0.3">
      <c r="G1418" s="31" t="s">
        <v>394</v>
      </c>
      <c r="H1418" s="67">
        <f>SUM(H1416:H1417)</f>
        <v>12311.64</v>
      </c>
    </row>
    <row r="1419" spans="2:8" ht="15" customHeight="1" x14ac:dyDescent="0.3">
      <c r="B1419" s="135" t="s">
        <v>406</v>
      </c>
      <c r="C1419" s="135"/>
      <c r="D1419" s="135"/>
      <c r="E1419" s="135"/>
      <c r="F1419" s="135"/>
      <c r="G1419" s="135"/>
      <c r="H1419" s="135"/>
    </row>
    <row r="1420" spans="2:8" ht="24" customHeight="1" x14ac:dyDescent="0.3">
      <c r="B1420" s="123" t="s">
        <v>407</v>
      </c>
      <c r="C1420" s="123"/>
      <c r="D1420" s="123"/>
      <c r="E1420" s="31" t="s">
        <v>96</v>
      </c>
      <c r="F1420" s="31" t="s">
        <v>408</v>
      </c>
      <c r="G1420" s="31" t="s">
        <v>390</v>
      </c>
      <c r="H1420" s="31" t="s">
        <v>391</v>
      </c>
    </row>
    <row r="1421" spans="2:8" ht="15" customHeight="1" x14ac:dyDescent="0.3">
      <c r="B1421" s="134" t="s">
        <v>409</v>
      </c>
      <c r="C1421" s="134"/>
      <c r="D1421" s="134"/>
      <c r="E1421" s="69">
        <v>1</v>
      </c>
      <c r="F1421" s="32">
        <f>'MANO DE OBRA'!$H$27</f>
        <v>226162.13017808215</v>
      </c>
      <c r="G1421" s="68">
        <v>0.4</v>
      </c>
      <c r="H1421" s="66">
        <f>E1421*F1421*G1421</f>
        <v>90464.852071232861</v>
      </c>
    </row>
    <row r="1422" spans="2:8" ht="15" customHeight="1" x14ac:dyDescent="0.3">
      <c r="B1422" s="134" t="s">
        <v>410</v>
      </c>
      <c r="C1422" s="134"/>
      <c r="D1422" s="134"/>
      <c r="E1422" s="69">
        <v>1</v>
      </c>
      <c r="F1422" s="32">
        <f>'MANO DE OBRA'!$H$23</f>
        <v>121976.08717808221</v>
      </c>
      <c r="G1422" s="68">
        <v>0.4</v>
      </c>
      <c r="H1422" s="66">
        <f>E1422*F1422*G1422</f>
        <v>48790.434871232887</v>
      </c>
    </row>
    <row r="1423" spans="2:8" ht="15" customHeight="1" x14ac:dyDescent="0.3">
      <c r="G1423" s="31" t="s">
        <v>394</v>
      </c>
      <c r="H1423" s="67">
        <f>SUM(H1421:H1422)</f>
        <v>139255.28694246575</v>
      </c>
    </row>
    <row r="1424" spans="2:8" ht="15" customHeight="1" x14ac:dyDescent="0.3"/>
    <row r="1425" spans="2:8" ht="15" customHeight="1" x14ac:dyDescent="0.3">
      <c r="B1425" s="115" t="s">
        <v>295</v>
      </c>
      <c r="C1425" s="115"/>
      <c r="D1425" s="115"/>
      <c r="E1425" s="115"/>
      <c r="F1425" s="115"/>
      <c r="G1425" s="115"/>
      <c r="H1425" s="70">
        <f>H1407+H1413+H1418+H1423</f>
        <v>1144860.7732479891</v>
      </c>
    </row>
    <row r="1426" spans="2:8" ht="15" customHeight="1" x14ac:dyDescent="0.3"/>
    <row r="1427" spans="2:8" ht="15" customHeight="1" x14ac:dyDescent="0.3">
      <c r="B1427" s="71" t="s">
        <v>411</v>
      </c>
    </row>
    <row r="1428" spans="2:8" ht="15" customHeight="1" x14ac:dyDescent="0.3">
      <c r="B1428" s="123" t="s">
        <v>94</v>
      </c>
      <c r="C1428" s="123"/>
      <c r="D1428" s="123"/>
      <c r="E1428" s="123"/>
      <c r="F1428" s="123"/>
      <c r="G1428" s="31" t="s">
        <v>412</v>
      </c>
      <c r="H1428" s="31" t="s">
        <v>4</v>
      </c>
    </row>
    <row r="1429" spans="2:8" ht="15" customHeight="1" x14ac:dyDescent="0.3">
      <c r="B1429" s="110" t="s">
        <v>73</v>
      </c>
      <c r="C1429" s="110"/>
      <c r="D1429" s="110"/>
      <c r="E1429" s="110"/>
      <c r="F1429" s="110"/>
      <c r="G1429" s="22">
        <f>'Datos Iniciales'!$B$32</f>
        <v>0.28999999999999998</v>
      </c>
      <c r="H1429" s="66">
        <f>H1425*G1429</f>
        <v>332009.62424191681</v>
      </c>
    </row>
    <row r="1430" spans="2:8" ht="15" customHeight="1" x14ac:dyDescent="0.3">
      <c r="B1430" s="110" t="s">
        <v>74</v>
      </c>
      <c r="C1430" s="110"/>
      <c r="D1430" s="110"/>
      <c r="E1430" s="110"/>
      <c r="F1430" s="110"/>
      <c r="G1430" s="22">
        <f>'Datos Iniciales'!$B$33</f>
        <v>0.05</v>
      </c>
      <c r="H1430" s="66">
        <f>H1425*G1430</f>
        <v>57243.038662399456</v>
      </c>
    </row>
    <row r="1431" spans="2:8" ht="15" customHeight="1" x14ac:dyDescent="0.3">
      <c r="B1431" s="138" t="s">
        <v>413</v>
      </c>
      <c r="C1431" s="138"/>
      <c r="D1431" s="138"/>
      <c r="E1431" s="138"/>
      <c r="F1431" s="138"/>
      <c r="G1431" s="60">
        <f>G1429+G1430</f>
        <v>0.33999999999999997</v>
      </c>
      <c r="H1431" s="67">
        <f>H1429+H1430</f>
        <v>389252.66290431627</v>
      </c>
    </row>
    <row r="1432" spans="2:8" ht="15" customHeight="1" x14ac:dyDescent="0.3"/>
    <row r="1433" spans="2:8" ht="15" customHeight="1" x14ac:dyDescent="0.3">
      <c r="B1433" s="139" t="s">
        <v>414</v>
      </c>
      <c r="C1433" s="139"/>
      <c r="D1433" s="139"/>
      <c r="E1433" s="139"/>
      <c r="F1433" s="139"/>
      <c r="G1433" s="139"/>
      <c r="H1433" s="37">
        <f>ROUND(H1425+H1431,0)</f>
        <v>1534113</v>
      </c>
    </row>
    <row r="1434" spans="2:8" ht="15" customHeight="1" x14ac:dyDescent="0.3"/>
    <row r="1435" spans="2:8" ht="15" customHeight="1" x14ac:dyDescent="0.3"/>
    <row r="1436" spans="2:8" ht="15.75" customHeight="1" x14ac:dyDescent="0.3">
      <c r="B1436" s="123" t="s">
        <v>0</v>
      </c>
      <c r="C1436" s="123"/>
      <c r="D1436" s="123"/>
      <c r="E1436" s="123"/>
      <c r="F1436" s="123"/>
      <c r="G1436" s="123"/>
      <c r="H1436" s="110"/>
    </row>
    <row r="1437" spans="2:8" ht="15.75" customHeight="1" x14ac:dyDescent="0.3">
      <c r="B1437" s="123" t="s">
        <v>1</v>
      </c>
      <c r="C1437" s="123"/>
      <c r="D1437" s="123"/>
      <c r="E1437" s="123"/>
      <c r="F1437" s="123"/>
      <c r="G1437" s="123"/>
      <c r="H1437" s="110"/>
    </row>
    <row r="1438" spans="2:8" ht="24" customHeight="1" x14ac:dyDescent="0.3">
      <c r="B1438" s="136" t="str">
        <f>'Datos Iniciales'!$B$8</f>
        <v>OBRA PÚBLICA PARA LA EJECUCIÓN DE DIFERENTES MEJORAMIENTOS DE VIVIENDA EN EL CASCO URBANO Y RURAL DEL MUNICIPIO DE MACEO - ANTIOQUIA</v>
      </c>
      <c r="C1438" s="136"/>
      <c r="D1438" s="136"/>
      <c r="E1438" s="136"/>
      <c r="F1438" s="136"/>
      <c r="G1438" s="136"/>
      <c r="H1438" s="110"/>
    </row>
    <row r="1439" spans="2:8" ht="15.75" customHeight="1" x14ac:dyDescent="0.3">
      <c r="B1439" s="112" t="s">
        <v>381</v>
      </c>
      <c r="C1439" s="112"/>
      <c r="D1439" s="112"/>
      <c r="E1439" s="112"/>
      <c r="F1439" s="112"/>
      <c r="G1439" s="112"/>
      <c r="H1439" s="110"/>
    </row>
    <row r="1440" spans="2:8" ht="24" customHeight="1" x14ac:dyDescent="0.3">
      <c r="B1440" s="13" t="s">
        <v>382</v>
      </c>
      <c r="C1440" s="112" t="s">
        <v>94</v>
      </c>
      <c r="D1440" s="112"/>
      <c r="E1440" s="112"/>
      <c r="F1440" s="13" t="s">
        <v>383</v>
      </c>
      <c r="G1440" s="13" t="s">
        <v>384</v>
      </c>
      <c r="H1440" s="13" t="s">
        <v>385</v>
      </c>
    </row>
    <row r="1441" spans="2:8" ht="42" customHeight="1" x14ac:dyDescent="0.3">
      <c r="B1441" s="63" t="s">
        <v>573</v>
      </c>
      <c r="C1441" s="140" t="s">
        <v>153</v>
      </c>
      <c r="D1441" s="140"/>
      <c r="E1441" s="140"/>
      <c r="F1441" s="17" t="s">
        <v>101</v>
      </c>
      <c r="G1441" s="41">
        <f>PRESUPUESTO!$E$31+PRESUPUESTO!$E$70+PRESUPUESTO!$E$123</f>
        <v>5.96</v>
      </c>
      <c r="H1441" s="33">
        <f>H1465</f>
        <v>479668.87944639171</v>
      </c>
    </row>
    <row r="1442" spans="2:8" ht="15" customHeight="1" x14ac:dyDescent="0.3">
      <c r="B1442" s="137" t="s">
        <v>574</v>
      </c>
      <c r="C1442" s="137"/>
      <c r="D1442" s="137"/>
      <c r="E1442" s="137"/>
      <c r="F1442" s="137"/>
      <c r="G1442" s="137"/>
      <c r="H1442" s="137"/>
    </row>
    <row r="1443" spans="2:8" ht="15" customHeight="1" x14ac:dyDescent="0.3">
      <c r="B1443" s="64" t="s">
        <v>388</v>
      </c>
    </row>
    <row r="1444" spans="2:8" ht="15" customHeight="1" x14ac:dyDescent="0.3">
      <c r="B1444" s="135" t="s">
        <v>389</v>
      </c>
      <c r="C1444" s="135"/>
      <c r="D1444" s="135"/>
      <c r="E1444" s="135"/>
      <c r="F1444" s="135"/>
      <c r="G1444" s="135"/>
      <c r="H1444" s="135"/>
    </row>
    <row r="1445" spans="2:8" ht="24" customHeight="1" x14ac:dyDescent="0.3">
      <c r="B1445" s="123" t="s">
        <v>94</v>
      </c>
      <c r="C1445" s="123"/>
      <c r="D1445" s="123"/>
      <c r="E1445" s="31" t="s">
        <v>383</v>
      </c>
      <c r="F1445" s="31" t="s">
        <v>364</v>
      </c>
      <c r="G1445" s="31" t="s">
        <v>390</v>
      </c>
      <c r="H1445" s="31" t="s">
        <v>391</v>
      </c>
    </row>
    <row r="1446" spans="2:8" ht="15" customHeight="1" x14ac:dyDescent="0.3">
      <c r="B1446" s="134" t="s">
        <v>392</v>
      </c>
      <c r="C1446" s="134"/>
      <c r="D1446" s="134"/>
      <c r="E1446" s="17" t="s">
        <v>393</v>
      </c>
      <c r="F1446" s="22">
        <f>EQUIPOS!$D$3</f>
        <v>0.05</v>
      </c>
      <c r="G1446" s="65">
        <f>H1463</f>
        <v>104441.4652068493</v>
      </c>
      <c r="H1446" s="66">
        <f>F1446*G1446</f>
        <v>5222.0732603424658</v>
      </c>
    </row>
    <row r="1447" spans="2:8" ht="15" customHeight="1" x14ac:dyDescent="0.3">
      <c r="G1447" s="31" t="s">
        <v>394</v>
      </c>
      <c r="H1447" s="67">
        <f>SUM(H1446:H1446)</f>
        <v>5222.0732603424658</v>
      </c>
    </row>
    <row r="1448" spans="2:8" ht="15" customHeight="1" x14ac:dyDescent="0.3">
      <c r="B1448" s="135" t="s">
        <v>395</v>
      </c>
      <c r="C1448" s="135"/>
      <c r="D1448" s="135"/>
      <c r="E1448" s="135"/>
      <c r="F1448" s="135"/>
      <c r="G1448" s="135"/>
      <c r="H1448" s="135"/>
    </row>
    <row r="1449" spans="2:8" ht="15" customHeight="1" x14ac:dyDescent="0.3">
      <c r="B1449" s="123" t="s">
        <v>94</v>
      </c>
      <c r="C1449" s="123"/>
      <c r="D1449" s="31" t="s">
        <v>383</v>
      </c>
      <c r="E1449" s="31" t="s">
        <v>96</v>
      </c>
      <c r="F1449" s="31" t="s">
        <v>396</v>
      </c>
      <c r="G1449" s="31" t="s">
        <v>397</v>
      </c>
      <c r="H1449" s="31" t="s">
        <v>391</v>
      </c>
    </row>
    <row r="1450" spans="2:8" ht="22.05" customHeight="1" x14ac:dyDescent="0.3">
      <c r="B1450" s="134" t="s">
        <v>575</v>
      </c>
      <c r="C1450" s="134"/>
      <c r="D1450" s="17" t="s">
        <v>442</v>
      </c>
      <c r="E1450" s="68">
        <v>1</v>
      </c>
      <c r="F1450" s="27">
        <v>0</v>
      </c>
      <c r="G1450" s="32">
        <f>INSUMOS!$D$60</f>
        <v>300000</v>
      </c>
      <c r="H1450" s="66">
        <f>E1450*(1+F1450)*G1450</f>
        <v>300000</v>
      </c>
    </row>
    <row r="1451" spans="2:8" ht="15" customHeight="1" x14ac:dyDescent="0.3">
      <c r="B1451" s="134" t="s">
        <v>576</v>
      </c>
      <c r="C1451" s="134"/>
      <c r="D1451" s="17" t="s">
        <v>442</v>
      </c>
      <c r="E1451" s="68">
        <v>1</v>
      </c>
      <c r="F1451" s="27">
        <v>0</v>
      </c>
      <c r="G1451" s="32">
        <f>INSUMOS!$D$61</f>
        <v>60000</v>
      </c>
      <c r="H1451" s="66">
        <f>E1451*(1+F1451)*G1451</f>
        <v>60000</v>
      </c>
    </row>
    <row r="1452" spans="2:8" ht="15" customHeight="1" x14ac:dyDescent="0.3">
      <c r="B1452" s="134" t="s">
        <v>495</v>
      </c>
      <c r="C1452" s="134"/>
      <c r="D1452" s="17" t="s">
        <v>423</v>
      </c>
      <c r="E1452" s="68">
        <v>6.0000000000000001E-3</v>
      </c>
      <c r="F1452" s="27">
        <v>0</v>
      </c>
      <c r="G1452" s="32">
        <f>'CONCRETOS Y MORTEROS'!$D$6</f>
        <v>527590.16320000007</v>
      </c>
      <c r="H1452" s="66">
        <f>E1452*(1+F1452)*G1452</f>
        <v>3165.5409792000005</v>
      </c>
    </row>
    <row r="1453" spans="2:8" ht="15" customHeight="1" x14ac:dyDescent="0.3">
      <c r="G1453" s="31" t="s">
        <v>394</v>
      </c>
      <c r="H1453" s="67">
        <f>SUM(H1450:H1452)</f>
        <v>363165.54097919998</v>
      </c>
    </row>
    <row r="1454" spans="2:8" ht="15" customHeight="1" x14ac:dyDescent="0.3">
      <c r="B1454" s="135" t="s">
        <v>404</v>
      </c>
      <c r="C1454" s="135"/>
      <c r="D1454" s="135"/>
      <c r="E1454" s="135"/>
      <c r="F1454" s="135"/>
      <c r="G1454" s="135"/>
      <c r="H1454" s="135"/>
    </row>
    <row r="1455" spans="2:8" ht="15" customHeight="1" x14ac:dyDescent="0.3">
      <c r="B1455" s="123" t="s">
        <v>94</v>
      </c>
      <c r="C1455" s="123"/>
      <c r="D1455" s="31" t="s">
        <v>383</v>
      </c>
      <c r="E1455" s="31" t="s">
        <v>96</v>
      </c>
      <c r="F1455" s="31"/>
      <c r="G1455" s="31" t="s">
        <v>364</v>
      </c>
      <c r="H1455" s="31" t="s">
        <v>391</v>
      </c>
    </row>
    <row r="1456" spans="2:8" ht="22.05" customHeight="1" x14ac:dyDescent="0.3">
      <c r="B1456" s="134" t="s">
        <v>522</v>
      </c>
      <c r="C1456" s="134"/>
      <c r="D1456" s="17" t="s">
        <v>431</v>
      </c>
      <c r="E1456" s="72">
        <f>0.025*'Datos Iniciales'!$B$31</f>
        <v>3.1625000000000001</v>
      </c>
      <c r="F1456" s="29"/>
      <c r="G1456" s="32">
        <f>TRANSPORTE!$D$4</f>
        <v>1928</v>
      </c>
      <c r="H1456" s="66">
        <f>E1456*G1456</f>
        <v>6097.3</v>
      </c>
    </row>
    <row r="1457" spans="2:8" ht="22.05" customHeight="1" x14ac:dyDescent="0.3">
      <c r="B1457" s="134" t="s">
        <v>523</v>
      </c>
      <c r="C1457" s="134"/>
      <c r="D1457" s="17" t="s">
        <v>431</v>
      </c>
      <c r="E1457" s="72">
        <f>0.025*'Datos Iniciales'!$B$26</f>
        <v>0.25</v>
      </c>
      <c r="F1457" s="29"/>
      <c r="G1457" s="32">
        <f>TRANSPORTE!$D$5</f>
        <v>2970</v>
      </c>
      <c r="H1457" s="66">
        <f>E1457*G1457</f>
        <v>742.5</v>
      </c>
    </row>
    <row r="1458" spans="2:8" ht="15" customHeight="1" x14ac:dyDescent="0.3">
      <c r="G1458" s="31" t="s">
        <v>394</v>
      </c>
      <c r="H1458" s="67">
        <f>SUM(H1456:H1457)</f>
        <v>6839.8</v>
      </c>
    </row>
    <row r="1459" spans="2:8" ht="15" customHeight="1" x14ac:dyDescent="0.3">
      <c r="B1459" s="135" t="s">
        <v>406</v>
      </c>
      <c r="C1459" s="135"/>
      <c r="D1459" s="135"/>
      <c r="E1459" s="135"/>
      <c r="F1459" s="135"/>
      <c r="G1459" s="135"/>
      <c r="H1459" s="135"/>
    </row>
    <row r="1460" spans="2:8" ht="24" customHeight="1" x14ac:dyDescent="0.3">
      <c r="B1460" s="123" t="s">
        <v>407</v>
      </c>
      <c r="C1460" s="123"/>
      <c r="D1460" s="123"/>
      <c r="E1460" s="31" t="s">
        <v>96</v>
      </c>
      <c r="F1460" s="31" t="s">
        <v>408</v>
      </c>
      <c r="G1460" s="31" t="s">
        <v>390</v>
      </c>
      <c r="H1460" s="31" t="s">
        <v>391</v>
      </c>
    </row>
    <row r="1461" spans="2:8" ht="15" customHeight="1" x14ac:dyDescent="0.3">
      <c r="B1461" s="134" t="s">
        <v>409</v>
      </c>
      <c r="C1461" s="134"/>
      <c r="D1461" s="134"/>
      <c r="E1461" s="69">
        <v>1</v>
      </c>
      <c r="F1461" s="32">
        <f>'MANO DE OBRA'!$H$27</f>
        <v>226162.13017808215</v>
      </c>
      <c r="G1461" s="68">
        <v>0.3</v>
      </c>
      <c r="H1461" s="66">
        <f>E1461*F1461*G1461</f>
        <v>67848.639053424646</v>
      </c>
    </row>
    <row r="1462" spans="2:8" ht="15" customHeight="1" x14ac:dyDescent="0.3">
      <c r="B1462" s="134" t="s">
        <v>410</v>
      </c>
      <c r="C1462" s="134"/>
      <c r="D1462" s="134"/>
      <c r="E1462" s="69">
        <v>1</v>
      </c>
      <c r="F1462" s="32">
        <f>'MANO DE OBRA'!$H$23</f>
        <v>121976.08717808221</v>
      </c>
      <c r="G1462" s="68">
        <v>0.3</v>
      </c>
      <c r="H1462" s="66">
        <f>E1462*F1462*G1462</f>
        <v>36592.826153424663</v>
      </c>
    </row>
    <row r="1463" spans="2:8" ht="15" customHeight="1" x14ac:dyDescent="0.3">
      <c r="G1463" s="31" t="s">
        <v>394</v>
      </c>
      <c r="H1463" s="67">
        <f>SUM(H1461:H1462)</f>
        <v>104441.4652068493</v>
      </c>
    </row>
    <row r="1464" spans="2:8" ht="15" customHeight="1" x14ac:dyDescent="0.3"/>
    <row r="1465" spans="2:8" ht="15" customHeight="1" x14ac:dyDescent="0.3">
      <c r="B1465" s="115" t="s">
        <v>295</v>
      </c>
      <c r="C1465" s="115"/>
      <c r="D1465" s="115"/>
      <c r="E1465" s="115"/>
      <c r="F1465" s="115"/>
      <c r="G1465" s="115"/>
      <c r="H1465" s="70">
        <f>H1447+H1453+H1458+H1463</f>
        <v>479668.87944639171</v>
      </c>
    </row>
    <row r="1466" spans="2:8" ht="15" customHeight="1" x14ac:dyDescent="0.3"/>
    <row r="1467" spans="2:8" ht="15" customHeight="1" x14ac:dyDescent="0.3">
      <c r="B1467" s="71" t="s">
        <v>411</v>
      </c>
    </row>
    <row r="1468" spans="2:8" ht="15" customHeight="1" x14ac:dyDescent="0.3">
      <c r="B1468" s="123" t="s">
        <v>94</v>
      </c>
      <c r="C1468" s="123"/>
      <c r="D1468" s="123"/>
      <c r="E1468" s="123"/>
      <c r="F1468" s="123"/>
      <c r="G1468" s="31" t="s">
        <v>412</v>
      </c>
      <c r="H1468" s="31" t="s">
        <v>4</v>
      </c>
    </row>
    <row r="1469" spans="2:8" ht="15" customHeight="1" x14ac:dyDescent="0.3">
      <c r="B1469" s="110" t="s">
        <v>73</v>
      </c>
      <c r="C1469" s="110"/>
      <c r="D1469" s="110"/>
      <c r="E1469" s="110"/>
      <c r="F1469" s="110"/>
      <c r="G1469" s="22">
        <f>'Datos Iniciales'!$B$32</f>
        <v>0.28999999999999998</v>
      </c>
      <c r="H1469" s="66">
        <f>H1465*G1469</f>
        <v>139103.97503945359</v>
      </c>
    </row>
    <row r="1470" spans="2:8" ht="15" customHeight="1" x14ac:dyDescent="0.3">
      <c r="B1470" s="110" t="s">
        <v>74</v>
      </c>
      <c r="C1470" s="110"/>
      <c r="D1470" s="110"/>
      <c r="E1470" s="110"/>
      <c r="F1470" s="110"/>
      <c r="G1470" s="22">
        <f>'Datos Iniciales'!$B$33</f>
        <v>0.05</v>
      </c>
      <c r="H1470" s="66">
        <f>H1465*G1470</f>
        <v>23983.443972319586</v>
      </c>
    </row>
    <row r="1471" spans="2:8" ht="15" customHeight="1" x14ac:dyDescent="0.3">
      <c r="B1471" s="138" t="s">
        <v>413</v>
      </c>
      <c r="C1471" s="138"/>
      <c r="D1471" s="138"/>
      <c r="E1471" s="138"/>
      <c r="F1471" s="138"/>
      <c r="G1471" s="60">
        <f>G1469+G1470</f>
        <v>0.33999999999999997</v>
      </c>
      <c r="H1471" s="67">
        <f>H1469+H1470</f>
        <v>163087.41901177319</v>
      </c>
    </row>
    <row r="1472" spans="2:8" ht="15" customHeight="1" x14ac:dyDescent="0.3"/>
    <row r="1473" spans="2:8" ht="15" customHeight="1" x14ac:dyDescent="0.3">
      <c r="B1473" s="139" t="s">
        <v>414</v>
      </c>
      <c r="C1473" s="139"/>
      <c r="D1473" s="139"/>
      <c r="E1473" s="139"/>
      <c r="F1473" s="139"/>
      <c r="G1473" s="139"/>
      <c r="H1473" s="37">
        <f>ROUND(H1465+H1471,0)</f>
        <v>642756</v>
      </c>
    </row>
    <row r="1474" spans="2:8" ht="15" customHeight="1" x14ac:dyDescent="0.3"/>
    <row r="1475" spans="2:8" ht="15" customHeight="1" x14ac:dyDescent="0.3"/>
    <row r="1476" spans="2:8" ht="15.75" customHeight="1" x14ac:dyDescent="0.3">
      <c r="B1476" s="123" t="s">
        <v>0</v>
      </c>
      <c r="C1476" s="123"/>
      <c r="D1476" s="123"/>
      <c r="E1476" s="123"/>
      <c r="F1476" s="123"/>
      <c r="G1476" s="123"/>
      <c r="H1476" s="110"/>
    </row>
    <row r="1477" spans="2:8" ht="15.75" customHeight="1" x14ac:dyDescent="0.3">
      <c r="B1477" s="123" t="s">
        <v>1</v>
      </c>
      <c r="C1477" s="123"/>
      <c r="D1477" s="123"/>
      <c r="E1477" s="123"/>
      <c r="F1477" s="123"/>
      <c r="G1477" s="123"/>
      <c r="H1477" s="110"/>
    </row>
    <row r="1478" spans="2:8" ht="24" customHeight="1" x14ac:dyDescent="0.3">
      <c r="B1478" s="136" t="str">
        <f>'Datos Iniciales'!$B$8</f>
        <v>OBRA PÚBLICA PARA LA EJECUCIÓN DE DIFERENTES MEJORAMIENTOS DE VIVIENDA EN EL CASCO URBANO Y RURAL DEL MUNICIPIO DE MACEO - ANTIOQUIA</v>
      </c>
      <c r="C1478" s="136"/>
      <c r="D1478" s="136"/>
      <c r="E1478" s="136"/>
      <c r="F1478" s="136"/>
      <c r="G1478" s="136"/>
      <c r="H1478" s="110"/>
    </row>
    <row r="1479" spans="2:8" ht="15.75" customHeight="1" x14ac:dyDescent="0.3">
      <c r="B1479" s="112" t="s">
        <v>381</v>
      </c>
      <c r="C1479" s="112"/>
      <c r="D1479" s="112"/>
      <c r="E1479" s="112"/>
      <c r="F1479" s="112"/>
      <c r="G1479" s="112"/>
      <c r="H1479" s="110"/>
    </row>
    <row r="1480" spans="2:8" ht="24" customHeight="1" x14ac:dyDescent="0.3">
      <c r="B1480" s="13" t="s">
        <v>382</v>
      </c>
      <c r="C1480" s="112" t="s">
        <v>94</v>
      </c>
      <c r="D1480" s="112"/>
      <c r="E1480" s="112"/>
      <c r="F1480" s="13" t="s">
        <v>383</v>
      </c>
      <c r="G1480" s="13" t="s">
        <v>384</v>
      </c>
      <c r="H1480" s="13" t="s">
        <v>385</v>
      </c>
    </row>
    <row r="1481" spans="2:8" ht="42" customHeight="1" x14ac:dyDescent="0.3">
      <c r="B1481" s="63" t="s">
        <v>577</v>
      </c>
      <c r="C1481" s="140" t="s">
        <v>155</v>
      </c>
      <c r="D1481" s="140"/>
      <c r="E1481" s="140"/>
      <c r="F1481" s="17" t="s">
        <v>101</v>
      </c>
      <c r="G1481" s="41">
        <f>PRESUPUESTO!$E$32+PRESUPUESTO!$E$71+PRESUPUESTO!$E$124</f>
        <v>47.26</v>
      </c>
      <c r="H1481" s="33">
        <f>H1503</f>
        <v>22048.214201219176</v>
      </c>
    </row>
    <row r="1482" spans="2:8" ht="15" customHeight="1" x14ac:dyDescent="0.3">
      <c r="B1482" s="137" t="s">
        <v>578</v>
      </c>
      <c r="C1482" s="137"/>
      <c r="D1482" s="137"/>
      <c r="E1482" s="137"/>
      <c r="F1482" s="137"/>
      <c r="G1482" s="137"/>
      <c r="H1482" s="137"/>
    </row>
    <row r="1483" spans="2:8" ht="15" customHeight="1" x14ac:dyDescent="0.3">
      <c r="B1483" s="64" t="s">
        <v>388</v>
      </c>
    </row>
    <row r="1484" spans="2:8" ht="15" customHeight="1" x14ac:dyDescent="0.3">
      <c r="B1484" s="135" t="s">
        <v>389</v>
      </c>
      <c r="C1484" s="135"/>
      <c r="D1484" s="135"/>
      <c r="E1484" s="135"/>
      <c r="F1484" s="135"/>
      <c r="G1484" s="135"/>
      <c r="H1484" s="135"/>
    </row>
    <row r="1485" spans="2:8" ht="24" customHeight="1" x14ac:dyDescent="0.3">
      <c r="B1485" s="123" t="s">
        <v>94</v>
      </c>
      <c r="C1485" s="123"/>
      <c r="D1485" s="123"/>
      <c r="E1485" s="31" t="s">
        <v>383</v>
      </c>
      <c r="F1485" s="31" t="s">
        <v>364</v>
      </c>
      <c r="G1485" s="31" t="s">
        <v>390</v>
      </c>
      <c r="H1485" s="31" t="s">
        <v>391</v>
      </c>
    </row>
    <row r="1486" spans="2:8" ht="15" customHeight="1" x14ac:dyDescent="0.3">
      <c r="B1486" s="134" t="s">
        <v>392</v>
      </c>
      <c r="C1486" s="134"/>
      <c r="D1486" s="134"/>
      <c r="E1486" s="17" t="s">
        <v>393</v>
      </c>
      <c r="F1486" s="22">
        <f>EQUIPOS!$D$3</f>
        <v>0.05</v>
      </c>
      <c r="G1486" s="65">
        <f>H1501</f>
        <v>13569.727810684928</v>
      </c>
      <c r="H1486" s="66">
        <f>F1486*G1486</f>
        <v>678.48639053424642</v>
      </c>
    </row>
    <row r="1487" spans="2:8" ht="15" customHeight="1" x14ac:dyDescent="0.3">
      <c r="G1487" s="31" t="s">
        <v>394</v>
      </c>
      <c r="H1487" s="67">
        <f>SUM(H1486:H1486)</f>
        <v>678.48639053424642</v>
      </c>
    </row>
    <row r="1488" spans="2:8" ht="15" customHeight="1" x14ac:dyDescent="0.3">
      <c r="B1488" s="135" t="s">
        <v>395</v>
      </c>
      <c r="C1488" s="135"/>
      <c r="D1488" s="135"/>
      <c r="E1488" s="135"/>
      <c r="F1488" s="135"/>
      <c r="G1488" s="135"/>
      <c r="H1488" s="135"/>
    </row>
    <row r="1489" spans="2:8" ht="15" customHeight="1" x14ac:dyDescent="0.3">
      <c r="B1489" s="123" t="s">
        <v>94</v>
      </c>
      <c r="C1489" s="123"/>
      <c r="D1489" s="31" t="s">
        <v>383</v>
      </c>
      <c r="E1489" s="31" t="s">
        <v>96</v>
      </c>
      <c r="F1489" s="31" t="s">
        <v>396</v>
      </c>
      <c r="G1489" s="31" t="s">
        <v>397</v>
      </c>
      <c r="H1489" s="31" t="s">
        <v>391</v>
      </c>
    </row>
    <row r="1490" spans="2:8" ht="15" customHeight="1" x14ac:dyDescent="0.3">
      <c r="B1490" s="134" t="s">
        <v>579</v>
      </c>
      <c r="C1490" s="134"/>
      <c r="D1490" s="17" t="s">
        <v>508</v>
      </c>
      <c r="E1490" s="68">
        <v>0.09</v>
      </c>
      <c r="F1490" s="27">
        <v>0</v>
      </c>
      <c r="G1490" s="32">
        <f>INSUMOS!$D$54</f>
        <v>70000</v>
      </c>
      <c r="H1490" s="66">
        <f>E1490*(1+F1490)*G1490</f>
        <v>6300</v>
      </c>
    </row>
    <row r="1491" spans="2:8" ht="15" customHeight="1" x14ac:dyDescent="0.3">
      <c r="B1491" s="134" t="s">
        <v>580</v>
      </c>
      <c r="C1491" s="134"/>
      <c r="D1491" s="17" t="s">
        <v>508</v>
      </c>
      <c r="E1491" s="68">
        <v>0.03</v>
      </c>
      <c r="F1491" s="27">
        <v>0</v>
      </c>
      <c r="G1491" s="32">
        <f>INSUMOS!$D$55</f>
        <v>25000</v>
      </c>
      <c r="H1491" s="66">
        <f>E1491*(1+F1491)*G1491</f>
        <v>750</v>
      </c>
    </row>
    <row r="1492" spans="2:8" ht="15" customHeight="1" x14ac:dyDescent="0.3">
      <c r="B1492" s="134" t="s">
        <v>503</v>
      </c>
      <c r="C1492" s="134"/>
      <c r="D1492" s="17" t="s">
        <v>399</v>
      </c>
      <c r="E1492" s="68">
        <v>0.3</v>
      </c>
      <c r="F1492" s="27">
        <v>0</v>
      </c>
      <c r="G1492" s="32">
        <f>INSUMOS!$D$56</f>
        <v>2500</v>
      </c>
      <c r="H1492" s="66">
        <f>E1492*(1+F1492)*G1492</f>
        <v>750</v>
      </c>
    </row>
    <row r="1493" spans="2:8" ht="15" customHeight="1" x14ac:dyDescent="0.3">
      <c r="G1493" s="31" t="s">
        <v>394</v>
      </c>
      <c r="H1493" s="67">
        <f>SUM(H1490:H1492)</f>
        <v>7800</v>
      </c>
    </row>
    <row r="1494" spans="2:8" ht="15" customHeight="1" x14ac:dyDescent="0.3">
      <c r="B1494" s="135" t="s">
        <v>404</v>
      </c>
      <c r="C1494" s="135"/>
      <c r="D1494" s="135"/>
      <c r="E1494" s="135"/>
      <c r="F1494" s="135"/>
      <c r="G1494" s="135"/>
      <c r="H1494" s="135"/>
    </row>
    <row r="1495" spans="2:8" ht="15" customHeight="1" x14ac:dyDescent="0.3">
      <c r="B1495" s="123" t="s">
        <v>94</v>
      </c>
      <c r="C1495" s="123"/>
      <c r="D1495" s="31" t="s">
        <v>383</v>
      </c>
      <c r="E1495" s="31" t="s">
        <v>96</v>
      </c>
      <c r="F1495" s="31"/>
      <c r="G1495" s="31" t="s">
        <v>364</v>
      </c>
      <c r="H1495" s="31" t="s">
        <v>391</v>
      </c>
    </row>
    <row r="1496" spans="2:8" ht="15" customHeight="1" x14ac:dyDescent="0.3">
      <c r="B1496" s="137" t="s">
        <v>405</v>
      </c>
      <c r="C1496" s="137"/>
      <c r="D1496" s="29"/>
      <c r="E1496" s="29"/>
      <c r="F1496" s="29"/>
      <c r="G1496" s="29"/>
      <c r="H1496" s="66">
        <v>0</v>
      </c>
    </row>
    <row r="1497" spans="2:8" ht="15" customHeight="1" x14ac:dyDescent="0.3">
      <c r="G1497" s="31" t="s">
        <v>394</v>
      </c>
      <c r="H1497" s="67">
        <f>SUM(H1496:H1496)</f>
        <v>0</v>
      </c>
    </row>
    <row r="1498" spans="2:8" ht="15" customHeight="1" x14ac:dyDescent="0.3">
      <c r="B1498" s="135" t="s">
        <v>406</v>
      </c>
      <c r="C1498" s="135"/>
      <c r="D1498" s="135"/>
      <c r="E1498" s="135"/>
      <c r="F1498" s="135"/>
      <c r="G1498" s="135"/>
      <c r="H1498" s="135"/>
    </row>
    <row r="1499" spans="2:8" ht="24" customHeight="1" x14ac:dyDescent="0.3">
      <c r="B1499" s="123" t="s">
        <v>407</v>
      </c>
      <c r="C1499" s="123"/>
      <c r="D1499" s="123"/>
      <c r="E1499" s="31" t="s">
        <v>96</v>
      </c>
      <c r="F1499" s="31" t="s">
        <v>408</v>
      </c>
      <c r="G1499" s="31" t="s">
        <v>390</v>
      </c>
      <c r="H1499" s="31" t="s">
        <v>391</v>
      </c>
    </row>
    <row r="1500" spans="2:8" ht="15" customHeight="1" x14ac:dyDescent="0.3">
      <c r="B1500" s="134" t="s">
        <v>504</v>
      </c>
      <c r="C1500" s="134"/>
      <c r="D1500" s="134"/>
      <c r="E1500" s="69">
        <v>1</v>
      </c>
      <c r="F1500" s="32">
        <f>'MANO DE OBRA'!$H$25</f>
        <v>226162.13017808215</v>
      </c>
      <c r="G1500" s="68">
        <v>0.06</v>
      </c>
      <c r="H1500" s="66">
        <f>E1500*F1500*G1500</f>
        <v>13569.727810684928</v>
      </c>
    </row>
    <row r="1501" spans="2:8" ht="15" customHeight="1" x14ac:dyDescent="0.3">
      <c r="G1501" s="31" t="s">
        <v>394</v>
      </c>
      <c r="H1501" s="67">
        <f>SUM(H1500:H1500)</f>
        <v>13569.727810684928</v>
      </c>
    </row>
    <row r="1502" spans="2:8" ht="15" customHeight="1" x14ac:dyDescent="0.3"/>
    <row r="1503" spans="2:8" ht="15" customHeight="1" x14ac:dyDescent="0.3">
      <c r="B1503" s="115" t="s">
        <v>295</v>
      </c>
      <c r="C1503" s="115"/>
      <c r="D1503" s="115"/>
      <c r="E1503" s="115"/>
      <c r="F1503" s="115"/>
      <c r="G1503" s="115"/>
      <c r="H1503" s="70">
        <f>H1487+H1493+H1497+H1501</f>
        <v>22048.214201219176</v>
      </c>
    </row>
    <row r="1504" spans="2:8" ht="15" customHeight="1" x14ac:dyDescent="0.3"/>
    <row r="1505" spans="2:8" ht="15" customHeight="1" x14ac:dyDescent="0.3">
      <c r="B1505" s="71" t="s">
        <v>411</v>
      </c>
    </row>
    <row r="1506" spans="2:8" ht="15" customHeight="1" x14ac:dyDescent="0.3">
      <c r="B1506" s="123" t="s">
        <v>94</v>
      </c>
      <c r="C1506" s="123"/>
      <c r="D1506" s="123"/>
      <c r="E1506" s="123"/>
      <c r="F1506" s="123"/>
      <c r="G1506" s="31" t="s">
        <v>412</v>
      </c>
      <c r="H1506" s="31" t="s">
        <v>4</v>
      </c>
    </row>
    <row r="1507" spans="2:8" ht="15" customHeight="1" x14ac:dyDescent="0.3">
      <c r="B1507" s="110" t="s">
        <v>73</v>
      </c>
      <c r="C1507" s="110"/>
      <c r="D1507" s="110"/>
      <c r="E1507" s="110"/>
      <c r="F1507" s="110"/>
      <c r="G1507" s="22">
        <f>'Datos Iniciales'!$B$32</f>
        <v>0.28999999999999998</v>
      </c>
      <c r="H1507" s="66">
        <f>H1503*G1507</f>
        <v>6393.9821183535605</v>
      </c>
    </row>
    <row r="1508" spans="2:8" ht="15" customHeight="1" x14ac:dyDescent="0.3">
      <c r="B1508" s="110" t="s">
        <v>74</v>
      </c>
      <c r="C1508" s="110"/>
      <c r="D1508" s="110"/>
      <c r="E1508" s="110"/>
      <c r="F1508" s="110"/>
      <c r="G1508" s="22">
        <f>'Datos Iniciales'!$B$33</f>
        <v>0.05</v>
      </c>
      <c r="H1508" s="66">
        <f>H1503*G1508</f>
        <v>1102.4107100609588</v>
      </c>
    </row>
    <row r="1509" spans="2:8" ht="15" customHeight="1" x14ac:dyDescent="0.3">
      <c r="B1509" s="138" t="s">
        <v>413</v>
      </c>
      <c r="C1509" s="138"/>
      <c r="D1509" s="138"/>
      <c r="E1509" s="138"/>
      <c r="F1509" s="138"/>
      <c r="G1509" s="60">
        <f>G1507+G1508</f>
        <v>0.33999999999999997</v>
      </c>
      <c r="H1509" s="67">
        <f>H1507+H1508</f>
        <v>7496.3928284145195</v>
      </c>
    </row>
    <row r="1510" spans="2:8" ht="15" customHeight="1" x14ac:dyDescent="0.3"/>
    <row r="1511" spans="2:8" ht="15" customHeight="1" x14ac:dyDescent="0.3">
      <c r="B1511" s="139" t="s">
        <v>414</v>
      </c>
      <c r="C1511" s="139"/>
      <c r="D1511" s="139"/>
      <c r="E1511" s="139"/>
      <c r="F1511" s="139"/>
      <c r="G1511" s="139"/>
      <c r="H1511" s="37">
        <f>ROUND(H1503+H1509,0)</f>
        <v>29545</v>
      </c>
    </row>
    <row r="1512" spans="2:8" ht="15" customHeight="1" x14ac:dyDescent="0.3"/>
    <row r="1513" spans="2:8" ht="15" customHeight="1" x14ac:dyDescent="0.3"/>
    <row r="1514" spans="2:8" ht="15.75" customHeight="1" x14ac:dyDescent="0.3">
      <c r="B1514" s="123" t="s">
        <v>0</v>
      </c>
      <c r="C1514" s="123"/>
      <c r="D1514" s="123"/>
      <c r="E1514" s="123"/>
      <c r="F1514" s="123"/>
      <c r="G1514" s="123"/>
      <c r="H1514" s="110"/>
    </row>
    <row r="1515" spans="2:8" ht="15.75" customHeight="1" x14ac:dyDescent="0.3">
      <c r="B1515" s="123" t="s">
        <v>1</v>
      </c>
      <c r="C1515" s="123"/>
      <c r="D1515" s="123"/>
      <c r="E1515" s="123"/>
      <c r="F1515" s="123"/>
      <c r="G1515" s="123"/>
      <c r="H1515" s="110"/>
    </row>
    <row r="1516" spans="2:8" ht="24" customHeight="1" x14ac:dyDescent="0.3">
      <c r="B1516" s="136" t="str">
        <f>'Datos Iniciales'!$B$8</f>
        <v>OBRA PÚBLICA PARA LA EJECUCIÓN DE DIFERENTES MEJORAMIENTOS DE VIVIENDA EN EL CASCO URBANO Y RURAL DEL MUNICIPIO DE MACEO - ANTIOQUIA</v>
      </c>
      <c r="C1516" s="136"/>
      <c r="D1516" s="136"/>
      <c r="E1516" s="136"/>
      <c r="F1516" s="136"/>
      <c r="G1516" s="136"/>
      <c r="H1516" s="110"/>
    </row>
    <row r="1517" spans="2:8" ht="15.75" customHeight="1" x14ac:dyDescent="0.3">
      <c r="B1517" s="112" t="s">
        <v>381</v>
      </c>
      <c r="C1517" s="112"/>
      <c r="D1517" s="112"/>
      <c r="E1517" s="112"/>
      <c r="F1517" s="112"/>
      <c r="G1517" s="112"/>
      <c r="H1517" s="110"/>
    </row>
    <row r="1518" spans="2:8" ht="24" customHeight="1" x14ac:dyDescent="0.3">
      <c r="B1518" s="13" t="s">
        <v>382</v>
      </c>
      <c r="C1518" s="112" t="s">
        <v>94</v>
      </c>
      <c r="D1518" s="112"/>
      <c r="E1518" s="112"/>
      <c r="F1518" s="13" t="s">
        <v>383</v>
      </c>
      <c r="G1518" s="13" t="s">
        <v>384</v>
      </c>
      <c r="H1518" s="13" t="s">
        <v>385</v>
      </c>
    </row>
    <row r="1519" spans="2:8" ht="31.5" customHeight="1" x14ac:dyDescent="0.3">
      <c r="B1519" s="63" t="s">
        <v>581</v>
      </c>
      <c r="C1519" s="140" t="s">
        <v>126</v>
      </c>
      <c r="D1519" s="140"/>
      <c r="E1519" s="140"/>
      <c r="F1519" s="17" t="s">
        <v>101</v>
      </c>
      <c r="G1519" s="41">
        <f>PRESUPUESTO!$E$18+PRESUPUESTO!$E$45+PRESUPUESTO!$E$97</f>
        <v>79.509999999999991</v>
      </c>
      <c r="H1519" s="33">
        <f>H1543</f>
        <v>79220.667693438358</v>
      </c>
    </row>
    <row r="1520" spans="2:8" ht="15" customHeight="1" x14ac:dyDescent="0.3">
      <c r="B1520" s="137" t="s">
        <v>582</v>
      </c>
      <c r="C1520" s="137"/>
      <c r="D1520" s="137"/>
      <c r="E1520" s="137"/>
      <c r="F1520" s="137"/>
      <c r="G1520" s="137"/>
      <c r="H1520" s="137"/>
    </row>
    <row r="1521" spans="2:8" ht="15" customHeight="1" x14ac:dyDescent="0.3">
      <c r="B1521" s="64" t="s">
        <v>388</v>
      </c>
    </row>
    <row r="1522" spans="2:8" ht="15" customHeight="1" x14ac:dyDescent="0.3">
      <c r="B1522" s="135" t="s">
        <v>389</v>
      </c>
      <c r="C1522" s="135"/>
      <c r="D1522" s="135"/>
      <c r="E1522" s="135"/>
      <c r="F1522" s="135"/>
      <c r="G1522" s="135"/>
      <c r="H1522" s="135"/>
    </row>
    <row r="1523" spans="2:8" ht="24" customHeight="1" x14ac:dyDescent="0.3">
      <c r="B1523" s="123" t="s">
        <v>94</v>
      </c>
      <c r="C1523" s="123"/>
      <c r="D1523" s="123"/>
      <c r="E1523" s="31" t="s">
        <v>383</v>
      </c>
      <c r="F1523" s="31" t="s">
        <v>364</v>
      </c>
      <c r="G1523" s="31" t="s">
        <v>390</v>
      </c>
      <c r="H1523" s="31" t="s">
        <v>391</v>
      </c>
    </row>
    <row r="1524" spans="2:8" ht="15" customHeight="1" x14ac:dyDescent="0.3">
      <c r="B1524" s="134" t="s">
        <v>392</v>
      </c>
      <c r="C1524" s="134"/>
      <c r="D1524" s="134"/>
      <c r="E1524" s="17" t="s">
        <v>393</v>
      </c>
      <c r="F1524" s="22">
        <f>EQUIPOS!$D$3</f>
        <v>0.05</v>
      </c>
      <c r="G1524" s="65">
        <f>H1541</f>
        <v>20888.29304136986</v>
      </c>
      <c r="H1524" s="66">
        <f>F1524*G1524</f>
        <v>1044.4146520684931</v>
      </c>
    </row>
    <row r="1525" spans="2:8" ht="15" customHeight="1" x14ac:dyDescent="0.3">
      <c r="B1525" s="134" t="s">
        <v>552</v>
      </c>
      <c r="C1525" s="134"/>
      <c r="D1525" s="134"/>
      <c r="E1525" s="17" t="s">
        <v>421</v>
      </c>
      <c r="F1525" s="65">
        <f>EQUIPOS!$D$11</f>
        <v>12000</v>
      </c>
      <c r="G1525" s="68">
        <v>0.06</v>
      </c>
      <c r="H1525" s="66">
        <f>F1525*G1525</f>
        <v>720</v>
      </c>
    </row>
    <row r="1526" spans="2:8" ht="15" customHeight="1" x14ac:dyDescent="0.3">
      <c r="G1526" s="31" t="s">
        <v>394</v>
      </c>
      <c r="H1526" s="67">
        <f>SUM(H1524:H1525)</f>
        <v>1764.4146520684931</v>
      </c>
    </row>
    <row r="1527" spans="2:8" ht="15" customHeight="1" x14ac:dyDescent="0.3">
      <c r="B1527" s="135" t="s">
        <v>395</v>
      </c>
      <c r="C1527" s="135"/>
      <c r="D1527" s="135"/>
      <c r="E1527" s="135"/>
      <c r="F1527" s="135"/>
      <c r="G1527" s="135"/>
      <c r="H1527" s="135"/>
    </row>
    <row r="1528" spans="2:8" ht="15" customHeight="1" x14ac:dyDescent="0.3">
      <c r="B1528" s="123" t="s">
        <v>94</v>
      </c>
      <c r="C1528" s="123"/>
      <c r="D1528" s="31" t="s">
        <v>383</v>
      </c>
      <c r="E1528" s="31" t="s">
        <v>96</v>
      </c>
      <c r="F1528" s="31" t="s">
        <v>396</v>
      </c>
      <c r="G1528" s="31" t="s">
        <v>397</v>
      </c>
      <c r="H1528" s="31" t="s">
        <v>391</v>
      </c>
    </row>
    <row r="1529" spans="2:8" ht="15" customHeight="1" x14ac:dyDescent="0.3">
      <c r="B1529" s="134" t="s">
        <v>583</v>
      </c>
      <c r="C1529" s="134"/>
      <c r="D1529" s="17" t="s">
        <v>442</v>
      </c>
      <c r="E1529" s="68">
        <v>1</v>
      </c>
      <c r="F1529" s="27">
        <v>0.05</v>
      </c>
      <c r="G1529" s="32">
        <f>INSUMOS!$D$62</f>
        <v>48000</v>
      </c>
      <c r="H1529" s="66">
        <f>E1529*(1+F1529)*G1529</f>
        <v>50400</v>
      </c>
    </row>
    <row r="1530" spans="2:8" ht="15" customHeight="1" x14ac:dyDescent="0.3">
      <c r="B1530" s="134" t="s">
        <v>584</v>
      </c>
      <c r="C1530" s="134"/>
      <c r="D1530" s="17" t="s">
        <v>399</v>
      </c>
      <c r="E1530" s="68">
        <v>4</v>
      </c>
      <c r="F1530" s="27">
        <v>0</v>
      </c>
      <c r="G1530" s="32">
        <f>INSUMOS!$D$63</f>
        <v>1200</v>
      </c>
      <c r="H1530" s="66">
        <f>E1530*(1+F1530)*G1530</f>
        <v>4800</v>
      </c>
    </row>
    <row r="1531" spans="2:8" ht="15" customHeight="1" x14ac:dyDescent="0.3">
      <c r="G1531" s="31" t="s">
        <v>394</v>
      </c>
      <c r="H1531" s="67">
        <f>SUM(H1529:H1530)</f>
        <v>55200</v>
      </c>
    </row>
    <row r="1532" spans="2:8" ht="15" customHeight="1" x14ac:dyDescent="0.3">
      <c r="B1532" s="135" t="s">
        <v>404</v>
      </c>
      <c r="C1532" s="135"/>
      <c r="D1532" s="135"/>
      <c r="E1532" s="135"/>
      <c r="F1532" s="135"/>
      <c r="G1532" s="135"/>
      <c r="H1532" s="135"/>
    </row>
    <row r="1533" spans="2:8" ht="15" customHeight="1" x14ac:dyDescent="0.3">
      <c r="B1533" s="123" t="s">
        <v>94</v>
      </c>
      <c r="C1533" s="123"/>
      <c r="D1533" s="31" t="s">
        <v>383</v>
      </c>
      <c r="E1533" s="31" t="s">
        <v>96</v>
      </c>
      <c r="F1533" s="31"/>
      <c r="G1533" s="31" t="s">
        <v>364</v>
      </c>
      <c r="H1533" s="31" t="s">
        <v>391</v>
      </c>
    </row>
    <row r="1534" spans="2:8" ht="22.05" customHeight="1" x14ac:dyDescent="0.3">
      <c r="B1534" s="134" t="s">
        <v>585</v>
      </c>
      <c r="C1534" s="134"/>
      <c r="D1534" s="17" t="s">
        <v>431</v>
      </c>
      <c r="E1534" s="72">
        <f>0.005*'Datos Iniciales'!$B$31</f>
        <v>0.63250000000000006</v>
      </c>
      <c r="F1534" s="29"/>
      <c r="G1534" s="32">
        <f>TRANSPORTE!$D$4</f>
        <v>1928</v>
      </c>
      <c r="H1534" s="66">
        <f>E1534*G1534</f>
        <v>1219.46</v>
      </c>
    </row>
    <row r="1535" spans="2:8" ht="22.05" customHeight="1" x14ac:dyDescent="0.3">
      <c r="B1535" s="134" t="s">
        <v>586</v>
      </c>
      <c r="C1535" s="134"/>
      <c r="D1535" s="17" t="s">
        <v>431</v>
      </c>
      <c r="E1535" s="72">
        <f>0.005*'Datos Iniciales'!$B$26</f>
        <v>0.05</v>
      </c>
      <c r="F1535" s="29"/>
      <c r="G1535" s="32">
        <f>TRANSPORTE!$D$5</f>
        <v>2970</v>
      </c>
      <c r="H1535" s="66">
        <f>E1535*G1535</f>
        <v>148.5</v>
      </c>
    </row>
    <row r="1536" spans="2:8" ht="15" customHeight="1" x14ac:dyDescent="0.3">
      <c r="G1536" s="31" t="s">
        <v>394</v>
      </c>
      <c r="H1536" s="67">
        <f>SUM(H1534:H1535)</f>
        <v>1367.96</v>
      </c>
    </row>
    <row r="1537" spans="2:8" ht="15" customHeight="1" x14ac:dyDescent="0.3">
      <c r="B1537" s="135" t="s">
        <v>406</v>
      </c>
      <c r="C1537" s="135"/>
      <c r="D1537" s="135"/>
      <c r="E1537" s="135"/>
      <c r="F1537" s="135"/>
      <c r="G1537" s="135"/>
      <c r="H1537" s="135"/>
    </row>
    <row r="1538" spans="2:8" ht="24" customHeight="1" x14ac:dyDescent="0.3">
      <c r="B1538" s="123" t="s">
        <v>407</v>
      </c>
      <c r="C1538" s="123"/>
      <c r="D1538" s="123"/>
      <c r="E1538" s="31" t="s">
        <v>96</v>
      </c>
      <c r="F1538" s="31" t="s">
        <v>408</v>
      </c>
      <c r="G1538" s="31" t="s">
        <v>390</v>
      </c>
      <c r="H1538" s="31" t="s">
        <v>391</v>
      </c>
    </row>
    <row r="1539" spans="2:8" ht="15" customHeight="1" x14ac:dyDescent="0.3">
      <c r="B1539" s="134" t="s">
        <v>409</v>
      </c>
      <c r="C1539" s="134"/>
      <c r="D1539" s="134"/>
      <c r="E1539" s="69">
        <v>1</v>
      </c>
      <c r="F1539" s="32">
        <f>'MANO DE OBRA'!$H$27</f>
        <v>226162.13017808215</v>
      </c>
      <c r="G1539" s="68">
        <v>0.06</v>
      </c>
      <c r="H1539" s="66">
        <f>E1539*F1539*G1539</f>
        <v>13569.727810684928</v>
      </c>
    </row>
    <row r="1540" spans="2:8" ht="15" customHeight="1" x14ac:dyDescent="0.3">
      <c r="B1540" s="134" t="s">
        <v>410</v>
      </c>
      <c r="C1540" s="134"/>
      <c r="D1540" s="134"/>
      <c r="E1540" s="69">
        <v>1</v>
      </c>
      <c r="F1540" s="32">
        <f>'MANO DE OBRA'!$H$23</f>
        <v>121976.08717808221</v>
      </c>
      <c r="G1540" s="68">
        <v>0.06</v>
      </c>
      <c r="H1540" s="66">
        <f>E1540*F1540*G1540</f>
        <v>7318.5652306849324</v>
      </c>
    </row>
    <row r="1541" spans="2:8" ht="15" customHeight="1" x14ac:dyDescent="0.3">
      <c r="G1541" s="31" t="s">
        <v>394</v>
      </c>
      <c r="H1541" s="67">
        <f>SUM(H1539:H1540)</f>
        <v>20888.29304136986</v>
      </c>
    </row>
    <row r="1542" spans="2:8" ht="15" customHeight="1" x14ac:dyDescent="0.3"/>
    <row r="1543" spans="2:8" ht="15" customHeight="1" x14ac:dyDescent="0.3">
      <c r="B1543" s="115" t="s">
        <v>295</v>
      </c>
      <c r="C1543" s="115"/>
      <c r="D1543" s="115"/>
      <c r="E1543" s="115"/>
      <c r="F1543" s="115"/>
      <c r="G1543" s="115"/>
      <c r="H1543" s="70">
        <f>H1526+H1531+H1536+H1541</f>
        <v>79220.667693438358</v>
      </c>
    </row>
    <row r="1544" spans="2:8" ht="15" customHeight="1" x14ac:dyDescent="0.3"/>
    <row r="1545" spans="2:8" ht="15" customHeight="1" x14ac:dyDescent="0.3">
      <c r="B1545" s="71" t="s">
        <v>411</v>
      </c>
    </row>
    <row r="1546" spans="2:8" ht="15" customHeight="1" x14ac:dyDescent="0.3">
      <c r="B1546" s="123" t="s">
        <v>94</v>
      </c>
      <c r="C1546" s="123"/>
      <c r="D1546" s="123"/>
      <c r="E1546" s="123"/>
      <c r="F1546" s="123"/>
      <c r="G1546" s="31" t="s">
        <v>412</v>
      </c>
      <c r="H1546" s="31" t="s">
        <v>4</v>
      </c>
    </row>
    <row r="1547" spans="2:8" ht="15" customHeight="1" x14ac:dyDescent="0.3">
      <c r="B1547" s="110" t="s">
        <v>73</v>
      </c>
      <c r="C1547" s="110"/>
      <c r="D1547" s="110"/>
      <c r="E1547" s="110"/>
      <c r="F1547" s="110"/>
      <c r="G1547" s="22">
        <f>'Datos Iniciales'!$B$32</f>
        <v>0.28999999999999998</v>
      </c>
      <c r="H1547" s="66">
        <f>H1543*G1547</f>
        <v>22973.993631097121</v>
      </c>
    </row>
    <row r="1548" spans="2:8" ht="15" customHeight="1" x14ac:dyDescent="0.3">
      <c r="B1548" s="110" t="s">
        <v>74</v>
      </c>
      <c r="C1548" s="110"/>
      <c r="D1548" s="110"/>
      <c r="E1548" s="110"/>
      <c r="F1548" s="110"/>
      <c r="G1548" s="22">
        <f>'Datos Iniciales'!$B$33</f>
        <v>0.05</v>
      </c>
      <c r="H1548" s="66">
        <f>H1543*G1548</f>
        <v>3961.0333846719182</v>
      </c>
    </row>
    <row r="1549" spans="2:8" ht="15" customHeight="1" x14ac:dyDescent="0.3">
      <c r="B1549" s="138" t="s">
        <v>413</v>
      </c>
      <c r="C1549" s="138"/>
      <c r="D1549" s="138"/>
      <c r="E1549" s="138"/>
      <c r="F1549" s="138"/>
      <c r="G1549" s="60">
        <f>G1547+G1548</f>
        <v>0.33999999999999997</v>
      </c>
      <c r="H1549" s="67">
        <f>H1547+H1548</f>
        <v>26935.027015769039</v>
      </c>
    </row>
    <row r="1550" spans="2:8" ht="15" customHeight="1" x14ac:dyDescent="0.3"/>
    <row r="1551" spans="2:8" ht="15" customHeight="1" x14ac:dyDescent="0.3">
      <c r="B1551" s="139" t="s">
        <v>414</v>
      </c>
      <c r="C1551" s="139"/>
      <c r="D1551" s="139"/>
      <c r="E1551" s="139"/>
      <c r="F1551" s="139"/>
      <c r="G1551" s="139"/>
      <c r="H1551" s="37">
        <f>ROUND(H1543+H1549,0)</f>
        <v>106156</v>
      </c>
    </row>
    <row r="1552" spans="2:8" ht="15" customHeight="1" x14ac:dyDescent="0.3"/>
    <row r="1553" spans="2:8" ht="15" customHeight="1" x14ac:dyDescent="0.3"/>
    <row r="1554" spans="2:8" ht="15.75" customHeight="1" x14ac:dyDescent="0.3">
      <c r="B1554" s="123" t="s">
        <v>0</v>
      </c>
      <c r="C1554" s="123"/>
      <c r="D1554" s="123"/>
      <c r="E1554" s="123"/>
      <c r="F1554" s="123"/>
      <c r="G1554" s="123"/>
      <c r="H1554" s="110"/>
    </row>
    <row r="1555" spans="2:8" ht="15.75" customHeight="1" x14ac:dyDescent="0.3">
      <c r="B1555" s="123" t="s">
        <v>1</v>
      </c>
      <c r="C1555" s="123"/>
      <c r="D1555" s="123"/>
      <c r="E1555" s="123"/>
      <c r="F1555" s="123"/>
      <c r="G1555" s="123"/>
      <c r="H1555" s="110"/>
    </row>
    <row r="1556" spans="2:8" ht="24" customHeight="1" x14ac:dyDescent="0.3">
      <c r="B1556" s="136" t="str">
        <f>'Datos Iniciales'!$B$8</f>
        <v>OBRA PÚBLICA PARA LA EJECUCIÓN DE DIFERENTES MEJORAMIENTOS DE VIVIENDA EN EL CASCO URBANO Y RURAL DEL MUNICIPIO DE MACEO - ANTIOQUIA</v>
      </c>
      <c r="C1556" s="136"/>
      <c r="D1556" s="136"/>
      <c r="E1556" s="136"/>
      <c r="F1556" s="136"/>
      <c r="G1556" s="136"/>
      <c r="H1556" s="110"/>
    </row>
    <row r="1557" spans="2:8" ht="15.75" customHeight="1" x14ac:dyDescent="0.3">
      <c r="B1557" s="112" t="s">
        <v>381</v>
      </c>
      <c r="C1557" s="112"/>
      <c r="D1557" s="112"/>
      <c r="E1557" s="112"/>
      <c r="F1557" s="112"/>
      <c r="G1557" s="112"/>
      <c r="H1557" s="110"/>
    </row>
    <row r="1558" spans="2:8" ht="24" customHeight="1" x14ac:dyDescent="0.3">
      <c r="B1558" s="13" t="s">
        <v>382</v>
      </c>
      <c r="C1558" s="112" t="s">
        <v>94</v>
      </c>
      <c r="D1558" s="112"/>
      <c r="E1558" s="112"/>
      <c r="F1558" s="13" t="s">
        <v>383</v>
      </c>
      <c r="G1558" s="13" t="s">
        <v>384</v>
      </c>
      <c r="H1558" s="13" t="s">
        <v>385</v>
      </c>
    </row>
    <row r="1559" spans="2:8" ht="42" customHeight="1" x14ac:dyDescent="0.3">
      <c r="B1559" s="63" t="s">
        <v>587</v>
      </c>
      <c r="C1559" s="140" t="s">
        <v>124</v>
      </c>
      <c r="D1559" s="140"/>
      <c r="E1559" s="140"/>
      <c r="F1559" s="17" t="s">
        <v>107</v>
      </c>
      <c r="G1559" s="41">
        <f>PRESUPUESTO!$E$17+PRESUPUESTO!$E$44+PRESUPUESTO!$E$96+PRESUPUESTO!$E$131</f>
        <v>131.6</v>
      </c>
      <c r="H1559" s="33">
        <f>H1582</f>
        <v>33399.831318646575</v>
      </c>
    </row>
    <row r="1560" spans="2:8" ht="15" customHeight="1" x14ac:dyDescent="0.3">
      <c r="B1560" s="137" t="s">
        <v>588</v>
      </c>
      <c r="C1560" s="137"/>
      <c r="D1560" s="137"/>
      <c r="E1560" s="137"/>
      <c r="F1560" s="137"/>
      <c r="G1560" s="137"/>
      <c r="H1560" s="137"/>
    </row>
    <row r="1561" spans="2:8" ht="15" customHeight="1" x14ac:dyDescent="0.3">
      <c r="B1561" s="64" t="s">
        <v>388</v>
      </c>
    </row>
    <row r="1562" spans="2:8" ht="15" customHeight="1" x14ac:dyDescent="0.3">
      <c r="B1562" s="135" t="s">
        <v>389</v>
      </c>
      <c r="C1562" s="135"/>
      <c r="D1562" s="135"/>
      <c r="E1562" s="135"/>
      <c r="F1562" s="135"/>
      <c r="G1562" s="135"/>
      <c r="H1562" s="135"/>
    </row>
    <row r="1563" spans="2:8" ht="24" customHeight="1" x14ac:dyDescent="0.3">
      <c r="B1563" s="123" t="s">
        <v>94</v>
      </c>
      <c r="C1563" s="123"/>
      <c r="D1563" s="123"/>
      <c r="E1563" s="31" t="s">
        <v>383</v>
      </c>
      <c r="F1563" s="31" t="s">
        <v>364</v>
      </c>
      <c r="G1563" s="31" t="s">
        <v>390</v>
      </c>
      <c r="H1563" s="31" t="s">
        <v>391</v>
      </c>
    </row>
    <row r="1564" spans="2:8" ht="15" customHeight="1" x14ac:dyDescent="0.3">
      <c r="B1564" s="134" t="s">
        <v>392</v>
      </c>
      <c r="C1564" s="134"/>
      <c r="D1564" s="134"/>
      <c r="E1564" s="17" t="s">
        <v>393</v>
      </c>
      <c r="F1564" s="22">
        <f>EQUIPOS!$D$3</f>
        <v>0.05</v>
      </c>
      <c r="G1564" s="65">
        <f>H1580</f>
        <v>10667.83592252055</v>
      </c>
      <c r="H1564" s="66">
        <f>F1564*G1564</f>
        <v>533.39179612602754</v>
      </c>
    </row>
    <row r="1565" spans="2:8" ht="15" customHeight="1" x14ac:dyDescent="0.3">
      <c r="G1565" s="31" t="s">
        <v>394</v>
      </c>
      <c r="H1565" s="67">
        <f>SUM(H1564:H1564)</f>
        <v>533.39179612602754</v>
      </c>
    </row>
    <row r="1566" spans="2:8" ht="15" customHeight="1" x14ac:dyDescent="0.3">
      <c r="B1566" s="135" t="s">
        <v>395</v>
      </c>
      <c r="C1566" s="135"/>
      <c r="D1566" s="135"/>
      <c r="E1566" s="135"/>
      <c r="F1566" s="135"/>
      <c r="G1566" s="135"/>
      <c r="H1566" s="135"/>
    </row>
    <row r="1567" spans="2:8" ht="15" customHeight="1" x14ac:dyDescent="0.3">
      <c r="B1567" s="123" t="s">
        <v>94</v>
      </c>
      <c r="C1567" s="123"/>
      <c r="D1567" s="31" t="s">
        <v>383</v>
      </c>
      <c r="E1567" s="31" t="s">
        <v>96</v>
      </c>
      <c r="F1567" s="31" t="s">
        <v>396</v>
      </c>
      <c r="G1567" s="31" t="s">
        <v>397</v>
      </c>
      <c r="H1567" s="31" t="s">
        <v>391</v>
      </c>
    </row>
    <row r="1568" spans="2:8" ht="15" customHeight="1" x14ac:dyDescent="0.3">
      <c r="B1568" s="134" t="s">
        <v>589</v>
      </c>
      <c r="C1568" s="134"/>
      <c r="D1568" s="17" t="s">
        <v>590</v>
      </c>
      <c r="E1568" s="68">
        <v>2.19</v>
      </c>
      <c r="F1568" s="27">
        <v>0.05</v>
      </c>
      <c r="G1568" s="32">
        <f>INSUMOS!$D$64</f>
        <v>8500</v>
      </c>
      <c r="H1568" s="66">
        <f>E1568*(1+F1568)*G1568</f>
        <v>19545.75</v>
      </c>
    </row>
    <row r="1569" spans="2:8" ht="15" customHeight="1" x14ac:dyDescent="0.3">
      <c r="B1569" s="134" t="s">
        <v>591</v>
      </c>
      <c r="C1569" s="134"/>
      <c r="D1569" s="17" t="s">
        <v>399</v>
      </c>
      <c r="E1569" s="68">
        <v>0.5</v>
      </c>
      <c r="F1569" s="27">
        <v>0</v>
      </c>
      <c r="G1569" s="32">
        <f>INSUMOS!$D$65</f>
        <v>3500</v>
      </c>
      <c r="H1569" s="66">
        <f>E1569*(1+F1569)*G1569</f>
        <v>1750</v>
      </c>
    </row>
    <row r="1570" spans="2:8" ht="15" customHeight="1" x14ac:dyDescent="0.3">
      <c r="G1570" s="31" t="s">
        <v>394</v>
      </c>
      <c r="H1570" s="67">
        <f>SUM(H1568:H1569)</f>
        <v>21295.75</v>
      </c>
    </row>
    <row r="1571" spans="2:8" ht="15" customHeight="1" x14ac:dyDescent="0.3">
      <c r="B1571" s="135" t="s">
        <v>404</v>
      </c>
      <c r="C1571" s="135"/>
      <c r="D1571" s="135"/>
      <c r="E1571" s="135"/>
      <c r="F1571" s="135"/>
      <c r="G1571" s="135"/>
      <c r="H1571" s="135"/>
    </row>
    <row r="1572" spans="2:8" ht="15" customHeight="1" x14ac:dyDescent="0.3">
      <c r="B1572" s="123" t="s">
        <v>94</v>
      </c>
      <c r="C1572" s="123"/>
      <c r="D1572" s="31" t="s">
        <v>383</v>
      </c>
      <c r="E1572" s="31" t="s">
        <v>96</v>
      </c>
      <c r="F1572" s="31"/>
      <c r="G1572" s="31" t="s">
        <v>364</v>
      </c>
      <c r="H1572" s="31" t="s">
        <v>391</v>
      </c>
    </row>
    <row r="1573" spans="2:8" ht="22.05" customHeight="1" x14ac:dyDescent="0.3">
      <c r="B1573" s="134" t="s">
        <v>592</v>
      </c>
      <c r="C1573" s="134"/>
      <c r="D1573" s="17" t="s">
        <v>431</v>
      </c>
      <c r="E1573" s="72">
        <f>0.0033*'Datos Iniciales'!$B$31</f>
        <v>0.41744999999999999</v>
      </c>
      <c r="F1573" s="29"/>
      <c r="G1573" s="32">
        <f>TRANSPORTE!$D$4</f>
        <v>1928</v>
      </c>
      <c r="H1573" s="66">
        <f>E1573*G1573</f>
        <v>804.84359999999992</v>
      </c>
    </row>
    <row r="1574" spans="2:8" ht="22.05" customHeight="1" x14ac:dyDescent="0.3">
      <c r="B1574" s="134" t="s">
        <v>593</v>
      </c>
      <c r="C1574" s="134"/>
      <c r="D1574" s="17" t="s">
        <v>431</v>
      </c>
      <c r="E1574" s="72">
        <f>0.0033*'Datos Iniciales'!$B$26</f>
        <v>3.3000000000000002E-2</v>
      </c>
      <c r="F1574" s="29"/>
      <c r="G1574" s="32">
        <f>TRANSPORTE!$D$5</f>
        <v>2970</v>
      </c>
      <c r="H1574" s="66">
        <f>E1574*G1574</f>
        <v>98.01</v>
      </c>
    </row>
    <row r="1575" spans="2:8" ht="15" customHeight="1" x14ac:dyDescent="0.3">
      <c r="G1575" s="31" t="s">
        <v>394</v>
      </c>
      <c r="H1575" s="67">
        <f>SUM(H1573:H1574)</f>
        <v>902.85359999999991</v>
      </c>
    </row>
    <row r="1576" spans="2:8" ht="15" customHeight="1" x14ac:dyDescent="0.3">
      <c r="B1576" s="135" t="s">
        <v>406</v>
      </c>
      <c r="C1576" s="135"/>
      <c r="D1576" s="135"/>
      <c r="E1576" s="135"/>
      <c r="F1576" s="135"/>
      <c r="G1576" s="135"/>
      <c r="H1576" s="135"/>
    </row>
    <row r="1577" spans="2:8" ht="24" customHeight="1" x14ac:dyDescent="0.3">
      <c r="B1577" s="123" t="s">
        <v>407</v>
      </c>
      <c r="C1577" s="123"/>
      <c r="D1577" s="123"/>
      <c r="E1577" s="31" t="s">
        <v>96</v>
      </c>
      <c r="F1577" s="31" t="s">
        <v>408</v>
      </c>
      <c r="G1577" s="31" t="s">
        <v>390</v>
      </c>
      <c r="H1577" s="31" t="s">
        <v>391</v>
      </c>
    </row>
    <row r="1578" spans="2:8" ht="15" customHeight="1" x14ac:dyDescent="0.3">
      <c r="B1578" s="134" t="s">
        <v>594</v>
      </c>
      <c r="C1578" s="134"/>
      <c r="D1578" s="134"/>
      <c r="E1578" s="69">
        <v>1</v>
      </c>
      <c r="F1578" s="32">
        <f>'MANO DE OBRA'!$H$33</f>
        <v>233618.44357260279</v>
      </c>
      <c r="G1578" s="68">
        <v>0.03</v>
      </c>
      <c r="H1578" s="66">
        <f>E1578*F1578*G1578</f>
        <v>7008.5533071780837</v>
      </c>
    </row>
    <row r="1579" spans="2:8" ht="15" customHeight="1" x14ac:dyDescent="0.3">
      <c r="B1579" s="134" t="s">
        <v>595</v>
      </c>
      <c r="C1579" s="134"/>
      <c r="D1579" s="134"/>
      <c r="E1579" s="69">
        <v>1</v>
      </c>
      <c r="F1579" s="32">
        <f>'MANO DE OBRA'!$H$26</f>
        <v>121976.08717808221</v>
      </c>
      <c r="G1579" s="68">
        <v>0.03</v>
      </c>
      <c r="H1579" s="66">
        <f>E1579*F1579*G1579</f>
        <v>3659.2826153424662</v>
      </c>
    </row>
    <row r="1580" spans="2:8" ht="15" customHeight="1" x14ac:dyDescent="0.3">
      <c r="G1580" s="31" t="s">
        <v>394</v>
      </c>
      <c r="H1580" s="67">
        <f>SUM(H1578:H1579)</f>
        <v>10667.83592252055</v>
      </c>
    </row>
    <row r="1581" spans="2:8" ht="15" customHeight="1" x14ac:dyDescent="0.3"/>
    <row r="1582" spans="2:8" ht="15" customHeight="1" x14ac:dyDescent="0.3">
      <c r="B1582" s="115" t="s">
        <v>295</v>
      </c>
      <c r="C1582" s="115"/>
      <c r="D1582" s="115"/>
      <c r="E1582" s="115"/>
      <c r="F1582" s="115"/>
      <c r="G1582" s="115"/>
      <c r="H1582" s="70">
        <f>H1565+H1570+H1575+H1580</f>
        <v>33399.831318646575</v>
      </c>
    </row>
    <row r="1583" spans="2:8" ht="15" customHeight="1" x14ac:dyDescent="0.3"/>
    <row r="1584" spans="2:8" ht="15" customHeight="1" x14ac:dyDescent="0.3">
      <c r="B1584" s="71" t="s">
        <v>411</v>
      </c>
    </row>
    <row r="1585" spans="2:8" ht="15" customHeight="1" x14ac:dyDescent="0.3">
      <c r="B1585" s="123" t="s">
        <v>94</v>
      </c>
      <c r="C1585" s="123"/>
      <c r="D1585" s="123"/>
      <c r="E1585" s="123"/>
      <c r="F1585" s="123"/>
      <c r="G1585" s="31" t="s">
        <v>412</v>
      </c>
      <c r="H1585" s="31" t="s">
        <v>4</v>
      </c>
    </row>
    <row r="1586" spans="2:8" ht="15" customHeight="1" x14ac:dyDescent="0.3">
      <c r="B1586" s="110" t="s">
        <v>73</v>
      </c>
      <c r="C1586" s="110"/>
      <c r="D1586" s="110"/>
      <c r="E1586" s="110"/>
      <c r="F1586" s="110"/>
      <c r="G1586" s="22">
        <f>'Datos Iniciales'!$B$32</f>
        <v>0.28999999999999998</v>
      </c>
      <c r="H1586" s="66">
        <f>H1582*G1586</f>
        <v>9685.951082407506</v>
      </c>
    </row>
    <row r="1587" spans="2:8" ht="15" customHeight="1" x14ac:dyDescent="0.3">
      <c r="B1587" s="110" t="s">
        <v>74</v>
      </c>
      <c r="C1587" s="110"/>
      <c r="D1587" s="110"/>
      <c r="E1587" s="110"/>
      <c r="F1587" s="110"/>
      <c r="G1587" s="22">
        <f>'Datos Iniciales'!$B$33</f>
        <v>0.05</v>
      </c>
      <c r="H1587" s="66">
        <f>H1582*G1587</f>
        <v>1669.9915659323287</v>
      </c>
    </row>
    <row r="1588" spans="2:8" ht="15" customHeight="1" x14ac:dyDescent="0.3">
      <c r="B1588" s="138" t="s">
        <v>413</v>
      </c>
      <c r="C1588" s="138"/>
      <c r="D1588" s="138"/>
      <c r="E1588" s="138"/>
      <c r="F1588" s="138"/>
      <c r="G1588" s="60">
        <f>G1586+G1587</f>
        <v>0.33999999999999997</v>
      </c>
      <c r="H1588" s="67">
        <f>H1586+H1587</f>
        <v>11355.942648339835</v>
      </c>
    </row>
    <row r="1589" spans="2:8" ht="15" customHeight="1" x14ac:dyDescent="0.3"/>
    <row r="1590" spans="2:8" ht="15" customHeight="1" x14ac:dyDescent="0.3">
      <c r="B1590" s="139" t="s">
        <v>414</v>
      </c>
      <c r="C1590" s="139"/>
      <c r="D1590" s="139"/>
      <c r="E1590" s="139"/>
      <c r="F1590" s="139"/>
      <c r="G1590" s="139"/>
      <c r="H1590" s="37">
        <f>ROUND(H1582+H1588,0)</f>
        <v>44756</v>
      </c>
    </row>
    <row r="1591" spans="2:8" ht="15" customHeight="1" x14ac:dyDescent="0.3"/>
    <row r="1592" spans="2:8" ht="15" customHeight="1" x14ac:dyDescent="0.3"/>
    <row r="1593" spans="2:8" ht="15.75" customHeight="1" x14ac:dyDescent="0.3">
      <c r="B1593" s="123" t="s">
        <v>0</v>
      </c>
      <c r="C1593" s="123"/>
      <c r="D1593" s="123"/>
      <c r="E1593" s="123"/>
      <c r="F1593" s="123"/>
      <c r="G1593" s="123"/>
      <c r="H1593" s="110"/>
    </row>
    <row r="1594" spans="2:8" ht="15.75" customHeight="1" x14ac:dyDescent="0.3">
      <c r="B1594" s="123" t="s">
        <v>1</v>
      </c>
      <c r="C1594" s="123"/>
      <c r="D1594" s="123"/>
      <c r="E1594" s="123"/>
      <c r="F1594" s="123"/>
      <c r="G1594" s="123"/>
      <c r="H1594" s="110"/>
    </row>
    <row r="1595" spans="2:8" ht="24" customHeight="1" x14ac:dyDescent="0.3">
      <c r="B1595" s="136" t="str">
        <f>'Datos Iniciales'!$B$8</f>
        <v>OBRA PÚBLICA PARA LA EJECUCIÓN DE DIFERENTES MEJORAMIENTOS DE VIVIENDA EN EL CASCO URBANO Y RURAL DEL MUNICIPIO DE MACEO - ANTIOQUIA</v>
      </c>
      <c r="C1595" s="136"/>
      <c r="D1595" s="136"/>
      <c r="E1595" s="136"/>
      <c r="F1595" s="136"/>
      <c r="G1595" s="136"/>
      <c r="H1595" s="110"/>
    </row>
    <row r="1596" spans="2:8" ht="15.75" customHeight="1" x14ac:dyDescent="0.3">
      <c r="B1596" s="112" t="s">
        <v>381</v>
      </c>
      <c r="C1596" s="112"/>
      <c r="D1596" s="112"/>
      <c r="E1596" s="112"/>
      <c r="F1596" s="112"/>
      <c r="G1596" s="112"/>
      <c r="H1596" s="110"/>
    </row>
    <row r="1597" spans="2:8" ht="24" customHeight="1" x14ac:dyDescent="0.3">
      <c r="B1597" s="13" t="s">
        <v>382</v>
      </c>
      <c r="C1597" s="112" t="s">
        <v>94</v>
      </c>
      <c r="D1597" s="112"/>
      <c r="E1597" s="112"/>
      <c r="F1597" s="13" t="s">
        <v>383</v>
      </c>
      <c r="G1597" s="13" t="s">
        <v>384</v>
      </c>
      <c r="H1597" s="13" t="s">
        <v>385</v>
      </c>
    </row>
    <row r="1598" spans="2:8" ht="42" customHeight="1" x14ac:dyDescent="0.3">
      <c r="B1598" s="63" t="s">
        <v>596</v>
      </c>
      <c r="C1598" s="140" t="s">
        <v>122</v>
      </c>
      <c r="D1598" s="140"/>
      <c r="E1598" s="140"/>
      <c r="F1598" s="17" t="s">
        <v>107</v>
      </c>
      <c r="G1598" s="41">
        <f>PRESUPUESTO!$E$16+PRESUPUESTO!$E$43+PRESUPUESTO!$E$130</f>
        <v>44.1</v>
      </c>
      <c r="H1598" s="33">
        <f>H1621</f>
        <v>63004.029264410972</v>
      </c>
    </row>
    <row r="1599" spans="2:8" ht="15" customHeight="1" x14ac:dyDescent="0.3">
      <c r="B1599" s="137" t="s">
        <v>597</v>
      </c>
      <c r="C1599" s="137"/>
      <c r="D1599" s="137"/>
      <c r="E1599" s="137"/>
      <c r="F1599" s="137"/>
      <c r="G1599" s="137"/>
      <c r="H1599" s="137"/>
    </row>
    <row r="1600" spans="2:8" ht="15" customHeight="1" x14ac:dyDescent="0.3">
      <c r="B1600" s="64" t="s">
        <v>388</v>
      </c>
    </row>
    <row r="1601" spans="2:8" ht="15" customHeight="1" x14ac:dyDescent="0.3">
      <c r="B1601" s="135" t="s">
        <v>389</v>
      </c>
      <c r="C1601" s="135"/>
      <c r="D1601" s="135"/>
      <c r="E1601" s="135"/>
      <c r="F1601" s="135"/>
      <c r="G1601" s="135"/>
      <c r="H1601" s="135"/>
    </row>
    <row r="1602" spans="2:8" ht="24" customHeight="1" x14ac:dyDescent="0.3">
      <c r="B1602" s="123" t="s">
        <v>94</v>
      </c>
      <c r="C1602" s="123"/>
      <c r="D1602" s="123"/>
      <c r="E1602" s="31" t="s">
        <v>383</v>
      </c>
      <c r="F1602" s="31" t="s">
        <v>364</v>
      </c>
      <c r="G1602" s="31" t="s">
        <v>390</v>
      </c>
      <c r="H1602" s="31" t="s">
        <v>391</v>
      </c>
    </row>
    <row r="1603" spans="2:8" ht="15" customHeight="1" x14ac:dyDescent="0.3">
      <c r="B1603" s="134" t="s">
        <v>392</v>
      </c>
      <c r="C1603" s="134"/>
      <c r="D1603" s="134"/>
      <c r="E1603" s="17" t="s">
        <v>393</v>
      </c>
      <c r="F1603" s="22">
        <f>EQUIPOS!$D$3</f>
        <v>0.05</v>
      </c>
      <c r="G1603" s="65">
        <f>H1619</f>
        <v>17779.72653753425</v>
      </c>
      <c r="H1603" s="66">
        <f>F1603*G1603</f>
        <v>888.98632687671261</v>
      </c>
    </row>
    <row r="1604" spans="2:8" ht="15" customHeight="1" x14ac:dyDescent="0.3">
      <c r="G1604" s="31" t="s">
        <v>394</v>
      </c>
      <c r="H1604" s="67">
        <f>SUM(H1603:H1603)</f>
        <v>888.98632687671261</v>
      </c>
    </row>
    <row r="1605" spans="2:8" ht="15" customHeight="1" x14ac:dyDescent="0.3">
      <c r="B1605" s="135" t="s">
        <v>395</v>
      </c>
      <c r="C1605" s="135"/>
      <c r="D1605" s="135"/>
      <c r="E1605" s="135"/>
      <c r="F1605" s="135"/>
      <c r="G1605" s="135"/>
      <c r="H1605" s="135"/>
    </row>
    <row r="1606" spans="2:8" ht="15" customHeight="1" x14ac:dyDescent="0.3">
      <c r="B1606" s="123" t="s">
        <v>94</v>
      </c>
      <c r="C1606" s="123"/>
      <c r="D1606" s="31" t="s">
        <v>383</v>
      </c>
      <c r="E1606" s="31" t="s">
        <v>96</v>
      </c>
      <c r="F1606" s="31" t="s">
        <v>396</v>
      </c>
      <c r="G1606" s="31" t="s">
        <v>397</v>
      </c>
      <c r="H1606" s="31" t="s">
        <v>391</v>
      </c>
    </row>
    <row r="1607" spans="2:8" ht="15" customHeight="1" x14ac:dyDescent="0.3">
      <c r="B1607" s="134" t="s">
        <v>589</v>
      </c>
      <c r="C1607" s="134"/>
      <c r="D1607" s="17" t="s">
        <v>590</v>
      </c>
      <c r="E1607" s="68">
        <v>4.37</v>
      </c>
      <c r="F1607" s="27">
        <v>0.05</v>
      </c>
      <c r="G1607" s="32">
        <f>INSUMOS!$D$64</f>
        <v>8500</v>
      </c>
      <c r="H1607" s="66">
        <f>E1607*(1+F1607)*G1607</f>
        <v>39002.250000000007</v>
      </c>
    </row>
    <row r="1608" spans="2:8" ht="15" customHeight="1" x14ac:dyDescent="0.3">
      <c r="B1608" s="134" t="s">
        <v>591</v>
      </c>
      <c r="C1608" s="134"/>
      <c r="D1608" s="17" t="s">
        <v>399</v>
      </c>
      <c r="E1608" s="68">
        <v>1</v>
      </c>
      <c r="F1608" s="27">
        <v>0</v>
      </c>
      <c r="G1608" s="32">
        <f>INSUMOS!$D$65</f>
        <v>3500</v>
      </c>
      <c r="H1608" s="66">
        <f>E1608*(1+F1608)*G1608</f>
        <v>3500</v>
      </c>
    </row>
    <row r="1609" spans="2:8" ht="15" customHeight="1" x14ac:dyDescent="0.3">
      <c r="G1609" s="31" t="s">
        <v>394</v>
      </c>
      <c r="H1609" s="67">
        <f>SUM(H1607:H1608)</f>
        <v>42502.250000000007</v>
      </c>
    </row>
    <row r="1610" spans="2:8" ht="15" customHeight="1" x14ac:dyDescent="0.3">
      <c r="B1610" s="135" t="s">
        <v>404</v>
      </c>
      <c r="C1610" s="135"/>
      <c r="D1610" s="135"/>
      <c r="E1610" s="135"/>
      <c r="F1610" s="135"/>
      <c r="G1610" s="135"/>
      <c r="H1610" s="135"/>
    </row>
    <row r="1611" spans="2:8" ht="15" customHeight="1" x14ac:dyDescent="0.3">
      <c r="B1611" s="123" t="s">
        <v>94</v>
      </c>
      <c r="C1611" s="123"/>
      <c r="D1611" s="31" t="s">
        <v>383</v>
      </c>
      <c r="E1611" s="31" t="s">
        <v>96</v>
      </c>
      <c r="F1611" s="31"/>
      <c r="G1611" s="31" t="s">
        <v>364</v>
      </c>
      <c r="H1611" s="31" t="s">
        <v>391</v>
      </c>
    </row>
    <row r="1612" spans="2:8" ht="22.05" customHeight="1" x14ac:dyDescent="0.3">
      <c r="B1612" s="134" t="s">
        <v>598</v>
      </c>
      <c r="C1612" s="134"/>
      <c r="D1612" s="17" t="s">
        <v>431</v>
      </c>
      <c r="E1612" s="72">
        <f>0.0067*'Datos Iniciales'!$B$31</f>
        <v>0.84755000000000003</v>
      </c>
      <c r="F1612" s="29"/>
      <c r="G1612" s="32">
        <f>TRANSPORTE!$D$4</f>
        <v>1928</v>
      </c>
      <c r="H1612" s="66">
        <f>E1612*G1612</f>
        <v>1634.0764000000001</v>
      </c>
    </row>
    <row r="1613" spans="2:8" ht="22.05" customHeight="1" x14ac:dyDescent="0.3">
      <c r="B1613" s="134" t="s">
        <v>599</v>
      </c>
      <c r="C1613" s="134"/>
      <c r="D1613" s="17" t="s">
        <v>431</v>
      </c>
      <c r="E1613" s="72">
        <f>0.0067*'Datos Iniciales'!$B$26</f>
        <v>6.7000000000000004E-2</v>
      </c>
      <c r="F1613" s="29"/>
      <c r="G1613" s="32">
        <f>TRANSPORTE!$D$5</f>
        <v>2970</v>
      </c>
      <c r="H1613" s="66">
        <f>E1613*G1613</f>
        <v>198.99</v>
      </c>
    </row>
    <row r="1614" spans="2:8" ht="15" customHeight="1" x14ac:dyDescent="0.3">
      <c r="G1614" s="31" t="s">
        <v>394</v>
      </c>
      <c r="H1614" s="67">
        <f>SUM(H1612:H1613)</f>
        <v>1833.0664000000002</v>
      </c>
    </row>
    <row r="1615" spans="2:8" ht="15" customHeight="1" x14ac:dyDescent="0.3">
      <c r="B1615" s="135" t="s">
        <v>406</v>
      </c>
      <c r="C1615" s="135"/>
      <c r="D1615" s="135"/>
      <c r="E1615" s="135"/>
      <c r="F1615" s="135"/>
      <c r="G1615" s="135"/>
      <c r="H1615" s="135"/>
    </row>
    <row r="1616" spans="2:8" ht="24" customHeight="1" x14ac:dyDescent="0.3">
      <c r="B1616" s="123" t="s">
        <v>407</v>
      </c>
      <c r="C1616" s="123"/>
      <c r="D1616" s="123"/>
      <c r="E1616" s="31" t="s">
        <v>96</v>
      </c>
      <c r="F1616" s="31" t="s">
        <v>408</v>
      </c>
      <c r="G1616" s="31" t="s">
        <v>390</v>
      </c>
      <c r="H1616" s="31" t="s">
        <v>391</v>
      </c>
    </row>
    <row r="1617" spans="2:8" ht="15" customHeight="1" x14ac:dyDescent="0.3">
      <c r="B1617" s="134" t="s">
        <v>594</v>
      </c>
      <c r="C1617" s="134"/>
      <c r="D1617" s="134"/>
      <c r="E1617" s="69">
        <v>1</v>
      </c>
      <c r="F1617" s="32">
        <f>'MANO DE OBRA'!$H$33</f>
        <v>233618.44357260279</v>
      </c>
      <c r="G1617" s="68">
        <v>0.05</v>
      </c>
      <c r="H1617" s="66">
        <f>E1617*F1617*G1617</f>
        <v>11680.92217863014</v>
      </c>
    </row>
    <row r="1618" spans="2:8" ht="15" customHeight="1" x14ac:dyDescent="0.3">
      <c r="B1618" s="134" t="s">
        <v>595</v>
      </c>
      <c r="C1618" s="134"/>
      <c r="D1618" s="134"/>
      <c r="E1618" s="69">
        <v>1</v>
      </c>
      <c r="F1618" s="32">
        <f>'MANO DE OBRA'!$H$26</f>
        <v>121976.08717808221</v>
      </c>
      <c r="G1618" s="68">
        <v>0.05</v>
      </c>
      <c r="H1618" s="66">
        <f>E1618*F1618*G1618</f>
        <v>6098.8043589041108</v>
      </c>
    </row>
    <row r="1619" spans="2:8" ht="15" customHeight="1" x14ac:dyDescent="0.3">
      <c r="G1619" s="31" t="s">
        <v>394</v>
      </c>
      <c r="H1619" s="67">
        <f>SUM(H1617:H1618)</f>
        <v>17779.72653753425</v>
      </c>
    </row>
    <row r="1620" spans="2:8" ht="15" customHeight="1" x14ac:dyDescent="0.3"/>
    <row r="1621" spans="2:8" ht="15" customHeight="1" x14ac:dyDescent="0.3">
      <c r="B1621" s="115" t="s">
        <v>295</v>
      </c>
      <c r="C1621" s="115"/>
      <c r="D1621" s="115"/>
      <c r="E1621" s="115"/>
      <c r="F1621" s="115"/>
      <c r="G1621" s="115"/>
      <c r="H1621" s="70">
        <f>H1604+H1609+H1614+H1619</f>
        <v>63004.029264410972</v>
      </c>
    </row>
    <row r="1622" spans="2:8" ht="15" customHeight="1" x14ac:dyDescent="0.3"/>
    <row r="1623" spans="2:8" ht="15" customHeight="1" x14ac:dyDescent="0.3">
      <c r="B1623" s="71" t="s">
        <v>411</v>
      </c>
    </row>
    <row r="1624" spans="2:8" ht="15" customHeight="1" x14ac:dyDescent="0.3">
      <c r="B1624" s="123" t="s">
        <v>94</v>
      </c>
      <c r="C1624" s="123"/>
      <c r="D1624" s="123"/>
      <c r="E1624" s="123"/>
      <c r="F1624" s="123"/>
      <c r="G1624" s="31" t="s">
        <v>412</v>
      </c>
      <c r="H1624" s="31" t="s">
        <v>4</v>
      </c>
    </row>
    <row r="1625" spans="2:8" ht="15" customHeight="1" x14ac:dyDescent="0.3">
      <c r="B1625" s="110" t="s">
        <v>73</v>
      </c>
      <c r="C1625" s="110"/>
      <c r="D1625" s="110"/>
      <c r="E1625" s="110"/>
      <c r="F1625" s="110"/>
      <c r="G1625" s="22">
        <f>'Datos Iniciales'!$B$32</f>
        <v>0.28999999999999998</v>
      </c>
      <c r="H1625" s="66">
        <f>H1621*G1625</f>
        <v>18271.16848667918</v>
      </c>
    </row>
    <row r="1626" spans="2:8" ht="15" customHeight="1" x14ac:dyDescent="0.3">
      <c r="B1626" s="110" t="s">
        <v>74</v>
      </c>
      <c r="C1626" s="110"/>
      <c r="D1626" s="110"/>
      <c r="E1626" s="110"/>
      <c r="F1626" s="110"/>
      <c r="G1626" s="22">
        <f>'Datos Iniciales'!$B$33</f>
        <v>0.05</v>
      </c>
      <c r="H1626" s="66">
        <f>H1621*G1626</f>
        <v>3150.2014632205487</v>
      </c>
    </row>
    <row r="1627" spans="2:8" ht="15" customHeight="1" x14ac:dyDescent="0.3">
      <c r="B1627" s="138" t="s">
        <v>413</v>
      </c>
      <c r="C1627" s="138"/>
      <c r="D1627" s="138"/>
      <c r="E1627" s="138"/>
      <c r="F1627" s="138"/>
      <c r="G1627" s="60">
        <f>G1625+G1626</f>
        <v>0.33999999999999997</v>
      </c>
      <c r="H1627" s="67">
        <f>H1625+H1626</f>
        <v>21421.36994989973</v>
      </c>
    </row>
    <row r="1628" spans="2:8" ht="15" customHeight="1" x14ac:dyDescent="0.3"/>
    <row r="1629" spans="2:8" ht="15" customHeight="1" x14ac:dyDescent="0.3">
      <c r="B1629" s="139" t="s">
        <v>414</v>
      </c>
      <c r="C1629" s="139"/>
      <c r="D1629" s="139"/>
      <c r="E1629" s="139"/>
      <c r="F1629" s="139"/>
      <c r="G1629" s="139"/>
      <c r="H1629" s="37">
        <f>ROUND(H1621+H1627,0)</f>
        <v>84425</v>
      </c>
    </row>
    <row r="1630" spans="2:8" ht="15" customHeight="1" x14ac:dyDescent="0.3"/>
    <row r="1631" spans="2:8" ht="15" customHeight="1" x14ac:dyDescent="0.3"/>
    <row r="1632" spans="2:8" ht="15.75" customHeight="1" x14ac:dyDescent="0.3">
      <c r="B1632" s="123" t="s">
        <v>0</v>
      </c>
      <c r="C1632" s="123"/>
      <c r="D1632" s="123"/>
      <c r="E1632" s="123"/>
      <c r="F1632" s="123"/>
      <c r="G1632" s="123"/>
      <c r="H1632" s="110"/>
    </row>
    <row r="1633" spans="2:8" ht="15.75" customHeight="1" x14ac:dyDescent="0.3">
      <c r="B1633" s="123" t="s">
        <v>1</v>
      </c>
      <c r="C1633" s="123"/>
      <c r="D1633" s="123"/>
      <c r="E1633" s="123"/>
      <c r="F1633" s="123"/>
      <c r="G1633" s="123"/>
      <c r="H1633" s="110"/>
    </row>
    <row r="1634" spans="2:8" ht="24" customHeight="1" x14ac:dyDescent="0.3">
      <c r="B1634" s="136" t="str">
        <f>'Datos Iniciales'!$B$8</f>
        <v>OBRA PÚBLICA PARA LA EJECUCIÓN DE DIFERENTES MEJORAMIENTOS DE VIVIENDA EN EL CASCO URBANO Y RURAL DEL MUNICIPIO DE MACEO - ANTIOQUIA</v>
      </c>
      <c r="C1634" s="136"/>
      <c r="D1634" s="136"/>
      <c r="E1634" s="136"/>
      <c r="F1634" s="136"/>
      <c r="G1634" s="136"/>
      <c r="H1634" s="110"/>
    </row>
    <row r="1635" spans="2:8" ht="15.75" customHeight="1" x14ac:dyDescent="0.3">
      <c r="B1635" s="112" t="s">
        <v>381</v>
      </c>
      <c r="C1635" s="112"/>
      <c r="D1635" s="112"/>
      <c r="E1635" s="112"/>
      <c r="F1635" s="112"/>
      <c r="G1635" s="112"/>
      <c r="H1635" s="110"/>
    </row>
    <row r="1636" spans="2:8" ht="24" customHeight="1" x14ac:dyDescent="0.3">
      <c r="B1636" s="13" t="s">
        <v>382</v>
      </c>
      <c r="C1636" s="112" t="s">
        <v>94</v>
      </c>
      <c r="D1636" s="112"/>
      <c r="E1636" s="112"/>
      <c r="F1636" s="13" t="s">
        <v>383</v>
      </c>
      <c r="G1636" s="13" t="s">
        <v>384</v>
      </c>
      <c r="H1636" s="13" t="s">
        <v>385</v>
      </c>
    </row>
    <row r="1637" spans="2:8" ht="42" customHeight="1" x14ac:dyDescent="0.3">
      <c r="B1637" s="63" t="s">
        <v>600</v>
      </c>
      <c r="C1637" s="140" t="s">
        <v>242</v>
      </c>
      <c r="D1637" s="140"/>
      <c r="E1637" s="140"/>
      <c r="F1637" s="17" t="s">
        <v>107</v>
      </c>
      <c r="G1637" s="41">
        <f>PRESUPUESTO!$E$95</f>
        <v>4.5999999999999996</v>
      </c>
      <c r="H1637" s="33">
        <f>H1660</f>
        <v>87186.375437293158</v>
      </c>
    </row>
    <row r="1638" spans="2:8" ht="15" customHeight="1" x14ac:dyDescent="0.3">
      <c r="B1638" s="137" t="s">
        <v>601</v>
      </c>
      <c r="C1638" s="137"/>
      <c r="D1638" s="137"/>
      <c r="E1638" s="137"/>
      <c r="F1638" s="137"/>
      <c r="G1638" s="137"/>
      <c r="H1638" s="137"/>
    </row>
    <row r="1639" spans="2:8" ht="15" customHeight="1" x14ac:dyDescent="0.3">
      <c r="B1639" s="64" t="s">
        <v>388</v>
      </c>
    </row>
    <row r="1640" spans="2:8" ht="15" customHeight="1" x14ac:dyDescent="0.3">
      <c r="B1640" s="135" t="s">
        <v>389</v>
      </c>
      <c r="C1640" s="135"/>
      <c r="D1640" s="135"/>
      <c r="E1640" s="135"/>
      <c r="F1640" s="135"/>
      <c r="G1640" s="135"/>
      <c r="H1640" s="135"/>
    </row>
    <row r="1641" spans="2:8" ht="24" customHeight="1" x14ac:dyDescent="0.3">
      <c r="B1641" s="123" t="s">
        <v>94</v>
      </c>
      <c r="C1641" s="123"/>
      <c r="D1641" s="123"/>
      <c r="E1641" s="31" t="s">
        <v>383</v>
      </c>
      <c r="F1641" s="31" t="s">
        <v>364</v>
      </c>
      <c r="G1641" s="31" t="s">
        <v>390</v>
      </c>
      <c r="H1641" s="31" t="s">
        <v>391</v>
      </c>
    </row>
    <row r="1642" spans="2:8" ht="15" customHeight="1" x14ac:dyDescent="0.3">
      <c r="B1642" s="134" t="s">
        <v>392</v>
      </c>
      <c r="C1642" s="134"/>
      <c r="D1642" s="134"/>
      <c r="E1642" s="17" t="s">
        <v>393</v>
      </c>
      <c r="F1642" s="22">
        <f>EQUIPOS!$D$3</f>
        <v>0.05</v>
      </c>
      <c r="G1642" s="65">
        <f>H1658</f>
        <v>21335.671845041099</v>
      </c>
      <c r="H1642" s="66">
        <f>F1642*G1642</f>
        <v>1066.7835922520551</v>
      </c>
    </row>
    <row r="1643" spans="2:8" ht="15" customHeight="1" x14ac:dyDescent="0.3">
      <c r="G1643" s="31" t="s">
        <v>394</v>
      </c>
      <c r="H1643" s="67">
        <f>SUM(H1642:H1642)</f>
        <v>1066.7835922520551</v>
      </c>
    </row>
    <row r="1644" spans="2:8" ht="15" customHeight="1" x14ac:dyDescent="0.3">
      <c r="B1644" s="135" t="s">
        <v>395</v>
      </c>
      <c r="C1644" s="135"/>
      <c r="D1644" s="135"/>
      <c r="E1644" s="135"/>
      <c r="F1644" s="135"/>
      <c r="G1644" s="135"/>
      <c r="H1644" s="135"/>
    </row>
    <row r="1645" spans="2:8" ht="15" customHeight="1" x14ac:dyDescent="0.3">
      <c r="B1645" s="123" t="s">
        <v>94</v>
      </c>
      <c r="C1645" s="123"/>
      <c r="D1645" s="31" t="s">
        <v>383</v>
      </c>
      <c r="E1645" s="31" t="s">
        <v>96</v>
      </c>
      <c r="F1645" s="31" t="s">
        <v>396</v>
      </c>
      <c r="G1645" s="31" t="s">
        <v>397</v>
      </c>
      <c r="H1645" s="31" t="s">
        <v>391</v>
      </c>
    </row>
    <row r="1646" spans="2:8" ht="15" customHeight="1" x14ac:dyDescent="0.3">
      <c r="B1646" s="134" t="s">
        <v>589</v>
      </c>
      <c r="C1646" s="134"/>
      <c r="D1646" s="17" t="s">
        <v>590</v>
      </c>
      <c r="E1646" s="68">
        <v>6.56</v>
      </c>
      <c r="F1646" s="27">
        <v>0.05</v>
      </c>
      <c r="G1646" s="32">
        <f>INSUMOS!$D$64</f>
        <v>8500</v>
      </c>
      <c r="H1646" s="66">
        <f>E1646*(1+F1646)*G1646</f>
        <v>58548</v>
      </c>
    </row>
    <row r="1647" spans="2:8" ht="15" customHeight="1" x14ac:dyDescent="0.3">
      <c r="B1647" s="134" t="s">
        <v>591</v>
      </c>
      <c r="C1647" s="134"/>
      <c r="D1647" s="17" t="s">
        <v>399</v>
      </c>
      <c r="E1647" s="68">
        <v>1</v>
      </c>
      <c r="F1647" s="27">
        <v>0</v>
      </c>
      <c r="G1647" s="32">
        <f>INSUMOS!$D$65</f>
        <v>3500</v>
      </c>
      <c r="H1647" s="66">
        <f>E1647*(1+F1647)*G1647</f>
        <v>3500</v>
      </c>
    </row>
    <row r="1648" spans="2:8" ht="15" customHeight="1" x14ac:dyDescent="0.3">
      <c r="G1648" s="31" t="s">
        <v>394</v>
      </c>
      <c r="H1648" s="67">
        <f>SUM(H1646:H1647)</f>
        <v>62048</v>
      </c>
    </row>
    <row r="1649" spans="2:8" ht="15" customHeight="1" x14ac:dyDescent="0.3">
      <c r="B1649" s="135" t="s">
        <v>404</v>
      </c>
      <c r="C1649" s="135"/>
      <c r="D1649" s="135"/>
      <c r="E1649" s="135"/>
      <c r="F1649" s="135"/>
      <c r="G1649" s="135"/>
      <c r="H1649" s="135"/>
    </row>
    <row r="1650" spans="2:8" ht="15" customHeight="1" x14ac:dyDescent="0.3">
      <c r="B1650" s="123" t="s">
        <v>94</v>
      </c>
      <c r="C1650" s="123"/>
      <c r="D1650" s="31" t="s">
        <v>383</v>
      </c>
      <c r="E1650" s="31" t="s">
        <v>96</v>
      </c>
      <c r="F1650" s="31"/>
      <c r="G1650" s="31" t="s">
        <v>364</v>
      </c>
      <c r="H1650" s="31" t="s">
        <v>391</v>
      </c>
    </row>
    <row r="1651" spans="2:8" ht="22.05" customHeight="1" x14ac:dyDescent="0.3">
      <c r="B1651" s="134" t="s">
        <v>602</v>
      </c>
      <c r="C1651" s="134"/>
      <c r="D1651" s="17" t="s">
        <v>431</v>
      </c>
      <c r="E1651" s="72">
        <f>0.01*'Datos Iniciales'!$B$31</f>
        <v>1.2650000000000001</v>
      </c>
      <c r="F1651" s="29"/>
      <c r="G1651" s="32">
        <f>TRANSPORTE!$D$4</f>
        <v>1928</v>
      </c>
      <c r="H1651" s="66">
        <f>E1651*G1651</f>
        <v>2438.92</v>
      </c>
    </row>
    <row r="1652" spans="2:8" ht="22.05" customHeight="1" x14ac:dyDescent="0.3">
      <c r="B1652" s="134" t="s">
        <v>603</v>
      </c>
      <c r="C1652" s="134"/>
      <c r="D1652" s="17" t="s">
        <v>431</v>
      </c>
      <c r="E1652" s="72">
        <f>0.01*'Datos Iniciales'!$B$26</f>
        <v>0.1</v>
      </c>
      <c r="F1652" s="29"/>
      <c r="G1652" s="32">
        <f>TRANSPORTE!$D$5</f>
        <v>2970</v>
      </c>
      <c r="H1652" s="66">
        <f>E1652*G1652</f>
        <v>297</v>
      </c>
    </row>
    <row r="1653" spans="2:8" ht="15" customHeight="1" x14ac:dyDescent="0.3">
      <c r="G1653" s="31" t="s">
        <v>394</v>
      </c>
      <c r="H1653" s="67">
        <f>SUM(H1651:H1652)</f>
        <v>2735.92</v>
      </c>
    </row>
    <row r="1654" spans="2:8" ht="15" customHeight="1" x14ac:dyDescent="0.3">
      <c r="B1654" s="135" t="s">
        <v>406</v>
      </c>
      <c r="C1654" s="135"/>
      <c r="D1654" s="135"/>
      <c r="E1654" s="135"/>
      <c r="F1654" s="135"/>
      <c r="G1654" s="135"/>
      <c r="H1654" s="135"/>
    </row>
    <row r="1655" spans="2:8" ht="24" customHeight="1" x14ac:dyDescent="0.3">
      <c r="B1655" s="123" t="s">
        <v>407</v>
      </c>
      <c r="C1655" s="123"/>
      <c r="D1655" s="123"/>
      <c r="E1655" s="31" t="s">
        <v>96</v>
      </c>
      <c r="F1655" s="31" t="s">
        <v>408</v>
      </c>
      <c r="G1655" s="31" t="s">
        <v>390</v>
      </c>
      <c r="H1655" s="31" t="s">
        <v>391</v>
      </c>
    </row>
    <row r="1656" spans="2:8" ht="15" customHeight="1" x14ac:dyDescent="0.3">
      <c r="B1656" s="134" t="s">
        <v>594</v>
      </c>
      <c r="C1656" s="134"/>
      <c r="D1656" s="134"/>
      <c r="E1656" s="69">
        <v>1</v>
      </c>
      <c r="F1656" s="32">
        <f>'MANO DE OBRA'!$H$33</f>
        <v>233618.44357260279</v>
      </c>
      <c r="G1656" s="68">
        <v>0.06</v>
      </c>
      <c r="H1656" s="66">
        <f>E1656*F1656*G1656</f>
        <v>14017.106614356167</v>
      </c>
    </row>
    <row r="1657" spans="2:8" ht="15" customHeight="1" x14ac:dyDescent="0.3">
      <c r="B1657" s="134" t="s">
        <v>595</v>
      </c>
      <c r="C1657" s="134"/>
      <c r="D1657" s="134"/>
      <c r="E1657" s="69">
        <v>1</v>
      </c>
      <c r="F1657" s="32">
        <f>'MANO DE OBRA'!$H$26</f>
        <v>121976.08717808221</v>
      </c>
      <c r="G1657" s="68">
        <v>0.06</v>
      </c>
      <c r="H1657" s="66">
        <f>E1657*F1657*G1657</f>
        <v>7318.5652306849324</v>
      </c>
    </row>
    <row r="1658" spans="2:8" ht="15" customHeight="1" x14ac:dyDescent="0.3">
      <c r="G1658" s="31" t="s">
        <v>394</v>
      </c>
      <c r="H1658" s="67">
        <f>SUM(H1656:H1657)</f>
        <v>21335.671845041099</v>
      </c>
    </row>
    <row r="1659" spans="2:8" ht="15" customHeight="1" x14ac:dyDescent="0.3"/>
    <row r="1660" spans="2:8" ht="15" customHeight="1" x14ac:dyDescent="0.3">
      <c r="B1660" s="115" t="s">
        <v>295</v>
      </c>
      <c r="C1660" s="115"/>
      <c r="D1660" s="115"/>
      <c r="E1660" s="115"/>
      <c r="F1660" s="115"/>
      <c r="G1660" s="115"/>
      <c r="H1660" s="70">
        <f>H1643+H1648+H1653+H1658</f>
        <v>87186.375437293158</v>
      </c>
    </row>
    <row r="1661" spans="2:8" ht="15" customHeight="1" x14ac:dyDescent="0.3"/>
    <row r="1662" spans="2:8" ht="15" customHeight="1" x14ac:dyDescent="0.3">
      <c r="B1662" s="71" t="s">
        <v>411</v>
      </c>
    </row>
    <row r="1663" spans="2:8" ht="15" customHeight="1" x14ac:dyDescent="0.3">
      <c r="B1663" s="123" t="s">
        <v>94</v>
      </c>
      <c r="C1663" s="123"/>
      <c r="D1663" s="123"/>
      <c r="E1663" s="123"/>
      <c r="F1663" s="123"/>
      <c r="G1663" s="31" t="s">
        <v>412</v>
      </c>
      <c r="H1663" s="31" t="s">
        <v>4</v>
      </c>
    </row>
    <row r="1664" spans="2:8" ht="15" customHeight="1" x14ac:dyDescent="0.3">
      <c r="B1664" s="110" t="s">
        <v>73</v>
      </c>
      <c r="C1664" s="110"/>
      <c r="D1664" s="110"/>
      <c r="E1664" s="110"/>
      <c r="F1664" s="110"/>
      <c r="G1664" s="22">
        <f>'Datos Iniciales'!$B$32</f>
        <v>0.28999999999999998</v>
      </c>
      <c r="H1664" s="66">
        <f>H1660*G1664</f>
        <v>25284.048876815014</v>
      </c>
    </row>
    <row r="1665" spans="2:8" ht="15" customHeight="1" x14ac:dyDescent="0.3">
      <c r="B1665" s="110" t="s">
        <v>74</v>
      </c>
      <c r="C1665" s="110"/>
      <c r="D1665" s="110"/>
      <c r="E1665" s="110"/>
      <c r="F1665" s="110"/>
      <c r="G1665" s="22">
        <f>'Datos Iniciales'!$B$33</f>
        <v>0.05</v>
      </c>
      <c r="H1665" s="66">
        <f>H1660*G1665</f>
        <v>4359.3187718646577</v>
      </c>
    </row>
    <row r="1666" spans="2:8" ht="15" customHeight="1" x14ac:dyDescent="0.3">
      <c r="B1666" s="138" t="s">
        <v>413</v>
      </c>
      <c r="C1666" s="138"/>
      <c r="D1666" s="138"/>
      <c r="E1666" s="138"/>
      <c r="F1666" s="138"/>
      <c r="G1666" s="60">
        <f>G1664+G1665</f>
        <v>0.33999999999999997</v>
      </c>
      <c r="H1666" s="67">
        <f>H1664+H1665</f>
        <v>29643.367648679672</v>
      </c>
    </row>
    <row r="1667" spans="2:8" ht="15" customHeight="1" x14ac:dyDescent="0.3"/>
    <row r="1668" spans="2:8" ht="15" customHeight="1" x14ac:dyDescent="0.3">
      <c r="B1668" s="139" t="s">
        <v>414</v>
      </c>
      <c r="C1668" s="139"/>
      <c r="D1668" s="139"/>
      <c r="E1668" s="139"/>
      <c r="F1668" s="139"/>
      <c r="G1668" s="139"/>
      <c r="H1668" s="37">
        <f>ROUND(H1660+H1666,0)</f>
        <v>116830</v>
      </c>
    </row>
    <row r="1669" spans="2:8" ht="15" customHeight="1" x14ac:dyDescent="0.3"/>
    <row r="1670" spans="2:8" ht="15" customHeight="1" x14ac:dyDescent="0.3"/>
    <row r="1671" spans="2:8" ht="15.75" customHeight="1" x14ac:dyDescent="0.3">
      <c r="B1671" s="123" t="s">
        <v>0</v>
      </c>
      <c r="C1671" s="123"/>
      <c r="D1671" s="123"/>
      <c r="E1671" s="123"/>
      <c r="F1671" s="123"/>
      <c r="G1671" s="123"/>
      <c r="H1671" s="110"/>
    </row>
    <row r="1672" spans="2:8" ht="15.75" customHeight="1" x14ac:dyDescent="0.3">
      <c r="B1672" s="123" t="s">
        <v>1</v>
      </c>
      <c r="C1672" s="123"/>
      <c r="D1672" s="123"/>
      <c r="E1672" s="123"/>
      <c r="F1672" s="123"/>
      <c r="G1672" s="123"/>
      <c r="H1672" s="110"/>
    </row>
    <row r="1673" spans="2:8" ht="24" customHeight="1" x14ac:dyDescent="0.3">
      <c r="B1673" s="136" t="str">
        <f>'Datos Iniciales'!$B$8</f>
        <v>OBRA PÚBLICA PARA LA EJECUCIÓN DE DIFERENTES MEJORAMIENTOS DE VIVIENDA EN EL CASCO URBANO Y RURAL DEL MUNICIPIO DE MACEO - ANTIOQUIA</v>
      </c>
      <c r="C1673" s="136"/>
      <c r="D1673" s="136"/>
      <c r="E1673" s="136"/>
      <c r="F1673" s="136"/>
      <c r="G1673" s="136"/>
      <c r="H1673" s="110"/>
    </row>
    <row r="1674" spans="2:8" ht="15.75" customHeight="1" x14ac:dyDescent="0.3">
      <c r="B1674" s="112" t="s">
        <v>381</v>
      </c>
      <c r="C1674" s="112"/>
      <c r="D1674" s="112"/>
      <c r="E1674" s="112"/>
      <c r="F1674" s="112"/>
      <c r="G1674" s="112"/>
      <c r="H1674" s="110"/>
    </row>
    <row r="1675" spans="2:8" ht="24" customHeight="1" x14ac:dyDescent="0.3">
      <c r="B1675" s="13" t="s">
        <v>382</v>
      </c>
      <c r="C1675" s="112" t="s">
        <v>94</v>
      </c>
      <c r="D1675" s="112"/>
      <c r="E1675" s="112"/>
      <c r="F1675" s="13" t="s">
        <v>383</v>
      </c>
      <c r="G1675" s="13" t="s">
        <v>384</v>
      </c>
      <c r="H1675" s="13" t="s">
        <v>385</v>
      </c>
    </row>
    <row r="1676" spans="2:8" ht="31.5" customHeight="1" x14ac:dyDescent="0.3">
      <c r="B1676" s="63" t="s">
        <v>604</v>
      </c>
      <c r="C1676" s="140" t="s">
        <v>128</v>
      </c>
      <c r="D1676" s="140"/>
      <c r="E1676" s="140"/>
      <c r="F1676" s="17" t="s">
        <v>107</v>
      </c>
      <c r="G1676" s="41">
        <f>PRESUPUESTO!$E$19+PRESUPUESTO!$E$46+PRESUPUESTO!$E$98</f>
        <v>21.200000000000003</v>
      </c>
      <c r="H1676" s="33">
        <f>H1702</f>
        <v>61944.44041119863</v>
      </c>
    </row>
    <row r="1677" spans="2:8" ht="15" customHeight="1" x14ac:dyDescent="0.3">
      <c r="B1677" s="137" t="s">
        <v>605</v>
      </c>
      <c r="C1677" s="137"/>
      <c r="D1677" s="137"/>
      <c r="E1677" s="137"/>
      <c r="F1677" s="137"/>
      <c r="G1677" s="137"/>
      <c r="H1677" s="137"/>
    </row>
    <row r="1678" spans="2:8" ht="15" customHeight="1" x14ac:dyDescent="0.3">
      <c r="B1678" s="64" t="s">
        <v>388</v>
      </c>
    </row>
    <row r="1679" spans="2:8" ht="15" customHeight="1" x14ac:dyDescent="0.3">
      <c r="B1679" s="135" t="s">
        <v>389</v>
      </c>
      <c r="C1679" s="135"/>
      <c r="D1679" s="135"/>
      <c r="E1679" s="135"/>
      <c r="F1679" s="135"/>
      <c r="G1679" s="135"/>
      <c r="H1679" s="135"/>
    </row>
    <row r="1680" spans="2:8" ht="24" customHeight="1" x14ac:dyDescent="0.3">
      <c r="B1680" s="123" t="s">
        <v>94</v>
      </c>
      <c r="C1680" s="123"/>
      <c r="D1680" s="123"/>
      <c r="E1680" s="31" t="s">
        <v>383</v>
      </c>
      <c r="F1680" s="31" t="s">
        <v>364</v>
      </c>
      <c r="G1680" s="31" t="s">
        <v>390</v>
      </c>
      <c r="H1680" s="31" t="s">
        <v>391</v>
      </c>
    </row>
    <row r="1681" spans="2:8" ht="15" customHeight="1" x14ac:dyDescent="0.3">
      <c r="B1681" s="134" t="s">
        <v>392</v>
      </c>
      <c r="C1681" s="134"/>
      <c r="D1681" s="134"/>
      <c r="E1681" s="17" t="s">
        <v>393</v>
      </c>
      <c r="F1681" s="22">
        <f>EQUIPOS!$D$3</f>
        <v>0.05</v>
      </c>
      <c r="G1681" s="65">
        <f>H1700</f>
        <v>17406.910867808219</v>
      </c>
      <c r="H1681" s="66">
        <f>F1681*G1681</f>
        <v>870.34554339041097</v>
      </c>
    </row>
    <row r="1682" spans="2:8" ht="15" customHeight="1" x14ac:dyDescent="0.3">
      <c r="B1682" s="134" t="s">
        <v>552</v>
      </c>
      <c r="C1682" s="134"/>
      <c r="D1682" s="134"/>
      <c r="E1682" s="17" t="s">
        <v>421</v>
      </c>
      <c r="F1682" s="65">
        <f>EQUIPOS!$D$11</f>
        <v>12000</v>
      </c>
      <c r="G1682" s="68">
        <v>0.05</v>
      </c>
      <c r="H1682" s="66">
        <f>F1682*G1682</f>
        <v>600</v>
      </c>
    </row>
    <row r="1683" spans="2:8" ht="15" customHeight="1" x14ac:dyDescent="0.3">
      <c r="G1683" s="31" t="s">
        <v>394</v>
      </c>
      <c r="H1683" s="67">
        <f>SUM(H1681:H1682)</f>
        <v>1470.345543390411</v>
      </c>
    </row>
    <row r="1684" spans="2:8" ht="15" customHeight="1" x14ac:dyDescent="0.3">
      <c r="B1684" s="135" t="s">
        <v>395</v>
      </c>
      <c r="C1684" s="135"/>
      <c r="D1684" s="135"/>
      <c r="E1684" s="135"/>
      <c r="F1684" s="135"/>
      <c r="G1684" s="135"/>
      <c r="H1684" s="135"/>
    </row>
    <row r="1685" spans="2:8" ht="15" customHeight="1" x14ac:dyDescent="0.3">
      <c r="B1685" s="123" t="s">
        <v>94</v>
      </c>
      <c r="C1685" s="123"/>
      <c r="D1685" s="31" t="s">
        <v>383</v>
      </c>
      <c r="E1685" s="31" t="s">
        <v>96</v>
      </c>
      <c r="F1685" s="31" t="s">
        <v>396</v>
      </c>
      <c r="G1685" s="31" t="s">
        <v>397</v>
      </c>
      <c r="H1685" s="31" t="s">
        <v>391</v>
      </c>
    </row>
    <row r="1686" spans="2:8" ht="15" customHeight="1" x14ac:dyDescent="0.3">
      <c r="B1686" s="134" t="s">
        <v>606</v>
      </c>
      <c r="C1686" s="134"/>
      <c r="D1686" s="17" t="s">
        <v>488</v>
      </c>
      <c r="E1686" s="68">
        <v>1</v>
      </c>
      <c r="F1686" s="27">
        <v>0.05</v>
      </c>
      <c r="G1686" s="32">
        <f>INSUMOS!$D$67</f>
        <v>28000</v>
      </c>
      <c r="H1686" s="66">
        <f>E1686*(1+F1686)*G1686</f>
        <v>29400</v>
      </c>
    </row>
    <row r="1687" spans="2:8" ht="15" customHeight="1" x14ac:dyDescent="0.3">
      <c r="B1687" s="134" t="s">
        <v>607</v>
      </c>
      <c r="C1687" s="134"/>
      <c r="D1687" s="17" t="s">
        <v>399</v>
      </c>
      <c r="E1687" s="68">
        <v>1.5</v>
      </c>
      <c r="F1687" s="27">
        <v>0</v>
      </c>
      <c r="G1687" s="32">
        <f>INSUMOS!$D$68</f>
        <v>4500</v>
      </c>
      <c r="H1687" s="66">
        <f>E1687*(1+F1687)*G1687</f>
        <v>6750</v>
      </c>
    </row>
    <row r="1688" spans="2:8" ht="15" customHeight="1" x14ac:dyDescent="0.3">
      <c r="B1688" s="134" t="s">
        <v>608</v>
      </c>
      <c r="C1688" s="134"/>
      <c r="D1688" s="17" t="s">
        <v>399</v>
      </c>
      <c r="E1688" s="68">
        <v>0.5</v>
      </c>
      <c r="F1688" s="27">
        <v>0</v>
      </c>
      <c r="G1688" s="32">
        <f>INSUMOS!$D$69</f>
        <v>12000</v>
      </c>
      <c r="H1688" s="66">
        <f>E1688*(1+F1688)*G1688</f>
        <v>6000</v>
      </c>
    </row>
    <row r="1689" spans="2:8" ht="15" customHeight="1" x14ac:dyDescent="0.3">
      <c r="B1689" s="134" t="s">
        <v>609</v>
      </c>
      <c r="C1689" s="134"/>
      <c r="D1689" s="17" t="s">
        <v>399</v>
      </c>
      <c r="E1689" s="68">
        <v>5.0000000000000001E-3</v>
      </c>
      <c r="F1689" s="27">
        <v>0</v>
      </c>
      <c r="G1689" s="32">
        <f>INSUMOS!$D$30</f>
        <v>74000</v>
      </c>
      <c r="H1689" s="66">
        <f>E1689*(1+F1689)*G1689</f>
        <v>370</v>
      </c>
    </row>
    <row r="1690" spans="2:8" ht="15" customHeight="1" x14ac:dyDescent="0.3">
      <c r="G1690" s="31" t="s">
        <v>394</v>
      </c>
      <c r="H1690" s="67">
        <f>SUM(H1686:H1689)</f>
        <v>42520</v>
      </c>
    </row>
    <row r="1691" spans="2:8" ht="15" customHeight="1" x14ac:dyDescent="0.3">
      <c r="B1691" s="135" t="s">
        <v>404</v>
      </c>
      <c r="C1691" s="135"/>
      <c r="D1691" s="135"/>
      <c r="E1691" s="135"/>
      <c r="F1691" s="135"/>
      <c r="G1691" s="135"/>
      <c r="H1691" s="135"/>
    </row>
    <row r="1692" spans="2:8" ht="15" customHeight="1" x14ac:dyDescent="0.3">
      <c r="B1692" s="123" t="s">
        <v>94</v>
      </c>
      <c r="C1692" s="123"/>
      <c r="D1692" s="31" t="s">
        <v>383</v>
      </c>
      <c r="E1692" s="31" t="s">
        <v>96</v>
      </c>
      <c r="F1692" s="31"/>
      <c r="G1692" s="31" t="s">
        <v>364</v>
      </c>
      <c r="H1692" s="31" t="s">
        <v>391</v>
      </c>
    </row>
    <row r="1693" spans="2:8" ht="22.05" customHeight="1" x14ac:dyDescent="0.3">
      <c r="B1693" s="134" t="s">
        <v>610</v>
      </c>
      <c r="C1693" s="134"/>
      <c r="D1693" s="17" t="s">
        <v>431</v>
      </c>
      <c r="E1693" s="72">
        <f>0.002*'Datos Iniciales'!$B$31</f>
        <v>0.253</v>
      </c>
      <c r="F1693" s="29"/>
      <c r="G1693" s="32">
        <f>TRANSPORTE!$D$4</f>
        <v>1928</v>
      </c>
      <c r="H1693" s="66">
        <f>E1693*G1693</f>
        <v>487.78399999999999</v>
      </c>
    </row>
    <row r="1694" spans="2:8" ht="22.05" customHeight="1" x14ac:dyDescent="0.3">
      <c r="B1694" s="134" t="s">
        <v>611</v>
      </c>
      <c r="C1694" s="134"/>
      <c r="D1694" s="17" t="s">
        <v>431</v>
      </c>
      <c r="E1694" s="72">
        <f>0.002*'Datos Iniciales'!$B$26</f>
        <v>0.02</v>
      </c>
      <c r="F1694" s="29"/>
      <c r="G1694" s="32">
        <f>TRANSPORTE!$D$5</f>
        <v>2970</v>
      </c>
      <c r="H1694" s="66">
        <f>E1694*G1694</f>
        <v>59.4</v>
      </c>
    </row>
    <row r="1695" spans="2:8" ht="15" customHeight="1" x14ac:dyDescent="0.3">
      <c r="G1695" s="31" t="s">
        <v>394</v>
      </c>
      <c r="H1695" s="67">
        <f>SUM(H1693:H1694)</f>
        <v>547.18399999999997</v>
      </c>
    </row>
    <row r="1696" spans="2:8" ht="15" customHeight="1" x14ac:dyDescent="0.3">
      <c r="B1696" s="135" t="s">
        <v>406</v>
      </c>
      <c r="C1696" s="135"/>
      <c r="D1696" s="135"/>
      <c r="E1696" s="135"/>
      <c r="F1696" s="135"/>
      <c r="G1696" s="135"/>
      <c r="H1696" s="135"/>
    </row>
    <row r="1697" spans="2:8" ht="24" customHeight="1" x14ac:dyDescent="0.3">
      <c r="B1697" s="123" t="s">
        <v>407</v>
      </c>
      <c r="C1697" s="123"/>
      <c r="D1697" s="123"/>
      <c r="E1697" s="31" t="s">
        <v>96</v>
      </c>
      <c r="F1697" s="31" t="s">
        <v>408</v>
      </c>
      <c r="G1697" s="31" t="s">
        <v>390</v>
      </c>
      <c r="H1697" s="31" t="s">
        <v>391</v>
      </c>
    </row>
    <row r="1698" spans="2:8" ht="15" customHeight="1" x14ac:dyDescent="0.3">
      <c r="B1698" s="134" t="s">
        <v>409</v>
      </c>
      <c r="C1698" s="134"/>
      <c r="D1698" s="134"/>
      <c r="E1698" s="69">
        <v>1</v>
      </c>
      <c r="F1698" s="32">
        <f>'MANO DE OBRA'!$H$27</f>
        <v>226162.13017808215</v>
      </c>
      <c r="G1698" s="68">
        <v>0.05</v>
      </c>
      <c r="H1698" s="66">
        <f>E1698*F1698*G1698</f>
        <v>11308.106508904108</v>
      </c>
    </row>
    <row r="1699" spans="2:8" ht="15" customHeight="1" x14ac:dyDescent="0.3">
      <c r="B1699" s="134" t="s">
        <v>410</v>
      </c>
      <c r="C1699" s="134"/>
      <c r="D1699" s="134"/>
      <c r="E1699" s="69">
        <v>1</v>
      </c>
      <c r="F1699" s="32">
        <f>'MANO DE OBRA'!$H$23</f>
        <v>121976.08717808221</v>
      </c>
      <c r="G1699" s="68">
        <v>0.05</v>
      </c>
      <c r="H1699" s="66">
        <f>E1699*F1699*G1699</f>
        <v>6098.8043589041108</v>
      </c>
    </row>
    <row r="1700" spans="2:8" ht="15" customHeight="1" x14ac:dyDescent="0.3">
      <c r="G1700" s="31" t="s">
        <v>394</v>
      </c>
      <c r="H1700" s="67">
        <f>SUM(H1698:H1699)</f>
        <v>17406.910867808219</v>
      </c>
    </row>
    <row r="1701" spans="2:8" ht="15" customHeight="1" x14ac:dyDescent="0.3"/>
    <row r="1702" spans="2:8" ht="15" customHeight="1" x14ac:dyDescent="0.3">
      <c r="B1702" s="115" t="s">
        <v>295</v>
      </c>
      <c r="C1702" s="115"/>
      <c r="D1702" s="115"/>
      <c r="E1702" s="115"/>
      <c r="F1702" s="115"/>
      <c r="G1702" s="115"/>
      <c r="H1702" s="70">
        <f>H1683+H1690+H1695+H1700</f>
        <v>61944.44041119863</v>
      </c>
    </row>
    <row r="1703" spans="2:8" ht="15" customHeight="1" x14ac:dyDescent="0.3"/>
    <row r="1704" spans="2:8" ht="15" customHeight="1" x14ac:dyDescent="0.3">
      <c r="B1704" s="71" t="s">
        <v>411</v>
      </c>
    </row>
    <row r="1705" spans="2:8" ht="15" customHeight="1" x14ac:dyDescent="0.3">
      <c r="B1705" s="123" t="s">
        <v>94</v>
      </c>
      <c r="C1705" s="123"/>
      <c r="D1705" s="123"/>
      <c r="E1705" s="123"/>
      <c r="F1705" s="123"/>
      <c r="G1705" s="31" t="s">
        <v>412</v>
      </c>
      <c r="H1705" s="31" t="s">
        <v>4</v>
      </c>
    </row>
    <row r="1706" spans="2:8" ht="15" customHeight="1" x14ac:dyDescent="0.3">
      <c r="B1706" s="110" t="s">
        <v>73</v>
      </c>
      <c r="C1706" s="110"/>
      <c r="D1706" s="110"/>
      <c r="E1706" s="110"/>
      <c r="F1706" s="110"/>
      <c r="G1706" s="22">
        <f>'Datos Iniciales'!$B$32</f>
        <v>0.28999999999999998</v>
      </c>
      <c r="H1706" s="66">
        <f>H1702*G1706</f>
        <v>17963.887719247603</v>
      </c>
    </row>
    <row r="1707" spans="2:8" ht="15" customHeight="1" x14ac:dyDescent="0.3">
      <c r="B1707" s="110" t="s">
        <v>74</v>
      </c>
      <c r="C1707" s="110"/>
      <c r="D1707" s="110"/>
      <c r="E1707" s="110"/>
      <c r="F1707" s="110"/>
      <c r="G1707" s="22">
        <f>'Datos Iniciales'!$B$33</f>
        <v>0.05</v>
      </c>
      <c r="H1707" s="66">
        <f>H1702*G1707</f>
        <v>3097.2220205599315</v>
      </c>
    </row>
    <row r="1708" spans="2:8" ht="15" customHeight="1" x14ac:dyDescent="0.3">
      <c r="B1708" s="138" t="s">
        <v>413</v>
      </c>
      <c r="C1708" s="138"/>
      <c r="D1708" s="138"/>
      <c r="E1708" s="138"/>
      <c r="F1708" s="138"/>
      <c r="G1708" s="60">
        <f>G1706+G1707</f>
        <v>0.33999999999999997</v>
      </c>
      <c r="H1708" s="67">
        <f>H1706+H1707</f>
        <v>21061.109739807536</v>
      </c>
    </row>
    <row r="1709" spans="2:8" ht="15" customHeight="1" x14ac:dyDescent="0.3"/>
    <row r="1710" spans="2:8" ht="15" customHeight="1" x14ac:dyDescent="0.3">
      <c r="B1710" s="139" t="s">
        <v>414</v>
      </c>
      <c r="C1710" s="139"/>
      <c r="D1710" s="139"/>
      <c r="E1710" s="139"/>
      <c r="F1710" s="139"/>
      <c r="G1710" s="139"/>
      <c r="H1710" s="37">
        <f>ROUND(H1702+H1708,0)</f>
        <v>83006</v>
      </c>
    </row>
    <row r="1711" spans="2:8" ht="15" customHeight="1" x14ac:dyDescent="0.3"/>
    <row r="1712" spans="2:8" ht="15" customHeight="1" x14ac:dyDescent="0.3"/>
    <row r="1713" spans="2:8" ht="15.75" customHeight="1" x14ac:dyDescent="0.3">
      <c r="B1713" s="123" t="s">
        <v>0</v>
      </c>
      <c r="C1713" s="123"/>
      <c r="D1713" s="123"/>
      <c r="E1713" s="123"/>
      <c r="F1713" s="123"/>
      <c r="G1713" s="123"/>
      <c r="H1713" s="110"/>
    </row>
    <row r="1714" spans="2:8" ht="15.75" customHeight="1" x14ac:dyDescent="0.3">
      <c r="B1714" s="123" t="s">
        <v>1</v>
      </c>
      <c r="C1714" s="123"/>
      <c r="D1714" s="123"/>
      <c r="E1714" s="123"/>
      <c r="F1714" s="123"/>
      <c r="G1714" s="123"/>
      <c r="H1714" s="110"/>
    </row>
    <row r="1715" spans="2:8" ht="24" customHeight="1" x14ac:dyDescent="0.3">
      <c r="B1715" s="136" t="str">
        <f>'Datos Iniciales'!$B$8</f>
        <v>OBRA PÚBLICA PARA LA EJECUCIÓN DE DIFERENTES MEJORAMIENTOS DE VIVIENDA EN EL CASCO URBANO Y RURAL DEL MUNICIPIO DE MACEO - ANTIOQUIA</v>
      </c>
      <c r="C1715" s="136"/>
      <c r="D1715" s="136"/>
      <c r="E1715" s="136"/>
      <c r="F1715" s="136"/>
      <c r="G1715" s="136"/>
      <c r="H1715" s="110"/>
    </row>
    <row r="1716" spans="2:8" ht="15.75" customHeight="1" x14ac:dyDescent="0.3">
      <c r="B1716" s="112" t="s">
        <v>381</v>
      </c>
      <c r="C1716" s="112"/>
      <c r="D1716" s="112"/>
      <c r="E1716" s="112"/>
      <c r="F1716" s="112"/>
      <c r="G1716" s="112"/>
      <c r="H1716" s="110"/>
    </row>
    <row r="1717" spans="2:8" ht="24" customHeight="1" x14ac:dyDescent="0.3">
      <c r="B1717" s="13" t="s">
        <v>382</v>
      </c>
      <c r="C1717" s="112" t="s">
        <v>94</v>
      </c>
      <c r="D1717" s="112"/>
      <c r="E1717" s="112"/>
      <c r="F1717" s="13" t="s">
        <v>383</v>
      </c>
      <c r="G1717" s="13" t="s">
        <v>384</v>
      </c>
      <c r="H1717" s="13" t="s">
        <v>385</v>
      </c>
    </row>
    <row r="1718" spans="2:8" ht="30" customHeight="1" x14ac:dyDescent="0.3">
      <c r="B1718" s="63" t="s">
        <v>612</v>
      </c>
      <c r="C1718" s="140" t="s">
        <v>130</v>
      </c>
      <c r="D1718" s="140"/>
      <c r="E1718" s="140"/>
      <c r="F1718" s="17" t="s">
        <v>107</v>
      </c>
      <c r="G1718" s="41">
        <f>PRESUPUESTO!$E$20+PRESUPUESTO!$E$47+PRESUPUESTO!$E$99</f>
        <v>20.6</v>
      </c>
      <c r="H1718" s="33">
        <f>H1741</f>
        <v>27216.805128958906</v>
      </c>
    </row>
    <row r="1719" spans="2:8" ht="15" customHeight="1" x14ac:dyDescent="0.3">
      <c r="B1719" s="137" t="s">
        <v>613</v>
      </c>
      <c r="C1719" s="137"/>
      <c r="D1719" s="137"/>
      <c r="E1719" s="137"/>
      <c r="F1719" s="137"/>
      <c r="G1719" s="137"/>
      <c r="H1719" s="137"/>
    </row>
    <row r="1720" spans="2:8" ht="15" customHeight="1" x14ac:dyDescent="0.3">
      <c r="B1720" s="64" t="s">
        <v>388</v>
      </c>
    </row>
    <row r="1721" spans="2:8" ht="15" customHeight="1" x14ac:dyDescent="0.3">
      <c r="B1721" s="135" t="s">
        <v>389</v>
      </c>
      <c r="C1721" s="135"/>
      <c r="D1721" s="135"/>
      <c r="E1721" s="135"/>
      <c r="F1721" s="135"/>
      <c r="G1721" s="135"/>
      <c r="H1721" s="135"/>
    </row>
    <row r="1722" spans="2:8" ht="24" customHeight="1" x14ac:dyDescent="0.3">
      <c r="B1722" s="123" t="s">
        <v>94</v>
      </c>
      <c r="C1722" s="123"/>
      <c r="D1722" s="123"/>
      <c r="E1722" s="31" t="s">
        <v>383</v>
      </c>
      <c r="F1722" s="31" t="s">
        <v>364</v>
      </c>
      <c r="G1722" s="31" t="s">
        <v>390</v>
      </c>
      <c r="H1722" s="31" t="s">
        <v>391</v>
      </c>
    </row>
    <row r="1723" spans="2:8" ht="15" customHeight="1" x14ac:dyDescent="0.3">
      <c r="B1723" s="134" t="s">
        <v>392</v>
      </c>
      <c r="C1723" s="134"/>
      <c r="D1723" s="134"/>
      <c r="E1723" s="17" t="s">
        <v>393</v>
      </c>
      <c r="F1723" s="22">
        <f>EQUIPOS!$D$3</f>
        <v>0.05</v>
      </c>
      <c r="G1723" s="65">
        <f>H1739</f>
        <v>13925.528694246575</v>
      </c>
      <c r="H1723" s="66">
        <f>F1723*G1723</f>
        <v>696.27643471232886</v>
      </c>
    </row>
    <row r="1724" spans="2:8" ht="15" customHeight="1" x14ac:dyDescent="0.3">
      <c r="G1724" s="31" t="s">
        <v>394</v>
      </c>
      <c r="H1724" s="67">
        <f>SUM(H1723:H1723)</f>
        <v>696.27643471232886</v>
      </c>
    </row>
    <row r="1725" spans="2:8" ht="15" customHeight="1" x14ac:dyDescent="0.3">
      <c r="B1725" s="135" t="s">
        <v>395</v>
      </c>
      <c r="C1725" s="135"/>
      <c r="D1725" s="135"/>
      <c r="E1725" s="135"/>
      <c r="F1725" s="135"/>
      <c r="G1725" s="135"/>
      <c r="H1725" s="135"/>
    </row>
    <row r="1726" spans="2:8" ht="15" customHeight="1" x14ac:dyDescent="0.3">
      <c r="B1726" s="123" t="s">
        <v>94</v>
      </c>
      <c r="C1726" s="123"/>
      <c r="D1726" s="31" t="s">
        <v>383</v>
      </c>
      <c r="E1726" s="31" t="s">
        <v>96</v>
      </c>
      <c r="F1726" s="31" t="s">
        <v>396</v>
      </c>
      <c r="G1726" s="31" t="s">
        <v>397</v>
      </c>
      <c r="H1726" s="31" t="s">
        <v>391</v>
      </c>
    </row>
    <row r="1727" spans="2:8" ht="15" customHeight="1" x14ac:dyDescent="0.3">
      <c r="B1727" s="134" t="s">
        <v>614</v>
      </c>
      <c r="C1727" s="134"/>
      <c r="D1727" s="17" t="s">
        <v>488</v>
      </c>
      <c r="E1727" s="68">
        <v>1</v>
      </c>
      <c r="F1727" s="27">
        <v>0.05</v>
      </c>
      <c r="G1727" s="32">
        <f>INSUMOS!$D$70</f>
        <v>9500</v>
      </c>
      <c r="H1727" s="66">
        <f>E1727*(1+F1727)*G1727</f>
        <v>9975</v>
      </c>
    </row>
    <row r="1728" spans="2:8" ht="15" customHeight="1" x14ac:dyDescent="0.3">
      <c r="B1728" s="134" t="s">
        <v>615</v>
      </c>
      <c r="C1728" s="134"/>
      <c r="D1728" s="17" t="s">
        <v>399</v>
      </c>
      <c r="E1728" s="68">
        <v>0.5</v>
      </c>
      <c r="F1728" s="27">
        <v>0</v>
      </c>
      <c r="G1728" s="32">
        <f>INSUMOS!$D$71</f>
        <v>4500</v>
      </c>
      <c r="H1728" s="66">
        <f>E1728*(1+F1728)*G1728</f>
        <v>2250</v>
      </c>
    </row>
    <row r="1729" spans="2:8" ht="15" customHeight="1" x14ac:dyDescent="0.3">
      <c r="B1729" s="134" t="s">
        <v>609</v>
      </c>
      <c r="C1729" s="134"/>
      <c r="D1729" s="17" t="s">
        <v>399</v>
      </c>
      <c r="E1729" s="68">
        <v>5.0000000000000001E-3</v>
      </c>
      <c r="F1729" s="27">
        <v>0</v>
      </c>
      <c r="G1729" s="32">
        <f>INSUMOS!$D$30</f>
        <v>74000</v>
      </c>
      <c r="H1729" s="66">
        <f>E1729*(1+F1729)*G1729</f>
        <v>370</v>
      </c>
    </row>
    <row r="1730" spans="2:8" ht="15" customHeight="1" x14ac:dyDescent="0.3">
      <c r="G1730" s="31" t="s">
        <v>394</v>
      </c>
      <c r="H1730" s="67">
        <f>SUM(H1727:H1729)</f>
        <v>12595</v>
      </c>
    </row>
    <row r="1731" spans="2:8" ht="15" customHeight="1" x14ac:dyDescent="0.3">
      <c r="B1731" s="135" t="s">
        <v>404</v>
      </c>
      <c r="C1731" s="135"/>
      <c r="D1731" s="135"/>
      <c r="E1731" s="135"/>
      <c r="F1731" s="135"/>
      <c r="G1731" s="135"/>
      <c r="H1731" s="135"/>
    </row>
    <row r="1732" spans="2:8" ht="15" customHeight="1" x14ac:dyDescent="0.3">
      <c r="B1732" s="123" t="s">
        <v>94</v>
      </c>
      <c r="C1732" s="123"/>
      <c r="D1732" s="31" t="s">
        <v>383</v>
      </c>
      <c r="E1732" s="31" t="s">
        <v>96</v>
      </c>
      <c r="F1732" s="31"/>
      <c r="G1732" s="31" t="s">
        <v>364</v>
      </c>
      <c r="H1732" s="31" t="s">
        <v>391</v>
      </c>
    </row>
    <row r="1733" spans="2:8" ht="15" customHeight="1" x14ac:dyDescent="0.3">
      <c r="B1733" s="137" t="s">
        <v>405</v>
      </c>
      <c r="C1733" s="137"/>
      <c r="D1733" s="29"/>
      <c r="E1733" s="29"/>
      <c r="F1733" s="29"/>
      <c r="G1733" s="29"/>
      <c r="H1733" s="66">
        <v>0</v>
      </c>
    </row>
    <row r="1734" spans="2:8" ht="15" customHeight="1" x14ac:dyDescent="0.3">
      <c r="G1734" s="31" t="s">
        <v>394</v>
      </c>
      <c r="H1734" s="67">
        <f>SUM(H1733:H1733)</f>
        <v>0</v>
      </c>
    </row>
    <row r="1735" spans="2:8" ht="15" customHeight="1" x14ac:dyDescent="0.3">
      <c r="B1735" s="135" t="s">
        <v>406</v>
      </c>
      <c r="C1735" s="135"/>
      <c r="D1735" s="135"/>
      <c r="E1735" s="135"/>
      <c r="F1735" s="135"/>
      <c r="G1735" s="135"/>
      <c r="H1735" s="135"/>
    </row>
    <row r="1736" spans="2:8" ht="24" customHeight="1" x14ac:dyDescent="0.3">
      <c r="B1736" s="123" t="s">
        <v>407</v>
      </c>
      <c r="C1736" s="123"/>
      <c r="D1736" s="123"/>
      <c r="E1736" s="31" t="s">
        <v>96</v>
      </c>
      <c r="F1736" s="31" t="s">
        <v>408</v>
      </c>
      <c r="G1736" s="31" t="s">
        <v>390</v>
      </c>
      <c r="H1736" s="31" t="s">
        <v>391</v>
      </c>
    </row>
    <row r="1737" spans="2:8" ht="15" customHeight="1" x14ac:dyDescent="0.3">
      <c r="B1737" s="134" t="s">
        <v>616</v>
      </c>
      <c r="C1737" s="134"/>
      <c r="D1737" s="134"/>
      <c r="E1737" s="69">
        <v>1</v>
      </c>
      <c r="F1737" s="32">
        <f>'MANO DE OBRA'!$H$31</f>
        <v>226162.13017808215</v>
      </c>
      <c r="G1737" s="68">
        <v>0.04</v>
      </c>
      <c r="H1737" s="66">
        <f>E1737*F1737*G1737</f>
        <v>9046.4852071232872</v>
      </c>
    </row>
    <row r="1738" spans="2:8" ht="15" customHeight="1" x14ac:dyDescent="0.3">
      <c r="B1738" s="134" t="s">
        <v>410</v>
      </c>
      <c r="C1738" s="134"/>
      <c r="D1738" s="134"/>
      <c r="E1738" s="69">
        <v>1</v>
      </c>
      <c r="F1738" s="32">
        <f>'MANO DE OBRA'!$H$23</f>
        <v>121976.08717808221</v>
      </c>
      <c r="G1738" s="68">
        <v>0.04</v>
      </c>
      <c r="H1738" s="66">
        <f>E1738*F1738*G1738</f>
        <v>4879.0434871232883</v>
      </c>
    </row>
    <row r="1739" spans="2:8" ht="15" customHeight="1" x14ac:dyDescent="0.3">
      <c r="G1739" s="31" t="s">
        <v>394</v>
      </c>
      <c r="H1739" s="67">
        <f>SUM(H1737:H1738)</f>
        <v>13925.528694246575</v>
      </c>
    </row>
    <row r="1740" spans="2:8" ht="15" customHeight="1" x14ac:dyDescent="0.3"/>
    <row r="1741" spans="2:8" ht="15" customHeight="1" x14ac:dyDescent="0.3">
      <c r="B1741" s="115" t="s">
        <v>295</v>
      </c>
      <c r="C1741" s="115"/>
      <c r="D1741" s="115"/>
      <c r="E1741" s="115"/>
      <c r="F1741" s="115"/>
      <c r="G1741" s="115"/>
      <c r="H1741" s="70">
        <f>H1724+H1730+H1734+H1739</f>
        <v>27216.805128958906</v>
      </c>
    </row>
    <row r="1742" spans="2:8" ht="15" customHeight="1" x14ac:dyDescent="0.3"/>
    <row r="1743" spans="2:8" ht="15" customHeight="1" x14ac:dyDescent="0.3">
      <c r="B1743" s="71" t="s">
        <v>411</v>
      </c>
    </row>
    <row r="1744" spans="2:8" ht="15" customHeight="1" x14ac:dyDescent="0.3">
      <c r="B1744" s="123" t="s">
        <v>94</v>
      </c>
      <c r="C1744" s="123"/>
      <c r="D1744" s="123"/>
      <c r="E1744" s="123"/>
      <c r="F1744" s="123"/>
      <c r="G1744" s="31" t="s">
        <v>412</v>
      </c>
      <c r="H1744" s="31" t="s">
        <v>4</v>
      </c>
    </row>
    <row r="1745" spans="2:8" ht="15" customHeight="1" x14ac:dyDescent="0.3">
      <c r="B1745" s="110" t="s">
        <v>73</v>
      </c>
      <c r="C1745" s="110"/>
      <c r="D1745" s="110"/>
      <c r="E1745" s="110"/>
      <c r="F1745" s="110"/>
      <c r="G1745" s="22">
        <f>'Datos Iniciales'!$B$32</f>
        <v>0.28999999999999998</v>
      </c>
      <c r="H1745" s="66">
        <f>H1741*G1745</f>
        <v>7892.873487398082</v>
      </c>
    </row>
    <row r="1746" spans="2:8" ht="15" customHeight="1" x14ac:dyDescent="0.3">
      <c r="B1746" s="110" t="s">
        <v>74</v>
      </c>
      <c r="C1746" s="110"/>
      <c r="D1746" s="110"/>
      <c r="E1746" s="110"/>
      <c r="F1746" s="110"/>
      <c r="G1746" s="22">
        <f>'Datos Iniciales'!$B$33</f>
        <v>0.05</v>
      </c>
      <c r="H1746" s="66">
        <f>H1741*G1746</f>
        <v>1360.8402564479454</v>
      </c>
    </row>
    <row r="1747" spans="2:8" ht="15" customHeight="1" x14ac:dyDescent="0.3">
      <c r="B1747" s="138" t="s">
        <v>413</v>
      </c>
      <c r="C1747" s="138"/>
      <c r="D1747" s="138"/>
      <c r="E1747" s="138"/>
      <c r="F1747" s="138"/>
      <c r="G1747" s="60">
        <f>G1745+G1746</f>
        <v>0.33999999999999997</v>
      </c>
      <c r="H1747" s="67">
        <f>H1745+H1746</f>
        <v>9253.7137438460268</v>
      </c>
    </row>
    <row r="1748" spans="2:8" ht="15" customHeight="1" x14ac:dyDescent="0.3"/>
    <row r="1749" spans="2:8" ht="15" customHeight="1" x14ac:dyDescent="0.3">
      <c r="B1749" s="139" t="s">
        <v>414</v>
      </c>
      <c r="C1749" s="139"/>
      <c r="D1749" s="139"/>
      <c r="E1749" s="139"/>
      <c r="F1749" s="139"/>
      <c r="G1749" s="139"/>
      <c r="H1749" s="37">
        <f>ROUND(H1741+H1747,0)</f>
        <v>36471</v>
      </c>
    </row>
    <row r="1750" spans="2:8" ht="15" customHeight="1" x14ac:dyDescent="0.3"/>
    <row r="1751" spans="2:8" ht="15" customHeight="1" x14ac:dyDescent="0.3"/>
    <row r="1752" spans="2:8" ht="15.75" customHeight="1" x14ac:dyDescent="0.3">
      <c r="B1752" s="123" t="s">
        <v>0</v>
      </c>
      <c r="C1752" s="123"/>
      <c r="D1752" s="123"/>
      <c r="E1752" s="123"/>
      <c r="F1752" s="123"/>
      <c r="G1752" s="123"/>
      <c r="H1752" s="110"/>
    </row>
    <row r="1753" spans="2:8" ht="15.75" customHeight="1" x14ac:dyDescent="0.3">
      <c r="B1753" s="123" t="s">
        <v>1</v>
      </c>
      <c r="C1753" s="123"/>
      <c r="D1753" s="123"/>
      <c r="E1753" s="123"/>
      <c r="F1753" s="123"/>
      <c r="G1753" s="123"/>
      <c r="H1753" s="110"/>
    </row>
    <row r="1754" spans="2:8" ht="24" customHeight="1" x14ac:dyDescent="0.3">
      <c r="B1754" s="136" t="str">
        <f>'Datos Iniciales'!$B$8</f>
        <v>OBRA PÚBLICA PARA LA EJECUCIÓN DE DIFERENTES MEJORAMIENTOS DE VIVIENDA EN EL CASCO URBANO Y RURAL DEL MUNICIPIO DE MACEO - ANTIOQUIA</v>
      </c>
      <c r="C1754" s="136"/>
      <c r="D1754" s="136"/>
      <c r="E1754" s="136"/>
      <c r="F1754" s="136"/>
      <c r="G1754" s="136"/>
      <c r="H1754" s="110"/>
    </row>
    <row r="1755" spans="2:8" ht="15.75" customHeight="1" x14ac:dyDescent="0.3">
      <c r="B1755" s="112" t="s">
        <v>381</v>
      </c>
      <c r="C1755" s="112"/>
      <c r="D1755" s="112"/>
      <c r="E1755" s="112"/>
      <c r="F1755" s="112"/>
      <c r="G1755" s="112"/>
      <c r="H1755" s="110"/>
    </row>
    <row r="1756" spans="2:8" ht="24" customHeight="1" x14ac:dyDescent="0.3">
      <c r="B1756" s="13" t="s">
        <v>382</v>
      </c>
      <c r="C1756" s="112" t="s">
        <v>94</v>
      </c>
      <c r="D1756" s="112"/>
      <c r="E1756" s="112"/>
      <c r="F1756" s="13" t="s">
        <v>383</v>
      </c>
      <c r="G1756" s="13" t="s">
        <v>384</v>
      </c>
      <c r="H1756" s="13" t="s">
        <v>385</v>
      </c>
    </row>
    <row r="1757" spans="2:8" ht="31.5" customHeight="1" x14ac:dyDescent="0.3">
      <c r="B1757" s="63" t="s">
        <v>617</v>
      </c>
      <c r="C1757" s="140" t="s">
        <v>173</v>
      </c>
      <c r="D1757" s="140"/>
      <c r="E1757" s="140"/>
      <c r="F1757" s="17" t="s">
        <v>137</v>
      </c>
      <c r="G1757" s="41">
        <f>PRESUPUESTO!$E$49+PRESUPUESTO!$E$101</f>
        <v>14</v>
      </c>
      <c r="H1757" s="33">
        <f>H1781</f>
        <v>49969.512822397257</v>
      </c>
    </row>
    <row r="1758" spans="2:8" ht="15" customHeight="1" x14ac:dyDescent="0.3">
      <c r="B1758" s="137" t="s">
        <v>618</v>
      </c>
      <c r="C1758" s="137"/>
      <c r="D1758" s="137"/>
      <c r="E1758" s="137"/>
      <c r="F1758" s="137"/>
      <c r="G1758" s="137"/>
      <c r="H1758" s="137"/>
    </row>
    <row r="1759" spans="2:8" ht="15" customHeight="1" x14ac:dyDescent="0.3">
      <c r="B1759" s="64" t="s">
        <v>388</v>
      </c>
    </row>
    <row r="1760" spans="2:8" ht="15" customHeight="1" x14ac:dyDescent="0.3">
      <c r="B1760" s="135" t="s">
        <v>389</v>
      </c>
      <c r="C1760" s="135"/>
      <c r="D1760" s="135"/>
      <c r="E1760" s="135"/>
      <c r="F1760" s="135"/>
      <c r="G1760" s="135"/>
      <c r="H1760" s="135"/>
    </row>
    <row r="1761" spans="2:8" ht="24" customHeight="1" x14ac:dyDescent="0.3">
      <c r="B1761" s="123" t="s">
        <v>94</v>
      </c>
      <c r="C1761" s="123"/>
      <c r="D1761" s="123"/>
      <c r="E1761" s="31" t="s">
        <v>383</v>
      </c>
      <c r="F1761" s="31" t="s">
        <v>364</v>
      </c>
      <c r="G1761" s="31" t="s">
        <v>390</v>
      </c>
      <c r="H1761" s="31" t="s">
        <v>391</v>
      </c>
    </row>
    <row r="1762" spans="2:8" ht="15" customHeight="1" x14ac:dyDescent="0.3">
      <c r="B1762" s="134" t="s">
        <v>392</v>
      </c>
      <c r="C1762" s="134"/>
      <c r="D1762" s="134"/>
      <c r="E1762" s="17" t="s">
        <v>393</v>
      </c>
      <c r="F1762" s="22">
        <f>EQUIPOS!$D$3</f>
        <v>0.05</v>
      </c>
      <c r="G1762" s="65">
        <f>H1779</f>
        <v>34813.821735616439</v>
      </c>
      <c r="H1762" s="66">
        <f>F1762*G1762</f>
        <v>1740.6910867808219</v>
      </c>
    </row>
    <row r="1763" spans="2:8" ht="15" customHeight="1" x14ac:dyDescent="0.3">
      <c r="G1763" s="31" t="s">
        <v>394</v>
      </c>
      <c r="H1763" s="67">
        <f>SUM(H1762:H1762)</f>
        <v>1740.6910867808219</v>
      </c>
    </row>
    <row r="1764" spans="2:8" ht="15" customHeight="1" x14ac:dyDescent="0.3">
      <c r="B1764" s="135" t="s">
        <v>395</v>
      </c>
      <c r="C1764" s="135"/>
      <c r="D1764" s="135"/>
      <c r="E1764" s="135"/>
      <c r="F1764" s="135"/>
      <c r="G1764" s="135"/>
      <c r="H1764" s="135"/>
    </row>
    <row r="1765" spans="2:8" ht="15" customHeight="1" x14ac:dyDescent="0.3">
      <c r="B1765" s="123" t="s">
        <v>94</v>
      </c>
      <c r="C1765" s="123"/>
      <c r="D1765" s="31" t="s">
        <v>383</v>
      </c>
      <c r="E1765" s="31" t="s">
        <v>96</v>
      </c>
      <c r="F1765" s="31" t="s">
        <v>396</v>
      </c>
      <c r="G1765" s="31" t="s">
        <v>397</v>
      </c>
      <c r="H1765" s="31" t="s">
        <v>391</v>
      </c>
    </row>
    <row r="1766" spans="2:8" ht="15" customHeight="1" x14ac:dyDescent="0.3">
      <c r="B1766" s="134" t="s">
        <v>619</v>
      </c>
      <c r="C1766" s="134"/>
      <c r="D1766" s="17" t="s">
        <v>488</v>
      </c>
      <c r="E1766" s="68">
        <v>1.5</v>
      </c>
      <c r="F1766" s="27">
        <v>0.05</v>
      </c>
      <c r="G1766" s="32">
        <f>INSUMOS!$D$28</f>
        <v>3800</v>
      </c>
      <c r="H1766" s="66">
        <f>E1766*(1+F1766)*G1766</f>
        <v>5985.0000000000009</v>
      </c>
    </row>
    <row r="1767" spans="2:8" ht="15" customHeight="1" x14ac:dyDescent="0.3">
      <c r="B1767" s="134" t="s">
        <v>620</v>
      </c>
      <c r="C1767" s="134"/>
      <c r="D1767" s="17" t="s">
        <v>399</v>
      </c>
      <c r="E1767" s="68">
        <v>4</v>
      </c>
      <c r="F1767" s="27">
        <v>0</v>
      </c>
      <c r="G1767" s="32">
        <f>INSUMOS!$D$29</f>
        <v>1300</v>
      </c>
      <c r="H1767" s="66">
        <f>E1767*(1+F1767)*G1767</f>
        <v>5200</v>
      </c>
    </row>
    <row r="1768" spans="2:8" ht="15" customHeight="1" x14ac:dyDescent="0.3">
      <c r="B1768" s="134" t="s">
        <v>609</v>
      </c>
      <c r="C1768" s="134"/>
      <c r="D1768" s="17" t="s">
        <v>399</v>
      </c>
      <c r="E1768" s="68">
        <v>0.02</v>
      </c>
      <c r="F1768" s="27">
        <v>0</v>
      </c>
      <c r="G1768" s="32">
        <f>INSUMOS!$D$30</f>
        <v>74000</v>
      </c>
      <c r="H1768" s="66">
        <f>E1768*(1+F1768)*G1768</f>
        <v>1480</v>
      </c>
    </row>
    <row r="1769" spans="2:8" ht="15" customHeight="1" x14ac:dyDescent="0.3">
      <c r="B1769" s="134" t="s">
        <v>621</v>
      </c>
      <c r="C1769" s="134"/>
      <c r="D1769" s="17" t="s">
        <v>399</v>
      </c>
      <c r="E1769" s="68">
        <v>0.5</v>
      </c>
      <c r="F1769" s="27">
        <v>0</v>
      </c>
      <c r="G1769" s="32">
        <f>INSUMOS!$D$33</f>
        <v>1500</v>
      </c>
      <c r="H1769" s="66">
        <f>E1769*(1+F1769)*G1769</f>
        <v>750</v>
      </c>
    </row>
    <row r="1770" spans="2:8" ht="15" customHeight="1" x14ac:dyDescent="0.3">
      <c r="G1770" s="31" t="s">
        <v>394</v>
      </c>
      <c r="H1770" s="67">
        <f>SUM(H1766:H1769)</f>
        <v>13415</v>
      </c>
    </row>
    <row r="1771" spans="2:8" ht="15" customHeight="1" x14ac:dyDescent="0.3">
      <c r="B1771" s="135" t="s">
        <v>404</v>
      </c>
      <c r="C1771" s="135"/>
      <c r="D1771" s="135"/>
      <c r="E1771" s="135"/>
      <c r="F1771" s="135"/>
      <c r="G1771" s="135"/>
      <c r="H1771" s="135"/>
    </row>
    <row r="1772" spans="2:8" ht="15" customHeight="1" x14ac:dyDescent="0.3">
      <c r="B1772" s="123" t="s">
        <v>94</v>
      </c>
      <c r="C1772" s="123"/>
      <c r="D1772" s="31" t="s">
        <v>383</v>
      </c>
      <c r="E1772" s="31" t="s">
        <v>96</v>
      </c>
      <c r="F1772" s="31"/>
      <c r="G1772" s="31" t="s">
        <v>364</v>
      </c>
      <c r="H1772" s="31" t="s">
        <v>391</v>
      </c>
    </row>
    <row r="1773" spans="2:8" ht="15" customHeight="1" x14ac:dyDescent="0.3">
      <c r="B1773" s="137" t="s">
        <v>405</v>
      </c>
      <c r="C1773" s="137"/>
      <c r="D1773" s="29"/>
      <c r="E1773" s="29"/>
      <c r="F1773" s="29"/>
      <c r="G1773" s="29"/>
      <c r="H1773" s="66">
        <v>0</v>
      </c>
    </row>
    <row r="1774" spans="2:8" ht="15" customHeight="1" x14ac:dyDescent="0.3">
      <c r="G1774" s="31" t="s">
        <v>394</v>
      </c>
      <c r="H1774" s="67">
        <f>SUM(H1773:H1773)</f>
        <v>0</v>
      </c>
    </row>
    <row r="1775" spans="2:8" ht="15" customHeight="1" x14ac:dyDescent="0.3">
      <c r="B1775" s="135" t="s">
        <v>406</v>
      </c>
      <c r="C1775" s="135"/>
      <c r="D1775" s="135"/>
      <c r="E1775" s="135"/>
      <c r="F1775" s="135"/>
      <c r="G1775" s="135"/>
      <c r="H1775" s="135"/>
    </row>
    <row r="1776" spans="2:8" ht="24" customHeight="1" x14ac:dyDescent="0.3">
      <c r="B1776" s="123" t="s">
        <v>407</v>
      </c>
      <c r="C1776" s="123"/>
      <c r="D1776" s="123"/>
      <c r="E1776" s="31" t="s">
        <v>96</v>
      </c>
      <c r="F1776" s="31" t="s">
        <v>408</v>
      </c>
      <c r="G1776" s="31" t="s">
        <v>390</v>
      </c>
      <c r="H1776" s="31" t="s">
        <v>391</v>
      </c>
    </row>
    <row r="1777" spans="2:8" ht="15" customHeight="1" x14ac:dyDescent="0.3">
      <c r="B1777" s="134" t="s">
        <v>616</v>
      </c>
      <c r="C1777" s="134"/>
      <c r="D1777" s="134"/>
      <c r="E1777" s="69">
        <v>1</v>
      </c>
      <c r="F1777" s="32">
        <f>'MANO DE OBRA'!$H$31</f>
        <v>226162.13017808215</v>
      </c>
      <c r="G1777" s="68">
        <v>0.1</v>
      </c>
      <c r="H1777" s="66">
        <f>E1777*F1777*G1777</f>
        <v>22616.213017808215</v>
      </c>
    </row>
    <row r="1778" spans="2:8" ht="15" customHeight="1" x14ac:dyDescent="0.3">
      <c r="B1778" s="134" t="s">
        <v>410</v>
      </c>
      <c r="C1778" s="134"/>
      <c r="D1778" s="134"/>
      <c r="E1778" s="69">
        <v>1</v>
      </c>
      <c r="F1778" s="32">
        <f>'MANO DE OBRA'!$H$23</f>
        <v>121976.08717808221</v>
      </c>
      <c r="G1778" s="68">
        <v>0.1</v>
      </c>
      <c r="H1778" s="66">
        <f>E1778*F1778*G1778</f>
        <v>12197.608717808222</v>
      </c>
    </row>
    <row r="1779" spans="2:8" ht="15" customHeight="1" x14ac:dyDescent="0.3">
      <c r="G1779" s="31" t="s">
        <v>394</v>
      </c>
      <c r="H1779" s="67">
        <f>SUM(H1777:H1778)</f>
        <v>34813.821735616439</v>
      </c>
    </row>
    <row r="1780" spans="2:8" ht="15" customHeight="1" x14ac:dyDescent="0.3"/>
    <row r="1781" spans="2:8" ht="15" customHeight="1" x14ac:dyDescent="0.3">
      <c r="B1781" s="115" t="s">
        <v>295</v>
      </c>
      <c r="C1781" s="115"/>
      <c r="D1781" s="115"/>
      <c r="E1781" s="115"/>
      <c r="F1781" s="115"/>
      <c r="G1781" s="115"/>
      <c r="H1781" s="70">
        <f>H1763+H1770+H1774+H1779</f>
        <v>49969.512822397257</v>
      </c>
    </row>
    <row r="1782" spans="2:8" ht="15" customHeight="1" x14ac:dyDescent="0.3"/>
    <row r="1783" spans="2:8" ht="15" customHeight="1" x14ac:dyDescent="0.3">
      <c r="B1783" s="71" t="s">
        <v>411</v>
      </c>
    </row>
    <row r="1784" spans="2:8" ht="15" customHeight="1" x14ac:dyDescent="0.3">
      <c r="B1784" s="123" t="s">
        <v>94</v>
      </c>
      <c r="C1784" s="123"/>
      <c r="D1784" s="123"/>
      <c r="E1784" s="123"/>
      <c r="F1784" s="123"/>
      <c r="G1784" s="31" t="s">
        <v>412</v>
      </c>
      <c r="H1784" s="31" t="s">
        <v>4</v>
      </c>
    </row>
    <row r="1785" spans="2:8" ht="15" customHeight="1" x14ac:dyDescent="0.3">
      <c r="B1785" s="110" t="s">
        <v>73</v>
      </c>
      <c r="C1785" s="110"/>
      <c r="D1785" s="110"/>
      <c r="E1785" s="110"/>
      <c r="F1785" s="110"/>
      <c r="G1785" s="22">
        <f>'Datos Iniciales'!$B$32</f>
        <v>0.28999999999999998</v>
      </c>
      <c r="H1785" s="66">
        <f>H1781*G1785</f>
        <v>14491.158718495204</v>
      </c>
    </row>
    <row r="1786" spans="2:8" ht="15" customHeight="1" x14ac:dyDescent="0.3">
      <c r="B1786" s="110" t="s">
        <v>74</v>
      </c>
      <c r="C1786" s="110"/>
      <c r="D1786" s="110"/>
      <c r="E1786" s="110"/>
      <c r="F1786" s="110"/>
      <c r="G1786" s="22">
        <f>'Datos Iniciales'!$B$33</f>
        <v>0.05</v>
      </c>
      <c r="H1786" s="66">
        <f>H1781*G1786</f>
        <v>2498.4756411198632</v>
      </c>
    </row>
    <row r="1787" spans="2:8" ht="15" customHeight="1" x14ac:dyDescent="0.3">
      <c r="B1787" s="138" t="s">
        <v>413</v>
      </c>
      <c r="C1787" s="138"/>
      <c r="D1787" s="138"/>
      <c r="E1787" s="138"/>
      <c r="F1787" s="138"/>
      <c r="G1787" s="60">
        <f>G1785+G1786</f>
        <v>0.33999999999999997</v>
      </c>
      <c r="H1787" s="67">
        <f>H1785+H1786</f>
        <v>16989.634359615069</v>
      </c>
    </row>
    <row r="1788" spans="2:8" ht="15" customHeight="1" x14ac:dyDescent="0.3"/>
    <row r="1789" spans="2:8" ht="15" customHeight="1" x14ac:dyDescent="0.3">
      <c r="B1789" s="139" t="s">
        <v>414</v>
      </c>
      <c r="C1789" s="139"/>
      <c r="D1789" s="139"/>
      <c r="E1789" s="139"/>
      <c r="F1789" s="139"/>
      <c r="G1789" s="139"/>
      <c r="H1789" s="37">
        <f>ROUND(H1781+H1787,0)</f>
        <v>66959</v>
      </c>
    </row>
    <row r="1790" spans="2:8" ht="15" customHeight="1" x14ac:dyDescent="0.3"/>
    <row r="1791" spans="2:8" ht="15" customHeight="1" x14ac:dyDescent="0.3"/>
    <row r="1792" spans="2:8" ht="15.75" customHeight="1" x14ac:dyDescent="0.3">
      <c r="B1792" s="123" t="s">
        <v>0</v>
      </c>
      <c r="C1792" s="123"/>
      <c r="D1792" s="123"/>
      <c r="E1792" s="123"/>
      <c r="F1792" s="123"/>
      <c r="G1792" s="123"/>
      <c r="H1792" s="110"/>
    </row>
    <row r="1793" spans="2:8" ht="15.75" customHeight="1" x14ac:dyDescent="0.3">
      <c r="B1793" s="123" t="s">
        <v>1</v>
      </c>
      <c r="C1793" s="123"/>
      <c r="D1793" s="123"/>
      <c r="E1793" s="123"/>
      <c r="F1793" s="123"/>
      <c r="G1793" s="123"/>
      <c r="H1793" s="110"/>
    </row>
    <row r="1794" spans="2:8" ht="24" customHeight="1" x14ac:dyDescent="0.3">
      <c r="B1794" s="136" t="str">
        <f>'Datos Iniciales'!$B$8</f>
        <v>OBRA PÚBLICA PARA LA EJECUCIÓN DE DIFERENTES MEJORAMIENTOS DE VIVIENDA EN EL CASCO URBANO Y RURAL DEL MUNICIPIO DE MACEO - ANTIOQUIA</v>
      </c>
      <c r="C1794" s="136"/>
      <c r="D1794" s="136"/>
      <c r="E1794" s="136"/>
      <c r="F1794" s="136"/>
      <c r="G1794" s="136"/>
      <c r="H1794" s="110"/>
    </row>
    <row r="1795" spans="2:8" ht="15.75" customHeight="1" x14ac:dyDescent="0.3">
      <c r="B1795" s="112" t="s">
        <v>381</v>
      </c>
      <c r="C1795" s="112"/>
      <c r="D1795" s="112"/>
      <c r="E1795" s="112"/>
      <c r="F1795" s="112"/>
      <c r="G1795" s="112"/>
      <c r="H1795" s="110"/>
    </row>
    <row r="1796" spans="2:8" ht="24" customHeight="1" x14ac:dyDescent="0.3">
      <c r="B1796" s="13" t="s">
        <v>382</v>
      </c>
      <c r="C1796" s="112" t="s">
        <v>94</v>
      </c>
      <c r="D1796" s="112"/>
      <c r="E1796" s="112"/>
      <c r="F1796" s="13" t="s">
        <v>383</v>
      </c>
      <c r="G1796" s="13" t="s">
        <v>384</v>
      </c>
      <c r="H1796" s="13" t="s">
        <v>385</v>
      </c>
    </row>
    <row r="1797" spans="2:8" ht="31.5" customHeight="1" x14ac:dyDescent="0.3">
      <c r="B1797" s="63" t="s">
        <v>622</v>
      </c>
      <c r="C1797" s="140" t="s">
        <v>171</v>
      </c>
      <c r="D1797" s="140"/>
      <c r="E1797" s="140"/>
      <c r="F1797" s="17" t="s">
        <v>107</v>
      </c>
      <c r="G1797" s="41">
        <f>PRESUPUESTO!$E$48+PRESUPUESTO!$E$100</f>
        <v>54</v>
      </c>
      <c r="H1797" s="33">
        <f>H1820</f>
        <v>12060.902564479453</v>
      </c>
    </row>
    <row r="1798" spans="2:8" ht="15" customHeight="1" x14ac:dyDescent="0.3">
      <c r="B1798" s="137" t="s">
        <v>623</v>
      </c>
      <c r="C1798" s="137"/>
      <c r="D1798" s="137"/>
      <c r="E1798" s="137"/>
      <c r="F1798" s="137"/>
      <c r="G1798" s="137"/>
      <c r="H1798" s="137"/>
    </row>
    <row r="1799" spans="2:8" ht="15" customHeight="1" x14ac:dyDescent="0.3">
      <c r="B1799" s="64" t="s">
        <v>388</v>
      </c>
    </row>
    <row r="1800" spans="2:8" ht="15" customHeight="1" x14ac:dyDescent="0.3">
      <c r="B1800" s="135" t="s">
        <v>389</v>
      </c>
      <c r="C1800" s="135"/>
      <c r="D1800" s="135"/>
      <c r="E1800" s="135"/>
      <c r="F1800" s="135"/>
      <c r="G1800" s="135"/>
      <c r="H1800" s="135"/>
    </row>
    <row r="1801" spans="2:8" ht="24" customHeight="1" x14ac:dyDescent="0.3">
      <c r="B1801" s="123" t="s">
        <v>94</v>
      </c>
      <c r="C1801" s="123"/>
      <c r="D1801" s="123"/>
      <c r="E1801" s="31" t="s">
        <v>383</v>
      </c>
      <c r="F1801" s="31" t="s">
        <v>364</v>
      </c>
      <c r="G1801" s="31" t="s">
        <v>390</v>
      </c>
      <c r="H1801" s="31" t="s">
        <v>391</v>
      </c>
    </row>
    <row r="1802" spans="2:8" ht="15" customHeight="1" x14ac:dyDescent="0.3">
      <c r="B1802" s="134" t="s">
        <v>392</v>
      </c>
      <c r="C1802" s="134"/>
      <c r="D1802" s="134"/>
      <c r="E1802" s="17" t="s">
        <v>393</v>
      </c>
      <c r="F1802" s="22">
        <f>EQUIPOS!$D$3</f>
        <v>0.05</v>
      </c>
      <c r="G1802" s="65">
        <f>H1818</f>
        <v>6962.7643471232877</v>
      </c>
      <c r="H1802" s="66">
        <f>F1802*G1802</f>
        <v>348.13821735616443</v>
      </c>
    </row>
    <row r="1803" spans="2:8" ht="15" customHeight="1" x14ac:dyDescent="0.3">
      <c r="G1803" s="31" t="s">
        <v>394</v>
      </c>
      <c r="H1803" s="67">
        <f>SUM(H1802:H1802)</f>
        <v>348.13821735616443</v>
      </c>
    </row>
    <row r="1804" spans="2:8" ht="15" customHeight="1" x14ac:dyDescent="0.3">
      <c r="B1804" s="135" t="s">
        <v>395</v>
      </c>
      <c r="C1804" s="135"/>
      <c r="D1804" s="135"/>
      <c r="E1804" s="135"/>
      <c r="F1804" s="135"/>
      <c r="G1804" s="135"/>
      <c r="H1804" s="135"/>
    </row>
    <row r="1805" spans="2:8" ht="15" customHeight="1" x14ac:dyDescent="0.3">
      <c r="B1805" s="123" t="s">
        <v>94</v>
      </c>
      <c r="C1805" s="123"/>
      <c r="D1805" s="31" t="s">
        <v>383</v>
      </c>
      <c r="E1805" s="31" t="s">
        <v>96</v>
      </c>
      <c r="F1805" s="31" t="s">
        <v>396</v>
      </c>
      <c r="G1805" s="31" t="s">
        <v>397</v>
      </c>
      <c r="H1805" s="31" t="s">
        <v>391</v>
      </c>
    </row>
    <row r="1806" spans="2:8" ht="15" customHeight="1" x14ac:dyDescent="0.3">
      <c r="B1806" s="134" t="s">
        <v>619</v>
      </c>
      <c r="C1806" s="134"/>
      <c r="D1806" s="17" t="s">
        <v>488</v>
      </c>
      <c r="E1806" s="68">
        <v>1</v>
      </c>
      <c r="F1806" s="27">
        <v>0.05</v>
      </c>
      <c r="G1806" s="32">
        <f>INSUMOS!$D$28</f>
        <v>3800</v>
      </c>
      <c r="H1806" s="66">
        <f>E1806*(1+F1806)*G1806</f>
        <v>3990</v>
      </c>
    </row>
    <row r="1807" spans="2:8" ht="15" customHeight="1" x14ac:dyDescent="0.3">
      <c r="B1807" s="134" t="s">
        <v>620</v>
      </c>
      <c r="C1807" s="134"/>
      <c r="D1807" s="17" t="s">
        <v>399</v>
      </c>
      <c r="E1807" s="68">
        <v>0.3</v>
      </c>
      <c r="F1807" s="27">
        <v>0</v>
      </c>
      <c r="G1807" s="32">
        <f>INSUMOS!$D$29</f>
        <v>1300</v>
      </c>
      <c r="H1807" s="66">
        <f>E1807*(1+F1807)*G1807</f>
        <v>390</v>
      </c>
    </row>
    <row r="1808" spans="2:8" ht="15" customHeight="1" x14ac:dyDescent="0.3">
      <c r="B1808" s="134" t="s">
        <v>609</v>
      </c>
      <c r="C1808" s="134"/>
      <c r="D1808" s="17" t="s">
        <v>399</v>
      </c>
      <c r="E1808" s="68">
        <v>5.0000000000000001E-3</v>
      </c>
      <c r="F1808" s="27">
        <v>0</v>
      </c>
      <c r="G1808" s="32">
        <f>INSUMOS!$D$30</f>
        <v>74000</v>
      </c>
      <c r="H1808" s="66">
        <f>E1808*(1+F1808)*G1808</f>
        <v>370</v>
      </c>
    </row>
    <row r="1809" spans="2:8" ht="15" customHeight="1" x14ac:dyDescent="0.3">
      <c r="G1809" s="31" t="s">
        <v>394</v>
      </c>
      <c r="H1809" s="67">
        <f>SUM(H1806:H1808)</f>
        <v>4750</v>
      </c>
    </row>
    <row r="1810" spans="2:8" ht="15" customHeight="1" x14ac:dyDescent="0.3">
      <c r="B1810" s="135" t="s">
        <v>404</v>
      </c>
      <c r="C1810" s="135"/>
      <c r="D1810" s="135"/>
      <c r="E1810" s="135"/>
      <c r="F1810" s="135"/>
      <c r="G1810" s="135"/>
      <c r="H1810" s="135"/>
    </row>
    <row r="1811" spans="2:8" ht="15" customHeight="1" x14ac:dyDescent="0.3">
      <c r="B1811" s="123" t="s">
        <v>94</v>
      </c>
      <c r="C1811" s="123"/>
      <c r="D1811" s="31" t="s">
        <v>383</v>
      </c>
      <c r="E1811" s="31" t="s">
        <v>96</v>
      </c>
      <c r="F1811" s="31"/>
      <c r="G1811" s="31" t="s">
        <v>364</v>
      </c>
      <c r="H1811" s="31" t="s">
        <v>391</v>
      </c>
    </row>
    <row r="1812" spans="2:8" ht="15" customHeight="1" x14ac:dyDescent="0.3">
      <c r="B1812" s="137" t="s">
        <v>405</v>
      </c>
      <c r="C1812" s="137"/>
      <c r="D1812" s="29"/>
      <c r="E1812" s="29"/>
      <c r="F1812" s="29"/>
      <c r="G1812" s="29"/>
      <c r="H1812" s="66">
        <v>0</v>
      </c>
    </row>
    <row r="1813" spans="2:8" ht="15" customHeight="1" x14ac:dyDescent="0.3">
      <c r="G1813" s="31" t="s">
        <v>394</v>
      </c>
      <c r="H1813" s="67">
        <f>SUM(H1812:H1812)</f>
        <v>0</v>
      </c>
    </row>
    <row r="1814" spans="2:8" ht="15" customHeight="1" x14ac:dyDescent="0.3">
      <c r="B1814" s="135" t="s">
        <v>406</v>
      </c>
      <c r="C1814" s="135"/>
      <c r="D1814" s="135"/>
      <c r="E1814" s="135"/>
      <c r="F1814" s="135"/>
      <c r="G1814" s="135"/>
      <c r="H1814" s="135"/>
    </row>
    <row r="1815" spans="2:8" ht="24" customHeight="1" x14ac:dyDescent="0.3">
      <c r="B1815" s="123" t="s">
        <v>407</v>
      </c>
      <c r="C1815" s="123"/>
      <c r="D1815" s="123"/>
      <c r="E1815" s="31" t="s">
        <v>96</v>
      </c>
      <c r="F1815" s="31" t="s">
        <v>408</v>
      </c>
      <c r="G1815" s="31" t="s">
        <v>390</v>
      </c>
      <c r="H1815" s="31" t="s">
        <v>391</v>
      </c>
    </row>
    <row r="1816" spans="2:8" ht="15" customHeight="1" x14ac:dyDescent="0.3">
      <c r="B1816" s="134" t="s">
        <v>616</v>
      </c>
      <c r="C1816" s="134"/>
      <c r="D1816" s="134"/>
      <c r="E1816" s="69">
        <v>1</v>
      </c>
      <c r="F1816" s="32">
        <f>'MANO DE OBRA'!$H$31</f>
        <v>226162.13017808215</v>
      </c>
      <c r="G1816" s="68">
        <v>0.02</v>
      </c>
      <c r="H1816" s="66">
        <f>E1816*F1816*G1816</f>
        <v>4523.2426035616436</v>
      </c>
    </row>
    <row r="1817" spans="2:8" ht="15" customHeight="1" x14ac:dyDescent="0.3">
      <c r="B1817" s="134" t="s">
        <v>410</v>
      </c>
      <c r="C1817" s="134"/>
      <c r="D1817" s="134"/>
      <c r="E1817" s="69">
        <v>1</v>
      </c>
      <c r="F1817" s="32">
        <f>'MANO DE OBRA'!$H$23</f>
        <v>121976.08717808221</v>
      </c>
      <c r="G1817" s="68">
        <v>0.02</v>
      </c>
      <c r="H1817" s="66">
        <f>E1817*F1817*G1817</f>
        <v>2439.5217435616441</v>
      </c>
    </row>
    <row r="1818" spans="2:8" ht="15" customHeight="1" x14ac:dyDescent="0.3">
      <c r="G1818" s="31" t="s">
        <v>394</v>
      </c>
      <c r="H1818" s="67">
        <f>SUM(H1816:H1817)</f>
        <v>6962.7643471232877</v>
      </c>
    </row>
    <row r="1819" spans="2:8" ht="15" customHeight="1" x14ac:dyDescent="0.3"/>
    <row r="1820" spans="2:8" ht="15" customHeight="1" x14ac:dyDescent="0.3">
      <c r="B1820" s="115" t="s">
        <v>295</v>
      </c>
      <c r="C1820" s="115"/>
      <c r="D1820" s="115"/>
      <c r="E1820" s="115"/>
      <c r="F1820" s="115"/>
      <c r="G1820" s="115"/>
      <c r="H1820" s="70">
        <f>H1803+H1809+H1813+H1818</f>
        <v>12060.902564479453</v>
      </c>
    </row>
    <row r="1821" spans="2:8" ht="15" customHeight="1" x14ac:dyDescent="0.3"/>
    <row r="1822" spans="2:8" ht="15" customHeight="1" x14ac:dyDescent="0.3">
      <c r="B1822" s="71" t="s">
        <v>411</v>
      </c>
    </row>
    <row r="1823" spans="2:8" ht="15" customHeight="1" x14ac:dyDescent="0.3">
      <c r="B1823" s="123" t="s">
        <v>94</v>
      </c>
      <c r="C1823" s="123"/>
      <c r="D1823" s="123"/>
      <c r="E1823" s="123"/>
      <c r="F1823" s="123"/>
      <c r="G1823" s="31" t="s">
        <v>412</v>
      </c>
      <c r="H1823" s="31" t="s">
        <v>4</v>
      </c>
    </row>
    <row r="1824" spans="2:8" ht="15" customHeight="1" x14ac:dyDescent="0.3">
      <c r="B1824" s="110" t="s">
        <v>73</v>
      </c>
      <c r="C1824" s="110"/>
      <c r="D1824" s="110"/>
      <c r="E1824" s="110"/>
      <c r="F1824" s="110"/>
      <c r="G1824" s="22">
        <f>'Datos Iniciales'!$B$32</f>
        <v>0.28999999999999998</v>
      </c>
      <c r="H1824" s="66">
        <f>H1820*G1824</f>
        <v>3497.6617436990409</v>
      </c>
    </row>
    <row r="1825" spans="2:8" ht="15" customHeight="1" x14ac:dyDescent="0.3">
      <c r="B1825" s="110" t="s">
        <v>74</v>
      </c>
      <c r="C1825" s="110"/>
      <c r="D1825" s="110"/>
      <c r="E1825" s="110"/>
      <c r="F1825" s="110"/>
      <c r="G1825" s="22">
        <f>'Datos Iniciales'!$B$33</f>
        <v>0.05</v>
      </c>
      <c r="H1825" s="66">
        <f>H1820*G1825</f>
        <v>603.04512822397271</v>
      </c>
    </row>
    <row r="1826" spans="2:8" ht="15" customHeight="1" x14ac:dyDescent="0.3">
      <c r="B1826" s="138" t="s">
        <v>413</v>
      </c>
      <c r="C1826" s="138"/>
      <c r="D1826" s="138"/>
      <c r="E1826" s="138"/>
      <c r="F1826" s="138"/>
      <c r="G1826" s="60">
        <f>G1824+G1825</f>
        <v>0.33999999999999997</v>
      </c>
      <c r="H1826" s="67">
        <f>H1824+H1825</f>
        <v>4100.7068719230138</v>
      </c>
    </row>
    <row r="1827" spans="2:8" ht="15" customHeight="1" x14ac:dyDescent="0.3"/>
    <row r="1828" spans="2:8" ht="15" customHeight="1" x14ac:dyDescent="0.3">
      <c r="B1828" s="139" t="s">
        <v>414</v>
      </c>
      <c r="C1828" s="139"/>
      <c r="D1828" s="139"/>
      <c r="E1828" s="139"/>
      <c r="F1828" s="139"/>
      <c r="G1828" s="139"/>
      <c r="H1828" s="37">
        <f>ROUND(H1820+H1826,0)</f>
        <v>16162</v>
      </c>
    </row>
    <row r="1829" spans="2:8" ht="15" customHeight="1" x14ac:dyDescent="0.3"/>
    <row r="1830" spans="2:8" ht="15" customHeight="1" x14ac:dyDescent="0.3"/>
    <row r="1831" spans="2:8" ht="15.75" customHeight="1" x14ac:dyDescent="0.3">
      <c r="B1831" s="123" t="s">
        <v>0</v>
      </c>
      <c r="C1831" s="123"/>
      <c r="D1831" s="123"/>
      <c r="E1831" s="123"/>
      <c r="F1831" s="123"/>
      <c r="G1831" s="123"/>
      <c r="H1831" s="110"/>
    </row>
    <row r="1832" spans="2:8" ht="15.75" customHeight="1" x14ac:dyDescent="0.3">
      <c r="B1832" s="123" t="s">
        <v>1</v>
      </c>
      <c r="C1832" s="123"/>
      <c r="D1832" s="123"/>
      <c r="E1832" s="123"/>
      <c r="F1832" s="123"/>
      <c r="G1832" s="123"/>
      <c r="H1832" s="110"/>
    </row>
    <row r="1833" spans="2:8" ht="24" customHeight="1" x14ac:dyDescent="0.3">
      <c r="B1833" s="136" t="str">
        <f>'Datos Iniciales'!$B$8</f>
        <v>OBRA PÚBLICA PARA LA EJECUCIÓN DE DIFERENTES MEJORAMIENTOS DE VIVIENDA EN EL CASCO URBANO Y RURAL DEL MUNICIPIO DE MACEO - ANTIOQUIA</v>
      </c>
      <c r="C1833" s="136"/>
      <c r="D1833" s="136"/>
      <c r="E1833" s="136"/>
      <c r="F1833" s="136"/>
      <c r="G1833" s="136"/>
      <c r="H1833" s="110"/>
    </row>
    <row r="1834" spans="2:8" ht="15.75" customHeight="1" x14ac:dyDescent="0.3">
      <c r="B1834" s="112" t="s">
        <v>381</v>
      </c>
      <c r="C1834" s="112"/>
      <c r="D1834" s="112"/>
      <c r="E1834" s="112"/>
      <c r="F1834" s="112"/>
      <c r="G1834" s="112"/>
      <c r="H1834" s="110"/>
    </row>
    <row r="1835" spans="2:8" ht="24" customHeight="1" x14ac:dyDescent="0.3">
      <c r="B1835" s="13" t="s">
        <v>382</v>
      </c>
      <c r="C1835" s="112" t="s">
        <v>94</v>
      </c>
      <c r="D1835" s="112"/>
      <c r="E1835" s="112"/>
      <c r="F1835" s="13" t="s">
        <v>383</v>
      </c>
      <c r="G1835" s="13" t="s">
        <v>384</v>
      </c>
      <c r="H1835" s="13" t="s">
        <v>385</v>
      </c>
    </row>
    <row r="1836" spans="2:8" ht="30" customHeight="1" x14ac:dyDescent="0.3">
      <c r="B1836" s="63" t="s">
        <v>624</v>
      </c>
      <c r="C1836" s="140" t="s">
        <v>175</v>
      </c>
      <c r="D1836" s="140"/>
      <c r="E1836" s="140"/>
      <c r="F1836" s="17" t="s">
        <v>137</v>
      </c>
      <c r="G1836" s="41">
        <f>PRESUPUESTO!$E$50+PRESUPUESTO!$E$102</f>
        <v>4</v>
      </c>
      <c r="H1836" s="33">
        <f>H1860</f>
        <v>30911.805128958906</v>
      </c>
    </row>
    <row r="1837" spans="2:8" ht="15" customHeight="1" x14ac:dyDescent="0.3">
      <c r="B1837" s="137" t="s">
        <v>625</v>
      </c>
      <c r="C1837" s="137"/>
      <c r="D1837" s="137"/>
      <c r="E1837" s="137"/>
      <c r="F1837" s="137"/>
      <c r="G1837" s="137"/>
      <c r="H1837" s="137"/>
    </row>
    <row r="1838" spans="2:8" ht="15" customHeight="1" x14ac:dyDescent="0.3">
      <c r="B1838" s="64" t="s">
        <v>388</v>
      </c>
    </row>
    <row r="1839" spans="2:8" ht="15" customHeight="1" x14ac:dyDescent="0.3">
      <c r="B1839" s="135" t="s">
        <v>389</v>
      </c>
      <c r="C1839" s="135"/>
      <c r="D1839" s="135"/>
      <c r="E1839" s="135"/>
      <c r="F1839" s="135"/>
      <c r="G1839" s="135"/>
      <c r="H1839" s="135"/>
    </row>
    <row r="1840" spans="2:8" ht="24" customHeight="1" x14ac:dyDescent="0.3">
      <c r="B1840" s="123" t="s">
        <v>94</v>
      </c>
      <c r="C1840" s="123"/>
      <c r="D1840" s="123"/>
      <c r="E1840" s="31" t="s">
        <v>383</v>
      </c>
      <c r="F1840" s="31" t="s">
        <v>364</v>
      </c>
      <c r="G1840" s="31" t="s">
        <v>390</v>
      </c>
      <c r="H1840" s="31" t="s">
        <v>391</v>
      </c>
    </row>
    <row r="1841" spans="2:8" ht="15" customHeight="1" x14ac:dyDescent="0.3">
      <c r="B1841" s="134" t="s">
        <v>392</v>
      </c>
      <c r="C1841" s="134"/>
      <c r="D1841" s="134"/>
      <c r="E1841" s="17" t="s">
        <v>393</v>
      </c>
      <c r="F1841" s="22">
        <f>EQUIPOS!$D$3</f>
        <v>0.05</v>
      </c>
      <c r="G1841" s="65">
        <f>H1858</f>
        <v>13925.528694246575</v>
      </c>
      <c r="H1841" s="66">
        <f>F1841*G1841</f>
        <v>696.27643471232886</v>
      </c>
    </row>
    <row r="1842" spans="2:8" ht="15" customHeight="1" x14ac:dyDescent="0.3">
      <c r="G1842" s="31" t="s">
        <v>394</v>
      </c>
      <c r="H1842" s="67">
        <f>SUM(H1841:H1841)</f>
        <v>696.27643471232886</v>
      </c>
    </row>
    <row r="1843" spans="2:8" ht="15" customHeight="1" x14ac:dyDescent="0.3">
      <c r="B1843" s="135" t="s">
        <v>395</v>
      </c>
      <c r="C1843" s="135"/>
      <c r="D1843" s="135"/>
      <c r="E1843" s="135"/>
      <c r="F1843" s="135"/>
      <c r="G1843" s="135"/>
      <c r="H1843" s="135"/>
    </row>
    <row r="1844" spans="2:8" ht="15" customHeight="1" x14ac:dyDescent="0.3">
      <c r="B1844" s="123" t="s">
        <v>94</v>
      </c>
      <c r="C1844" s="123"/>
      <c r="D1844" s="31" t="s">
        <v>383</v>
      </c>
      <c r="E1844" s="31" t="s">
        <v>96</v>
      </c>
      <c r="F1844" s="31" t="s">
        <v>396</v>
      </c>
      <c r="G1844" s="31" t="s">
        <v>397</v>
      </c>
      <c r="H1844" s="31" t="s">
        <v>391</v>
      </c>
    </row>
    <row r="1845" spans="2:8" ht="15" customHeight="1" x14ac:dyDescent="0.3">
      <c r="B1845" s="134" t="s">
        <v>626</v>
      </c>
      <c r="C1845" s="134"/>
      <c r="D1845" s="17" t="s">
        <v>399</v>
      </c>
      <c r="E1845" s="68">
        <v>1</v>
      </c>
      <c r="F1845" s="27">
        <v>0</v>
      </c>
      <c r="G1845" s="32">
        <f>INSUMOS!$D$31</f>
        <v>12500</v>
      </c>
      <c r="H1845" s="66">
        <f>E1845*(1+F1845)*G1845</f>
        <v>12500</v>
      </c>
    </row>
    <row r="1846" spans="2:8" ht="15" customHeight="1" x14ac:dyDescent="0.3">
      <c r="B1846" s="134" t="s">
        <v>620</v>
      </c>
      <c r="C1846" s="134"/>
      <c r="D1846" s="17" t="s">
        <v>399</v>
      </c>
      <c r="E1846" s="68">
        <v>2</v>
      </c>
      <c r="F1846" s="27">
        <v>0</v>
      </c>
      <c r="G1846" s="32">
        <f>INSUMOS!$D$29</f>
        <v>1300</v>
      </c>
      <c r="H1846" s="66">
        <f>E1846*(1+F1846)*G1846</f>
        <v>2600</v>
      </c>
    </row>
    <row r="1847" spans="2:8" ht="15" customHeight="1" x14ac:dyDescent="0.3">
      <c r="B1847" s="134" t="s">
        <v>609</v>
      </c>
      <c r="C1847" s="134"/>
      <c r="D1847" s="17" t="s">
        <v>399</v>
      </c>
      <c r="E1847" s="68">
        <v>0.01</v>
      </c>
      <c r="F1847" s="27">
        <v>0</v>
      </c>
      <c r="G1847" s="32">
        <f>INSUMOS!$D$30</f>
        <v>74000</v>
      </c>
      <c r="H1847" s="66">
        <f>E1847*(1+F1847)*G1847</f>
        <v>740</v>
      </c>
    </row>
    <row r="1848" spans="2:8" ht="15" customHeight="1" x14ac:dyDescent="0.3">
      <c r="B1848" s="134" t="s">
        <v>621</v>
      </c>
      <c r="C1848" s="134"/>
      <c r="D1848" s="17" t="s">
        <v>399</v>
      </c>
      <c r="E1848" s="68">
        <v>0.3</v>
      </c>
      <c r="F1848" s="27">
        <v>0</v>
      </c>
      <c r="G1848" s="32">
        <f>INSUMOS!$D$33</f>
        <v>1500</v>
      </c>
      <c r="H1848" s="66">
        <f>E1848*(1+F1848)*G1848</f>
        <v>450</v>
      </c>
    </row>
    <row r="1849" spans="2:8" ht="15" customHeight="1" x14ac:dyDescent="0.3">
      <c r="G1849" s="31" t="s">
        <v>394</v>
      </c>
      <c r="H1849" s="67">
        <f>SUM(H1845:H1848)</f>
        <v>16290</v>
      </c>
    </row>
    <row r="1850" spans="2:8" ht="15" customHeight="1" x14ac:dyDescent="0.3">
      <c r="B1850" s="135" t="s">
        <v>404</v>
      </c>
      <c r="C1850" s="135"/>
      <c r="D1850" s="135"/>
      <c r="E1850" s="135"/>
      <c r="F1850" s="135"/>
      <c r="G1850" s="135"/>
      <c r="H1850" s="135"/>
    </row>
    <row r="1851" spans="2:8" ht="15" customHeight="1" x14ac:dyDescent="0.3">
      <c r="B1851" s="123" t="s">
        <v>94</v>
      </c>
      <c r="C1851" s="123"/>
      <c r="D1851" s="31" t="s">
        <v>383</v>
      </c>
      <c r="E1851" s="31" t="s">
        <v>96</v>
      </c>
      <c r="F1851" s="31"/>
      <c r="G1851" s="31" t="s">
        <v>364</v>
      </c>
      <c r="H1851" s="31" t="s">
        <v>391</v>
      </c>
    </row>
    <row r="1852" spans="2:8" ht="15" customHeight="1" x14ac:dyDescent="0.3">
      <c r="B1852" s="137" t="s">
        <v>405</v>
      </c>
      <c r="C1852" s="137"/>
      <c r="D1852" s="29"/>
      <c r="E1852" s="29"/>
      <c r="F1852" s="29"/>
      <c r="G1852" s="29"/>
      <c r="H1852" s="66">
        <v>0</v>
      </c>
    </row>
    <row r="1853" spans="2:8" ht="15" customHeight="1" x14ac:dyDescent="0.3">
      <c r="G1853" s="31" t="s">
        <v>394</v>
      </c>
      <c r="H1853" s="67">
        <f>SUM(H1852:H1852)</f>
        <v>0</v>
      </c>
    </row>
    <row r="1854" spans="2:8" ht="15" customHeight="1" x14ac:dyDescent="0.3">
      <c r="B1854" s="135" t="s">
        <v>406</v>
      </c>
      <c r="C1854" s="135"/>
      <c r="D1854" s="135"/>
      <c r="E1854" s="135"/>
      <c r="F1854" s="135"/>
      <c r="G1854" s="135"/>
      <c r="H1854" s="135"/>
    </row>
    <row r="1855" spans="2:8" ht="24" customHeight="1" x14ac:dyDescent="0.3">
      <c r="B1855" s="123" t="s">
        <v>407</v>
      </c>
      <c r="C1855" s="123"/>
      <c r="D1855" s="123"/>
      <c r="E1855" s="31" t="s">
        <v>96</v>
      </c>
      <c r="F1855" s="31" t="s">
        <v>408</v>
      </c>
      <c r="G1855" s="31" t="s">
        <v>390</v>
      </c>
      <c r="H1855" s="31" t="s">
        <v>391</v>
      </c>
    </row>
    <row r="1856" spans="2:8" ht="15" customHeight="1" x14ac:dyDescent="0.3">
      <c r="B1856" s="134" t="s">
        <v>616</v>
      </c>
      <c r="C1856" s="134"/>
      <c r="D1856" s="134"/>
      <c r="E1856" s="69">
        <v>1</v>
      </c>
      <c r="F1856" s="32">
        <f>'MANO DE OBRA'!$H$31</f>
        <v>226162.13017808215</v>
      </c>
      <c r="G1856" s="68">
        <v>0.04</v>
      </c>
      <c r="H1856" s="66">
        <f>E1856*F1856*G1856</f>
        <v>9046.4852071232872</v>
      </c>
    </row>
    <row r="1857" spans="2:8" ht="15" customHeight="1" x14ac:dyDescent="0.3">
      <c r="B1857" s="134" t="s">
        <v>410</v>
      </c>
      <c r="C1857" s="134"/>
      <c r="D1857" s="134"/>
      <c r="E1857" s="69">
        <v>1</v>
      </c>
      <c r="F1857" s="32">
        <f>'MANO DE OBRA'!$H$23</f>
        <v>121976.08717808221</v>
      </c>
      <c r="G1857" s="68">
        <v>0.04</v>
      </c>
      <c r="H1857" s="66">
        <f>E1857*F1857*G1857</f>
        <v>4879.0434871232883</v>
      </c>
    </row>
    <row r="1858" spans="2:8" ht="15" customHeight="1" x14ac:dyDescent="0.3">
      <c r="G1858" s="31" t="s">
        <v>394</v>
      </c>
      <c r="H1858" s="67">
        <f>SUM(H1856:H1857)</f>
        <v>13925.528694246575</v>
      </c>
    </row>
    <row r="1859" spans="2:8" ht="15" customHeight="1" x14ac:dyDescent="0.3"/>
    <row r="1860" spans="2:8" ht="15" customHeight="1" x14ac:dyDescent="0.3">
      <c r="B1860" s="115" t="s">
        <v>295</v>
      </c>
      <c r="C1860" s="115"/>
      <c r="D1860" s="115"/>
      <c r="E1860" s="115"/>
      <c r="F1860" s="115"/>
      <c r="G1860" s="115"/>
      <c r="H1860" s="70">
        <f>H1842+H1849+H1853+H1858</f>
        <v>30911.805128958906</v>
      </c>
    </row>
    <row r="1861" spans="2:8" ht="15" customHeight="1" x14ac:dyDescent="0.3"/>
    <row r="1862" spans="2:8" ht="15" customHeight="1" x14ac:dyDescent="0.3">
      <c r="B1862" s="71" t="s">
        <v>411</v>
      </c>
    </row>
    <row r="1863" spans="2:8" ht="15" customHeight="1" x14ac:dyDescent="0.3">
      <c r="B1863" s="123" t="s">
        <v>94</v>
      </c>
      <c r="C1863" s="123"/>
      <c r="D1863" s="123"/>
      <c r="E1863" s="123"/>
      <c r="F1863" s="123"/>
      <c r="G1863" s="31" t="s">
        <v>412</v>
      </c>
      <c r="H1863" s="31" t="s">
        <v>4</v>
      </c>
    </row>
    <row r="1864" spans="2:8" ht="15" customHeight="1" x14ac:dyDescent="0.3">
      <c r="B1864" s="110" t="s">
        <v>73</v>
      </c>
      <c r="C1864" s="110"/>
      <c r="D1864" s="110"/>
      <c r="E1864" s="110"/>
      <c r="F1864" s="110"/>
      <c r="G1864" s="22">
        <f>'Datos Iniciales'!$B$32</f>
        <v>0.28999999999999998</v>
      </c>
      <c r="H1864" s="66">
        <f>H1860*G1864</f>
        <v>8964.4234873980822</v>
      </c>
    </row>
    <row r="1865" spans="2:8" ht="15" customHeight="1" x14ac:dyDescent="0.3">
      <c r="B1865" s="110" t="s">
        <v>74</v>
      </c>
      <c r="C1865" s="110"/>
      <c r="D1865" s="110"/>
      <c r="E1865" s="110"/>
      <c r="F1865" s="110"/>
      <c r="G1865" s="22">
        <f>'Datos Iniciales'!$B$33</f>
        <v>0.05</v>
      </c>
      <c r="H1865" s="66">
        <f>H1860*G1865</f>
        <v>1545.5902564479454</v>
      </c>
    </row>
    <row r="1866" spans="2:8" ht="15" customHeight="1" x14ac:dyDescent="0.3">
      <c r="B1866" s="138" t="s">
        <v>413</v>
      </c>
      <c r="C1866" s="138"/>
      <c r="D1866" s="138"/>
      <c r="E1866" s="138"/>
      <c r="F1866" s="138"/>
      <c r="G1866" s="60">
        <f>G1864+G1865</f>
        <v>0.33999999999999997</v>
      </c>
      <c r="H1866" s="67">
        <f>H1864+H1865</f>
        <v>10510.013743846028</v>
      </c>
    </row>
    <row r="1867" spans="2:8" ht="15" customHeight="1" x14ac:dyDescent="0.3"/>
    <row r="1868" spans="2:8" ht="15" customHeight="1" x14ac:dyDescent="0.3">
      <c r="B1868" s="139" t="s">
        <v>414</v>
      </c>
      <c r="C1868" s="139"/>
      <c r="D1868" s="139"/>
      <c r="E1868" s="139"/>
      <c r="F1868" s="139"/>
      <c r="G1868" s="139"/>
      <c r="H1868" s="37">
        <f>ROUND(H1860+H1866,0)</f>
        <v>41422</v>
      </c>
    </row>
    <row r="1869" spans="2:8" ht="15" customHeight="1" x14ac:dyDescent="0.3"/>
    <row r="1870" spans="2:8" ht="15" customHeight="1" x14ac:dyDescent="0.3"/>
    <row r="1871" spans="2:8" ht="15.75" customHeight="1" x14ac:dyDescent="0.3">
      <c r="B1871" s="123" t="s">
        <v>0</v>
      </c>
      <c r="C1871" s="123"/>
      <c r="D1871" s="123"/>
      <c r="E1871" s="123"/>
      <c r="F1871" s="123"/>
      <c r="G1871" s="123"/>
      <c r="H1871" s="110"/>
    </row>
    <row r="1872" spans="2:8" ht="15.75" customHeight="1" x14ac:dyDescent="0.3">
      <c r="B1872" s="123" t="s">
        <v>1</v>
      </c>
      <c r="C1872" s="123"/>
      <c r="D1872" s="123"/>
      <c r="E1872" s="123"/>
      <c r="F1872" s="123"/>
      <c r="G1872" s="123"/>
      <c r="H1872" s="110"/>
    </row>
    <row r="1873" spans="2:8" ht="24" customHeight="1" x14ac:dyDescent="0.3">
      <c r="B1873" s="136" t="str">
        <f>'Datos Iniciales'!$B$8</f>
        <v>OBRA PÚBLICA PARA LA EJECUCIÓN DE DIFERENTES MEJORAMIENTOS DE VIVIENDA EN EL CASCO URBANO Y RURAL DEL MUNICIPIO DE MACEO - ANTIOQUIA</v>
      </c>
      <c r="C1873" s="136"/>
      <c r="D1873" s="136"/>
      <c r="E1873" s="136"/>
      <c r="F1873" s="136"/>
      <c r="G1873" s="136"/>
      <c r="H1873" s="110"/>
    </row>
    <row r="1874" spans="2:8" ht="15.75" customHeight="1" x14ac:dyDescent="0.3">
      <c r="B1874" s="112" t="s">
        <v>381</v>
      </c>
      <c r="C1874" s="112"/>
      <c r="D1874" s="112"/>
      <c r="E1874" s="112"/>
      <c r="F1874" s="112"/>
      <c r="G1874" s="112"/>
      <c r="H1874" s="110"/>
    </row>
    <row r="1875" spans="2:8" ht="24" customHeight="1" x14ac:dyDescent="0.3">
      <c r="B1875" s="13" t="s">
        <v>382</v>
      </c>
      <c r="C1875" s="112" t="s">
        <v>94</v>
      </c>
      <c r="D1875" s="112"/>
      <c r="E1875" s="112"/>
      <c r="F1875" s="13" t="s">
        <v>383</v>
      </c>
      <c r="G1875" s="13" t="s">
        <v>384</v>
      </c>
      <c r="H1875" s="13" t="s">
        <v>385</v>
      </c>
    </row>
    <row r="1876" spans="2:8" ht="30" customHeight="1" x14ac:dyDescent="0.3">
      <c r="B1876" s="63" t="s">
        <v>627</v>
      </c>
      <c r="C1876" s="140" t="s">
        <v>177</v>
      </c>
      <c r="D1876" s="140"/>
      <c r="E1876" s="140"/>
      <c r="F1876" s="17" t="s">
        <v>137</v>
      </c>
      <c r="G1876" s="41">
        <f>PRESUPUESTO!$E$51+PRESUPUESTO!$E$104</f>
        <v>10</v>
      </c>
      <c r="H1876" s="33">
        <f>H1900</f>
        <v>55838.610257917811</v>
      </c>
    </row>
    <row r="1877" spans="2:8" ht="15" customHeight="1" x14ac:dyDescent="0.3">
      <c r="B1877" s="137" t="s">
        <v>628</v>
      </c>
      <c r="C1877" s="137"/>
      <c r="D1877" s="137"/>
      <c r="E1877" s="137"/>
      <c r="F1877" s="137"/>
      <c r="G1877" s="137"/>
      <c r="H1877" s="137"/>
    </row>
    <row r="1878" spans="2:8" ht="15" customHeight="1" x14ac:dyDescent="0.3">
      <c r="B1878" s="64" t="s">
        <v>388</v>
      </c>
    </row>
    <row r="1879" spans="2:8" ht="15" customHeight="1" x14ac:dyDescent="0.3">
      <c r="B1879" s="135" t="s">
        <v>389</v>
      </c>
      <c r="C1879" s="135"/>
      <c r="D1879" s="135"/>
      <c r="E1879" s="135"/>
      <c r="F1879" s="135"/>
      <c r="G1879" s="135"/>
      <c r="H1879" s="135"/>
    </row>
    <row r="1880" spans="2:8" ht="24" customHeight="1" x14ac:dyDescent="0.3">
      <c r="B1880" s="123" t="s">
        <v>94</v>
      </c>
      <c r="C1880" s="123"/>
      <c r="D1880" s="123"/>
      <c r="E1880" s="31" t="s">
        <v>383</v>
      </c>
      <c r="F1880" s="31" t="s">
        <v>364</v>
      </c>
      <c r="G1880" s="31" t="s">
        <v>390</v>
      </c>
      <c r="H1880" s="31" t="s">
        <v>391</v>
      </c>
    </row>
    <row r="1881" spans="2:8" ht="15" customHeight="1" x14ac:dyDescent="0.3">
      <c r="B1881" s="134" t="s">
        <v>392</v>
      </c>
      <c r="C1881" s="134"/>
      <c r="D1881" s="134"/>
      <c r="E1881" s="17" t="s">
        <v>393</v>
      </c>
      <c r="F1881" s="22">
        <f>EQUIPOS!$D$3</f>
        <v>0.05</v>
      </c>
      <c r="G1881" s="65">
        <f>H1898</f>
        <v>27851.057388493151</v>
      </c>
      <c r="H1881" s="66">
        <f>F1881*G1881</f>
        <v>1392.5528694246577</v>
      </c>
    </row>
    <row r="1882" spans="2:8" ht="15" customHeight="1" x14ac:dyDescent="0.3">
      <c r="G1882" s="31" t="s">
        <v>394</v>
      </c>
      <c r="H1882" s="67">
        <f>SUM(H1881:H1881)</f>
        <v>1392.5528694246577</v>
      </c>
    </row>
    <row r="1883" spans="2:8" ht="15" customHeight="1" x14ac:dyDescent="0.3">
      <c r="B1883" s="135" t="s">
        <v>395</v>
      </c>
      <c r="C1883" s="135"/>
      <c r="D1883" s="135"/>
      <c r="E1883" s="135"/>
      <c r="F1883" s="135"/>
      <c r="G1883" s="135"/>
      <c r="H1883" s="135"/>
    </row>
    <row r="1884" spans="2:8" ht="15" customHeight="1" x14ac:dyDescent="0.3">
      <c r="B1884" s="123" t="s">
        <v>94</v>
      </c>
      <c r="C1884" s="123"/>
      <c r="D1884" s="31" t="s">
        <v>383</v>
      </c>
      <c r="E1884" s="31" t="s">
        <v>96</v>
      </c>
      <c r="F1884" s="31" t="s">
        <v>396</v>
      </c>
      <c r="G1884" s="31" t="s">
        <v>397</v>
      </c>
      <c r="H1884" s="31" t="s">
        <v>391</v>
      </c>
    </row>
    <row r="1885" spans="2:8" ht="15" customHeight="1" x14ac:dyDescent="0.3">
      <c r="B1885" s="134" t="s">
        <v>629</v>
      </c>
      <c r="C1885" s="134"/>
      <c r="D1885" s="17" t="s">
        <v>488</v>
      </c>
      <c r="E1885" s="68">
        <v>0.6</v>
      </c>
      <c r="F1885" s="27">
        <v>0.05</v>
      </c>
      <c r="G1885" s="32">
        <f>INSUMOS!$D$23</f>
        <v>10500</v>
      </c>
      <c r="H1885" s="66">
        <f>E1885*(1+F1885)*G1885</f>
        <v>6615</v>
      </c>
    </row>
    <row r="1886" spans="2:8" ht="15" customHeight="1" x14ac:dyDescent="0.3">
      <c r="B1886" s="134" t="s">
        <v>630</v>
      </c>
      <c r="C1886" s="134"/>
      <c r="D1886" s="17" t="s">
        <v>399</v>
      </c>
      <c r="E1886" s="68">
        <v>2</v>
      </c>
      <c r="F1886" s="27">
        <v>0</v>
      </c>
      <c r="G1886" s="32">
        <f>INSUMOS!$D$25</f>
        <v>5500</v>
      </c>
      <c r="H1886" s="66">
        <f>E1886*(1+F1886)*G1886</f>
        <v>11000</v>
      </c>
    </row>
    <row r="1887" spans="2:8" ht="15" customHeight="1" x14ac:dyDescent="0.3">
      <c r="B1887" s="134" t="s">
        <v>631</v>
      </c>
      <c r="C1887" s="134"/>
      <c r="D1887" s="17" t="s">
        <v>399</v>
      </c>
      <c r="E1887" s="68">
        <v>1</v>
      </c>
      <c r="F1887" s="27">
        <v>0</v>
      </c>
      <c r="G1887" s="32">
        <f>INSUMOS!$D$27</f>
        <v>7500</v>
      </c>
      <c r="H1887" s="66">
        <f>E1887*(1+F1887)*G1887</f>
        <v>7500</v>
      </c>
    </row>
    <row r="1888" spans="2:8" ht="15" customHeight="1" x14ac:dyDescent="0.3">
      <c r="B1888" s="134" t="s">
        <v>609</v>
      </c>
      <c r="C1888" s="134"/>
      <c r="D1888" s="17" t="s">
        <v>399</v>
      </c>
      <c r="E1888" s="68">
        <v>0.02</v>
      </c>
      <c r="F1888" s="27">
        <v>0</v>
      </c>
      <c r="G1888" s="32">
        <f>INSUMOS!$D$30</f>
        <v>74000</v>
      </c>
      <c r="H1888" s="66">
        <f>E1888*(1+F1888)*G1888</f>
        <v>1480</v>
      </c>
    </row>
    <row r="1889" spans="2:8" ht="15" customHeight="1" x14ac:dyDescent="0.3">
      <c r="G1889" s="31" t="s">
        <v>394</v>
      </c>
      <c r="H1889" s="67">
        <f>SUM(H1885:H1888)</f>
        <v>26595</v>
      </c>
    </row>
    <row r="1890" spans="2:8" ht="15" customHeight="1" x14ac:dyDescent="0.3">
      <c r="B1890" s="135" t="s">
        <v>404</v>
      </c>
      <c r="C1890" s="135"/>
      <c r="D1890" s="135"/>
      <c r="E1890" s="135"/>
      <c r="F1890" s="135"/>
      <c r="G1890" s="135"/>
      <c r="H1890" s="135"/>
    </row>
    <row r="1891" spans="2:8" ht="15" customHeight="1" x14ac:dyDescent="0.3">
      <c r="B1891" s="123" t="s">
        <v>94</v>
      </c>
      <c r="C1891" s="123"/>
      <c r="D1891" s="31" t="s">
        <v>383</v>
      </c>
      <c r="E1891" s="31" t="s">
        <v>96</v>
      </c>
      <c r="F1891" s="31"/>
      <c r="G1891" s="31" t="s">
        <v>364</v>
      </c>
      <c r="H1891" s="31" t="s">
        <v>391</v>
      </c>
    </row>
    <row r="1892" spans="2:8" ht="15" customHeight="1" x14ac:dyDescent="0.3">
      <c r="B1892" s="137" t="s">
        <v>405</v>
      </c>
      <c r="C1892" s="137"/>
      <c r="D1892" s="29"/>
      <c r="E1892" s="29"/>
      <c r="F1892" s="29"/>
      <c r="G1892" s="29"/>
      <c r="H1892" s="66">
        <v>0</v>
      </c>
    </row>
    <row r="1893" spans="2:8" ht="15" customHeight="1" x14ac:dyDescent="0.3">
      <c r="G1893" s="31" t="s">
        <v>394</v>
      </c>
      <c r="H1893" s="67">
        <f>SUM(H1892:H1892)</f>
        <v>0</v>
      </c>
    </row>
    <row r="1894" spans="2:8" ht="15" customHeight="1" x14ac:dyDescent="0.3">
      <c r="B1894" s="135" t="s">
        <v>406</v>
      </c>
      <c r="C1894" s="135"/>
      <c r="D1894" s="135"/>
      <c r="E1894" s="135"/>
      <c r="F1894" s="135"/>
      <c r="G1894" s="135"/>
      <c r="H1894" s="135"/>
    </row>
    <row r="1895" spans="2:8" ht="24" customHeight="1" x14ac:dyDescent="0.3">
      <c r="B1895" s="123" t="s">
        <v>407</v>
      </c>
      <c r="C1895" s="123"/>
      <c r="D1895" s="123"/>
      <c r="E1895" s="31" t="s">
        <v>96</v>
      </c>
      <c r="F1895" s="31" t="s">
        <v>408</v>
      </c>
      <c r="G1895" s="31" t="s">
        <v>390</v>
      </c>
      <c r="H1895" s="31" t="s">
        <v>391</v>
      </c>
    </row>
    <row r="1896" spans="2:8" ht="15" customHeight="1" x14ac:dyDescent="0.3">
      <c r="B1896" s="134" t="s">
        <v>616</v>
      </c>
      <c r="C1896" s="134"/>
      <c r="D1896" s="134"/>
      <c r="E1896" s="69">
        <v>1</v>
      </c>
      <c r="F1896" s="32">
        <f>'MANO DE OBRA'!$H$31</f>
        <v>226162.13017808215</v>
      </c>
      <c r="G1896" s="68">
        <v>0.08</v>
      </c>
      <c r="H1896" s="66">
        <f>E1896*F1896*G1896</f>
        <v>18092.970414246574</v>
      </c>
    </row>
    <row r="1897" spans="2:8" ht="15" customHeight="1" x14ac:dyDescent="0.3">
      <c r="B1897" s="134" t="s">
        <v>410</v>
      </c>
      <c r="C1897" s="134"/>
      <c r="D1897" s="134"/>
      <c r="E1897" s="69">
        <v>1</v>
      </c>
      <c r="F1897" s="32">
        <f>'MANO DE OBRA'!$H$23</f>
        <v>121976.08717808221</v>
      </c>
      <c r="G1897" s="68">
        <v>0.08</v>
      </c>
      <c r="H1897" s="66">
        <f>E1897*F1897*G1897</f>
        <v>9758.0869742465766</v>
      </c>
    </row>
    <row r="1898" spans="2:8" ht="15" customHeight="1" x14ac:dyDescent="0.3">
      <c r="G1898" s="31" t="s">
        <v>394</v>
      </c>
      <c r="H1898" s="67">
        <f>SUM(H1896:H1897)</f>
        <v>27851.057388493151</v>
      </c>
    </row>
    <row r="1899" spans="2:8" ht="15" customHeight="1" x14ac:dyDescent="0.3"/>
    <row r="1900" spans="2:8" ht="15" customHeight="1" x14ac:dyDescent="0.3">
      <c r="B1900" s="115" t="s">
        <v>295</v>
      </c>
      <c r="C1900" s="115"/>
      <c r="D1900" s="115"/>
      <c r="E1900" s="115"/>
      <c r="F1900" s="115"/>
      <c r="G1900" s="115"/>
      <c r="H1900" s="70">
        <f>H1882+H1889+H1893+H1898</f>
        <v>55838.610257917811</v>
      </c>
    </row>
    <row r="1901" spans="2:8" ht="15" customHeight="1" x14ac:dyDescent="0.3"/>
    <row r="1902" spans="2:8" ht="15" customHeight="1" x14ac:dyDescent="0.3">
      <c r="B1902" s="71" t="s">
        <v>411</v>
      </c>
    </row>
    <row r="1903" spans="2:8" ht="15" customHeight="1" x14ac:dyDescent="0.3">
      <c r="B1903" s="123" t="s">
        <v>94</v>
      </c>
      <c r="C1903" s="123"/>
      <c r="D1903" s="123"/>
      <c r="E1903" s="123"/>
      <c r="F1903" s="123"/>
      <c r="G1903" s="31" t="s">
        <v>412</v>
      </c>
      <c r="H1903" s="31" t="s">
        <v>4</v>
      </c>
    </row>
    <row r="1904" spans="2:8" ht="15" customHeight="1" x14ac:dyDescent="0.3">
      <c r="B1904" s="110" t="s">
        <v>73</v>
      </c>
      <c r="C1904" s="110"/>
      <c r="D1904" s="110"/>
      <c r="E1904" s="110"/>
      <c r="F1904" s="110"/>
      <c r="G1904" s="22">
        <f>'Datos Iniciales'!$B$32</f>
        <v>0.28999999999999998</v>
      </c>
      <c r="H1904" s="66">
        <f>H1900*G1904</f>
        <v>16193.196974796165</v>
      </c>
    </row>
    <row r="1905" spans="2:8" ht="15" customHeight="1" x14ac:dyDescent="0.3">
      <c r="B1905" s="110" t="s">
        <v>74</v>
      </c>
      <c r="C1905" s="110"/>
      <c r="D1905" s="110"/>
      <c r="E1905" s="110"/>
      <c r="F1905" s="110"/>
      <c r="G1905" s="22">
        <f>'Datos Iniciales'!$B$33</f>
        <v>0.05</v>
      </c>
      <c r="H1905" s="66">
        <f>H1900*G1905</f>
        <v>2791.9305128958908</v>
      </c>
    </row>
    <row r="1906" spans="2:8" ht="15" customHeight="1" x14ac:dyDescent="0.3">
      <c r="B1906" s="138" t="s">
        <v>413</v>
      </c>
      <c r="C1906" s="138"/>
      <c r="D1906" s="138"/>
      <c r="E1906" s="138"/>
      <c r="F1906" s="138"/>
      <c r="G1906" s="60">
        <f>G1904+G1905</f>
        <v>0.33999999999999997</v>
      </c>
      <c r="H1906" s="67">
        <f>H1904+H1905</f>
        <v>18985.127487692054</v>
      </c>
    </row>
    <row r="1907" spans="2:8" ht="15" customHeight="1" x14ac:dyDescent="0.3"/>
    <row r="1908" spans="2:8" ht="15" customHeight="1" x14ac:dyDescent="0.3">
      <c r="B1908" s="139" t="s">
        <v>414</v>
      </c>
      <c r="C1908" s="139"/>
      <c r="D1908" s="139"/>
      <c r="E1908" s="139"/>
      <c r="F1908" s="139"/>
      <c r="G1908" s="139"/>
      <c r="H1908" s="37">
        <f>ROUND(H1900+H1906,0)</f>
        <v>74824</v>
      </c>
    </row>
    <row r="1909" spans="2:8" ht="15" customHeight="1" x14ac:dyDescent="0.3"/>
    <row r="1910" spans="2:8" ht="15" customHeight="1" x14ac:dyDescent="0.3"/>
    <row r="1911" spans="2:8" ht="15.75" customHeight="1" x14ac:dyDescent="0.3">
      <c r="B1911" s="123" t="s">
        <v>0</v>
      </c>
      <c r="C1911" s="123"/>
      <c r="D1911" s="123"/>
      <c r="E1911" s="123"/>
      <c r="F1911" s="123"/>
      <c r="G1911" s="123"/>
      <c r="H1911" s="110"/>
    </row>
    <row r="1912" spans="2:8" ht="15.75" customHeight="1" x14ac:dyDescent="0.3">
      <c r="B1912" s="123" t="s">
        <v>1</v>
      </c>
      <c r="C1912" s="123"/>
      <c r="D1912" s="123"/>
      <c r="E1912" s="123"/>
      <c r="F1912" s="123"/>
      <c r="G1912" s="123"/>
      <c r="H1912" s="110"/>
    </row>
    <row r="1913" spans="2:8" ht="24" customHeight="1" x14ac:dyDescent="0.3">
      <c r="B1913" s="136" t="str">
        <f>'Datos Iniciales'!$B$8</f>
        <v>OBRA PÚBLICA PARA LA EJECUCIÓN DE DIFERENTES MEJORAMIENTOS DE VIVIENDA EN EL CASCO URBANO Y RURAL DEL MUNICIPIO DE MACEO - ANTIOQUIA</v>
      </c>
      <c r="C1913" s="136"/>
      <c r="D1913" s="136"/>
      <c r="E1913" s="136"/>
      <c r="F1913" s="136"/>
      <c r="G1913" s="136"/>
      <c r="H1913" s="110"/>
    </row>
    <row r="1914" spans="2:8" ht="15.75" customHeight="1" x14ac:dyDescent="0.3">
      <c r="B1914" s="112" t="s">
        <v>381</v>
      </c>
      <c r="C1914" s="112"/>
      <c r="D1914" s="112"/>
      <c r="E1914" s="112"/>
      <c r="F1914" s="112"/>
      <c r="G1914" s="112"/>
      <c r="H1914" s="110"/>
    </row>
    <row r="1915" spans="2:8" ht="24" customHeight="1" x14ac:dyDescent="0.3">
      <c r="B1915" s="13" t="s">
        <v>382</v>
      </c>
      <c r="C1915" s="112" t="s">
        <v>94</v>
      </c>
      <c r="D1915" s="112"/>
      <c r="E1915" s="112"/>
      <c r="F1915" s="13" t="s">
        <v>383</v>
      </c>
      <c r="G1915" s="13" t="s">
        <v>384</v>
      </c>
      <c r="H1915" s="13" t="s">
        <v>385</v>
      </c>
    </row>
    <row r="1916" spans="2:8" ht="30" customHeight="1" x14ac:dyDescent="0.3">
      <c r="B1916" s="63" t="s">
        <v>632</v>
      </c>
      <c r="C1916" s="140" t="s">
        <v>179</v>
      </c>
      <c r="D1916" s="140"/>
      <c r="E1916" s="140"/>
      <c r="F1916" s="17" t="s">
        <v>137</v>
      </c>
      <c r="G1916" s="41">
        <f>PRESUPUESTO!$E$52+PRESUPUESTO!$E$105</f>
        <v>4</v>
      </c>
      <c r="H1916" s="33">
        <f>H1939</f>
        <v>84634.512822397257</v>
      </c>
    </row>
    <row r="1917" spans="2:8" ht="15" customHeight="1" x14ac:dyDescent="0.3">
      <c r="B1917" s="137" t="s">
        <v>633</v>
      </c>
      <c r="C1917" s="137"/>
      <c r="D1917" s="137"/>
      <c r="E1917" s="137"/>
      <c r="F1917" s="137"/>
      <c r="G1917" s="137"/>
      <c r="H1917" s="137"/>
    </row>
    <row r="1918" spans="2:8" ht="15" customHeight="1" x14ac:dyDescent="0.3">
      <c r="B1918" s="64" t="s">
        <v>388</v>
      </c>
    </row>
    <row r="1919" spans="2:8" ht="15" customHeight="1" x14ac:dyDescent="0.3">
      <c r="B1919" s="135" t="s">
        <v>389</v>
      </c>
      <c r="C1919" s="135"/>
      <c r="D1919" s="135"/>
      <c r="E1919" s="135"/>
      <c r="F1919" s="135"/>
      <c r="G1919" s="135"/>
      <c r="H1919" s="135"/>
    </row>
    <row r="1920" spans="2:8" ht="24" customHeight="1" x14ac:dyDescent="0.3">
      <c r="B1920" s="123" t="s">
        <v>94</v>
      </c>
      <c r="C1920" s="123"/>
      <c r="D1920" s="123"/>
      <c r="E1920" s="31" t="s">
        <v>383</v>
      </c>
      <c r="F1920" s="31" t="s">
        <v>364</v>
      </c>
      <c r="G1920" s="31" t="s">
        <v>390</v>
      </c>
      <c r="H1920" s="31" t="s">
        <v>391</v>
      </c>
    </row>
    <row r="1921" spans="2:8" ht="15" customHeight="1" x14ac:dyDescent="0.3">
      <c r="B1921" s="134" t="s">
        <v>392</v>
      </c>
      <c r="C1921" s="134"/>
      <c r="D1921" s="134"/>
      <c r="E1921" s="17" t="s">
        <v>393</v>
      </c>
      <c r="F1921" s="22">
        <f>EQUIPOS!$D$3</f>
        <v>0.05</v>
      </c>
      <c r="G1921" s="65">
        <f>H1937</f>
        <v>34813.821735616439</v>
      </c>
      <c r="H1921" s="66">
        <f>F1921*G1921</f>
        <v>1740.6910867808219</v>
      </c>
    </row>
    <row r="1922" spans="2:8" ht="15" customHeight="1" x14ac:dyDescent="0.3">
      <c r="G1922" s="31" t="s">
        <v>394</v>
      </c>
      <c r="H1922" s="67">
        <f>SUM(H1921:H1921)</f>
        <v>1740.6910867808219</v>
      </c>
    </row>
    <row r="1923" spans="2:8" ht="15" customHeight="1" x14ac:dyDescent="0.3">
      <c r="B1923" s="135" t="s">
        <v>395</v>
      </c>
      <c r="C1923" s="135"/>
      <c r="D1923" s="135"/>
      <c r="E1923" s="135"/>
      <c r="F1923" s="135"/>
      <c r="G1923" s="135"/>
      <c r="H1923" s="135"/>
    </row>
    <row r="1924" spans="2:8" ht="15" customHeight="1" x14ac:dyDescent="0.3">
      <c r="B1924" s="123" t="s">
        <v>94</v>
      </c>
      <c r="C1924" s="123"/>
      <c r="D1924" s="31" t="s">
        <v>383</v>
      </c>
      <c r="E1924" s="31" t="s">
        <v>96</v>
      </c>
      <c r="F1924" s="31" t="s">
        <v>396</v>
      </c>
      <c r="G1924" s="31" t="s">
        <v>397</v>
      </c>
      <c r="H1924" s="31" t="s">
        <v>391</v>
      </c>
    </row>
    <row r="1925" spans="2:8" ht="15" customHeight="1" x14ac:dyDescent="0.3">
      <c r="B1925" s="134" t="s">
        <v>634</v>
      </c>
      <c r="C1925" s="134"/>
      <c r="D1925" s="17" t="s">
        <v>488</v>
      </c>
      <c r="E1925" s="68">
        <v>0.6</v>
      </c>
      <c r="F1925" s="27">
        <v>0.05</v>
      </c>
      <c r="G1925" s="32">
        <f>INSUMOS!$D$24</f>
        <v>22000</v>
      </c>
      <c r="H1925" s="66">
        <f>E1925*(1+F1925)*G1925</f>
        <v>13860</v>
      </c>
    </row>
    <row r="1926" spans="2:8" ht="15" customHeight="1" x14ac:dyDescent="0.3">
      <c r="B1926" s="134" t="s">
        <v>635</v>
      </c>
      <c r="C1926" s="134"/>
      <c r="D1926" s="17" t="s">
        <v>399</v>
      </c>
      <c r="E1926" s="68">
        <v>2</v>
      </c>
      <c r="F1926" s="27">
        <v>0</v>
      </c>
      <c r="G1926" s="32">
        <f>INSUMOS!$D$26</f>
        <v>16000</v>
      </c>
      <c r="H1926" s="66">
        <f>E1926*(1+F1926)*G1926</f>
        <v>32000</v>
      </c>
    </row>
    <row r="1927" spans="2:8" ht="15" customHeight="1" x14ac:dyDescent="0.3">
      <c r="B1927" s="134" t="s">
        <v>609</v>
      </c>
      <c r="C1927" s="134"/>
      <c r="D1927" s="17" t="s">
        <v>399</v>
      </c>
      <c r="E1927" s="68">
        <v>0.03</v>
      </c>
      <c r="F1927" s="27">
        <v>0</v>
      </c>
      <c r="G1927" s="32">
        <f>INSUMOS!$D$30</f>
        <v>74000</v>
      </c>
      <c r="H1927" s="66">
        <f>E1927*(1+F1927)*G1927</f>
        <v>2220</v>
      </c>
    </row>
    <row r="1928" spans="2:8" ht="15" customHeight="1" x14ac:dyDescent="0.3">
      <c r="G1928" s="31" t="s">
        <v>394</v>
      </c>
      <c r="H1928" s="67">
        <f>SUM(H1925:H1927)</f>
        <v>48080</v>
      </c>
    </row>
    <row r="1929" spans="2:8" ht="15" customHeight="1" x14ac:dyDescent="0.3">
      <c r="B1929" s="135" t="s">
        <v>404</v>
      </c>
      <c r="C1929" s="135"/>
      <c r="D1929" s="135"/>
      <c r="E1929" s="135"/>
      <c r="F1929" s="135"/>
      <c r="G1929" s="135"/>
      <c r="H1929" s="135"/>
    </row>
    <row r="1930" spans="2:8" ht="15" customHeight="1" x14ac:dyDescent="0.3">
      <c r="B1930" s="123" t="s">
        <v>94</v>
      </c>
      <c r="C1930" s="123"/>
      <c r="D1930" s="31" t="s">
        <v>383</v>
      </c>
      <c r="E1930" s="31" t="s">
        <v>96</v>
      </c>
      <c r="F1930" s="31"/>
      <c r="G1930" s="31" t="s">
        <v>364</v>
      </c>
      <c r="H1930" s="31" t="s">
        <v>391</v>
      </c>
    </row>
    <row r="1931" spans="2:8" ht="15" customHeight="1" x14ac:dyDescent="0.3">
      <c r="B1931" s="137" t="s">
        <v>405</v>
      </c>
      <c r="C1931" s="137"/>
      <c r="D1931" s="29"/>
      <c r="E1931" s="29"/>
      <c r="F1931" s="29"/>
      <c r="G1931" s="29"/>
      <c r="H1931" s="66">
        <v>0</v>
      </c>
    </row>
    <row r="1932" spans="2:8" ht="15" customHeight="1" x14ac:dyDescent="0.3">
      <c r="G1932" s="31" t="s">
        <v>394</v>
      </c>
      <c r="H1932" s="67">
        <f>SUM(H1931:H1931)</f>
        <v>0</v>
      </c>
    </row>
    <row r="1933" spans="2:8" ht="15" customHeight="1" x14ac:dyDescent="0.3">
      <c r="B1933" s="135" t="s">
        <v>406</v>
      </c>
      <c r="C1933" s="135"/>
      <c r="D1933" s="135"/>
      <c r="E1933" s="135"/>
      <c r="F1933" s="135"/>
      <c r="G1933" s="135"/>
      <c r="H1933" s="135"/>
    </row>
    <row r="1934" spans="2:8" ht="24" customHeight="1" x14ac:dyDescent="0.3">
      <c r="B1934" s="123" t="s">
        <v>407</v>
      </c>
      <c r="C1934" s="123"/>
      <c r="D1934" s="123"/>
      <c r="E1934" s="31" t="s">
        <v>96</v>
      </c>
      <c r="F1934" s="31" t="s">
        <v>408</v>
      </c>
      <c r="G1934" s="31" t="s">
        <v>390</v>
      </c>
      <c r="H1934" s="31" t="s">
        <v>391</v>
      </c>
    </row>
    <row r="1935" spans="2:8" ht="15" customHeight="1" x14ac:dyDescent="0.3">
      <c r="B1935" s="134" t="s">
        <v>616</v>
      </c>
      <c r="C1935" s="134"/>
      <c r="D1935" s="134"/>
      <c r="E1935" s="69">
        <v>1</v>
      </c>
      <c r="F1935" s="32">
        <f>'MANO DE OBRA'!$H$31</f>
        <v>226162.13017808215</v>
      </c>
      <c r="G1935" s="68">
        <v>0.1</v>
      </c>
      <c r="H1935" s="66">
        <f>E1935*F1935*G1935</f>
        <v>22616.213017808215</v>
      </c>
    </row>
    <row r="1936" spans="2:8" ht="15" customHeight="1" x14ac:dyDescent="0.3">
      <c r="B1936" s="134" t="s">
        <v>410</v>
      </c>
      <c r="C1936" s="134"/>
      <c r="D1936" s="134"/>
      <c r="E1936" s="69">
        <v>1</v>
      </c>
      <c r="F1936" s="32">
        <f>'MANO DE OBRA'!$H$23</f>
        <v>121976.08717808221</v>
      </c>
      <c r="G1936" s="68">
        <v>0.1</v>
      </c>
      <c r="H1936" s="66">
        <f>E1936*F1936*G1936</f>
        <v>12197.608717808222</v>
      </c>
    </row>
    <row r="1937" spans="2:8" ht="15" customHeight="1" x14ac:dyDescent="0.3">
      <c r="G1937" s="31" t="s">
        <v>394</v>
      </c>
      <c r="H1937" s="67">
        <f>SUM(H1935:H1936)</f>
        <v>34813.821735616439</v>
      </c>
    </row>
    <row r="1938" spans="2:8" ht="15" customHeight="1" x14ac:dyDescent="0.3"/>
    <row r="1939" spans="2:8" ht="15" customHeight="1" x14ac:dyDescent="0.3">
      <c r="B1939" s="115" t="s">
        <v>295</v>
      </c>
      <c r="C1939" s="115"/>
      <c r="D1939" s="115"/>
      <c r="E1939" s="115"/>
      <c r="F1939" s="115"/>
      <c r="G1939" s="115"/>
      <c r="H1939" s="70">
        <f>H1922+H1928+H1932+H1937</f>
        <v>84634.512822397257</v>
      </c>
    </row>
    <row r="1940" spans="2:8" ht="15" customHeight="1" x14ac:dyDescent="0.3"/>
    <row r="1941" spans="2:8" ht="15" customHeight="1" x14ac:dyDescent="0.3">
      <c r="B1941" s="71" t="s">
        <v>411</v>
      </c>
    </row>
    <row r="1942" spans="2:8" ht="15" customHeight="1" x14ac:dyDescent="0.3">
      <c r="B1942" s="123" t="s">
        <v>94</v>
      </c>
      <c r="C1942" s="123"/>
      <c r="D1942" s="123"/>
      <c r="E1942" s="123"/>
      <c r="F1942" s="123"/>
      <c r="G1942" s="31" t="s">
        <v>412</v>
      </c>
      <c r="H1942" s="31" t="s">
        <v>4</v>
      </c>
    </row>
    <row r="1943" spans="2:8" ht="15" customHeight="1" x14ac:dyDescent="0.3">
      <c r="B1943" s="110" t="s">
        <v>73</v>
      </c>
      <c r="C1943" s="110"/>
      <c r="D1943" s="110"/>
      <c r="E1943" s="110"/>
      <c r="F1943" s="110"/>
      <c r="G1943" s="22">
        <f>'Datos Iniciales'!$B$32</f>
        <v>0.28999999999999998</v>
      </c>
      <c r="H1943" s="66">
        <f>H1939*G1943</f>
        <v>24544.008718495203</v>
      </c>
    </row>
    <row r="1944" spans="2:8" ht="15" customHeight="1" x14ac:dyDescent="0.3">
      <c r="B1944" s="110" t="s">
        <v>74</v>
      </c>
      <c r="C1944" s="110"/>
      <c r="D1944" s="110"/>
      <c r="E1944" s="110"/>
      <c r="F1944" s="110"/>
      <c r="G1944" s="22">
        <f>'Datos Iniciales'!$B$33</f>
        <v>0.05</v>
      </c>
      <c r="H1944" s="66">
        <f>H1939*G1944</f>
        <v>4231.7256411198632</v>
      </c>
    </row>
    <row r="1945" spans="2:8" ht="15" customHeight="1" x14ac:dyDescent="0.3">
      <c r="B1945" s="138" t="s">
        <v>413</v>
      </c>
      <c r="C1945" s="138"/>
      <c r="D1945" s="138"/>
      <c r="E1945" s="138"/>
      <c r="F1945" s="138"/>
      <c r="G1945" s="60">
        <f>G1943+G1944</f>
        <v>0.33999999999999997</v>
      </c>
      <c r="H1945" s="67">
        <f>H1943+H1944</f>
        <v>28775.734359615068</v>
      </c>
    </row>
    <row r="1946" spans="2:8" ht="15" customHeight="1" x14ac:dyDescent="0.3"/>
    <row r="1947" spans="2:8" ht="15" customHeight="1" x14ac:dyDescent="0.3">
      <c r="B1947" s="139" t="s">
        <v>414</v>
      </c>
      <c r="C1947" s="139"/>
      <c r="D1947" s="139"/>
      <c r="E1947" s="139"/>
      <c r="F1947" s="139"/>
      <c r="G1947" s="139"/>
      <c r="H1947" s="37">
        <f>ROUND(H1939+H1945,0)</f>
        <v>113410</v>
      </c>
    </row>
    <row r="1948" spans="2:8" ht="15" customHeight="1" x14ac:dyDescent="0.3"/>
    <row r="1949" spans="2:8" ht="15" customHeight="1" x14ac:dyDescent="0.3"/>
    <row r="1950" spans="2:8" ht="15.75" customHeight="1" x14ac:dyDescent="0.3">
      <c r="B1950" s="123" t="s">
        <v>0</v>
      </c>
      <c r="C1950" s="123"/>
      <c r="D1950" s="123"/>
      <c r="E1950" s="123"/>
      <c r="F1950" s="123"/>
      <c r="G1950" s="123"/>
      <c r="H1950" s="110"/>
    </row>
    <row r="1951" spans="2:8" ht="15.75" customHeight="1" x14ac:dyDescent="0.3">
      <c r="B1951" s="123" t="s">
        <v>1</v>
      </c>
      <c r="C1951" s="123"/>
      <c r="D1951" s="123"/>
      <c r="E1951" s="123"/>
      <c r="F1951" s="123"/>
      <c r="G1951" s="123"/>
      <c r="H1951" s="110"/>
    </row>
    <row r="1952" spans="2:8" ht="24" customHeight="1" x14ac:dyDescent="0.3">
      <c r="B1952" s="136" t="str">
        <f>'Datos Iniciales'!$B$8</f>
        <v>OBRA PÚBLICA PARA LA EJECUCIÓN DE DIFERENTES MEJORAMIENTOS DE VIVIENDA EN EL CASCO URBANO Y RURAL DEL MUNICIPIO DE MACEO - ANTIOQUIA</v>
      </c>
      <c r="C1952" s="136"/>
      <c r="D1952" s="136"/>
      <c r="E1952" s="136"/>
      <c r="F1952" s="136"/>
      <c r="G1952" s="136"/>
      <c r="H1952" s="110"/>
    </row>
    <row r="1953" spans="2:8" ht="15.75" customHeight="1" x14ac:dyDescent="0.3">
      <c r="B1953" s="112" t="s">
        <v>381</v>
      </c>
      <c r="C1953" s="112"/>
      <c r="D1953" s="112"/>
      <c r="E1953" s="112"/>
      <c r="F1953" s="112"/>
      <c r="G1953" s="112"/>
      <c r="H1953" s="110"/>
    </row>
    <row r="1954" spans="2:8" ht="24" customHeight="1" x14ac:dyDescent="0.3">
      <c r="B1954" s="13" t="s">
        <v>382</v>
      </c>
      <c r="C1954" s="112" t="s">
        <v>94</v>
      </c>
      <c r="D1954" s="112"/>
      <c r="E1954" s="112"/>
      <c r="F1954" s="13" t="s">
        <v>383</v>
      </c>
      <c r="G1954" s="13" t="s">
        <v>384</v>
      </c>
      <c r="H1954" s="13" t="s">
        <v>385</v>
      </c>
    </row>
    <row r="1955" spans="2:8" ht="31.5" customHeight="1" x14ac:dyDescent="0.3">
      <c r="B1955" s="63" t="s">
        <v>636</v>
      </c>
      <c r="C1955" s="140" t="s">
        <v>181</v>
      </c>
      <c r="D1955" s="140"/>
      <c r="E1955" s="140"/>
      <c r="F1955" s="17" t="s">
        <v>107</v>
      </c>
      <c r="G1955" s="41">
        <f>PRESUPUESTO!$E$53+PRESUPUESTO!$E$106</f>
        <v>78</v>
      </c>
      <c r="H1955" s="33">
        <f>H1978</f>
        <v>28036.805128958906</v>
      </c>
    </row>
    <row r="1956" spans="2:8" ht="15" customHeight="1" x14ac:dyDescent="0.3">
      <c r="B1956" s="137" t="s">
        <v>637</v>
      </c>
      <c r="C1956" s="137"/>
      <c r="D1956" s="137"/>
      <c r="E1956" s="137"/>
      <c r="F1956" s="137"/>
      <c r="G1956" s="137"/>
      <c r="H1956" s="137"/>
    </row>
    <row r="1957" spans="2:8" ht="15" customHeight="1" x14ac:dyDescent="0.3">
      <c r="B1957" s="64" t="s">
        <v>388</v>
      </c>
    </row>
    <row r="1958" spans="2:8" ht="15" customHeight="1" x14ac:dyDescent="0.3">
      <c r="B1958" s="135" t="s">
        <v>389</v>
      </c>
      <c r="C1958" s="135"/>
      <c r="D1958" s="135"/>
      <c r="E1958" s="135"/>
      <c r="F1958" s="135"/>
      <c r="G1958" s="135"/>
      <c r="H1958" s="135"/>
    </row>
    <row r="1959" spans="2:8" ht="24" customHeight="1" x14ac:dyDescent="0.3">
      <c r="B1959" s="123" t="s">
        <v>94</v>
      </c>
      <c r="C1959" s="123"/>
      <c r="D1959" s="123"/>
      <c r="E1959" s="31" t="s">
        <v>383</v>
      </c>
      <c r="F1959" s="31" t="s">
        <v>364</v>
      </c>
      <c r="G1959" s="31" t="s">
        <v>390</v>
      </c>
      <c r="H1959" s="31" t="s">
        <v>391</v>
      </c>
    </row>
    <row r="1960" spans="2:8" ht="15" customHeight="1" x14ac:dyDescent="0.3">
      <c r="B1960" s="134" t="s">
        <v>392</v>
      </c>
      <c r="C1960" s="134"/>
      <c r="D1960" s="134"/>
      <c r="E1960" s="17" t="s">
        <v>393</v>
      </c>
      <c r="F1960" s="22">
        <f>EQUIPOS!$D$3</f>
        <v>0.05</v>
      </c>
      <c r="G1960" s="65">
        <f>H1976</f>
        <v>13925.528694246575</v>
      </c>
      <c r="H1960" s="66">
        <f>F1960*G1960</f>
        <v>696.27643471232886</v>
      </c>
    </row>
    <row r="1961" spans="2:8" ht="15" customHeight="1" x14ac:dyDescent="0.3">
      <c r="G1961" s="31" t="s">
        <v>394</v>
      </c>
      <c r="H1961" s="67">
        <f>SUM(H1960:H1960)</f>
        <v>696.27643471232886</v>
      </c>
    </row>
    <row r="1962" spans="2:8" ht="15" customHeight="1" x14ac:dyDescent="0.3">
      <c r="B1962" s="135" t="s">
        <v>395</v>
      </c>
      <c r="C1962" s="135"/>
      <c r="D1962" s="135"/>
      <c r="E1962" s="135"/>
      <c r="F1962" s="135"/>
      <c r="G1962" s="135"/>
      <c r="H1962" s="135"/>
    </row>
    <row r="1963" spans="2:8" ht="15" customHeight="1" x14ac:dyDescent="0.3">
      <c r="B1963" s="123" t="s">
        <v>94</v>
      </c>
      <c r="C1963" s="123"/>
      <c r="D1963" s="31" t="s">
        <v>383</v>
      </c>
      <c r="E1963" s="31" t="s">
        <v>96</v>
      </c>
      <c r="F1963" s="31" t="s">
        <v>396</v>
      </c>
      <c r="G1963" s="31" t="s">
        <v>397</v>
      </c>
      <c r="H1963" s="31" t="s">
        <v>391</v>
      </c>
    </row>
    <row r="1964" spans="2:8" ht="15" customHeight="1" x14ac:dyDescent="0.3">
      <c r="B1964" s="134" t="s">
        <v>629</v>
      </c>
      <c r="C1964" s="134"/>
      <c r="D1964" s="17" t="s">
        <v>488</v>
      </c>
      <c r="E1964" s="68">
        <v>1</v>
      </c>
      <c r="F1964" s="27">
        <v>0.05</v>
      </c>
      <c r="G1964" s="32">
        <f>INSUMOS!$D$23</f>
        <v>10500</v>
      </c>
      <c r="H1964" s="66">
        <f>E1964*(1+F1964)*G1964</f>
        <v>11025</v>
      </c>
    </row>
    <row r="1965" spans="2:8" ht="15" customHeight="1" x14ac:dyDescent="0.3">
      <c r="B1965" s="134" t="s">
        <v>630</v>
      </c>
      <c r="C1965" s="134"/>
      <c r="D1965" s="17" t="s">
        <v>399</v>
      </c>
      <c r="E1965" s="68">
        <v>0.3</v>
      </c>
      <c r="F1965" s="27">
        <v>0</v>
      </c>
      <c r="G1965" s="32">
        <f>INSUMOS!$D$25</f>
        <v>5500</v>
      </c>
      <c r="H1965" s="66">
        <f>E1965*(1+F1965)*G1965</f>
        <v>1650</v>
      </c>
    </row>
    <row r="1966" spans="2:8" ht="15" customHeight="1" x14ac:dyDescent="0.3">
      <c r="B1966" s="134" t="s">
        <v>609</v>
      </c>
      <c r="C1966" s="134"/>
      <c r="D1966" s="17" t="s">
        <v>399</v>
      </c>
      <c r="E1966" s="68">
        <v>0.01</v>
      </c>
      <c r="F1966" s="27">
        <v>0</v>
      </c>
      <c r="G1966" s="32">
        <f>INSUMOS!$D$30</f>
        <v>74000</v>
      </c>
      <c r="H1966" s="66">
        <f>E1966*(1+F1966)*G1966</f>
        <v>740</v>
      </c>
    </row>
    <row r="1967" spans="2:8" ht="15" customHeight="1" x14ac:dyDescent="0.3">
      <c r="G1967" s="31" t="s">
        <v>394</v>
      </c>
      <c r="H1967" s="67">
        <f>SUM(H1964:H1966)</f>
        <v>13415</v>
      </c>
    </row>
    <row r="1968" spans="2:8" ht="15" customHeight="1" x14ac:dyDescent="0.3">
      <c r="B1968" s="135" t="s">
        <v>404</v>
      </c>
      <c r="C1968" s="135"/>
      <c r="D1968" s="135"/>
      <c r="E1968" s="135"/>
      <c r="F1968" s="135"/>
      <c r="G1968" s="135"/>
      <c r="H1968" s="135"/>
    </row>
    <row r="1969" spans="2:8" ht="15" customHeight="1" x14ac:dyDescent="0.3">
      <c r="B1969" s="123" t="s">
        <v>94</v>
      </c>
      <c r="C1969" s="123"/>
      <c r="D1969" s="31" t="s">
        <v>383</v>
      </c>
      <c r="E1969" s="31" t="s">
        <v>96</v>
      </c>
      <c r="F1969" s="31"/>
      <c r="G1969" s="31" t="s">
        <v>364</v>
      </c>
      <c r="H1969" s="31" t="s">
        <v>391</v>
      </c>
    </row>
    <row r="1970" spans="2:8" ht="15" customHeight="1" x14ac:dyDescent="0.3">
      <c r="B1970" s="137" t="s">
        <v>405</v>
      </c>
      <c r="C1970" s="137"/>
      <c r="D1970" s="29"/>
      <c r="E1970" s="29"/>
      <c r="F1970" s="29"/>
      <c r="G1970" s="29"/>
      <c r="H1970" s="66">
        <v>0</v>
      </c>
    </row>
    <row r="1971" spans="2:8" ht="15" customHeight="1" x14ac:dyDescent="0.3">
      <c r="G1971" s="31" t="s">
        <v>394</v>
      </c>
      <c r="H1971" s="67">
        <f>SUM(H1970:H1970)</f>
        <v>0</v>
      </c>
    </row>
    <row r="1972" spans="2:8" ht="15" customHeight="1" x14ac:dyDescent="0.3">
      <c r="B1972" s="135" t="s">
        <v>406</v>
      </c>
      <c r="C1972" s="135"/>
      <c r="D1972" s="135"/>
      <c r="E1972" s="135"/>
      <c r="F1972" s="135"/>
      <c r="G1972" s="135"/>
      <c r="H1972" s="135"/>
    </row>
    <row r="1973" spans="2:8" ht="24" customHeight="1" x14ac:dyDescent="0.3">
      <c r="B1973" s="123" t="s">
        <v>407</v>
      </c>
      <c r="C1973" s="123"/>
      <c r="D1973" s="123"/>
      <c r="E1973" s="31" t="s">
        <v>96</v>
      </c>
      <c r="F1973" s="31" t="s">
        <v>408</v>
      </c>
      <c r="G1973" s="31" t="s">
        <v>390</v>
      </c>
      <c r="H1973" s="31" t="s">
        <v>391</v>
      </c>
    </row>
    <row r="1974" spans="2:8" ht="15" customHeight="1" x14ac:dyDescent="0.3">
      <c r="B1974" s="134" t="s">
        <v>616</v>
      </c>
      <c r="C1974" s="134"/>
      <c r="D1974" s="134"/>
      <c r="E1974" s="69">
        <v>1</v>
      </c>
      <c r="F1974" s="32">
        <f>'MANO DE OBRA'!$H$31</f>
        <v>226162.13017808215</v>
      </c>
      <c r="G1974" s="68">
        <v>0.04</v>
      </c>
      <c r="H1974" s="66">
        <f>E1974*F1974*G1974</f>
        <v>9046.4852071232872</v>
      </c>
    </row>
    <row r="1975" spans="2:8" ht="15" customHeight="1" x14ac:dyDescent="0.3">
      <c r="B1975" s="134" t="s">
        <v>410</v>
      </c>
      <c r="C1975" s="134"/>
      <c r="D1975" s="134"/>
      <c r="E1975" s="69">
        <v>1</v>
      </c>
      <c r="F1975" s="32">
        <f>'MANO DE OBRA'!$H$23</f>
        <v>121976.08717808221</v>
      </c>
      <c r="G1975" s="68">
        <v>0.04</v>
      </c>
      <c r="H1975" s="66">
        <f>E1975*F1975*G1975</f>
        <v>4879.0434871232883</v>
      </c>
    </row>
    <row r="1976" spans="2:8" ht="15" customHeight="1" x14ac:dyDescent="0.3">
      <c r="G1976" s="31" t="s">
        <v>394</v>
      </c>
      <c r="H1976" s="67">
        <f>SUM(H1974:H1975)</f>
        <v>13925.528694246575</v>
      </c>
    </row>
    <row r="1977" spans="2:8" ht="15" customHeight="1" x14ac:dyDescent="0.3"/>
    <row r="1978" spans="2:8" ht="15" customHeight="1" x14ac:dyDescent="0.3">
      <c r="B1978" s="115" t="s">
        <v>295</v>
      </c>
      <c r="C1978" s="115"/>
      <c r="D1978" s="115"/>
      <c r="E1978" s="115"/>
      <c r="F1978" s="115"/>
      <c r="G1978" s="115"/>
      <c r="H1978" s="70">
        <f>H1961+H1967+H1971+H1976</f>
        <v>28036.805128958906</v>
      </c>
    </row>
    <row r="1979" spans="2:8" ht="15" customHeight="1" x14ac:dyDescent="0.3"/>
    <row r="1980" spans="2:8" ht="15" customHeight="1" x14ac:dyDescent="0.3">
      <c r="B1980" s="71" t="s">
        <v>411</v>
      </c>
    </row>
    <row r="1981" spans="2:8" ht="15" customHeight="1" x14ac:dyDescent="0.3">
      <c r="B1981" s="123" t="s">
        <v>94</v>
      </c>
      <c r="C1981" s="123"/>
      <c r="D1981" s="123"/>
      <c r="E1981" s="123"/>
      <c r="F1981" s="123"/>
      <c r="G1981" s="31" t="s">
        <v>412</v>
      </c>
      <c r="H1981" s="31" t="s">
        <v>4</v>
      </c>
    </row>
    <row r="1982" spans="2:8" ht="15" customHeight="1" x14ac:dyDescent="0.3">
      <c r="B1982" s="110" t="s">
        <v>73</v>
      </c>
      <c r="C1982" s="110"/>
      <c r="D1982" s="110"/>
      <c r="E1982" s="110"/>
      <c r="F1982" s="110"/>
      <c r="G1982" s="22">
        <f>'Datos Iniciales'!$B$32</f>
        <v>0.28999999999999998</v>
      </c>
      <c r="H1982" s="66">
        <f>H1978*G1982</f>
        <v>8130.6734873980822</v>
      </c>
    </row>
    <row r="1983" spans="2:8" ht="15" customHeight="1" x14ac:dyDescent="0.3">
      <c r="B1983" s="110" t="s">
        <v>74</v>
      </c>
      <c r="C1983" s="110"/>
      <c r="D1983" s="110"/>
      <c r="E1983" s="110"/>
      <c r="F1983" s="110"/>
      <c r="G1983" s="22">
        <f>'Datos Iniciales'!$B$33</f>
        <v>0.05</v>
      </c>
      <c r="H1983" s="66">
        <f>H1978*G1983</f>
        <v>1401.8402564479454</v>
      </c>
    </row>
    <row r="1984" spans="2:8" ht="15" customHeight="1" x14ac:dyDescent="0.3">
      <c r="B1984" s="138" t="s">
        <v>413</v>
      </c>
      <c r="C1984" s="138"/>
      <c r="D1984" s="138"/>
      <c r="E1984" s="138"/>
      <c r="F1984" s="138"/>
      <c r="G1984" s="60">
        <f>G1982+G1983</f>
        <v>0.33999999999999997</v>
      </c>
      <c r="H1984" s="67">
        <f>H1982+H1983</f>
        <v>9532.5137438460279</v>
      </c>
    </row>
    <row r="1985" spans="2:8" ht="15" customHeight="1" x14ac:dyDescent="0.3"/>
    <row r="1986" spans="2:8" ht="15" customHeight="1" x14ac:dyDescent="0.3">
      <c r="B1986" s="139" t="s">
        <v>414</v>
      </c>
      <c r="C1986" s="139"/>
      <c r="D1986" s="139"/>
      <c r="E1986" s="139"/>
      <c r="F1986" s="139"/>
      <c r="G1986" s="139"/>
      <c r="H1986" s="37">
        <f>ROUND(H1978+H1984,0)</f>
        <v>37569</v>
      </c>
    </row>
    <row r="1987" spans="2:8" ht="15" customHeight="1" x14ac:dyDescent="0.3"/>
    <row r="1988" spans="2:8" ht="15" customHeight="1" x14ac:dyDescent="0.3"/>
    <row r="1989" spans="2:8" ht="15.75" customHeight="1" x14ac:dyDescent="0.3">
      <c r="B1989" s="123" t="s">
        <v>0</v>
      </c>
      <c r="C1989" s="123"/>
      <c r="D1989" s="123"/>
      <c r="E1989" s="123"/>
      <c r="F1989" s="123"/>
      <c r="G1989" s="123"/>
      <c r="H1989" s="110"/>
    </row>
    <row r="1990" spans="2:8" ht="15.75" customHeight="1" x14ac:dyDescent="0.3">
      <c r="B1990" s="123" t="s">
        <v>1</v>
      </c>
      <c r="C1990" s="123"/>
      <c r="D1990" s="123"/>
      <c r="E1990" s="123"/>
      <c r="F1990" s="123"/>
      <c r="G1990" s="123"/>
      <c r="H1990" s="110"/>
    </row>
    <row r="1991" spans="2:8" ht="24" customHeight="1" x14ac:dyDescent="0.3">
      <c r="B1991" s="136" t="str">
        <f>'Datos Iniciales'!$B$8</f>
        <v>OBRA PÚBLICA PARA LA EJECUCIÓN DE DIFERENTES MEJORAMIENTOS DE VIVIENDA EN EL CASCO URBANO Y RURAL DEL MUNICIPIO DE MACEO - ANTIOQUIA</v>
      </c>
      <c r="C1991" s="136"/>
      <c r="D1991" s="136"/>
      <c r="E1991" s="136"/>
      <c r="F1991" s="136"/>
      <c r="G1991" s="136"/>
      <c r="H1991" s="110"/>
    </row>
    <row r="1992" spans="2:8" ht="15.75" customHeight="1" x14ac:dyDescent="0.3">
      <c r="B1992" s="112" t="s">
        <v>381</v>
      </c>
      <c r="C1992" s="112"/>
      <c r="D1992" s="112"/>
      <c r="E1992" s="112"/>
      <c r="F1992" s="112"/>
      <c r="G1992" s="112"/>
      <c r="H1992" s="110"/>
    </row>
    <row r="1993" spans="2:8" ht="24" customHeight="1" x14ac:dyDescent="0.3">
      <c r="B1993" s="13" t="s">
        <v>382</v>
      </c>
      <c r="C1993" s="112" t="s">
        <v>94</v>
      </c>
      <c r="D1993" s="112"/>
      <c r="E1993" s="112"/>
      <c r="F1993" s="13" t="s">
        <v>383</v>
      </c>
      <c r="G1993" s="13" t="s">
        <v>384</v>
      </c>
      <c r="H1993" s="13" t="s">
        <v>385</v>
      </c>
    </row>
    <row r="1994" spans="2:8" ht="42" customHeight="1" x14ac:dyDescent="0.3">
      <c r="B1994" s="63" t="s">
        <v>638</v>
      </c>
      <c r="C1994" s="140" t="s">
        <v>183</v>
      </c>
      <c r="D1994" s="140"/>
      <c r="E1994" s="140"/>
      <c r="F1994" s="17" t="s">
        <v>107</v>
      </c>
      <c r="G1994" s="41">
        <f>PRESUPUESTO!$E$54+PRESUPUESTO!$E$107</f>
        <v>78</v>
      </c>
      <c r="H1994" s="33">
        <f>H2019</f>
        <v>68452.657449527396</v>
      </c>
    </row>
    <row r="1995" spans="2:8" ht="15" customHeight="1" x14ac:dyDescent="0.3">
      <c r="B1995" s="137" t="s">
        <v>639</v>
      </c>
      <c r="C1995" s="137"/>
      <c r="D1995" s="137"/>
      <c r="E1995" s="137"/>
      <c r="F1995" s="137"/>
      <c r="G1995" s="137"/>
      <c r="H1995" s="137"/>
    </row>
    <row r="1996" spans="2:8" ht="15" customHeight="1" x14ac:dyDescent="0.3">
      <c r="B1996" s="64" t="s">
        <v>388</v>
      </c>
    </row>
    <row r="1997" spans="2:8" ht="15" customHeight="1" x14ac:dyDescent="0.3">
      <c r="B1997" s="135" t="s">
        <v>389</v>
      </c>
      <c r="C1997" s="135"/>
      <c r="D1997" s="135"/>
      <c r="E1997" s="135"/>
      <c r="F1997" s="135"/>
      <c r="G1997" s="135"/>
      <c r="H1997" s="135"/>
    </row>
    <row r="1998" spans="2:8" ht="24" customHeight="1" x14ac:dyDescent="0.3">
      <c r="B1998" s="123" t="s">
        <v>94</v>
      </c>
      <c r="C1998" s="123"/>
      <c r="D1998" s="123"/>
      <c r="E1998" s="31" t="s">
        <v>383</v>
      </c>
      <c r="F1998" s="31" t="s">
        <v>364</v>
      </c>
      <c r="G1998" s="31" t="s">
        <v>390</v>
      </c>
      <c r="H1998" s="31" t="s">
        <v>391</v>
      </c>
    </row>
    <row r="1999" spans="2:8" ht="15" customHeight="1" x14ac:dyDescent="0.3">
      <c r="B1999" s="134" t="s">
        <v>392</v>
      </c>
      <c r="C1999" s="134"/>
      <c r="D1999" s="134"/>
      <c r="E1999" s="17" t="s">
        <v>393</v>
      </c>
      <c r="F1999" s="22">
        <f>EQUIPOS!$D$3</f>
        <v>0.05</v>
      </c>
      <c r="G1999" s="65">
        <f>H2017</f>
        <v>28384.758713835618</v>
      </c>
      <c r="H1999" s="66">
        <f>F1999*G1999</f>
        <v>1419.2379356917809</v>
      </c>
    </row>
    <row r="2000" spans="2:8" ht="15" customHeight="1" x14ac:dyDescent="0.3">
      <c r="G2000" s="31" t="s">
        <v>394</v>
      </c>
      <c r="H2000" s="67">
        <f>SUM(H1999:H1999)</f>
        <v>1419.2379356917809</v>
      </c>
    </row>
    <row r="2001" spans="2:8" ht="15" customHeight="1" x14ac:dyDescent="0.3">
      <c r="B2001" s="135" t="s">
        <v>395</v>
      </c>
      <c r="C2001" s="135"/>
      <c r="D2001" s="135"/>
      <c r="E2001" s="135"/>
      <c r="F2001" s="135"/>
      <c r="G2001" s="135"/>
      <c r="H2001" s="135"/>
    </row>
    <row r="2002" spans="2:8" ht="15" customHeight="1" x14ac:dyDescent="0.3">
      <c r="B2002" s="123" t="s">
        <v>94</v>
      </c>
      <c r="C2002" s="123"/>
      <c r="D2002" s="31" t="s">
        <v>383</v>
      </c>
      <c r="E2002" s="31" t="s">
        <v>96</v>
      </c>
      <c r="F2002" s="31" t="s">
        <v>396</v>
      </c>
      <c r="G2002" s="31" t="s">
        <v>397</v>
      </c>
      <c r="H2002" s="31" t="s">
        <v>391</v>
      </c>
    </row>
    <row r="2003" spans="2:8" ht="15" customHeight="1" x14ac:dyDescent="0.3">
      <c r="B2003" s="134" t="s">
        <v>634</v>
      </c>
      <c r="C2003" s="134"/>
      <c r="D2003" s="17" t="s">
        <v>488</v>
      </c>
      <c r="E2003" s="68">
        <v>1</v>
      </c>
      <c r="F2003" s="27">
        <v>0.05</v>
      </c>
      <c r="G2003" s="32">
        <f>INSUMOS!$D$24</f>
        <v>22000</v>
      </c>
      <c r="H2003" s="66">
        <f>E2003*(1+F2003)*G2003</f>
        <v>23100</v>
      </c>
    </row>
    <row r="2004" spans="2:8" ht="15" customHeight="1" x14ac:dyDescent="0.3">
      <c r="B2004" s="134" t="s">
        <v>635</v>
      </c>
      <c r="C2004" s="134"/>
      <c r="D2004" s="17" t="s">
        <v>399</v>
      </c>
      <c r="E2004" s="68">
        <v>0.3</v>
      </c>
      <c r="F2004" s="27">
        <v>0</v>
      </c>
      <c r="G2004" s="32">
        <f>INSUMOS!$D$26</f>
        <v>16000</v>
      </c>
      <c r="H2004" s="66">
        <f>E2004*(1+F2004)*G2004</f>
        <v>4800</v>
      </c>
    </row>
    <row r="2005" spans="2:8" ht="15" customHeight="1" x14ac:dyDescent="0.3">
      <c r="B2005" s="134" t="s">
        <v>609</v>
      </c>
      <c r="C2005" s="134"/>
      <c r="D2005" s="17" t="s">
        <v>399</v>
      </c>
      <c r="E2005" s="68">
        <v>1.4999999999999999E-2</v>
      </c>
      <c r="F2005" s="27">
        <v>0</v>
      </c>
      <c r="G2005" s="32">
        <f>INSUMOS!$D$30</f>
        <v>74000</v>
      </c>
      <c r="H2005" s="66">
        <f>E2005*(1+F2005)*G2005</f>
        <v>1110</v>
      </c>
    </row>
    <row r="2006" spans="2:8" ht="15" customHeight="1" x14ac:dyDescent="0.3">
      <c r="B2006" s="134" t="s">
        <v>640</v>
      </c>
      <c r="C2006" s="134"/>
      <c r="D2006" s="17" t="s">
        <v>423</v>
      </c>
      <c r="E2006" s="68">
        <v>0.04</v>
      </c>
      <c r="F2006" s="27">
        <v>0</v>
      </c>
      <c r="G2006" s="32">
        <f>INSUMOS!$D$4</f>
        <v>188991.52000000002</v>
      </c>
      <c r="H2006" s="66">
        <f>E2006*(1+F2006)*G2006</f>
        <v>7559.6608000000006</v>
      </c>
    </row>
    <row r="2007" spans="2:8" ht="15" customHeight="1" x14ac:dyDescent="0.3">
      <c r="G2007" s="31" t="s">
        <v>394</v>
      </c>
      <c r="H2007" s="67">
        <f>SUM(H2003:H2006)</f>
        <v>36569.660799999998</v>
      </c>
    </row>
    <row r="2008" spans="2:8" ht="15" customHeight="1" x14ac:dyDescent="0.3">
      <c r="B2008" s="135" t="s">
        <v>404</v>
      </c>
      <c r="C2008" s="135"/>
      <c r="D2008" s="135"/>
      <c r="E2008" s="135"/>
      <c r="F2008" s="135"/>
      <c r="G2008" s="135"/>
      <c r="H2008" s="135"/>
    </row>
    <row r="2009" spans="2:8" ht="15" customHeight="1" x14ac:dyDescent="0.3">
      <c r="B2009" s="123" t="s">
        <v>94</v>
      </c>
      <c r="C2009" s="123"/>
      <c r="D2009" s="31" t="s">
        <v>383</v>
      </c>
      <c r="E2009" s="31" t="s">
        <v>96</v>
      </c>
      <c r="F2009" s="31"/>
      <c r="G2009" s="31" t="s">
        <v>364</v>
      </c>
      <c r="H2009" s="31" t="s">
        <v>391</v>
      </c>
    </row>
    <row r="2010" spans="2:8" ht="22.05" customHeight="1" x14ac:dyDescent="0.3">
      <c r="B2010" s="134" t="s">
        <v>528</v>
      </c>
      <c r="C2010" s="134"/>
      <c r="D2010" s="17" t="s">
        <v>431</v>
      </c>
      <c r="E2010" s="72">
        <f>0.07*'Datos Iniciales'!$B$26</f>
        <v>0.70000000000000007</v>
      </c>
      <c r="F2010" s="29"/>
      <c r="G2010" s="32">
        <f>TRANSPORTE!$D$5</f>
        <v>2970</v>
      </c>
      <c r="H2010" s="66">
        <f>E2010*G2010</f>
        <v>2079</v>
      </c>
    </row>
    <row r="2011" spans="2:8" ht="15" customHeight="1" x14ac:dyDescent="0.3">
      <c r="G2011" s="31" t="s">
        <v>394</v>
      </c>
      <c r="H2011" s="67">
        <f>SUM(H2010:H2010)</f>
        <v>2079</v>
      </c>
    </row>
    <row r="2012" spans="2:8" ht="15" customHeight="1" x14ac:dyDescent="0.3">
      <c r="B2012" s="135" t="s">
        <v>406</v>
      </c>
      <c r="C2012" s="135"/>
      <c r="D2012" s="135"/>
      <c r="E2012" s="135"/>
      <c r="F2012" s="135"/>
      <c r="G2012" s="135"/>
      <c r="H2012" s="135"/>
    </row>
    <row r="2013" spans="2:8" ht="24" customHeight="1" x14ac:dyDescent="0.3">
      <c r="B2013" s="123" t="s">
        <v>407</v>
      </c>
      <c r="C2013" s="123"/>
      <c r="D2013" s="123"/>
      <c r="E2013" s="31" t="s">
        <v>96</v>
      </c>
      <c r="F2013" s="31" t="s">
        <v>408</v>
      </c>
      <c r="G2013" s="31" t="s">
        <v>390</v>
      </c>
      <c r="H2013" s="31" t="s">
        <v>391</v>
      </c>
    </row>
    <row r="2014" spans="2:8" ht="15" customHeight="1" x14ac:dyDescent="0.3">
      <c r="B2014" s="134" t="s">
        <v>616</v>
      </c>
      <c r="C2014" s="134"/>
      <c r="D2014" s="134"/>
      <c r="E2014" s="69">
        <v>1</v>
      </c>
      <c r="F2014" s="32">
        <f>'MANO DE OBRA'!$H$31</f>
        <v>226162.13017808215</v>
      </c>
      <c r="G2014" s="68">
        <v>0.05</v>
      </c>
      <c r="H2014" s="66">
        <f>E2014*F2014*G2014</f>
        <v>11308.106508904108</v>
      </c>
    </row>
    <row r="2015" spans="2:8" ht="15" customHeight="1" x14ac:dyDescent="0.3">
      <c r="B2015" s="134" t="s">
        <v>410</v>
      </c>
      <c r="C2015" s="134"/>
      <c r="D2015" s="134"/>
      <c r="E2015" s="69">
        <v>1</v>
      </c>
      <c r="F2015" s="32">
        <f>'MANO DE OBRA'!$H$23</f>
        <v>121976.08717808221</v>
      </c>
      <c r="G2015" s="68">
        <v>0.05</v>
      </c>
      <c r="H2015" s="66">
        <f>E2015*F2015*G2015</f>
        <v>6098.8043589041108</v>
      </c>
    </row>
    <row r="2016" spans="2:8" ht="15" customHeight="1" x14ac:dyDescent="0.3">
      <c r="B2016" s="134" t="s">
        <v>641</v>
      </c>
      <c r="C2016" s="134"/>
      <c r="D2016" s="134"/>
      <c r="E2016" s="69">
        <v>1</v>
      </c>
      <c r="F2016" s="32">
        <f>'MANO DE OBRA'!$H$23</f>
        <v>121976.08717808221</v>
      </c>
      <c r="G2016" s="68">
        <v>0.09</v>
      </c>
      <c r="H2016" s="66">
        <f>E2016*F2016*G2016</f>
        <v>10977.847846027398</v>
      </c>
    </row>
    <row r="2017" spans="2:8" ht="15" customHeight="1" x14ac:dyDescent="0.3">
      <c r="G2017" s="31" t="s">
        <v>394</v>
      </c>
      <c r="H2017" s="67">
        <f>SUM(H2014:H2016)</f>
        <v>28384.758713835618</v>
      </c>
    </row>
    <row r="2018" spans="2:8" ht="15" customHeight="1" x14ac:dyDescent="0.3"/>
    <row r="2019" spans="2:8" ht="15" customHeight="1" x14ac:dyDescent="0.3">
      <c r="B2019" s="115" t="s">
        <v>295</v>
      </c>
      <c r="C2019" s="115"/>
      <c r="D2019" s="115"/>
      <c r="E2019" s="115"/>
      <c r="F2019" s="115"/>
      <c r="G2019" s="115"/>
      <c r="H2019" s="70">
        <f>H2000+H2007+H2011+H2017</f>
        <v>68452.657449527396</v>
      </c>
    </row>
    <row r="2020" spans="2:8" ht="15" customHeight="1" x14ac:dyDescent="0.3"/>
    <row r="2021" spans="2:8" ht="15" customHeight="1" x14ac:dyDescent="0.3">
      <c r="B2021" s="71" t="s">
        <v>411</v>
      </c>
    </row>
    <row r="2022" spans="2:8" ht="15" customHeight="1" x14ac:dyDescent="0.3">
      <c r="B2022" s="123" t="s">
        <v>94</v>
      </c>
      <c r="C2022" s="123"/>
      <c r="D2022" s="123"/>
      <c r="E2022" s="123"/>
      <c r="F2022" s="123"/>
      <c r="G2022" s="31" t="s">
        <v>412</v>
      </c>
      <c r="H2022" s="31" t="s">
        <v>4</v>
      </c>
    </row>
    <row r="2023" spans="2:8" ht="15" customHeight="1" x14ac:dyDescent="0.3">
      <c r="B2023" s="110" t="s">
        <v>73</v>
      </c>
      <c r="C2023" s="110"/>
      <c r="D2023" s="110"/>
      <c r="E2023" s="110"/>
      <c r="F2023" s="110"/>
      <c r="G2023" s="22">
        <f>'Datos Iniciales'!$B$32</f>
        <v>0.28999999999999998</v>
      </c>
      <c r="H2023" s="66">
        <f>H2019*G2023</f>
        <v>19851.270660362945</v>
      </c>
    </row>
    <row r="2024" spans="2:8" ht="15" customHeight="1" x14ac:dyDescent="0.3">
      <c r="B2024" s="110" t="s">
        <v>74</v>
      </c>
      <c r="C2024" s="110"/>
      <c r="D2024" s="110"/>
      <c r="E2024" s="110"/>
      <c r="F2024" s="110"/>
      <c r="G2024" s="22">
        <f>'Datos Iniciales'!$B$33</f>
        <v>0.05</v>
      </c>
      <c r="H2024" s="66">
        <f>H2019*G2024</f>
        <v>3422.6328724763698</v>
      </c>
    </row>
    <row r="2025" spans="2:8" ht="15" customHeight="1" x14ac:dyDescent="0.3">
      <c r="B2025" s="138" t="s">
        <v>413</v>
      </c>
      <c r="C2025" s="138"/>
      <c r="D2025" s="138"/>
      <c r="E2025" s="138"/>
      <c r="F2025" s="138"/>
      <c r="G2025" s="60">
        <f>G2023+G2024</f>
        <v>0.33999999999999997</v>
      </c>
      <c r="H2025" s="67">
        <f>H2023+H2024</f>
        <v>23273.903532839315</v>
      </c>
    </row>
    <row r="2026" spans="2:8" ht="15" customHeight="1" x14ac:dyDescent="0.3"/>
    <row r="2027" spans="2:8" ht="15" customHeight="1" x14ac:dyDescent="0.3">
      <c r="B2027" s="139" t="s">
        <v>414</v>
      </c>
      <c r="C2027" s="139"/>
      <c r="D2027" s="139"/>
      <c r="E2027" s="139"/>
      <c r="F2027" s="139"/>
      <c r="G2027" s="139"/>
      <c r="H2027" s="37">
        <f>ROUND(H2019+H2025,0)</f>
        <v>91727</v>
      </c>
    </row>
    <row r="2028" spans="2:8" ht="15" customHeight="1" x14ac:dyDescent="0.3"/>
    <row r="2029" spans="2:8" ht="15" customHeight="1" x14ac:dyDescent="0.3"/>
    <row r="2030" spans="2:8" ht="15.75" customHeight="1" x14ac:dyDescent="0.3">
      <c r="B2030" s="123" t="s">
        <v>0</v>
      </c>
      <c r="C2030" s="123"/>
      <c r="D2030" s="123"/>
      <c r="E2030" s="123"/>
      <c r="F2030" s="123"/>
      <c r="G2030" s="123"/>
      <c r="H2030" s="110"/>
    </row>
    <row r="2031" spans="2:8" ht="15.75" customHeight="1" x14ac:dyDescent="0.3">
      <c r="B2031" s="123" t="s">
        <v>1</v>
      </c>
      <c r="C2031" s="123"/>
      <c r="D2031" s="123"/>
      <c r="E2031" s="123"/>
      <c r="F2031" s="123"/>
      <c r="G2031" s="123"/>
      <c r="H2031" s="110"/>
    </row>
    <row r="2032" spans="2:8" ht="24" customHeight="1" x14ac:dyDescent="0.3">
      <c r="B2032" s="136" t="str">
        <f>'Datos Iniciales'!$B$8</f>
        <v>OBRA PÚBLICA PARA LA EJECUCIÓN DE DIFERENTES MEJORAMIENTOS DE VIVIENDA EN EL CASCO URBANO Y RURAL DEL MUNICIPIO DE MACEO - ANTIOQUIA</v>
      </c>
      <c r="C2032" s="136"/>
      <c r="D2032" s="136"/>
      <c r="E2032" s="136"/>
      <c r="F2032" s="136"/>
      <c r="G2032" s="136"/>
      <c r="H2032" s="110"/>
    </row>
    <row r="2033" spans="2:8" ht="15.75" customHeight="1" x14ac:dyDescent="0.3">
      <c r="B2033" s="112" t="s">
        <v>381</v>
      </c>
      <c r="C2033" s="112"/>
      <c r="D2033" s="112"/>
      <c r="E2033" s="112"/>
      <c r="F2033" s="112"/>
      <c r="G2033" s="112"/>
      <c r="H2033" s="110"/>
    </row>
    <row r="2034" spans="2:8" ht="24" customHeight="1" x14ac:dyDescent="0.3">
      <c r="B2034" s="13" t="s">
        <v>382</v>
      </c>
      <c r="C2034" s="112" t="s">
        <v>94</v>
      </c>
      <c r="D2034" s="112"/>
      <c r="E2034" s="112"/>
      <c r="F2034" s="13" t="s">
        <v>383</v>
      </c>
      <c r="G2034" s="13" t="s">
        <v>384</v>
      </c>
      <c r="H2034" s="13" t="s">
        <v>385</v>
      </c>
    </row>
    <row r="2035" spans="2:8" ht="52.5" customHeight="1" x14ac:dyDescent="0.3">
      <c r="B2035" s="63" t="s">
        <v>642</v>
      </c>
      <c r="C2035" s="140" t="s">
        <v>185</v>
      </c>
      <c r="D2035" s="140"/>
      <c r="E2035" s="140"/>
      <c r="F2035" s="17" t="s">
        <v>137</v>
      </c>
      <c r="G2035" s="41">
        <f>PRESUPUESTO!$E$55+PRESUPUESTO!$E$108</f>
        <v>4</v>
      </c>
      <c r="H2035" s="33">
        <f>H2062</f>
        <v>3454431.4229849307</v>
      </c>
    </row>
    <row r="2036" spans="2:8" ht="15" customHeight="1" x14ac:dyDescent="0.3">
      <c r="B2036" s="137" t="s">
        <v>643</v>
      </c>
      <c r="C2036" s="137"/>
      <c r="D2036" s="137"/>
      <c r="E2036" s="137"/>
      <c r="F2036" s="137"/>
      <c r="G2036" s="137"/>
      <c r="H2036" s="137"/>
    </row>
    <row r="2037" spans="2:8" ht="15" customHeight="1" x14ac:dyDescent="0.3">
      <c r="B2037" s="64" t="s">
        <v>388</v>
      </c>
    </row>
    <row r="2038" spans="2:8" ht="15" customHeight="1" x14ac:dyDescent="0.3">
      <c r="B2038" s="135" t="s">
        <v>389</v>
      </c>
      <c r="C2038" s="135"/>
      <c r="D2038" s="135"/>
      <c r="E2038" s="135"/>
      <c r="F2038" s="135"/>
      <c r="G2038" s="135"/>
      <c r="H2038" s="135"/>
    </row>
    <row r="2039" spans="2:8" ht="24" customHeight="1" x14ac:dyDescent="0.3">
      <c r="B2039" s="123" t="s">
        <v>94</v>
      </c>
      <c r="C2039" s="123"/>
      <c r="D2039" s="123"/>
      <c r="E2039" s="31" t="s">
        <v>383</v>
      </c>
      <c r="F2039" s="31" t="s">
        <v>364</v>
      </c>
      <c r="G2039" s="31" t="s">
        <v>390</v>
      </c>
      <c r="H2039" s="31" t="s">
        <v>391</v>
      </c>
    </row>
    <row r="2040" spans="2:8" ht="15" customHeight="1" x14ac:dyDescent="0.3">
      <c r="B2040" s="134" t="s">
        <v>392</v>
      </c>
      <c r="C2040" s="134"/>
      <c r="D2040" s="134"/>
      <c r="E2040" s="17" t="s">
        <v>393</v>
      </c>
      <c r="F2040" s="22">
        <f>EQUIPOS!$D$3</f>
        <v>0.05</v>
      </c>
      <c r="G2040" s="65">
        <f>H2060</f>
        <v>818252.52189041092</v>
      </c>
      <c r="H2040" s="66">
        <f>F2040*G2040</f>
        <v>40912.62609452055</v>
      </c>
    </row>
    <row r="2041" spans="2:8" ht="15" customHeight="1" x14ac:dyDescent="0.3">
      <c r="G2041" s="31" t="s">
        <v>394</v>
      </c>
      <c r="H2041" s="67">
        <f>SUM(H2040:H2040)</f>
        <v>40912.62609452055</v>
      </c>
    </row>
    <row r="2042" spans="2:8" ht="15" customHeight="1" x14ac:dyDescent="0.3">
      <c r="B2042" s="135" t="s">
        <v>395</v>
      </c>
      <c r="C2042" s="135"/>
      <c r="D2042" s="135"/>
      <c r="E2042" s="135"/>
      <c r="F2042" s="135"/>
      <c r="G2042" s="135"/>
      <c r="H2042" s="135"/>
    </row>
    <row r="2043" spans="2:8" ht="15" customHeight="1" x14ac:dyDescent="0.3">
      <c r="B2043" s="123" t="s">
        <v>94</v>
      </c>
      <c r="C2043" s="123"/>
      <c r="D2043" s="31" t="s">
        <v>383</v>
      </c>
      <c r="E2043" s="31" t="s">
        <v>96</v>
      </c>
      <c r="F2043" s="31" t="s">
        <v>396</v>
      </c>
      <c r="G2043" s="31" t="s">
        <v>397</v>
      </c>
      <c r="H2043" s="31" t="s">
        <v>391</v>
      </c>
    </row>
    <row r="2044" spans="2:8" ht="22.05" customHeight="1" x14ac:dyDescent="0.3">
      <c r="B2044" s="134" t="s">
        <v>644</v>
      </c>
      <c r="C2044" s="134"/>
      <c r="D2044" s="17" t="s">
        <v>399</v>
      </c>
      <c r="E2044" s="68">
        <v>1</v>
      </c>
      <c r="F2044" s="27">
        <v>0</v>
      </c>
      <c r="G2044" s="32">
        <f>INSUMOS!$D$34</f>
        <v>2266900</v>
      </c>
      <c r="H2044" s="66">
        <f>E2044*(1+F2044)*G2044</f>
        <v>2266900</v>
      </c>
    </row>
    <row r="2045" spans="2:8" ht="15" customHeight="1" x14ac:dyDescent="0.3">
      <c r="B2045" s="134" t="s">
        <v>635</v>
      </c>
      <c r="C2045" s="134"/>
      <c r="D2045" s="17" t="s">
        <v>399</v>
      </c>
      <c r="E2045" s="68">
        <v>4</v>
      </c>
      <c r="F2045" s="27">
        <v>0</v>
      </c>
      <c r="G2045" s="32">
        <f>INSUMOS!$D$26</f>
        <v>16000</v>
      </c>
      <c r="H2045" s="66">
        <f>E2045*(1+F2045)*G2045</f>
        <v>64000</v>
      </c>
    </row>
    <row r="2046" spans="2:8" ht="15" customHeight="1" x14ac:dyDescent="0.3">
      <c r="B2046" s="134" t="s">
        <v>609</v>
      </c>
      <c r="C2046" s="134"/>
      <c r="D2046" s="17" t="s">
        <v>399</v>
      </c>
      <c r="E2046" s="68">
        <v>0.05</v>
      </c>
      <c r="F2046" s="27">
        <v>0</v>
      </c>
      <c r="G2046" s="32">
        <f>INSUMOS!$D$30</f>
        <v>74000</v>
      </c>
      <c r="H2046" s="66">
        <f>E2046*(1+F2046)*G2046</f>
        <v>3700</v>
      </c>
    </row>
    <row r="2047" spans="2:8" ht="15" customHeight="1" x14ac:dyDescent="0.3">
      <c r="B2047" s="134" t="s">
        <v>640</v>
      </c>
      <c r="C2047" s="134"/>
      <c r="D2047" s="17" t="s">
        <v>423</v>
      </c>
      <c r="E2047" s="68">
        <v>0.5</v>
      </c>
      <c r="F2047" s="27">
        <v>0</v>
      </c>
      <c r="G2047" s="32">
        <f>INSUMOS!$D$4</f>
        <v>188991.52000000002</v>
      </c>
      <c r="H2047" s="66">
        <f>E2047*(1+F2047)*G2047</f>
        <v>94495.760000000009</v>
      </c>
    </row>
    <row r="2048" spans="2:8" ht="15" customHeight="1" x14ac:dyDescent="0.3">
      <c r="B2048" s="134" t="s">
        <v>645</v>
      </c>
      <c r="C2048" s="134"/>
      <c r="D2048" s="17" t="s">
        <v>423</v>
      </c>
      <c r="E2048" s="68">
        <v>0.5</v>
      </c>
      <c r="F2048" s="27">
        <v>0</v>
      </c>
      <c r="G2048" s="32">
        <f>INSUMOS!$D$5</f>
        <v>193400.47</v>
      </c>
      <c r="H2048" s="66">
        <f>E2048*(1+F2048)*G2048</f>
        <v>96700.235000000001</v>
      </c>
    </row>
    <row r="2049" spans="2:8" ht="15" customHeight="1" x14ac:dyDescent="0.3">
      <c r="G2049" s="31" t="s">
        <v>394</v>
      </c>
      <c r="H2049" s="67">
        <f>SUM(H2044:H2048)</f>
        <v>2525795.9949999996</v>
      </c>
    </row>
    <row r="2050" spans="2:8" ht="15" customHeight="1" x14ac:dyDescent="0.3">
      <c r="B2050" s="135" t="s">
        <v>404</v>
      </c>
      <c r="C2050" s="135"/>
      <c r="D2050" s="135"/>
      <c r="E2050" s="135"/>
      <c r="F2050" s="135"/>
      <c r="G2050" s="135"/>
      <c r="H2050" s="135"/>
    </row>
    <row r="2051" spans="2:8" ht="15" customHeight="1" x14ac:dyDescent="0.3">
      <c r="B2051" s="123" t="s">
        <v>94</v>
      </c>
      <c r="C2051" s="123"/>
      <c r="D2051" s="31" t="s">
        <v>383</v>
      </c>
      <c r="E2051" s="31" t="s">
        <v>96</v>
      </c>
      <c r="F2051" s="31"/>
      <c r="G2051" s="31" t="s">
        <v>364</v>
      </c>
      <c r="H2051" s="31" t="s">
        <v>391</v>
      </c>
    </row>
    <row r="2052" spans="2:8" ht="22.05" customHeight="1" x14ac:dyDescent="0.3">
      <c r="B2052" s="134" t="s">
        <v>646</v>
      </c>
      <c r="C2052" s="134"/>
      <c r="D2052" s="17" t="s">
        <v>431</v>
      </c>
      <c r="E2052" s="72">
        <f>0.09*'Datos Iniciales'!$B$31</f>
        <v>11.385</v>
      </c>
      <c r="F2052" s="29"/>
      <c r="G2052" s="32">
        <f>TRANSPORTE!$D$4</f>
        <v>1928</v>
      </c>
      <c r="H2052" s="66">
        <f>E2052*G2052</f>
        <v>21950.28</v>
      </c>
    </row>
    <row r="2053" spans="2:8" ht="22.05" customHeight="1" x14ac:dyDescent="0.3">
      <c r="B2053" s="134" t="s">
        <v>647</v>
      </c>
      <c r="C2053" s="134"/>
      <c r="D2053" s="17" t="s">
        <v>431</v>
      </c>
      <c r="E2053" s="72">
        <f>1.6*'Datos Iniciales'!$B$26</f>
        <v>16</v>
      </c>
      <c r="F2053" s="29"/>
      <c r="G2053" s="32">
        <f>TRANSPORTE!$D$5</f>
        <v>2970</v>
      </c>
      <c r="H2053" s="66">
        <f>E2053*G2053</f>
        <v>47520</v>
      </c>
    </row>
    <row r="2054" spans="2:8" ht="15" customHeight="1" x14ac:dyDescent="0.3">
      <c r="G2054" s="31" t="s">
        <v>394</v>
      </c>
      <c r="H2054" s="67">
        <f>SUM(H2052:H2053)</f>
        <v>69470.28</v>
      </c>
    </row>
    <row r="2055" spans="2:8" ht="15" customHeight="1" x14ac:dyDescent="0.3">
      <c r="B2055" s="135" t="s">
        <v>406</v>
      </c>
      <c r="C2055" s="135"/>
      <c r="D2055" s="135"/>
      <c r="E2055" s="135"/>
      <c r="F2055" s="135"/>
      <c r="G2055" s="135"/>
      <c r="H2055" s="135"/>
    </row>
    <row r="2056" spans="2:8" ht="24" customHeight="1" x14ac:dyDescent="0.3">
      <c r="B2056" s="123" t="s">
        <v>407</v>
      </c>
      <c r="C2056" s="123"/>
      <c r="D2056" s="123"/>
      <c r="E2056" s="31" t="s">
        <v>96</v>
      </c>
      <c r="F2056" s="31" t="s">
        <v>408</v>
      </c>
      <c r="G2056" s="31" t="s">
        <v>390</v>
      </c>
      <c r="H2056" s="31" t="s">
        <v>391</v>
      </c>
    </row>
    <row r="2057" spans="2:8" ht="15" customHeight="1" x14ac:dyDescent="0.3">
      <c r="B2057" s="134" t="s">
        <v>409</v>
      </c>
      <c r="C2057" s="134"/>
      <c r="D2057" s="134"/>
      <c r="E2057" s="69">
        <v>1</v>
      </c>
      <c r="F2057" s="32">
        <f>'MANO DE OBRA'!$H$27</f>
        <v>226162.13017808215</v>
      </c>
      <c r="G2057" s="68">
        <v>1</v>
      </c>
      <c r="H2057" s="66">
        <f>E2057*F2057*G2057</f>
        <v>226162.13017808215</v>
      </c>
    </row>
    <row r="2058" spans="2:8" ht="15" customHeight="1" x14ac:dyDescent="0.3">
      <c r="B2058" s="134" t="s">
        <v>616</v>
      </c>
      <c r="C2058" s="134"/>
      <c r="D2058" s="134"/>
      <c r="E2058" s="69">
        <v>1</v>
      </c>
      <c r="F2058" s="32">
        <f>'MANO DE OBRA'!$H$31</f>
        <v>226162.13017808215</v>
      </c>
      <c r="G2058" s="68">
        <v>1</v>
      </c>
      <c r="H2058" s="66">
        <f>E2058*F2058*G2058</f>
        <v>226162.13017808215</v>
      </c>
    </row>
    <row r="2059" spans="2:8" ht="15" customHeight="1" x14ac:dyDescent="0.3">
      <c r="B2059" s="134" t="s">
        <v>410</v>
      </c>
      <c r="C2059" s="134"/>
      <c r="D2059" s="134"/>
      <c r="E2059" s="69">
        <v>2</v>
      </c>
      <c r="F2059" s="32">
        <f>'MANO DE OBRA'!$H$23</f>
        <v>121976.08717808221</v>
      </c>
      <c r="G2059" s="68">
        <v>1.5</v>
      </c>
      <c r="H2059" s="66">
        <f>E2059*F2059*G2059</f>
        <v>365928.26153424662</v>
      </c>
    </row>
    <row r="2060" spans="2:8" ht="15" customHeight="1" x14ac:dyDescent="0.3">
      <c r="G2060" s="31" t="s">
        <v>394</v>
      </c>
      <c r="H2060" s="67">
        <f>SUM(H2057:H2059)</f>
        <v>818252.52189041092</v>
      </c>
    </row>
    <row r="2061" spans="2:8" ht="15" customHeight="1" x14ac:dyDescent="0.3"/>
    <row r="2062" spans="2:8" ht="15" customHeight="1" x14ac:dyDescent="0.3">
      <c r="B2062" s="115" t="s">
        <v>295</v>
      </c>
      <c r="C2062" s="115"/>
      <c r="D2062" s="115"/>
      <c r="E2062" s="115"/>
      <c r="F2062" s="115"/>
      <c r="G2062" s="115"/>
      <c r="H2062" s="70">
        <f>H2041+H2049+H2054+H2060</f>
        <v>3454431.4229849307</v>
      </c>
    </row>
    <row r="2063" spans="2:8" ht="15" customHeight="1" x14ac:dyDescent="0.3"/>
    <row r="2064" spans="2:8" ht="15" customHeight="1" x14ac:dyDescent="0.3">
      <c r="B2064" s="71" t="s">
        <v>411</v>
      </c>
    </row>
    <row r="2065" spans="2:8" ht="15" customHeight="1" x14ac:dyDescent="0.3">
      <c r="B2065" s="123" t="s">
        <v>94</v>
      </c>
      <c r="C2065" s="123"/>
      <c r="D2065" s="123"/>
      <c r="E2065" s="123"/>
      <c r="F2065" s="123"/>
      <c r="G2065" s="31" t="s">
        <v>412</v>
      </c>
      <c r="H2065" s="31" t="s">
        <v>4</v>
      </c>
    </row>
    <row r="2066" spans="2:8" ht="15" customHeight="1" x14ac:dyDescent="0.3">
      <c r="B2066" s="110" t="s">
        <v>73</v>
      </c>
      <c r="C2066" s="110"/>
      <c r="D2066" s="110"/>
      <c r="E2066" s="110"/>
      <c r="F2066" s="110"/>
      <c r="G2066" s="22">
        <f>'Datos Iniciales'!$B$32</f>
        <v>0.28999999999999998</v>
      </c>
      <c r="H2066" s="66">
        <f>H2062*G2066</f>
        <v>1001785.1126656298</v>
      </c>
    </row>
    <row r="2067" spans="2:8" ht="15" customHeight="1" x14ac:dyDescent="0.3">
      <c r="B2067" s="110" t="s">
        <v>74</v>
      </c>
      <c r="C2067" s="110"/>
      <c r="D2067" s="110"/>
      <c r="E2067" s="110"/>
      <c r="F2067" s="110"/>
      <c r="G2067" s="22">
        <f>'Datos Iniciales'!$B$33</f>
        <v>0.05</v>
      </c>
      <c r="H2067" s="66">
        <f>H2062*G2067</f>
        <v>172721.57114924653</v>
      </c>
    </row>
    <row r="2068" spans="2:8" ht="15" customHeight="1" x14ac:dyDescent="0.3">
      <c r="B2068" s="138" t="s">
        <v>413</v>
      </c>
      <c r="C2068" s="138"/>
      <c r="D2068" s="138"/>
      <c r="E2068" s="138"/>
      <c r="F2068" s="138"/>
      <c r="G2068" s="60">
        <f>G2066+G2067</f>
        <v>0.33999999999999997</v>
      </c>
      <c r="H2068" s="67">
        <f>H2066+H2067</f>
        <v>1174506.6838148762</v>
      </c>
    </row>
    <row r="2069" spans="2:8" ht="15" customHeight="1" x14ac:dyDescent="0.3"/>
    <row r="2070" spans="2:8" ht="15" customHeight="1" x14ac:dyDescent="0.3">
      <c r="B2070" s="139" t="s">
        <v>414</v>
      </c>
      <c r="C2070" s="139"/>
      <c r="D2070" s="139"/>
      <c r="E2070" s="139"/>
      <c r="F2070" s="139"/>
      <c r="G2070" s="139"/>
      <c r="H2070" s="37">
        <f>ROUND(H2062+H2068,0)</f>
        <v>4628938</v>
      </c>
    </row>
    <row r="2071" spans="2:8" ht="15" customHeight="1" x14ac:dyDescent="0.3"/>
    <row r="2072" spans="2:8" ht="15" customHeight="1" x14ac:dyDescent="0.3"/>
    <row r="2073" spans="2:8" ht="15.75" customHeight="1" x14ac:dyDescent="0.3">
      <c r="B2073" s="123" t="s">
        <v>0</v>
      </c>
      <c r="C2073" s="123"/>
      <c r="D2073" s="123"/>
      <c r="E2073" s="123"/>
      <c r="F2073" s="123"/>
      <c r="G2073" s="123"/>
      <c r="H2073" s="110"/>
    </row>
    <row r="2074" spans="2:8" ht="15.75" customHeight="1" x14ac:dyDescent="0.3">
      <c r="B2074" s="123" t="s">
        <v>1</v>
      </c>
      <c r="C2074" s="123"/>
      <c r="D2074" s="123"/>
      <c r="E2074" s="123"/>
      <c r="F2074" s="123"/>
      <c r="G2074" s="123"/>
      <c r="H2074" s="110"/>
    </row>
    <row r="2075" spans="2:8" ht="24" customHeight="1" x14ac:dyDescent="0.3">
      <c r="B2075" s="136" t="str">
        <f>'Datos Iniciales'!$B$8</f>
        <v>OBRA PÚBLICA PARA LA EJECUCIÓN DE DIFERENTES MEJORAMIENTOS DE VIVIENDA EN EL CASCO URBANO Y RURAL DEL MUNICIPIO DE MACEO - ANTIOQUIA</v>
      </c>
      <c r="C2075" s="136"/>
      <c r="D2075" s="136"/>
      <c r="E2075" s="136"/>
      <c r="F2075" s="136"/>
      <c r="G2075" s="136"/>
      <c r="H2075" s="110"/>
    </row>
    <row r="2076" spans="2:8" ht="15.75" customHeight="1" x14ac:dyDescent="0.3">
      <c r="B2076" s="112" t="s">
        <v>381</v>
      </c>
      <c r="C2076" s="112"/>
      <c r="D2076" s="112"/>
      <c r="E2076" s="112"/>
      <c r="F2076" s="112"/>
      <c r="G2076" s="112"/>
      <c r="H2076" s="110"/>
    </row>
    <row r="2077" spans="2:8" ht="24" customHeight="1" x14ac:dyDescent="0.3">
      <c r="B2077" s="13" t="s">
        <v>382</v>
      </c>
      <c r="C2077" s="112" t="s">
        <v>94</v>
      </c>
      <c r="D2077" s="112"/>
      <c r="E2077" s="112"/>
      <c r="F2077" s="13" t="s">
        <v>383</v>
      </c>
      <c r="G2077" s="13" t="s">
        <v>384</v>
      </c>
      <c r="H2077" s="13" t="s">
        <v>385</v>
      </c>
    </row>
    <row r="2078" spans="2:8" ht="52.5" customHeight="1" x14ac:dyDescent="0.3">
      <c r="B2078" s="63" t="s">
        <v>648</v>
      </c>
      <c r="C2078" s="140" t="s">
        <v>201</v>
      </c>
      <c r="D2078" s="140"/>
      <c r="E2078" s="140"/>
      <c r="F2078" s="17" t="s">
        <v>137</v>
      </c>
      <c r="G2078" s="41">
        <f>PRESUPUESTO!$E$66+PRESUPUESTO!$E$117</f>
        <v>4</v>
      </c>
      <c r="H2078" s="33">
        <f>H2101</f>
        <v>636597.52122773975</v>
      </c>
    </row>
    <row r="2079" spans="2:8" ht="15" customHeight="1" x14ac:dyDescent="0.3">
      <c r="B2079" s="137" t="s">
        <v>649</v>
      </c>
      <c r="C2079" s="137"/>
      <c r="D2079" s="137"/>
      <c r="E2079" s="137"/>
      <c r="F2079" s="137"/>
      <c r="G2079" s="137"/>
      <c r="H2079" s="137"/>
    </row>
    <row r="2080" spans="2:8" ht="15" customHeight="1" x14ac:dyDescent="0.3">
      <c r="B2080" s="64" t="s">
        <v>388</v>
      </c>
    </row>
    <row r="2081" spans="2:8" ht="15" customHeight="1" x14ac:dyDescent="0.3">
      <c r="B2081" s="135" t="s">
        <v>389</v>
      </c>
      <c r="C2081" s="135"/>
      <c r="D2081" s="135"/>
      <c r="E2081" s="135"/>
      <c r="F2081" s="135"/>
      <c r="G2081" s="135"/>
      <c r="H2081" s="135"/>
    </row>
    <row r="2082" spans="2:8" ht="24" customHeight="1" x14ac:dyDescent="0.3">
      <c r="B2082" s="123" t="s">
        <v>94</v>
      </c>
      <c r="C2082" s="123"/>
      <c r="D2082" s="123"/>
      <c r="E2082" s="31" t="s">
        <v>383</v>
      </c>
      <c r="F2082" s="31" t="s">
        <v>364</v>
      </c>
      <c r="G2082" s="31" t="s">
        <v>390</v>
      </c>
      <c r="H2082" s="31" t="s">
        <v>391</v>
      </c>
    </row>
    <row r="2083" spans="2:8" ht="15" customHeight="1" x14ac:dyDescent="0.3">
      <c r="B2083" s="134" t="s">
        <v>392</v>
      </c>
      <c r="C2083" s="134"/>
      <c r="D2083" s="134"/>
      <c r="E2083" s="17" t="s">
        <v>393</v>
      </c>
      <c r="F2083" s="22">
        <f>EQUIPOS!$D$3</f>
        <v>0.05</v>
      </c>
      <c r="G2083" s="65">
        <f>H2099</f>
        <v>143575.08688356163</v>
      </c>
      <c r="H2083" s="66">
        <f>F2083*G2083</f>
        <v>7178.7543441780817</v>
      </c>
    </row>
    <row r="2084" spans="2:8" ht="15" customHeight="1" x14ac:dyDescent="0.3">
      <c r="G2084" s="31" t="s">
        <v>394</v>
      </c>
      <c r="H2084" s="67">
        <f>SUM(H2083:H2083)</f>
        <v>7178.7543441780817</v>
      </c>
    </row>
    <row r="2085" spans="2:8" ht="15" customHeight="1" x14ac:dyDescent="0.3">
      <c r="B2085" s="135" t="s">
        <v>395</v>
      </c>
      <c r="C2085" s="135"/>
      <c r="D2085" s="135"/>
      <c r="E2085" s="135"/>
      <c r="F2085" s="135"/>
      <c r="G2085" s="135"/>
      <c r="H2085" s="135"/>
    </row>
    <row r="2086" spans="2:8" ht="15" customHeight="1" x14ac:dyDescent="0.3">
      <c r="B2086" s="123" t="s">
        <v>94</v>
      </c>
      <c r="C2086" s="123"/>
      <c r="D2086" s="31" t="s">
        <v>383</v>
      </c>
      <c r="E2086" s="31" t="s">
        <v>96</v>
      </c>
      <c r="F2086" s="31" t="s">
        <v>396</v>
      </c>
      <c r="G2086" s="31" t="s">
        <v>397</v>
      </c>
      <c r="H2086" s="31" t="s">
        <v>391</v>
      </c>
    </row>
    <row r="2087" spans="2:8" ht="22.05" customHeight="1" x14ac:dyDescent="0.3">
      <c r="B2087" s="134" t="s">
        <v>650</v>
      </c>
      <c r="C2087" s="134"/>
      <c r="D2087" s="17" t="s">
        <v>399</v>
      </c>
      <c r="E2087" s="68">
        <v>1</v>
      </c>
      <c r="F2087" s="27">
        <v>0</v>
      </c>
      <c r="G2087" s="32">
        <f>INSUMOS!$D$35</f>
        <v>429900</v>
      </c>
      <c r="H2087" s="66">
        <f>E2087*(1+F2087)*G2087</f>
        <v>429900</v>
      </c>
    </row>
    <row r="2088" spans="2:8" ht="22.05" customHeight="1" x14ac:dyDescent="0.3">
      <c r="B2088" s="134" t="s">
        <v>651</v>
      </c>
      <c r="C2088" s="134"/>
      <c r="D2088" s="17" t="s">
        <v>399</v>
      </c>
      <c r="E2088" s="68">
        <v>1</v>
      </c>
      <c r="F2088" s="27">
        <v>0</v>
      </c>
      <c r="G2088" s="32">
        <f>INSUMOS!$D$36</f>
        <v>45000</v>
      </c>
      <c r="H2088" s="66">
        <f>E2088*(1+F2088)*G2088</f>
        <v>45000</v>
      </c>
    </row>
    <row r="2089" spans="2:8" ht="15" customHeight="1" x14ac:dyDescent="0.3">
      <c r="G2089" s="31" t="s">
        <v>394</v>
      </c>
      <c r="H2089" s="67">
        <f>SUM(H2087:H2088)</f>
        <v>474900</v>
      </c>
    </row>
    <row r="2090" spans="2:8" ht="15" customHeight="1" x14ac:dyDescent="0.3">
      <c r="B2090" s="135" t="s">
        <v>404</v>
      </c>
      <c r="C2090" s="135"/>
      <c r="D2090" s="135"/>
      <c r="E2090" s="135"/>
      <c r="F2090" s="135"/>
      <c r="G2090" s="135"/>
      <c r="H2090" s="135"/>
    </row>
    <row r="2091" spans="2:8" ht="15" customHeight="1" x14ac:dyDescent="0.3">
      <c r="B2091" s="123" t="s">
        <v>94</v>
      </c>
      <c r="C2091" s="123"/>
      <c r="D2091" s="31" t="s">
        <v>383</v>
      </c>
      <c r="E2091" s="31" t="s">
        <v>96</v>
      </c>
      <c r="F2091" s="31"/>
      <c r="G2091" s="31" t="s">
        <v>364</v>
      </c>
      <c r="H2091" s="31" t="s">
        <v>391</v>
      </c>
    </row>
    <row r="2092" spans="2:8" ht="22.05" customHeight="1" x14ac:dyDescent="0.3">
      <c r="B2092" s="134" t="s">
        <v>652</v>
      </c>
      <c r="C2092" s="134"/>
      <c r="D2092" s="17" t="s">
        <v>431</v>
      </c>
      <c r="E2092" s="72">
        <f>0.04*'Datos Iniciales'!$B$31</f>
        <v>5.0600000000000005</v>
      </c>
      <c r="F2092" s="29"/>
      <c r="G2092" s="32">
        <f>TRANSPORTE!$D$4</f>
        <v>1928</v>
      </c>
      <c r="H2092" s="66">
        <f>E2092*G2092</f>
        <v>9755.68</v>
      </c>
    </row>
    <row r="2093" spans="2:8" ht="22.05" customHeight="1" x14ac:dyDescent="0.3">
      <c r="B2093" s="134" t="s">
        <v>653</v>
      </c>
      <c r="C2093" s="134"/>
      <c r="D2093" s="17" t="s">
        <v>431</v>
      </c>
      <c r="E2093" s="72">
        <f>0.04*'Datos Iniciales'!$B$26</f>
        <v>0.4</v>
      </c>
      <c r="F2093" s="29"/>
      <c r="G2093" s="32">
        <f>TRANSPORTE!$D$5</f>
        <v>2970</v>
      </c>
      <c r="H2093" s="66">
        <f>E2093*G2093</f>
        <v>1188</v>
      </c>
    </row>
    <row r="2094" spans="2:8" ht="15" customHeight="1" x14ac:dyDescent="0.3">
      <c r="G2094" s="31" t="s">
        <v>394</v>
      </c>
      <c r="H2094" s="67">
        <f>SUM(H2092:H2093)</f>
        <v>10943.68</v>
      </c>
    </row>
    <row r="2095" spans="2:8" ht="15" customHeight="1" x14ac:dyDescent="0.3">
      <c r="B2095" s="135" t="s">
        <v>406</v>
      </c>
      <c r="C2095" s="135"/>
      <c r="D2095" s="135"/>
      <c r="E2095" s="135"/>
      <c r="F2095" s="135"/>
      <c r="G2095" s="135"/>
      <c r="H2095" s="135"/>
    </row>
    <row r="2096" spans="2:8" ht="24" customHeight="1" x14ac:dyDescent="0.3">
      <c r="B2096" s="123" t="s">
        <v>407</v>
      </c>
      <c r="C2096" s="123"/>
      <c r="D2096" s="123"/>
      <c r="E2096" s="31" t="s">
        <v>96</v>
      </c>
      <c r="F2096" s="31" t="s">
        <v>408</v>
      </c>
      <c r="G2096" s="31" t="s">
        <v>390</v>
      </c>
      <c r="H2096" s="31" t="s">
        <v>391</v>
      </c>
    </row>
    <row r="2097" spans="2:8" ht="15" customHeight="1" x14ac:dyDescent="0.3">
      <c r="B2097" s="134" t="s">
        <v>616</v>
      </c>
      <c r="C2097" s="134"/>
      <c r="D2097" s="134"/>
      <c r="E2097" s="69">
        <v>1</v>
      </c>
      <c r="F2097" s="32">
        <f>'MANO DE OBRA'!$H$31</f>
        <v>226162.13017808215</v>
      </c>
      <c r="G2097" s="68">
        <v>0.5</v>
      </c>
      <c r="H2097" s="66">
        <f>E2097*F2097*G2097</f>
        <v>113081.06508904108</v>
      </c>
    </row>
    <row r="2098" spans="2:8" ht="15" customHeight="1" x14ac:dyDescent="0.3">
      <c r="B2098" s="134" t="s">
        <v>410</v>
      </c>
      <c r="C2098" s="134"/>
      <c r="D2098" s="134"/>
      <c r="E2098" s="69">
        <v>1</v>
      </c>
      <c r="F2098" s="32">
        <f>'MANO DE OBRA'!$H$23</f>
        <v>121976.08717808221</v>
      </c>
      <c r="G2098" s="68">
        <v>0.25</v>
      </c>
      <c r="H2098" s="66">
        <f>E2098*F2098*G2098</f>
        <v>30494.021794520551</v>
      </c>
    </row>
    <row r="2099" spans="2:8" ht="15" customHeight="1" x14ac:dyDescent="0.3">
      <c r="G2099" s="31" t="s">
        <v>394</v>
      </c>
      <c r="H2099" s="67">
        <f>SUM(H2097:H2098)</f>
        <v>143575.08688356163</v>
      </c>
    </row>
    <row r="2100" spans="2:8" ht="15" customHeight="1" x14ac:dyDescent="0.3"/>
    <row r="2101" spans="2:8" ht="15" customHeight="1" x14ac:dyDescent="0.3">
      <c r="B2101" s="115" t="s">
        <v>295</v>
      </c>
      <c r="C2101" s="115"/>
      <c r="D2101" s="115"/>
      <c r="E2101" s="115"/>
      <c r="F2101" s="115"/>
      <c r="G2101" s="115"/>
      <c r="H2101" s="70">
        <f>H2084+H2089+H2094+H2099</f>
        <v>636597.52122773975</v>
      </c>
    </row>
    <row r="2102" spans="2:8" ht="15" customHeight="1" x14ac:dyDescent="0.3"/>
    <row r="2103" spans="2:8" ht="15" customHeight="1" x14ac:dyDescent="0.3">
      <c r="B2103" s="71" t="s">
        <v>411</v>
      </c>
    </row>
    <row r="2104" spans="2:8" ht="15" customHeight="1" x14ac:dyDescent="0.3">
      <c r="B2104" s="123" t="s">
        <v>94</v>
      </c>
      <c r="C2104" s="123"/>
      <c r="D2104" s="123"/>
      <c r="E2104" s="123"/>
      <c r="F2104" s="123"/>
      <c r="G2104" s="31" t="s">
        <v>412</v>
      </c>
      <c r="H2104" s="31" t="s">
        <v>4</v>
      </c>
    </row>
    <row r="2105" spans="2:8" ht="15" customHeight="1" x14ac:dyDescent="0.3">
      <c r="B2105" s="110" t="s">
        <v>73</v>
      </c>
      <c r="C2105" s="110"/>
      <c r="D2105" s="110"/>
      <c r="E2105" s="110"/>
      <c r="F2105" s="110"/>
      <c r="G2105" s="22">
        <f>'Datos Iniciales'!$B$32</f>
        <v>0.28999999999999998</v>
      </c>
      <c r="H2105" s="66">
        <f>H2101*G2105</f>
        <v>184613.28115604451</v>
      </c>
    </row>
    <row r="2106" spans="2:8" ht="15" customHeight="1" x14ac:dyDescent="0.3">
      <c r="B2106" s="110" t="s">
        <v>74</v>
      </c>
      <c r="C2106" s="110"/>
      <c r="D2106" s="110"/>
      <c r="E2106" s="110"/>
      <c r="F2106" s="110"/>
      <c r="G2106" s="22">
        <f>'Datos Iniciales'!$B$33</f>
        <v>0.05</v>
      </c>
      <c r="H2106" s="66">
        <f>H2101*G2106</f>
        <v>31829.876061386989</v>
      </c>
    </row>
    <row r="2107" spans="2:8" ht="15" customHeight="1" x14ac:dyDescent="0.3">
      <c r="B2107" s="138" t="s">
        <v>413</v>
      </c>
      <c r="C2107" s="138"/>
      <c r="D2107" s="138"/>
      <c r="E2107" s="138"/>
      <c r="F2107" s="138"/>
      <c r="G2107" s="60">
        <f>G2105+G2106</f>
        <v>0.33999999999999997</v>
      </c>
      <c r="H2107" s="67">
        <f>H2105+H2106</f>
        <v>216443.15721743149</v>
      </c>
    </row>
    <row r="2108" spans="2:8" ht="15" customHeight="1" x14ac:dyDescent="0.3"/>
    <row r="2109" spans="2:8" ht="15" customHeight="1" x14ac:dyDescent="0.3">
      <c r="B2109" s="139" t="s">
        <v>414</v>
      </c>
      <c r="C2109" s="139"/>
      <c r="D2109" s="139"/>
      <c r="E2109" s="139"/>
      <c r="F2109" s="139"/>
      <c r="G2109" s="139"/>
      <c r="H2109" s="37">
        <f>ROUND(H2101+H2107,0)</f>
        <v>853041</v>
      </c>
    </row>
    <row r="2110" spans="2:8" ht="15" customHeight="1" x14ac:dyDescent="0.3"/>
    <row r="2111" spans="2:8" ht="15" customHeight="1" x14ac:dyDescent="0.3"/>
    <row r="2112" spans="2:8" ht="15.75" customHeight="1" x14ac:dyDescent="0.3">
      <c r="B2112" s="123" t="s">
        <v>0</v>
      </c>
      <c r="C2112" s="123"/>
      <c r="D2112" s="123"/>
      <c r="E2112" s="123"/>
      <c r="F2112" s="123"/>
      <c r="G2112" s="123"/>
      <c r="H2112" s="110"/>
    </row>
    <row r="2113" spans="2:8" ht="15.75" customHeight="1" x14ac:dyDescent="0.3">
      <c r="B2113" s="123" t="s">
        <v>1</v>
      </c>
      <c r="C2113" s="123"/>
      <c r="D2113" s="123"/>
      <c r="E2113" s="123"/>
      <c r="F2113" s="123"/>
      <c r="G2113" s="123"/>
      <c r="H2113" s="110"/>
    </row>
    <row r="2114" spans="2:8" ht="24" customHeight="1" x14ac:dyDescent="0.3">
      <c r="B2114" s="136" t="str">
        <f>'Datos Iniciales'!$B$8</f>
        <v>OBRA PÚBLICA PARA LA EJECUCIÓN DE DIFERENTES MEJORAMIENTOS DE VIVIENDA EN EL CASCO URBANO Y RURAL DEL MUNICIPIO DE MACEO - ANTIOQUIA</v>
      </c>
      <c r="C2114" s="136"/>
      <c r="D2114" s="136"/>
      <c r="E2114" s="136"/>
      <c r="F2114" s="136"/>
      <c r="G2114" s="136"/>
      <c r="H2114" s="110"/>
    </row>
    <row r="2115" spans="2:8" ht="15.75" customHeight="1" x14ac:dyDescent="0.3">
      <c r="B2115" s="112" t="s">
        <v>381</v>
      </c>
      <c r="C2115" s="112"/>
      <c r="D2115" s="112"/>
      <c r="E2115" s="112"/>
      <c r="F2115" s="112"/>
      <c r="G2115" s="112"/>
      <c r="H2115" s="110"/>
    </row>
    <row r="2116" spans="2:8" ht="24" customHeight="1" x14ac:dyDescent="0.3">
      <c r="B2116" s="13" t="s">
        <v>382</v>
      </c>
      <c r="C2116" s="112" t="s">
        <v>94</v>
      </c>
      <c r="D2116" s="112"/>
      <c r="E2116" s="112"/>
      <c r="F2116" s="13" t="s">
        <v>383</v>
      </c>
      <c r="G2116" s="13" t="s">
        <v>384</v>
      </c>
      <c r="H2116" s="13" t="s">
        <v>385</v>
      </c>
    </row>
    <row r="2117" spans="2:8" ht="31.5" customHeight="1" x14ac:dyDescent="0.3">
      <c r="B2117" s="63" t="s">
        <v>654</v>
      </c>
      <c r="C2117" s="140" t="s">
        <v>203</v>
      </c>
      <c r="D2117" s="140"/>
      <c r="E2117" s="140"/>
      <c r="F2117" s="17" t="s">
        <v>137</v>
      </c>
      <c r="G2117" s="41">
        <f>PRESUPUESTO!$E$67+PRESUPUESTO!$E$118</f>
        <v>4</v>
      </c>
      <c r="H2117" s="33">
        <f>H2139</f>
        <v>126680.92189465753</v>
      </c>
    </row>
    <row r="2118" spans="2:8" ht="15" customHeight="1" x14ac:dyDescent="0.3">
      <c r="B2118" s="137" t="s">
        <v>655</v>
      </c>
      <c r="C2118" s="137"/>
      <c r="D2118" s="137"/>
      <c r="E2118" s="137"/>
      <c r="F2118" s="137"/>
      <c r="G2118" s="137"/>
      <c r="H2118" s="137"/>
    </row>
    <row r="2119" spans="2:8" ht="15" customHeight="1" x14ac:dyDescent="0.3">
      <c r="B2119" s="64" t="s">
        <v>388</v>
      </c>
    </row>
    <row r="2120" spans="2:8" ht="15" customHeight="1" x14ac:dyDescent="0.3">
      <c r="B2120" s="135" t="s">
        <v>389</v>
      </c>
      <c r="C2120" s="135"/>
      <c r="D2120" s="135"/>
      <c r="E2120" s="135"/>
      <c r="F2120" s="135"/>
      <c r="G2120" s="135"/>
      <c r="H2120" s="135"/>
    </row>
    <row r="2121" spans="2:8" ht="24" customHeight="1" x14ac:dyDescent="0.3">
      <c r="B2121" s="123" t="s">
        <v>94</v>
      </c>
      <c r="C2121" s="123"/>
      <c r="D2121" s="123"/>
      <c r="E2121" s="31" t="s">
        <v>383</v>
      </c>
      <c r="F2121" s="31" t="s">
        <v>364</v>
      </c>
      <c r="G2121" s="31" t="s">
        <v>390</v>
      </c>
      <c r="H2121" s="31" t="s">
        <v>391</v>
      </c>
    </row>
    <row r="2122" spans="2:8" ht="15" customHeight="1" x14ac:dyDescent="0.3">
      <c r="B2122" s="134" t="s">
        <v>392</v>
      </c>
      <c r="C2122" s="134"/>
      <c r="D2122" s="134"/>
      <c r="E2122" s="17" t="s">
        <v>393</v>
      </c>
      <c r="F2122" s="22">
        <f>EQUIPOS!$D$3</f>
        <v>0.05</v>
      </c>
      <c r="G2122" s="65">
        <f>H2137</f>
        <v>34458.020852054789</v>
      </c>
      <c r="H2122" s="66">
        <f>F2122*G2122</f>
        <v>1722.9010426027396</v>
      </c>
    </row>
    <row r="2123" spans="2:8" ht="15" customHeight="1" x14ac:dyDescent="0.3">
      <c r="G2123" s="31" t="s">
        <v>394</v>
      </c>
      <c r="H2123" s="67">
        <f>SUM(H2122:H2122)</f>
        <v>1722.9010426027396</v>
      </c>
    </row>
    <row r="2124" spans="2:8" ht="15" customHeight="1" x14ac:dyDescent="0.3">
      <c r="B2124" s="135" t="s">
        <v>395</v>
      </c>
      <c r="C2124" s="135"/>
      <c r="D2124" s="135"/>
      <c r="E2124" s="135"/>
      <c r="F2124" s="135"/>
      <c r="G2124" s="135"/>
      <c r="H2124" s="135"/>
    </row>
    <row r="2125" spans="2:8" ht="15" customHeight="1" x14ac:dyDescent="0.3">
      <c r="B2125" s="123" t="s">
        <v>94</v>
      </c>
      <c r="C2125" s="123"/>
      <c r="D2125" s="31" t="s">
        <v>383</v>
      </c>
      <c r="E2125" s="31" t="s">
        <v>96</v>
      </c>
      <c r="F2125" s="31" t="s">
        <v>396</v>
      </c>
      <c r="G2125" s="31" t="s">
        <v>397</v>
      </c>
      <c r="H2125" s="31" t="s">
        <v>391</v>
      </c>
    </row>
    <row r="2126" spans="2:8" ht="15" customHeight="1" x14ac:dyDescent="0.3">
      <c r="B2126" s="134" t="s">
        <v>656</v>
      </c>
      <c r="C2126" s="134"/>
      <c r="D2126" s="17" t="s">
        <v>399</v>
      </c>
      <c r="E2126" s="68">
        <v>1</v>
      </c>
      <c r="F2126" s="27">
        <v>0</v>
      </c>
      <c r="G2126" s="32">
        <f>INSUMOS!$D$37</f>
        <v>89000</v>
      </c>
      <c r="H2126" s="66">
        <f>E2126*(1+F2126)*G2126</f>
        <v>89000</v>
      </c>
    </row>
    <row r="2127" spans="2:8" ht="15" customHeight="1" x14ac:dyDescent="0.3">
      <c r="B2127" s="134" t="s">
        <v>621</v>
      </c>
      <c r="C2127" s="134"/>
      <c r="D2127" s="17" t="s">
        <v>399</v>
      </c>
      <c r="E2127" s="68">
        <v>1</v>
      </c>
      <c r="F2127" s="27">
        <v>0</v>
      </c>
      <c r="G2127" s="32">
        <f>INSUMOS!$D$33</f>
        <v>1500</v>
      </c>
      <c r="H2127" s="66">
        <f>E2127*(1+F2127)*G2127</f>
        <v>1500</v>
      </c>
    </row>
    <row r="2128" spans="2:8" ht="15" customHeight="1" x14ac:dyDescent="0.3">
      <c r="G2128" s="31" t="s">
        <v>394</v>
      </c>
      <c r="H2128" s="67">
        <f>SUM(H2126:H2127)</f>
        <v>90500</v>
      </c>
    </row>
    <row r="2129" spans="2:8" ht="15" customHeight="1" x14ac:dyDescent="0.3">
      <c r="B2129" s="135" t="s">
        <v>404</v>
      </c>
      <c r="C2129" s="135"/>
      <c r="D2129" s="135"/>
      <c r="E2129" s="135"/>
      <c r="F2129" s="135"/>
      <c r="G2129" s="135"/>
      <c r="H2129" s="135"/>
    </row>
    <row r="2130" spans="2:8" ht="15" customHeight="1" x14ac:dyDescent="0.3">
      <c r="B2130" s="123" t="s">
        <v>94</v>
      </c>
      <c r="C2130" s="123"/>
      <c r="D2130" s="31" t="s">
        <v>383</v>
      </c>
      <c r="E2130" s="31" t="s">
        <v>96</v>
      </c>
      <c r="F2130" s="31"/>
      <c r="G2130" s="31" t="s">
        <v>364</v>
      </c>
      <c r="H2130" s="31" t="s">
        <v>391</v>
      </c>
    </row>
    <row r="2131" spans="2:8" ht="15" customHeight="1" x14ac:dyDescent="0.3">
      <c r="B2131" s="137" t="s">
        <v>405</v>
      </c>
      <c r="C2131" s="137"/>
      <c r="D2131" s="29"/>
      <c r="E2131" s="29"/>
      <c r="F2131" s="29"/>
      <c r="G2131" s="29"/>
      <c r="H2131" s="66">
        <v>0</v>
      </c>
    </row>
    <row r="2132" spans="2:8" ht="15" customHeight="1" x14ac:dyDescent="0.3">
      <c r="G2132" s="31" t="s">
        <v>394</v>
      </c>
      <c r="H2132" s="67">
        <f>SUM(H2131:H2131)</f>
        <v>0</v>
      </c>
    </row>
    <row r="2133" spans="2:8" ht="15" customHeight="1" x14ac:dyDescent="0.3">
      <c r="B2133" s="135" t="s">
        <v>406</v>
      </c>
      <c r="C2133" s="135"/>
      <c r="D2133" s="135"/>
      <c r="E2133" s="135"/>
      <c r="F2133" s="135"/>
      <c r="G2133" s="135"/>
      <c r="H2133" s="135"/>
    </row>
    <row r="2134" spans="2:8" ht="24" customHeight="1" x14ac:dyDescent="0.3">
      <c r="B2134" s="123" t="s">
        <v>407</v>
      </c>
      <c r="C2134" s="123"/>
      <c r="D2134" s="123"/>
      <c r="E2134" s="31" t="s">
        <v>96</v>
      </c>
      <c r="F2134" s="31" t="s">
        <v>408</v>
      </c>
      <c r="G2134" s="31" t="s">
        <v>390</v>
      </c>
      <c r="H2134" s="31" t="s">
        <v>391</v>
      </c>
    </row>
    <row r="2135" spans="2:8" ht="15" customHeight="1" x14ac:dyDescent="0.3">
      <c r="B2135" s="134" t="s">
        <v>616</v>
      </c>
      <c r="C2135" s="134"/>
      <c r="D2135" s="134"/>
      <c r="E2135" s="69">
        <v>1</v>
      </c>
      <c r="F2135" s="32">
        <f>'MANO DE OBRA'!$H$31</f>
        <v>226162.13017808215</v>
      </c>
      <c r="G2135" s="68">
        <v>0.12</v>
      </c>
      <c r="H2135" s="66">
        <f>E2135*F2135*G2135</f>
        <v>27139.455621369856</v>
      </c>
    </row>
    <row r="2136" spans="2:8" ht="15" customHeight="1" x14ac:dyDescent="0.3">
      <c r="B2136" s="134" t="s">
        <v>410</v>
      </c>
      <c r="C2136" s="134"/>
      <c r="D2136" s="134"/>
      <c r="E2136" s="69">
        <v>0.5</v>
      </c>
      <c r="F2136" s="32">
        <f>'MANO DE OBRA'!$H$23</f>
        <v>121976.08717808221</v>
      </c>
      <c r="G2136" s="68">
        <v>0.12</v>
      </c>
      <c r="H2136" s="66">
        <f>E2136*F2136*G2136</f>
        <v>7318.5652306849324</v>
      </c>
    </row>
    <row r="2137" spans="2:8" ht="15" customHeight="1" x14ac:dyDescent="0.3">
      <c r="G2137" s="31" t="s">
        <v>394</v>
      </c>
      <c r="H2137" s="67">
        <f>SUM(H2135:H2136)</f>
        <v>34458.020852054789</v>
      </c>
    </row>
    <row r="2138" spans="2:8" ht="15" customHeight="1" x14ac:dyDescent="0.3"/>
    <row r="2139" spans="2:8" ht="15" customHeight="1" x14ac:dyDescent="0.3">
      <c r="B2139" s="115" t="s">
        <v>295</v>
      </c>
      <c r="C2139" s="115"/>
      <c r="D2139" s="115"/>
      <c r="E2139" s="115"/>
      <c r="F2139" s="115"/>
      <c r="G2139" s="115"/>
      <c r="H2139" s="70">
        <f>H2123+H2128+H2132+H2137</f>
        <v>126680.92189465753</v>
      </c>
    </row>
    <row r="2140" spans="2:8" ht="15" customHeight="1" x14ac:dyDescent="0.3"/>
    <row r="2141" spans="2:8" ht="15" customHeight="1" x14ac:dyDescent="0.3">
      <c r="B2141" s="71" t="s">
        <v>411</v>
      </c>
    </row>
    <row r="2142" spans="2:8" ht="15" customHeight="1" x14ac:dyDescent="0.3">
      <c r="B2142" s="123" t="s">
        <v>94</v>
      </c>
      <c r="C2142" s="123"/>
      <c r="D2142" s="123"/>
      <c r="E2142" s="123"/>
      <c r="F2142" s="123"/>
      <c r="G2142" s="31" t="s">
        <v>412</v>
      </c>
      <c r="H2142" s="31" t="s">
        <v>4</v>
      </c>
    </row>
    <row r="2143" spans="2:8" ht="15" customHeight="1" x14ac:dyDescent="0.3">
      <c r="B2143" s="110" t="s">
        <v>73</v>
      </c>
      <c r="C2143" s="110"/>
      <c r="D2143" s="110"/>
      <c r="E2143" s="110"/>
      <c r="F2143" s="110"/>
      <c r="G2143" s="22">
        <f>'Datos Iniciales'!$B$32</f>
        <v>0.28999999999999998</v>
      </c>
      <c r="H2143" s="66">
        <f>H2139*G2143</f>
        <v>36737.467349450679</v>
      </c>
    </row>
    <row r="2144" spans="2:8" ht="15" customHeight="1" x14ac:dyDescent="0.3">
      <c r="B2144" s="110" t="s">
        <v>74</v>
      </c>
      <c r="C2144" s="110"/>
      <c r="D2144" s="110"/>
      <c r="E2144" s="110"/>
      <c r="F2144" s="110"/>
      <c r="G2144" s="22">
        <f>'Datos Iniciales'!$B$33</f>
        <v>0.05</v>
      </c>
      <c r="H2144" s="66">
        <f>H2139*G2144</f>
        <v>6334.0460947328766</v>
      </c>
    </row>
    <row r="2145" spans="2:8" ht="15" customHeight="1" x14ac:dyDescent="0.3">
      <c r="B2145" s="138" t="s">
        <v>413</v>
      </c>
      <c r="C2145" s="138"/>
      <c r="D2145" s="138"/>
      <c r="E2145" s="138"/>
      <c r="F2145" s="138"/>
      <c r="G2145" s="60">
        <f>G2143+G2144</f>
        <v>0.33999999999999997</v>
      </c>
      <c r="H2145" s="67">
        <f>H2143+H2144</f>
        <v>43071.513444183554</v>
      </c>
    </row>
    <row r="2146" spans="2:8" ht="15" customHeight="1" x14ac:dyDescent="0.3"/>
    <row r="2147" spans="2:8" ht="15" customHeight="1" x14ac:dyDescent="0.3">
      <c r="B2147" s="139" t="s">
        <v>414</v>
      </c>
      <c r="C2147" s="139"/>
      <c r="D2147" s="139"/>
      <c r="E2147" s="139"/>
      <c r="F2147" s="139"/>
      <c r="G2147" s="139"/>
      <c r="H2147" s="37">
        <f>ROUND(H2139+H2145,0)</f>
        <v>169752</v>
      </c>
    </row>
    <row r="2148" spans="2:8" ht="15" customHeight="1" x14ac:dyDescent="0.3"/>
    <row r="2149" spans="2:8" ht="15" customHeight="1" x14ac:dyDescent="0.3"/>
    <row r="2150" spans="2:8" ht="15.75" customHeight="1" x14ac:dyDescent="0.3">
      <c r="B2150" s="123" t="s">
        <v>0</v>
      </c>
      <c r="C2150" s="123"/>
      <c r="D2150" s="123"/>
      <c r="E2150" s="123"/>
      <c r="F2150" s="123"/>
      <c r="G2150" s="123"/>
      <c r="H2150" s="110"/>
    </row>
    <row r="2151" spans="2:8" ht="15.75" customHeight="1" x14ac:dyDescent="0.3">
      <c r="B2151" s="123" t="s">
        <v>1</v>
      </c>
      <c r="C2151" s="123"/>
      <c r="D2151" s="123"/>
      <c r="E2151" s="123"/>
      <c r="F2151" s="123"/>
      <c r="G2151" s="123"/>
      <c r="H2151" s="110"/>
    </row>
    <row r="2152" spans="2:8" ht="24" customHeight="1" x14ac:dyDescent="0.3">
      <c r="B2152" s="136" t="str">
        <f>'Datos Iniciales'!$B$8</f>
        <v>OBRA PÚBLICA PARA LA EJECUCIÓN DE DIFERENTES MEJORAMIENTOS DE VIVIENDA EN EL CASCO URBANO Y RURAL DEL MUNICIPIO DE MACEO - ANTIOQUIA</v>
      </c>
      <c r="C2152" s="136"/>
      <c r="D2152" s="136"/>
      <c r="E2152" s="136"/>
      <c r="F2152" s="136"/>
      <c r="G2152" s="136"/>
      <c r="H2152" s="110"/>
    </row>
    <row r="2153" spans="2:8" ht="15.75" customHeight="1" x14ac:dyDescent="0.3">
      <c r="B2153" s="112" t="s">
        <v>381</v>
      </c>
      <c r="C2153" s="112"/>
      <c r="D2153" s="112"/>
      <c r="E2153" s="112"/>
      <c r="F2153" s="112"/>
      <c r="G2153" s="112"/>
      <c r="H2153" s="110"/>
    </row>
    <row r="2154" spans="2:8" ht="24" customHeight="1" x14ac:dyDescent="0.3">
      <c r="B2154" s="13" t="s">
        <v>382</v>
      </c>
      <c r="C2154" s="112" t="s">
        <v>94</v>
      </c>
      <c r="D2154" s="112"/>
      <c r="E2154" s="112"/>
      <c r="F2154" s="13" t="s">
        <v>383</v>
      </c>
      <c r="G2154" s="13" t="s">
        <v>384</v>
      </c>
      <c r="H2154" s="13" t="s">
        <v>385</v>
      </c>
    </row>
    <row r="2155" spans="2:8" ht="30" customHeight="1" x14ac:dyDescent="0.3">
      <c r="B2155" s="63" t="s">
        <v>657</v>
      </c>
      <c r="C2155" s="140" t="s">
        <v>205</v>
      </c>
      <c r="D2155" s="140"/>
      <c r="E2155" s="140"/>
      <c r="F2155" s="17" t="s">
        <v>137</v>
      </c>
      <c r="G2155" s="41">
        <f>PRESUPUESTO!$E$68+PRESUPUESTO!$E$119</f>
        <v>4</v>
      </c>
      <c r="H2155" s="33">
        <f>H2176</f>
        <v>20179.287427009589</v>
      </c>
    </row>
    <row r="2156" spans="2:8" ht="15" customHeight="1" x14ac:dyDescent="0.3">
      <c r="B2156" s="137" t="s">
        <v>658</v>
      </c>
      <c r="C2156" s="137"/>
      <c r="D2156" s="137"/>
      <c r="E2156" s="137"/>
      <c r="F2156" s="137"/>
      <c r="G2156" s="137"/>
      <c r="H2156" s="137"/>
    </row>
    <row r="2157" spans="2:8" ht="15" customHeight="1" x14ac:dyDescent="0.3">
      <c r="B2157" s="64" t="s">
        <v>388</v>
      </c>
    </row>
    <row r="2158" spans="2:8" ht="15" customHeight="1" x14ac:dyDescent="0.3">
      <c r="B2158" s="135" t="s">
        <v>389</v>
      </c>
      <c r="C2158" s="135"/>
      <c r="D2158" s="135"/>
      <c r="E2158" s="135"/>
      <c r="F2158" s="135"/>
      <c r="G2158" s="135"/>
      <c r="H2158" s="135"/>
    </row>
    <row r="2159" spans="2:8" ht="24" customHeight="1" x14ac:dyDescent="0.3">
      <c r="B2159" s="123" t="s">
        <v>94</v>
      </c>
      <c r="C2159" s="123"/>
      <c r="D2159" s="123"/>
      <c r="E2159" s="31" t="s">
        <v>383</v>
      </c>
      <c r="F2159" s="31" t="s">
        <v>364</v>
      </c>
      <c r="G2159" s="31" t="s">
        <v>390</v>
      </c>
      <c r="H2159" s="31" t="s">
        <v>391</v>
      </c>
    </row>
    <row r="2160" spans="2:8" ht="15" customHeight="1" x14ac:dyDescent="0.3">
      <c r="B2160" s="134" t="s">
        <v>392</v>
      </c>
      <c r="C2160" s="134"/>
      <c r="D2160" s="134"/>
      <c r="E2160" s="17" t="s">
        <v>393</v>
      </c>
      <c r="F2160" s="22">
        <f>EQUIPOS!$D$3</f>
        <v>0.05</v>
      </c>
      <c r="G2160" s="65">
        <f>H2174</f>
        <v>6784.863905342464</v>
      </c>
      <c r="H2160" s="66">
        <f>F2160*G2160</f>
        <v>339.24319526712321</v>
      </c>
    </row>
    <row r="2161" spans="2:8" ht="15" customHeight="1" x14ac:dyDescent="0.3">
      <c r="G2161" s="31" t="s">
        <v>394</v>
      </c>
      <c r="H2161" s="67">
        <f>SUM(H2160:H2160)</f>
        <v>339.24319526712321</v>
      </c>
    </row>
    <row r="2162" spans="2:8" ht="15" customHeight="1" x14ac:dyDescent="0.3">
      <c r="B2162" s="135" t="s">
        <v>395</v>
      </c>
      <c r="C2162" s="135"/>
      <c r="D2162" s="135"/>
      <c r="E2162" s="135"/>
      <c r="F2162" s="135"/>
      <c r="G2162" s="135"/>
      <c r="H2162" s="135"/>
    </row>
    <row r="2163" spans="2:8" ht="15" customHeight="1" x14ac:dyDescent="0.3">
      <c r="B2163" s="123" t="s">
        <v>94</v>
      </c>
      <c r="C2163" s="123"/>
      <c r="D2163" s="31" t="s">
        <v>383</v>
      </c>
      <c r="E2163" s="31" t="s">
        <v>96</v>
      </c>
      <c r="F2163" s="31" t="s">
        <v>396</v>
      </c>
      <c r="G2163" s="31" t="s">
        <v>397</v>
      </c>
      <c r="H2163" s="31" t="s">
        <v>391</v>
      </c>
    </row>
    <row r="2164" spans="2:8" ht="15" customHeight="1" x14ac:dyDescent="0.3">
      <c r="B2164" s="134" t="s">
        <v>659</v>
      </c>
      <c r="C2164" s="134"/>
      <c r="D2164" s="17" t="s">
        <v>399</v>
      </c>
      <c r="E2164" s="68">
        <v>1</v>
      </c>
      <c r="F2164" s="27">
        <v>0</v>
      </c>
      <c r="G2164" s="32">
        <f>INSUMOS!$D$32</f>
        <v>12000</v>
      </c>
      <c r="H2164" s="66">
        <f>E2164*(1+F2164)*G2164</f>
        <v>12000</v>
      </c>
    </row>
    <row r="2165" spans="2:8" ht="15" customHeight="1" x14ac:dyDescent="0.3">
      <c r="B2165" s="134" t="s">
        <v>495</v>
      </c>
      <c r="C2165" s="134"/>
      <c r="D2165" s="17" t="s">
        <v>423</v>
      </c>
      <c r="E2165" s="68">
        <v>2E-3</v>
      </c>
      <c r="F2165" s="27">
        <v>0</v>
      </c>
      <c r="G2165" s="32">
        <f>'CONCRETOS Y MORTEROS'!$D$6</f>
        <v>527590.16320000007</v>
      </c>
      <c r="H2165" s="66">
        <f>E2165*(1+F2165)*G2165</f>
        <v>1055.1803264000002</v>
      </c>
    </row>
    <row r="2166" spans="2:8" ht="15" customHeight="1" x14ac:dyDescent="0.3">
      <c r="G2166" s="31" t="s">
        <v>394</v>
      </c>
      <c r="H2166" s="67">
        <f>SUM(H2164:H2165)</f>
        <v>13055.180326400001</v>
      </c>
    </row>
    <row r="2167" spans="2:8" ht="15" customHeight="1" x14ac:dyDescent="0.3">
      <c r="B2167" s="135" t="s">
        <v>404</v>
      </c>
      <c r="C2167" s="135"/>
      <c r="D2167" s="135"/>
      <c r="E2167" s="135"/>
      <c r="F2167" s="135"/>
      <c r="G2167" s="135"/>
      <c r="H2167" s="135"/>
    </row>
    <row r="2168" spans="2:8" ht="15" customHeight="1" x14ac:dyDescent="0.3">
      <c r="B2168" s="123" t="s">
        <v>94</v>
      </c>
      <c r="C2168" s="123"/>
      <c r="D2168" s="31" t="s">
        <v>383</v>
      </c>
      <c r="E2168" s="31" t="s">
        <v>96</v>
      </c>
      <c r="F2168" s="31"/>
      <c r="G2168" s="31" t="s">
        <v>364</v>
      </c>
      <c r="H2168" s="31" t="s">
        <v>391</v>
      </c>
    </row>
    <row r="2169" spans="2:8" ht="15" customHeight="1" x14ac:dyDescent="0.3">
      <c r="B2169" s="137" t="s">
        <v>405</v>
      </c>
      <c r="C2169" s="137"/>
      <c r="D2169" s="29"/>
      <c r="E2169" s="29"/>
      <c r="F2169" s="29"/>
      <c r="G2169" s="29"/>
      <c r="H2169" s="66">
        <v>0</v>
      </c>
    </row>
    <row r="2170" spans="2:8" ht="15" customHeight="1" x14ac:dyDescent="0.3">
      <c r="G2170" s="31" t="s">
        <v>394</v>
      </c>
      <c r="H2170" s="67">
        <f>SUM(H2169:H2169)</f>
        <v>0</v>
      </c>
    </row>
    <row r="2171" spans="2:8" ht="15" customHeight="1" x14ac:dyDescent="0.3">
      <c r="B2171" s="135" t="s">
        <v>406</v>
      </c>
      <c r="C2171" s="135"/>
      <c r="D2171" s="135"/>
      <c r="E2171" s="135"/>
      <c r="F2171" s="135"/>
      <c r="G2171" s="135"/>
      <c r="H2171" s="135"/>
    </row>
    <row r="2172" spans="2:8" ht="24" customHeight="1" x14ac:dyDescent="0.3">
      <c r="B2172" s="123" t="s">
        <v>407</v>
      </c>
      <c r="C2172" s="123"/>
      <c r="D2172" s="123"/>
      <c r="E2172" s="31" t="s">
        <v>96</v>
      </c>
      <c r="F2172" s="31" t="s">
        <v>408</v>
      </c>
      <c r="G2172" s="31" t="s">
        <v>390</v>
      </c>
      <c r="H2172" s="31" t="s">
        <v>391</v>
      </c>
    </row>
    <row r="2173" spans="2:8" ht="15" customHeight="1" x14ac:dyDescent="0.3">
      <c r="B2173" s="134" t="s">
        <v>616</v>
      </c>
      <c r="C2173" s="134"/>
      <c r="D2173" s="134"/>
      <c r="E2173" s="69">
        <v>1</v>
      </c>
      <c r="F2173" s="32">
        <f>'MANO DE OBRA'!$H$31</f>
        <v>226162.13017808215</v>
      </c>
      <c r="G2173" s="68">
        <v>0.03</v>
      </c>
      <c r="H2173" s="66">
        <f>E2173*F2173*G2173</f>
        <v>6784.863905342464</v>
      </c>
    </row>
    <row r="2174" spans="2:8" ht="15" customHeight="1" x14ac:dyDescent="0.3">
      <c r="G2174" s="31" t="s">
        <v>394</v>
      </c>
      <c r="H2174" s="67">
        <f>SUM(H2173:H2173)</f>
        <v>6784.863905342464</v>
      </c>
    </row>
    <row r="2175" spans="2:8" ht="15" customHeight="1" x14ac:dyDescent="0.3"/>
    <row r="2176" spans="2:8" ht="15" customHeight="1" x14ac:dyDescent="0.3">
      <c r="B2176" s="115" t="s">
        <v>295</v>
      </c>
      <c r="C2176" s="115"/>
      <c r="D2176" s="115"/>
      <c r="E2176" s="115"/>
      <c r="F2176" s="115"/>
      <c r="G2176" s="115"/>
      <c r="H2176" s="70">
        <f>H2161+H2166+H2170+H2174</f>
        <v>20179.287427009589</v>
      </c>
    </row>
    <row r="2177" spans="2:8" ht="15" customHeight="1" x14ac:dyDescent="0.3"/>
    <row r="2178" spans="2:8" ht="15" customHeight="1" x14ac:dyDescent="0.3">
      <c r="B2178" s="71" t="s">
        <v>411</v>
      </c>
    </row>
    <row r="2179" spans="2:8" ht="15" customHeight="1" x14ac:dyDescent="0.3">
      <c r="B2179" s="123" t="s">
        <v>94</v>
      </c>
      <c r="C2179" s="123"/>
      <c r="D2179" s="123"/>
      <c r="E2179" s="123"/>
      <c r="F2179" s="123"/>
      <c r="G2179" s="31" t="s">
        <v>412</v>
      </c>
      <c r="H2179" s="31" t="s">
        <v>4</v>
      </c>
    </row>
    <row r="2180" spans="2:8" ht="15" customHeight="1" x14ac:dyDescent="0.3">
      <c r="B2180" s="110" t="s">
        <v>73</v>
      </c>
      <c r="C2180" s="110"/>
      <c r="D2180" s="110"/>
      <c r="E2180" s="110"/>
      <c r="F2180" s="110"/>
      <c r="G2180" s="22">
        <f>'Datos Iniciales'!$B$32</f>
        <v>0.28999999999999998</v>
      </c>
      <c r="H2180" s="66">
        <f>H2176*G2180</f>
        <v>5851.9933538327805</v>
      </c>
    </row>
    <row r="2181" spans="2:8" ht="15" customHeight="1" x14ac:dyDescent="0.3">
      <c r="B2181" s="110" t="s">
        <v>74</v>
      </c>
      <c r="C2181" s="110"/>
      <c r="D2181" s="110"/>
      <c r="E2181" s="110"/>
      <c r="F2181" s="110"/>
      <c r="G2181" s="22">
        <f>'Datos Iniciales'!$B$33</f>
        <v>0.05</v>
      </c>
      <c r="H2181" s="66">
        <f>H2176*G2181</f>
        <v>1008.9643713504795</v>
      </c>
    </row>
    <row r="2182" spans="2:8" ht="15" customHeight="1" x14ac:dyDescent="0.3">
      <c r="B2182" s="138" t="s">
        <v>413</v>
      </c>
      <c r="C2182" s="138"/>
      <c r="D2182" s="138"/>
      <c r="E2182" s="138"/>
      <c r="F2182" s="138"/>
      <c r="G2182" s="60">
        <f>G2180+G2181</f>
        <v>0.33999999999999997</v>
      </c>
      <c r="H2182" s="67">
        <f>H2180+H2181</f>
        <v>6860.9577251832598</v>
      </c>
    </row>
    <row r="2183" spans="2:8" ht="15" customHeight="1" x14ac:dyDescent="0.3"/>
    <row r="2184" spans="2:8" ht="15" customHeight="1" x14ac:dyDescent="0.3">
      <c r="B2184" s="139" t="s">
        <v>414</v>
      </c>
      <c r="C2184" s="139"/>
      <c r="D2184" s="139"/>
      <c r="E2184" s="139"/>
      <c r="F2184" s="139"/>
      <c r="G2184" s="139"/>
      <c r="H2184" s="37">
        <f>ROUND(H2176+H2182,0)</f>
        <v>27040</v>
      </c>
    </row>
    <row r="2185" spans="2:8" ht="15" customHeight="1" x14ac:dyDescent="0.3"/>
    <row r="2186" spans="2:8" ht="15" customHeight="1" x14ac:dyDescent="0.3"/>
    <row r="2187" spans="2:8" ht="15.75" customHeight="1" x14ac:dyDescent="0.3">
      <c r="B2187" s="123" t="s">
        <v>0</v>
      </c>
      <c r="C2187" s="123"/>
      <c r="D2187" s="123"/>
      <c r="E2187" s="123"/>
      <c r="F2187" s="123"/>
      <c r="G2187" s="123"/>
      <c r="H2187" s="110"/>
    </row>
    <row r="2188" spans="2:8" ht="15.75" customHeight="1" x14ac:dyDescent="0.3">
      <c r="B2188" s="123" t="s">
        <v>1</v>
      </c>
      <c r="C2188" s="123"/>
      <c r="D2188" s="123"/>
      <c r="E2188" s="123"/>
      <c r="F2188" s="123"/>
      <c r="G2188" s="123"/>
      <c r="H2188" s="110"/>
    </row>
    <row r="2189" spans="2:8" ht="24" customHeight="1" x14ac:dyDescent="0.3">
      <c r="B2189" s="136" t="str">
        <f>'Datos Iniciales'!$B$8</f>
        <v>OBRA PÚBLICA PARA LA EJECUCIÓN DE DIFERENTES MEJORAMIENTOS DE VIVIENDA EN EL CASCO URBANO Y RURAL DEL MUNICIPIO DE MACEO - ANTIOQUIA</v>
      </c>
      <c r="C2189" s="136"/>
      <c r="D2189" s="136"/>
      <c r="E2189" s="136"/>
      <c r="F2189" s="136"/>
      <c r="G2189" s="136"/>
      <c r="H2189" s="110"/>
    </row>
    <row r="2190" spans="2:8" ht="15.75" customHeight="1" x14ac:dyDescent="0.3">
      <c r="B2190" s="112" t="s">
        <v>381</v>
      </c>
      <c r="C2190" s="112"/>
      <c r="D2190" s="112"/>
      <c r="E2190" s="112"/>
      <c r="F2190" s="112"/>
      <c r="G2190" s="112"/>
      <c r="H2190" s="110"/>
    </row>
    <row r="2191" spans="2:8" ht="24" customHeight="1" x14ac:dyDescent="0.3">
      <c r="B2191" s="13" t="s">
        <v>382</v>
      </c>
      <c r="C2191" s="112" t="s">
        <v>94</v>
      </c>
      <c r="D2191" s="112"/>
      <c r="E2191" s="112"/>
      <c r="F2191" s="13" t="s">
        <v>383</v>
      </c>
      <c r="G2191" s="13" t="s">
        <v>384</v>
      </c>
      <c r="H2191" s="13" t="s">
        <v>385</v>
      </c>
    </row>
    <row r="2192" spans="2:8" ht="30" customHeight="1" x14ac:dyDescent="0.3">
      <c r="B2192" s="63" t="s">
        <v>660</v>
      </c>
      <c r="C2192" s="140" t="s">
        <v>251</v>
      </c>
      <c r="D2192" s="140"/>
      <c r="E2192" s="140"/>
      <c r="F2192" s="17" t="s">
        <v>137</v>
      </c>
      <c r="G2192" s="41">
        <f>PRESUPUESTO!$E$103</f>
        <v>1</v>
      </c>
      <c r="H2192" s="33">
        <f>H2214</f>
        <v>54548.809467479456</v>
      </c>
    </row>
    <row r="2193" spans="2:8" ht="15" customHeight="1" x14ac:dyDescent="0.3">
      <c r="B2193" s="137" t="s">
        <v>661</v>
      </c>
      <c r="C2193" s="137"/>
      <c r="D2193" s="137"/>
      <c r="E2193" s="137"/>
      <c r="F2193" s="137"/>
      <c r="G2193" s="137"/>
      <c r="H2193" s="137"/>
    </row>
    <row r="2194" spans="2:8" ht="15" customHeight="1" x14ac:dyDescent="0.3">
      <c r="B2194" s="64" t="s">
        <v>388</v>
      </c>
    </row>
    <row r="2195" spans="2:8" ht="15" customHeight="1" x14ac:dyDescent="0.3">
      <c r="B2195" s="135" t="s">
        <v>389</v>
      </c>
      <c r="C2195" s="135"/>
      <c r="D2195" s="135"/>
      <c r="E2195" s="135"/>
      <c r="F2195" s="135"/>
      <c r="G2195" s="135"/>
      <c r="H2195" s="135"/>
    </row>
    <row r="2196" spans="2:8" ht="24" customHeight="1" x14ac:dyDescent="0.3">
      <c r="B2196" s="123" t="s">
        <v>94</v>
      </c>
      <c r="C2196" s="123"/>
      <c r="D2196" s="123"/>
      <c r="E2196" s="31" t="s">
        <v>383</v>
      </c>
      <c r="F2196" s="31" t="s">
        <v>364</v>
      </c>
      <c r="G2196" s="31" t="s">
        <v>390</v>
      </c>
      <c r="H2196" s="31" t="s">
        <v>391</v>
      </c>
    </row>
    <row r="2197" spans="2:8" ht="15" customHeight="1" x14ac:dyDescent="0.3">
      <c r="B2197" s="134" t="s">
        <v>392</v>
      </c>
      <c r="C2197" s="134"/>
      <c r="D2197" s="134"/>
      <c r="E2197" s="17" t="s">
        <v>393</v>
      </c>
      <c r="F2197" s="22">
        <f>EQUIPOS!$D$3</f>
        <v>0.05</v>
      </c>
      <c r="G2197" s="65">
        <f>H2212</f>
        <v>9046.4852071232872</v>
      </c>
      <c r="H2197" s="66">
        <f>F2197*G2197</f>
        <v>452.32426035616436</v>
      </c>
    </row>
    <row r="2198" spans="2:8" ht="15" customHeight="1" x14ac:dyDescent="0.3">
      <c r="G2198" s="31" t="s">
        <v>394</v>
      </c>
      <c r="H2198" s="67">
        <f>SUM(H2197:H2197)</f>
        <v>452.32426035616436</v>
      </c>
    </row>
    <row r="2199" spans="2:8" ht="15" customHeight="1" x14ac:dyDescent="0.3">
      <c r="B2199" s="135" t="s">
        <v>395</v>
      </c>
      <c r="C2199" s="135"/>
      <c r="D2199" s="135"/>
      <c r="E2199" s="135"/>
      <c r="F2199" s="135"/>
      <c r="G2199" s="135"/>
      <c r="H2199" s="135"/>
    </row>
    <row r="2200" spans="2:8" ht="15" customHeight="1" x14ac:dyDescent="0.3">
      <c r="B2200" s="123" t="s">
        <v>94</v>
      </c>
      <c r="C2200" s="123"/>
      <c r="D2200" s="31" t="s">
        <v>383</v>
      </c>
      <c r="E2200" s="31" t="s">
        <v>96</v>
      </c>
      <c r="F2200" s="31" t="s">
        <v>396</v>
      </c>
      <c r="G2200" s="31" t="s">
        <v>397</v>
      </c>
      <c r="H2200" s="31" t="s">
        <v>391</v>
      </c>
    </row>
    <row r="2201" spans="2:8" ht="15" customHeight="1" x14ac:dyDescent="0.3">
      <c r="B2201" s="134" t="s">
        <v>662</v>
      </c>
      <c r="C2201" s="134"/>
      <c r="D2201" s="17" t="s">
        <v>399</v>
      </c>
      <c r="E2201" s="68">
        <v>1</v>
      </c>
      <c r="F2201" s="27">
        <v>0</v>
      </c>
      <c r="G2201" s="32">
        <f>INSUMOS!$D$38</f>
        <v>43000</v>
      </c>
      <c r="H2201" s="66">
        <f>E2201*(1+F2201)*G2201</f>
        <v>43000</v>
      </c>
    </row>
    <row r="2202" spans="2:8" ht="15" customHeight="1" x14ac:dyDescent="0.3">
      <c r="B2202" s="134" t="s">
        <v>620</v>
      </c>
      <c r="C2202" s="134"/>
      <c r="D2202" s="17" t="s">
        <v>399</v>
      </c>
      <c r="E2202" s="68">
        <v>1</v>
      </c>
      <c r="F2202" s="27">
        <v>0</v>
      </c>
      <c r="G2202" s="32">
        <f>INSUMOS!$D$29</f>
        <v>1300</v>
      </c>
      <c r="H2202" s="66">
        <f>E2202*(1+F2202)*G2202</f>
        <v>1300</v>
      </c>
    </row>
    <row r="2203" spans="2:8" ht="15" customHeight="1" x14ac:dyDescent="0.3">
      <c r="B2203" s="134" t="s">
        <v>621</v>
      </c>
      <c r="C2203" s="134"/>
      <c r="D2203" s="17" t="s">
        <v>399</v>
      </c>
      <c r="E2203" s="68">
        <v>0.5</v>
      </c>
      <c r="F2203" s="27">
        <v>0</v>
      </c>
      <c r="G2203" s="32">
        <f>INSUMOS!$D$33</f>
        <v>1500</v>
      </c>
      <c r="H2203" s="66">
        <f>E2203*(1+F2203)*G2203</f>
        <v>750</v>
      </c>
    </row>
    <row r="2204" spans="2:8" ht="15" customHeight="1" x14ac:dyDescent="0.3">
      <c r="G2204" s="31" t="s">
        <v>394</v>
      </c>
      <c r="H2204" s="67">
        <f>SUM(H2201:H2203)</f>
        <v>45050</v>
      </c>
    </row>
    <row r="2205" spans="2:8" ht="15" customHeight="1" x14ac:dyDescent="0.3">
      <c r="B2205" s="135" t="s">
        <v>404</v>
      </c>
      <c r="C2205" s="135"/>
      <c r="D2205" s="135"/>
      <c r="E2205" s="135"/>
      <c r="F2205" s="135"/>
      <c r="G2205" s="135"/>
      <c r="H2205" s="135"/>
    </row>
    <row r="2206" spans="2:8" ht="15" customHeight="1" x14ac:dyDescent="0.3">
      <c r="B2206" s="123" t="s">
        <v>94</v>
      </c>
      <c r="C2206" s="123"/>
      <c r="D2206" s="31" t="s">
        <v>383</v>
      </c>
      <c r="E2206" s="31" t="s">
        <v>96</v>
      </c>
      <c r="F2206" s="31"/>
      <c r="G2206" s="31" t="s">
        <v>364</v>
      </c>
      <c r="H2206" s="31" t="s">
        <v>391</v>
      </c>
    </row>
    <row r="2207" spans="2:8" ht="15" customHeight="1" x14ac:dyDescent="0.3">
      <c r="B2207" s="137" t="s">
        <v>405</v>
      </c>
      <c r="C2207" s="137"/>
      <c r="D2207" s="29"/>
      <c r="E2207" s="29"/>
      <c r="F2207" s="29"/>
      <c r="G2207" s="29"/>
      <c r="H2207" s="66">
        <v>0</v>
      </c>
    </row>
    <row r="2208" spans="2:8" ht="15" customHeight="1" x14ac:dyDescent="0.3">
      <c r="G2208" s="31" t="s">
        <v>394</v>
      </c>
      <c r="H2208" s="67">
        <f>SUM(H2207:H2207)</f>
        <v>0</v>
      </c>
    </row>
    <row r="2209" spans="2:8" ht="15" customHeight="1" x14ac:dyDescent="0.3">
      <c r="B2209" s="135" t="s">
        <v>406</v>
      </c>
      <c r="C2209" s="135"/>
      <c r="D2209" s="135"/>
      <c r="E2209" s="135"/>
      <c r="F2209" s="135"/>
      <c r="G2209" s="135"/>
      <c r="H2209" s="135"/>
    </row>
    <row r="2210" spans="2:8" ht="24" customHeight="1" x14ac:dyDescent="0.3">
      <c r="B2210" s="123" t="s">
        <v>407</v>
      </c>
      <c r="C2210" s="123"/>
      <c r="D2210" s="123"/>
      <c r="E2210" s="31" t="s">
        <v>96</v>
      </c>
      <c r="F2210" s="31" t="s">
        <v>408</v>
      </c>
      <c r="G2210" s="31" t="s">
        <v>390</v>
      </c>
      <c r="H2210" s="31" t="s">
        <v>391</v>
      </c>
    </row>
    <row r="2211" spans="2:8" ht="15" customHeight="1" x14ac:dyDescent="0.3">
      <c r="B2211" s="134" t="s">
        <v>616</v>
      </c>
      <c r="C2211" s="134"/>
      <c r="D2211" s="134"/>
      <c r="E2211" s="69">
        <v>1</v>
      </c>
      <c r="F2211" s="32">
        <f>'MANO DE OBRA'!$H$31</f>
        <v>226162.13017808215</v>
      </c>
      <c r="G2211" s="68">
        <v>0.04</v>
      </c>
      <c r="H2211" s="66">
        <f>E2211*F2211*G2211</f>
        <v>9046.4852071232872</v>
      </c>
    </row>
    <row r="2212" spans="2:8" ht="15" customHeight="1" x14ac:dyDescent="0.3">
      <c r="G2212" s="31" t="s">
        <v>394</v>
      </c>
      <c r="H2212" s="67">
        <f>SUM(H2211:H2211)</f>
        <v>9046.4852071232872</v>
      </c>
    </row>
    <row r="2213" spans="2:8" ht="15" customHeight="1" x14ac:dyDescent="0.3"/>
    <row r="2214" spans="2:8" ht="15" customHeight="1" x14ac:dyDescent="0.3">
      <c r="B2214" s="115" t="s">
        <v>295</v>
      </c>
      <c r="C2214" s="115"/>
      <c r="D2214" s="115"/>
      <c r="E2214" s="115"/>
      <c r="F2214" s="115"/>
      <c r="G2214" s="115"/>
      <c r="H2214" s="70">
        <f>H2198+H2204+H2208+H2212</f>
        <v>54548.809467479456</v>
      </c>
    </row>
    <row r="2215" spans="2:8" ht="15" customHeight="1" x14ac:dyDescent="0.3"/>
    <row r="2216" spans="2:8" ht="15" customHeight="1" x14ac:dyDescent="0.3">
      <c r="B2216" s="71" t="s">
        <v>411</v>
      </c>
    </row>
    <row r="2217" spans="2:8" ht="15" customHeight="1" x14ac:dyDescent="0.3">
      <c r="B2217" s="123" t="s">
        <v>94</v>
      </c>
      <c r="C2217" s="123"/>
      <c r="D2217" s="123"/>
      <c r="E2217" s="123"/>
      <c r="F2217" s="123"/>
      <c r="G2217" s="31" t="s">
        <v>412</v>
      </c>
      <c r="H2217" s="31" t="s">
        <v>4</v>
      </c>
    </row>
    <row r="2218" spans="2:8" ht="15" customHeight="1" x14ac:dyDescent="0.3">
      <c r="B2218" s="110" t="s">
        <v>73</v>
      </c>
      <c r="C2218" s="110"/>
      <c r="D2218" s="110"/>
      <c r="E2218" s="110"/>
      <c r="F2218" s="110"/>
      <c r="G2218" s="22">
        <f>'Datos Iniciales'!$B$32</f>
        <v>0.28999999999999998</v>
      </c>
      <c r="H2218" s="66">
        <f>H2214*G2218</f>
        <v>15819.154745569042</v>
      </c>
    </row>
    <row r="2219" spans="2:8" ht="15" customHeight="1" x14ac:dyDescent="0.3">
      <c r="B2219" s="110" t="s">
        <v>74</v>
      </c>
      <c r="C2219" s="110"/>
      <c r="D2219" s="110"/>
      <c r="E2219" s="110"/>
      <c r="F2219" s="110"/>
      <c r="G2219" s="22">
        <f>'Datos Iniciales'!$B$33</f>
        <v>0.05</v>
      </c>
      <c r="H2219" s="66">
        <f>H2214*G2219</f>
        <v>2727.440473373973</v>
      </c>
    </row>
    <row r="2220" spans="2:8" ht="15" customHeight="1" x14ac:dyDescent="0.3">
      <c r="B2220" s="138" t="s">
        <v>413</v>
      </c>
      <c r="C2220" s="138"/>
      <c r="D2220" s="138"/>
      <c r="E2220" s="138"/>
      <c r="F2220" s="138"/>
      <c r="G2220" s="60">
        <f>G2218+G2219</f>
        <v>0.33999999999999997</v>
      </c>
      <c r="H2220" s="67">
        <f>H2218+H2219</f>
        <v>18546.595218943014</v>
      </c>
    </row>
    <row r="2221" spans="2:8" ht="15" customHeight="1" x14ac:dyDescent="0.3"/>
    <row r="2222" spans="2:8" ht="15" customHeight="1" x14ac:dyDescent="0.3">
      <c r="B2222" s="139" t="s">
        <v>414</v>
      </c>
      <c r="C2222" s="139"/>
      <c r="D2222" s="139"/>
      <c r="E2222" s="139"/>
      <c r="F2222" s="139"/>
      <c r="G2222" s="139"/>
      <c r="H2222" s="37">
        <f>ROUND(H2214+H2220,0)</f>
        <v>73095</v>
      </c>
    </row>
    <row r="2223" spans="2:8" ht="15" customHeight="1" x14ac:dyDescent="0.3"/>
    <row r="2224" spans="2:8" ht="15" customHeight="1" x14ac:dyDescent="0.3"/>
    <row r="2225" spans="2:8" ht="15.75" customHeight="1" x14ac:dyDescent="0.3">
      <c r="B2225" s="123" t="s">
        <v>0</v>
      </c>
      <c r="C2225" s="123"/>
      <c r="D2225" s="123"/>
      <c r="E2225" s="123"/>
      <c r="F2225" s="123"/>
      <c r="G2225" s="123"/>
      <c r="H2225" s="110"/>
    </row>
    <row r="2226" spans="2:8" ht="15.75" customHeight="1" x14ac:dyDescent="0.3">
      <c r="B2226" s="123" t="s">
        <v>1</v>
      </c>
      <c r="C2226" s="123"/>
      <c r="D2226" s="123"/>
      <c r="E2226" s="123"/>
      <c r="F2226" s="123"/>
      <c r="G2226" s="123"/>
      <c r="H2226" s="110"/>
    </row>
    <row r="2227" spans="2:8" ht="24" customHeight="1" x14ac:dyDescent="0.3">
      <c r="B2227" s="136" t="str">
        <f>'Datos Iniciales'!$B$8</f>
        <v>OBRA PÚBLICA PARA LA EJECUCIÓN DE DIFERENTES MEJORAMIENTOS DE VIVIENDA EN EL CASCO URBANO Y RURAL DEL MUNICIPIO DE MACEO - ANTIOQUIA</v>
      </c>
      <c r="C2227" s="136"/>
      <c r="D2227" s="136"/>
      <c r="E2227" s="136"/>
      <c r="F2227" s="136"/>
      <c r="G2227" s="136"/>
      <c r="H2227" s="110"/>
    </row>
    <row r="2228" spans="2:8" ht="15.75" customHeight="1" x14ac:dyDescent="0.3">
      <c r="B2228" s="112" t="s">
        <v>381</v>
      </c>
      <c r="C2228" s="112"/>
      <c r="D2228" s="112"/>
      <c r="E2228" s="112"/>
      <c r="F2228" s="112"/>
      <c r="G2228" s="112"/>
      <c r="H2228" s="110"/>
    </row>
    <row r="2229" spans="2:8" ht="24" customHeight="1" x14ac:dyDescent="0.3">
      <c r="B2229" s="13" t="s">
        <v>382</v>
      </c>
      <c r="C2229" s="112" t="s">
        <v>94</v>
      </c>
      <c r="D2229" s="112"/>
      <c r="E2229" s="112"/>
      <c r="F2229" s="13" t="s">
        <v>383</v>
      </c>
      <c r="G2229" s="13" t="s">
        <v>384</v>
      </c>
      <c r="H2229" s="13" t="s">
        <v>385</v>
      </c>
    </row>
    <row r="2230" spans="2:8" ht="42" customHeight="1" x14ac:dyDescent="0.3">
      <c r="B2230" s="63" t="s">
        <v>663</v>
      </c>
      <c r="C2230" s="140" t="s">
        <v>269</v>
      </c>
      <c r="D2230" s="140"/>
      <c r="E2230" s="140"/>
      <c r="F2230" s="17" t="s">
        <v>137</v>
      </c>
      <c r="G2230" s="41">
        <f>PRESUPUESTO!$E$120</f>
        <v>1</v>
      </c>
      <c r="H2230" s="33">
        <f>H2258</f>
        <v>745925.00257823151</v>
      </c>
    </row>
    <row r="2231" spans="2:8" ht="15" customHeight="1" x14ac:dyDescent="0.3">
      <c r="B2231" s="137" t="s">
        <v>664</v>
      </c>
      <c r="C2231" s="137"/>
      <c r="D2231" s="137"/>
      <c r="E2231" s="137"/>
      <c r="F2231" s="137"/>
      <c r="G2231" s="137"/>
      <c r="H2231" s="137"/>
    </row>
    <row r="2232" spans="2:8" ht="15" customHeight="1" x14ac:dyDescent="0.3">
      <c r="B2232" s="64" t="s">
        <v>388</v>
      </c>
    </row>
    <row r="2233" spans="2:8" ht="15" customHeight="1" x14ac:dyDescent="0.3">
      <c r="B2233" s="135" t="s">
        <v>389</v>
      </c>
      <c r="C2233" s="135"/>
      <c r="D2233" s="135"/>
      <c r="E2233" s="135"/>
      <c r="F2233" s="135"/>
      <c r="G2233" s="135"/>
      <c r="H2233" s="135"/>
    </row>
    <row r="2234" spans="2:8" ht="24" customHeight="1" x14ac:dyDescent="0.3">
      <c r="B2234" s="123" t="s">
        <v>94</v>
      </c>
      <c r="C2234" s="123"/>
      <c r="D2234" s="123"/>
      <c r="E2234" s="31" t="s">
        <v>383</v>
      </c>
      <c r="F2234" s="31" t="s">
        <v>364</v>
      </c>
      <c r="G2234" s="31" t="s">
        <v>390</v>
      </c>
      <c r="H2234" s="31" t="s">
        <v>391</v>
      </c>
    </row>
    <row r="2235" spans="2:8" ht="15" customHeight="1" x14ac:dyDescent="0.3">
      <c r="B2235" s="134" t="s">
        <v>392</v>
      </c>
      <c r="C2235" s="134"/>
      <c r="D2235" s="134"/>
      <c r="E2235" s="17" t="s">
        <v>393</v>
      </c>
      <c r="F2235" s="22">
        <f>EQUIPOS!$D$3</f>
        <v>0.05</v>
      </c>
      <c r="G2235" s="65">
        <f>H2256</f>
        <v>242807.24994041093</v>
      </c>
      <c r="H2235" s="66">
        <f>F2235*G2235</f>
        <v>12140.362497020547</v>
      </c>
    </row>
    <row r="2236" spans="2:8" ht="15" customHeight="1" x14ac:dyDescent="0.3">
      <c r="G2236" s="31" t="s">
        <v>394</v>
      </c>
      <c r="H2236" s="67">
        <f>SUM(H2235:H2235)</f>
        <v>12140.362497020547</v>
      </c>
    </row>
    <row r="2237" spans="2:8" ht="15" customHeight="1" x14ac:dyDescent="0.3">
      <c r="B2237" s="135" t="s">
        <v>395</v>
      </c>
      <c r="C2237" s="135"/>
      <c r="D2237" s="135"/>
      <c r="E2237" s="135"/>
      <c r="F2237" s="135"/>
      <c r="G2237" s="135"/>
      <c r="H2237" s="135"/>
    </row>
    <row r="2238" spans="2:8" ht="15" customHeight="1" x14ac:dyDescent="0.3">
      <c r="B2238" s="123" t="s">
        <v>94</v>
      </c>
      <c r="C2238" s="123"/>
      <c r="D2238" s="31" t="s">
        <v>383</v>
      </c>
      <c r="E2238" s="31" t="s">
        <v>96</v>
      </c>
      <c r="F2238" s="31" t="s">
        <v>396</v>
      </c>
      <c r="G2238" s="31" t="s">
        <v>397</v>
      </c>
      <c r="H2238" s="31" t="s">
        <v>391</v>
      </c>
    </row>
    <row r="2239" spans="2:8" ht="15" customHeight="1" x14ac:dyDescent="0.3">
      <c r="B2239" s="134" t="s">
        <v>665</v>
      </c>
      <c r="C2239" s="134"/>
      <c r="D2239" s="17" t="s">
        <v>399</v>
      </c>
      <c r="E2239" s="68">
        <v>1</v>
      </c>
      <c r="F2239" s="27">
        <v>0</v>
      </c>
      <c r="G2239" s="32">
        <f>INSUMOS!$D$39</f>
        <v>326000</v>
      </c>
      <c r="H2239" s="66">
        <f t="shared" ref="H2239:H2244" si="1">E2239*(1+F2239)*G2239</f>
        <v>326000</v>
      </c>
    </row>
    <row r="2240" spans="2:8" ht="15" customHeight="1" x14ac:dyDescent="0.3">
      <c r="B2240" s="134" t="s">
        <v>666</v>
      </c>
      <c r="C2240" s="134"/>
      <c r="D2240" s="17" t="s">
        <v>399</v>
      </c>
      <c r="E2240" s="68">
        <v>1</v>
      </c>
      <c r="F2240" s="27">
        <v>0</v>
      </c>
      <c r="G2240" s="32">
        <f>INSUMOS!$D$40</f>
        <v>75000</v>
      </c>
      <c r="H2240" s="66">
        <f t="shared" si="1"/>
        <v>75000</v>
      </c>
    </row>
    <row r="2241" spans="2:8" ht="15" customHeight="1" x14ac:dyDescent="0.3">
      <c r="B2241" s="134" t="s">
        <v>667</v>
      </c>
      <c r="C2241" s="134"/>
      <c r="D2241" s="17" t="s">
        <v>399</v>
      </c>
      <c r="E2241" s="68">
        <v>1</v>
      </c>
      <c r="F2241" s="27">
        <v>0</v>
      </c>
      <c r="G2241" s="32">
        <f>INSUMOS!$D$41</f>
        <v>29900</v>
      </c>
      <c r="H2241" s="66">
        <f t="shared" si="1"/>
        <v>29900</v>
      </c>
    </row>
    <row r="2242" spans="2:8" ht="22.05" customHeight="1" x14ac:dyDescent="0.3">
      <c r="B2242" s="134" t="s">
        <v>494</v>
      </c>
      <c r="C2242" s="134"/>
      <c r="D2242" s="17" t="s">
        <v>399</v>
      </c>
      <c r="E2242" s="68">
        <v>12</v>
      </c>
      <c r="F2242" s="27">
        <v>0.05</v>
      </c>
      <c r="G2242" s="32">
        <f>INSUMOS!$D$19</f>
        <v>2600</v>
      </c>
      <c r="H2242" s="66">
        <f t="shared" si="1"/>
        <v>32760.000000000004</v>
      </c>
    </row>
    <row r="2243" spans="2:8" ht="15" customHeight="1" x14ac:dyDescent="0.3">
      <c r="B2243" s="134" t="s">
        <v>495</v>
      </c>
      <c r="C2243" s="134"/>
      <c r="D2243" s="17" t="s">
        <v>423</v>
      </c>
      <c r="E2243" s="68">
        <v>0.03</v>
      </c>
      <c r="F2243" s="27">
        <v>0.05</v>
      </c>
      <c r="G2243" s="32">
        <f>'CONCRETOS Y MORTEROS'!$D$6</f>
        <v>527590.16320000007</v>
      </c>
      <c r="H2243" s="66">
        <f t="shared" si="1"/>
        <v>16619.090140800003</v>
      </c>
    </row>
    <row r="2244" spans="2:8" ht="15" customHeight="1" x14ac:dyDescent="0.3">
      <c r="B2244" s="134" t="s">
        <v>609</v>
      </c>
      <c r="C2244" s="134"/>
      <c r="D2244" s="17" t="s">
        <v>399</v>
      </c>
      <c r="E2244" s="68">
        <v>0.01</v>
      </c>
      <c r="F2244" s="27">
        <v>0</v>
      </c>
      <c r="G2244" s="32">
        <f>INSUMOS!$D$30</f>
        <v>74000</v>
      </c>
      <c r="H2244" s="66">
        <f t="shared" si="1"/>
        <v>740</v>
      </c>
    </row>
    <row r="2245" spans="2:8" ht="15" customHeight="1" x14ac:dyDescent="0.3">
      <c r="G2245" s="31" t="s">
        <v>394</v>
      </c>
      <c r="H2245" s="67">
        <f>SUM(H2239:H2244)</f>
        <v>481019.09014079999</v>
      </c>
    </row>
    <row r="2246" spans="2:8" ht="15" customHeight="1" x14ac:dyDescent="0.3">
      <c r="B2246" s="135" t="s">
        <v>404</v>
      </c>
      <c r="C2246" s="135"/>
      <c r="D2246" s="135"/>
      <c r="E2246" s="135"/>
      <c r="F2246" s="135"/>
      <c r="G2246" s="135"/>
      <c r="H2246" s="135"/>
    </row>
    <row r="2247" spans="2:8" ht="15" customHeight="1" x14ac:dyDescent="0.3">
      <c r="B2247" s="123" t="s">
        <v>94</v>
      </c>
      <c r="C2247" s="123"/>
      <c r="D2247" s="31" t="s">
        <v>383</v>
      </c>
      <c r="E2247" s="31" t="s">
        <v>96</v>
      </c>
      <c r="F2247" s="31"/>
      <c r="G2247" s="31" t="s">
        <v>364</v>
      </c>
      <c r="H2247" s="31" t="s">
        <v>391</v>
      </c>
    </row>
    <row r="2248" spans="2:8" ht="22.05" customHeight="1" x14ac:dyDescent="0.3">
      <c r="B2248" s="134" t="s">
        <v>522</v>
      </c>
      <c r="C2248" s="134"/>
      <c r="D2248" s="17" t="s">
        <v>431</v>
      </c>
      <c r="E2248" s="72">
        <f>0.025*'Datos Iniciales'!$B$31</f>
        <v>3.1625000000000001</v>
      </c>
      <c r="F2248" s="29"/>
      <c r="G2248" s="32">
        <f>TRANSPORTE!$D$4</f>
        <v>1928</v>
      </c>
      <c r="H2248" s="66">
        <f>E2248*G2248</f>
        <v>6097.3</v>
      </c>
    </row>
    <row r="2249" spans="2:8" ht="22.05" customHeight="1" x14ac:dyDescent="0.3">
      <c r="B2249" s="134" t="s">
        <v>668</v>
      </c>
      <c r="C2249" s="134"/>
      <c r="D2249" s="17" t="s">
        <v>431</v>
      </c>
      <c r="E2249" s="72">
        <f>0.13*'Datos Iniciales'!$B$26</f>
        <v>1.3</v>
      </c>
      <c r="F2249" s="29"/>
      <c r="G2249" s="32">
        <f>TRANSPORTE!$D$5</f>
        <v>2970</v>
      </c>
      <c r="H2249" s="66">
        <f>E2249*G2249</f>
        <v>3861</v>
      </c>
    </row>
    <row r="2250" spans="2:8" ht="15" customHeight="1" x14ac:dyDescent="0.3">
      <c r="G2250" s="31" t="s">
        <v>394</v>
      </c>
      <c r="H2250" s="67">
        <f>SUM(H2248:H2249)</f>
        <v>9958.2999999999993</v>
      </c>
    </row>
    <row r="2251" spans="2:8" ht="15" customHeight="1" x14ac:dyDescent="0.3">
      <c r="B2251" s="135" t="s">
        <v>406</v>
      </c>
      <c r="C2251" s="135"/>
      <c r="D2251" s="135"/>
      <c r="E2251" s="135"/>
      <c r="F2251" s="135"/>
      <c r="G2251" s="135"/>
      <c r="H2251" s="135"/>
    </row>
    <row r="2252" spans="2:8" ht="24" customHeight="1" x14ac:dyDescent="0.3">
      <c r="B2252" s="123" t="s">
        <v>407</v>
      </c>
      <c r="C2252" s="123"/>
      <c r="D2252" s="123"/>
      <c r="E2252" s="31" t="s">
        <v>96</v>
      </c>
      <c r="F2252" s="31" t="s">
        <v>408</v>
      </c>
      <c r="G2252" s="31" t="s">
        <v>390</v>
      </c>
      <c r="H2252" s="31" t="s">
        <v>391</v>
      </c>
    </row>
    <row r="2253" spans="2:8" ht="15" customHeight="1" x14ac:dyDescent="0.3">
      <c r="B2253" s="134" t="s">
        <v>409</v>
      </c>
      <c r="C2253" s="134"/>
      <c r="D2253" s="134"/>
      <c r="E2253" s="69">
        <v>1</v>
      </c>
      <c r="F2253" s="32">
        <f>'MANO DE OBRA'!$H$27</f>
        <v>226162.13017808215</v>
      </c>
      <c r="G2253" s="68">
        <v>0.6</v>
      </c>
      <c r="H2253" s="66">
        <f>E2253*F2253*G2253</f>
        <v>135697.27810684929</v>
      </c>
    </row>
    <row r="2254" spans="2:8" ht="15" customHeight="1" x14ac:dyDescent="0.3">
      <c r="B2254" s="134" t="s">
        <v>410</v>
      </c>
      <c r="C2254" s="134"/>
      <c r="D2254" s="134"/>
      <c r="E2254" s="69">
        <v>1</v>
      </c>
      <c r="F2254" s="32">
        <f>'MANO DE OBRA'!$H$23</f>
        <v>121976.08717808221</v>
      </c>
      <c r="G2254" s="68">
        <v>0.6</v>
      </c>
      <c r="H2254" s="66">
        <f>E2254*F2254*G2254</f>
        <v>73185.652306849326</v>
      </c>
    </row>
    <row r="2255" spans="2:8" ht="15" customHeight="1" x14ac:dyDescent="0.3">
      <c r="B2255" s="134" t="s">
        <v>616</v>
      </c>
      <c r="C2255" s="134"/>
      <c r="D2255" s="134"/>
      <c r="E2255" s="69">
        <v>1</v>
      </c>
      <c r="F2255" s="32">
        <f>'MANO DE OBRA'!$H$31</f>
        <v>226162.13017808215</v>
      </c>
      <c r="G2255" s="68">
        <v>0.15</v>
      </c>
      <c r="H2255" s="66">
        <f>E2255*F2255*G2255</f>
        <v>33924.319526712323</v>
      </c>
    </row>
    <row r="2256" spans="2:8" ht="15" customHeight="1" x14ac:dyDescent="0.3">
      <c r="G2256" s="31" t="s">
        <v>394</v>
      </c>
      <c r="H2256" s="67">
        <f>SUM(H2253:H2255)</f>
        <v>242807.24994041093</v>
      </c>
    </row>
    <row r="2257" spans="2:8" ht="15" customHeight="1" x14ac:dyDescent="0.3"/>
    <row r="2258" spans="2:8" ht="15" customHeight="1" x14ac:dyDescent="0.3">
      <c r="B2258" s="115" t="s">
        <v>295</v>
      </c>
      <c r="C2258" s="115"/>
      <c r="D2258" s="115"/>
      <c r="E2258" s="115"/>
      <c r="F2258" s="115"/>
      <c r="G2258" s="115"/>
      <c r="H2258" s="70">
        <f>H2236+H2245+H2250+H2256</f>
        <v>745925.00257823151</v>
      </c>
    </row>
    <row r="2259" spans="2:8" ht="15" customHeight="1" x14ac:dyDescent="0.3"/>
    <row r="2260" spans="2:8" ht="15" customHeight="1" x14ac:dyDescent="0.3">
      <c r="B2260" s="71" t="s">
        <v>411</v>
      </c>
    </row>
    <row r="2261" spans="2:8" ht="15" customHeight="1" x14ac:dyDescent="0.3">
      <c r="B2261" s="123" t="s">
        <v>94</v>
      </c>
      <c r="C2261" s="123"/>
      <c r="D2261" s="123"/>
      <c r="E2261" s="123"/>
      <c r="F2261" s="123"/>
      <c r="G2261" s="31" t="s">
        <v>412</v>
      </c>
      <c r="H2261" s="31" t="s">
        <v>4</v>
      </c>
    </row>
    <row r="2262" spans="2:8" ht="15" customHeight="1" x14ac:dyDescent="0.3">
      <c r="B2262" s="110" t="s">
        <v>73</v>
      </c>
      <c r="C2262" s="110"/>
      <c r="D2262" s="110"/>
      <c r="E2262" s="110"/>
      <c r="F2262" s="110"/>
      <c r="G2262" s="22">
        <f>'Datos Iniciales'!$B$32</f>
        <v>0.28999999999999998</v>
      </c>
      <c r="H2262" s="66">
        <f>H2258*G2262</f>
        <v>216318.25074768713</v>
      </c>
    </row>
    <row r="2263" spans="2:8" ht="15" customHeight="1" x14ac:dyDescent="0.3">
      <c r="B2263" s="110" t="s">
        <v>74</v>
      </c>
      <c r="C2263" s="110"/>
      <c r="D2263" s="110"/>
      <c r="E2263" s="110"/>
      <c r="F2263" s="110"/>
      <c r="G2263" s="22">
        <f>'Datos Iniciales'!$B$33</f>
        <v>0.05</v>
      </c>
      <c r="H2263" s="66">
        <f>H2258*G2263</f>
        <v>37296.250128911575</v>
      </c>
    </row>
    <row r="2264" spans="2:8" ht="15" customHeight="1" x14ac:dyDescent="0.3">
      <c r="B2264" s="138" t="s">
        <v>413</v>
      </c>
      <c r="C2264" s="138"/>
      <c r="D2264" s="138"/>
      <c r="E2264" s="138"/>
      <c r="F2264" s="138"/>
      <c r="G2264" s="60">
        <f>G2262+G2263</f>
        <v>0.33999999999999997</v>
      </c>
      <c r="H2264" s="67">
        <f>H2262+H2263</f>
        <v>253614.5008765987</v>
      </c>
    </row>
    <row r="2265" spans="2:8" ht="15" customHeight="1" x14ac:dyDescent="0.3"/>
    <row r="2266" spans="2:8" ht="15" customHeight="1" x14ac:dyDescent="0.3">
      <c r="B2266" s="139" t="s">
        <v>414</v>
      </c>
      <c r="C2266" s="139"/>
      <c r="D2266" s="139"/>
      <c r="E2266" s="139"/>
      <c r="F2266" s="139"/>
      <c r="G2266" s="139"/>
      <c r="H2266" s="37">
        <f>ROUND(H2258+H2264,0)</f>
        <v>999540</v>
      </c>
    </row>
    <row r="2267" spans="2:8" ht="15" customHeight="1" x14ac:dyDescent="0.3"/>
    <row r="2268" spans="2:8" ht="15" customHeight="1" x14ac:dyDescent="0.3"/>
    <row r="2269" spans="2:8" ht="15.75" customHeight="1" x14ac:dyDescent="0.3">
      <c r="B2269" s="123" t="s">
        <v>0</v>
      </c>
      <c r="C2269" s="123"/>
      <c r="D2269" s="123"/>
      <c r="E2269" s="123"/>
      <c r="F2269" s="123"/>
      <c r="G2269" s="123"/>
      <c r="H2269" s="110"/>
    </row>
    <row r="2270" spans="2:8" ht="15.75" customHeight="1" x14ac:dyDescent="0.3">
      <c r="B2270" s="123" t="s">
        <v>1</v>
      </c>
      <c r="C2270" s="123"/>
      <c r="D2270" s="123"/>
      <c r="E2270" s="123"/>
      <c r="F2270" s="123"/>
      <c r="G2270" s="123"/>
      <c r="H2270" s="110"/>
    </row>
    <row r="2271" spans="2:8" ht="24" customHeight="1" x14ac:dyDescent="0.3">
      <c r="B2271" s="136" t="str">
        <f>'Datos Iniciales'!$B$8</f>
        <v>OBRA PÚBLICA PARA LA EJECUCIÓN DE DIFERENTES MEJORAMIENTOS DE VIVIENDA EN EL CASCO URBANO Y RURAL DEL MUNICIPIO DE MACEO - ANTIOQUIA</v>
      </c>
      <c r="C2271" s="136"/>
      <c r="D2271" s="136"/>
      <c r="E2271" s="136"/>
      <c r="F2271" s="136"/>
      <c r="G2271" s="136"/>
      <c r="H2271" s="110"/>
    </row>
    <row r="2272" spans="2:8" ht="15.75" customHeight="1" x14ac:dyDescent="0.3">
      <c r="B2272" s="112" t="s">
        <v>381</v>
      </c>
      <c r="C2272" s="112"/>
      <c r="D2272" s="112"/>
      <c r="E2272" s="112"/>
      <c r="F2272" s="112"/>
      <c r="G2272" s="112"/>
      <c r="H2272" s="110"/>
    </row>
    <row r="2273" spans="2:8" ht="24" customHeight="1" x14ac:dyDescent="0.3">
      <c r="B2273" s="13" t="s">
        <v>382</v>
      </c>
      <c r="C2273" s="112" t="s">
        <v>94</v>
      </c>
      <c r="D2273" s="112"/>
      <c r="E2273" s="112"/>
      <c r="F2273" s="13" t="s">
        <v>383</v>
      </c>
      <c r="G2273" s="13" t="s">
        <v>384</v>
      </c>
      <c r="H2273" s="13" t="s">
        <v>385</v>
      </c>
    </row>
    <row r="2274" spans="2:8" ht="31.5" customHeight="1" x14ac:dyDescent="0.3">
      <c r="B2274" s="63" t="s">
        <v>669</v>
      </c>
      <c r="C2274" s="140" t="s">
        <v>223</v>
      </c>
      <c r="D2274" s="140"/>
      <c r="E2274" s="140"/>
      <c r="F2274" s="17" t="s">
        <v>104</v>
      </c>
      <c r="G2274" s="41">
        <f>PRESUPUESTO!$E$81</f>
        <v>19.2</v>
      </c>
      <c r="H2274" s="33">
        <f>H2296</f>
        <v>54939.667780714903</v>
      </c>
    </row>
    <row r="2275" spans="2:8" ht="15" customHeight="1" x14ac:dyDescent="0.3">
      <c r="B2275" s="137" t="s">
        <v>670</v>
      </c>
      <c r="C2275" s="137"/>
      <c r="D2275" s="137"/>
      <c r="E2275" s="137"/>
      <c r="F2275" s="137"/>
      <c r="G2275" s="137"/>
      <c r="H2275" s="137"/>
    </row>
    <row r="2276" spans="2:8" ht="15" customHeight="1" x14ac:dyDescent="0.3">
      <c r="B2276" s="64" t="s">
        <v>388</v>
      </c>
    </row>
    <row r="2277" spans="2:8" ht="15" customHeight="1" x14ac:dyDescent="0.3">
      <c r="B2277" s="135" t="s">
        <v>389</v>
      </c>
      <c r="C2277" s="135"/>
      <c r="D2277" s="135"/>
      <c r="E2277" s="135"/>
      <c r="F2277" s="135"/>
      <c r="G2277" s="135"/>
      <c r="H2277" s="135"/>
    </row>
    <row r="2278" spans="2:8" ht="24" customHeight="1" x14ac:dyDescent="0.3">
      <c r="B2278" s="123" t="s">
        <v>94</v>
      </c>
      <c r="C2278" s="123"/>
      <c r="D2278" s="123"/>
      <c r="E2278" s="31" t="s">
        <v>383</v>
      </c>
      <c r="F2278" s="31" t="s">
        <v>364</v>
      </c>
      <c r="G2278" s="31" t="s">
        <v>390</v>
      </c>
      <c r="H2278" s="31" t="s">
        <v>391</v>
      </c>
    </row>
    <row r="2279" spans="2:8" ht="15" customHeight="1" x14ac:dyDescent="0.3">
      <c r="B2279" s="134" t="s">
        <v>392</v>
      </c>
      <c r="C2279" s="134"/>
      <c r="D2279" s="134"/>
      <c r="E2279" s="17" t="s">
        <v>393</v>
      </c>
      <c r="F2279" s="22">
        <f>EQUIPOS!$D$3</f>
        <v>0.05</v>
      </c>
      <c r="G2279" s="65">
        <f>H2294</f>
        <v>37561.588362585622</v>
      </c>
      <c r="H2279" s="66">
        <f>F2279*G2279</f>
        <v>1878.0794181292813</v>
      </c>
    </row>
    <row r="2280" spans="2:8" ht="15" customHeight="1" x14ac:dyDescent="0.3">
      <c r="B2280" s="134" t="s">
        <v>671</v>
      </c>
      <c r="C2280" s="134"/>
      <c r="D2280" s="134"/>
      <c r="E2280" s="17" t="s">
        <v>421</v>
      </c>
      <c r="F2280" s="65">
        <f>EQUIPOS!$D$6</f>
        <v>120000</v>
      </c>
      <c r="G2280" s="68">
        <v>0.125</v>
      </c>
      <c r="H2280" s="66">
        <f>F2280*G2280</f>
        <v>15000</v>
      </c>
    </row>
    <row r="2281" spans="2:8" ht="15" customHeight="1" x14ac:dyDescent="0.3">
      <c r="G2281" s="31" t="s">
        <v>394</v>
      </c>
      <c r="H2281" s="67">
        <f>SUM(H2279:H2280)</f>
        <v>16878.07941812928</v>
      </c>
    </row>
    <row r="2282" spans="2:8" ht="15" customHeight="1" x14ac:dyDescent="0.3">
      <c r="B2282" s="135" t="s">
        <v>395</v>
      </c>
      <c r="C2282" s="135"/>
      <c r="D2282" s="135"/>
      <c r="E2282" s="135"/>
      <c r="F2282" s="135"/>
      <c r="G2282" s="135"/>
      <c r="H2282" s="135"/>
    </row>
    <row r="2283" spans="2:8" ht="15" customHeight="1" x14ac:dyDescent="0.3">
      <c r="B2283" s="123" t="s">
        <v>94</v>
      </c>
      <c r="C2283" s="123"/>
      <c r="D2283" s="31" t="s">
        <v>383</v>
      </c>
      <c r="E2283" s="31" t="s">
        <v>96</v>
      </c>
      <c r="F2283" s="31" t="s">
        <v>396</v>
      </c>
      <c r="G2283" s="31" t="s">
        <v>397</v>
      </c>
      <c r="H2283" s="31" t="s">
        <v>391</v>
      </c>
    </row>
    <row r="2284" spans="2:8" ht="15" customHeight="1" x14ac:dyDescent="0.3">
      <c r="B2284" s="134" t="s">
        <v>672</v>
      </c>
      <c r="C2284" s="134"/>
      <c r="D2284" s="17" t="s">
        <v>673</v>
      </c>
      <c r="E2284" s="68">
        <v>50</v>
      </c>
      <c r="F2284" s="27">
        <v>0</v>
      </c>
      <c r="G2284" s="32">
        <f>INSUMOS!$D$7</f>
        <v>10</v>
      </c>
      <c r="H2284" s="66">
        <f>E2284*(1+F2284)*G2284</f>
        <v>500</v>
      </c>
    </row>
    <row r="2285" spans="2:8" ht="15" customHeight="1" x14ac:dyDescent="0.3">
      <c r="G2285" s="31" t="s">
        <v>394</v>
      </c>
      <c r="H2285" s="67">
        <f>SUM(H2284:H2284)</f>
        <v>500</v>
      </c>
    </row>
    <row r="2286" spans="2:8" ht="15" customHeight="1" x14ac:dyDescent="0.3">
      <c r="B2286" s="135" t="s">
        <v>404</v>
      </c>
      <c r="C2286" s="135"/>
      <c r="D2286" s="135"/>
      <c r="E2286" s="135"/>
      <c r="F2286" s="135"/>
      <c r="G2286" s="135"/>
      <c r="H2286" s="135"/>
    </row>
    <row r="2287" spans="2:8" ht="15" customHeight="1" x14ac:dyDescent="0.3">
      <c r="B2287" s="123" t="s">
        <v>94</v>
      </c>
      <c r="C2287" s="123"/>
      <c r="D2287" s="31" t="s">
        <v>383</v>
      </c>
      <c r="E2287" s="31" t="s">
        <v>96</v>
      </c>
      <c r="F2287" s="31"/>
      <c r="G2287" s="31" t="s">
        <v>364</v>
      </c>
      <c r="H2287" s="31" t="s">
        <v>391</v>
      </c>
    </row>
    <row r="2288" spans="2:8" ht="15" customHeight="1" x14ac:dyDescent="0.3">
      <c r="B2288" s="137" t="s">
        <v>405</v>
      </c>
      <c r="C2288" s="137"/>
      <c r="D2288" s="29"/>
      <c r="E2288" s="29"/>
      <c r="F2288" s="29"/>
      <c r="G2288" s="29"/>
      <c r="H2288" s="66">
        <v>0</v>
      </c>
    </row>
    <row r="2289" spans="2:8" ht="15" customHeight="1" x14ac:dyDescent="0.3">
      <c r="G2289" s="31" t="s">
        <v>394</v>
      </c>
      <c r="H2289" s="67">
        <f>SUM(H2288:H2288)</f>
        <v>0</v>
      </c>
    </row>
    <row r="2290" spans="2:8" ht="15" customHeight="1" x14ac:dyDescent="0.3">
      <c r="B2290" s="135" t="s">
        <v>406</v>
      </c>
      <c r="C2290" s="135"/>
      <c r="D2290" s="135"/>
      <c r="E2290" s="135"/>
      <c r="F2290" s="135"/>
      <c r="G2290" s="135"/>
      <c r="H2290" s="135"/>
    </row>
    <row r="2291" spans="2:8" ht="24" customHeight="1" x14ac:dyDescent="0.3">
      <c r="B2291" s="123" t="s">
        <v>407</v>
      </c>
      <c r="C2291" s="123"/>
      <c r="D2291" s="123"/>
      <c r="E2291" s="31" t="s">
        <v>96</v>
      </c>
      <c r="F2291" s="31" t="s">
        <v>408</v>
      </c>
      <c r="G2291" s="31" t="s">
        <v>390</v>
      </c>
      <c r="H2291" s="31" t="s">
        <v>391</v>
      </c>
    </row>
    <row r="2292" spans="2:8" ht="15" customHeight="1" x14ac:dyDescent="0.3">
      <c r="B2292" s="134" t="s">
        <v>409</v>
      </c>
      <c r="C2292" s="134"/>
      <c r="D2292" s="134"/>
      <c r="E2292" s="69">
        <v>0.25</v>
      </c>
      <c r="F2292" s="32">
        <f>'MANO DE OBRA'!$H$27</f>
        <v>226162.13017808215</v>
      </c>
      <c r="G2292" s="68">
        <v>0.125</v>
      </c>
      <c r="H2292" s="66">
        <f>E2292*F2292*G2292</f>
        <v>7067.5665680650673</v>
      </c>
    </row>
    <row r="2293" spans="2:8" ht="15" customHeight="1" x14ac:dyDescent="0.3">
      <c r="B2293" s="134" t="s">
        <v>410</v>
      </c>
      <c r="C2293" s="134"/>
      <c r="D2293" s="134"/>
      <c r="E2293" s="69">
        <v>2</v>
      </c>
      <c r="F2293" s="32">
        <f>'MANO DE OBRA'!$H$23</f>
        <v>121976.08717808221</v>
      </c>
      <c r="G2293" s="68">
        <v>0.125</v>
      </c>
      <c r="H2293" s="66">
        <f>E2293*F2293*G2293</f>
        <v>30494.021794520551</v>
      </c>
    </row>
    <row r="2294" spans="2:8" ht="15" customHeight="1" x14ac:dyDescent="0.3">
      <c r="G2294" s="31" t="s">
        <v>394</v>
      </c>
      <c r="H2294" s="67">
        <f>SUM(H2292:H2293)</f>
        <v>37561.588362585622</v>
      </c>
    </row>
    <row r="2295" spans="2:8" ht="15" customHeight="1" x14ac:dyDescent="0.3"/>
    <row r="2296" spans="2:8" ht="15" customHeight="1" x14ac:dyDescent="0.3">
      <c r="B2296" s="115" t="s">
        <v>295</v>
      </c>
      <c r="C2296" s="115"/>
      <c r="D2296" s="115"/>
      <c r="E2296" s="115"/>
      <c r="F2296" s="115"/>
      <c r="G2296" s="115"/>
      <c r="H2296" s="70">
        <f>H2281+H2285+H2289+H2294</f>
        <v>54939.667780714903</v>
      </c>
    </row>
    <row r="2297" spans="2:8" ht="15" customHeight="1" x14ac:dyDescent="0.3"/>
    <row r="2298" spans="2:8" ht="15" customHeight="1" x14ac:dyDescent="0.3">
      <c r="B2298" s="71" t="s">
        <v>411</v>
      </c>
    </row>
    <row r="2299" spans="2:8" ht="15" customHeight="1" x14ac:dyDescent="0.3">
      <c r="B2299" s="123" t="s">
        <v>94</v>
      </c>
      <c r="C2299" s="123"/>
      <c r="D2299" s="123"/>
      <c r="E2299" s="123"/>
      <c r="F2299" s="123"/>
      <c r="G2299" s="31" t="s">
        <v>412</v>
      </c>
      <c r="H2299" s="31" t="s">
        <v>4</v>
      </c>
    </row>
    <row r="2300" spans="2:8" ht="15" customHeight="1" x14ac:dyDescent="0.3">
      <c r="B2300" s="110" t="s">
        <v>73</v>
      </c>
      <c r="C2300" s="110"/>
      <c r="D2300" s="110"/>
      <c r="E2300" s="110"/>
      <c r="F2300" s="110"/>
      <c r="G2300" s="22">
        <f>'Datos Iniciales'!$B$32</f>
        <v>0.28999999999999998</v>
      </c>
      <c r="H2300" s="66">
        <f>H2296*G2300</f>
        <v>15932.50365640732</v>
      </c>
    </row>
    <row r="2301" spans="2:8" ht="15" customHeight="1" x14ac:dyDescent="0.3">
      <c r="B2301" s="110" t="s">
        <v>74</v>
      </c>
      <c r="C2301" s="110"/>
      <c r="D2301" s="110"/>
      <c r="E2301" s="110"/>
      <c r="F2301" s="110"/>
      <c r="G2301" s="22">
        <f>'Datos Iniciales'!$B$33</f>
        <v>0.05</v>
      </c>
      <c r="H2301" s="66">
        <f>H2296*G2301</f>
        <v>2746.9833890357454</v>
      </c>
    </row>
    <row r="2302" spans="2:8" ht="15" customHeight="1" x14ac:dyDescent="0.3">
      <c r="B2302" s="138" t="s">
        <v>413</v>
      </c>
      <c r="C2302" s="138"/>
      <c r="D2302" s="138"/>
      <c r="E2302" s="138"/>
      <c r="F2302" s="138"/>
      <c r="G2302" s="60">
        <f>G2300+G2301</f>
        <v>0.33999999999999997</v>
      </c>
      <c r="H2302" s="67">
        <f>H2300+H2301</f>
        <v>18679.487045443064</v>
      </c>
    </row>
    <row r="2303" spans="2:8" ht="15" customHeight="1" x14ac:dyDescent="0.3"/>
    <row r="2304" spans="2:8" ht="15" customHeight="1" x14ac:dyDescent="0.3">
      <c r="B2304" s="139" t="s">
        <v>414</v>
      </c>
      <c r="C2304" s="139"/>
      <c r="D2304" s="139"/>
      <c r="E2304" s="139"/>
      <c r="F2304" s="139"/>
      <c r="G2304" s="139"/>
      <c r="H2304" s="37">
        <f>ROUND(H2296+H2302,0)</f>
        <v>73619</v>
      </c>
    </row>
    <row r="2305" spans="2:8" ht="15" customHeight="1" x14ac:dyDescent="0.3"/>
    <row r="2306" spans="2:8" ht="15" customHeight="1" x14ac:dyDescent="0.3"/>
    <row r="2307" spans="2:8" ht="15.75" customHeight="1" x14ac:dyDescent="0.3">
      <c r="B2307" s="123" t="s">
        <v>0</v>
      </c>
      <c r="C2307" s="123"/>
      <c r="D2307" s="123"/>
      <c r="E2307" s="123"/>
      <c r="F2307" s="123"/>
      <c r="G2307" s="123"/>
      <c r="H2307" s="110"/>
    </row>
    <row r="2308" spans="2:8" ht="15.75" customHeight="1" x14ac:dyDescent="0.3">
      <c r="B2308" s="123" t="s">
        <v>1</v>
      </c>
      <c r="C2308" s="123"/>
      <c r="D2308" s="123"/>
      <c r="E2308" s="123"/>
      <c r="F2308" s="123"/>
      <c r="G2308" s="123"/>
      <c r="H2308" s="110"/>
    </row>
    <row r="2309" spans="2:8" ht="24" customHeight="1" x14ac:dyDescent="0.3">
      <c r="B2309" s="136" t="str">
        <f>'Datos Iniciales'!$B$8</f>
        <v>OBRA PÚBLICA PARA LA EJECUCIÓN DE DIFERENTES MEJORAMIENTOS DE VIVIENDA EN EL CASCO URBANO Y RURAL DEL MUNICIPIO DE MACEO - ANTIOQUIA</v>
      </c>
      <c r="C2309" s="136"/>
      <c r="D2309" s="136"/>
      <c r="E2309" s="136"/>
      <c r="F2309" s="136"/>
      <c r="G2309" s="136"/>
      <c r="H2309" s="110"/>
    </row>
    <row r="2310" spans="2:8" ht="15.75" customHeight="1" x14ac:dyDescent="0.3">
      <c r="B2310" s="112" t="s">
        <v>381</v>
      </c>
      <c r="C2310" s="112"/>
      <c r="D2310" s="112"/>
      <c r="E2310" s="112"/>
      <c r="F2310" s="112"/>
      <c r="G2310" s="112"/>
      <c r="H2310" s="110"/>
    </row>
    <row r="2311" spans="2:8" ht="24" customHeight="1" x14ac:dyDescent="0.3">
      <c r="B2311" s="13" t="s">
        <v>382</v>
      </c>
      <c r="C2311" s="112" t="s">
        <v>94</v>
      </c>
      <c r="D2311" s="112"/>
      <c r="E2311" s="112"/>
      <c r="F2311" s="13" t="s">
        <v>383</v>
      </c>
      <c r="G2311" s="13" t="s">
        <v>384</v>
      </c>
      <c r="H2311" s="13" t="s">
        <v>385</v>
      </c>
    </row>
    <row r="2312" spans="2:8" ht="31.5" customHeight="1" x14ac:dyDescent="0.3">
      <c r="B2312" s="63" t="s">
        <v>674</v>
      </c>
      <c r="C2312" s="140" t="s">
        <v>221</v>
      </c>
      <c r="D2312" s="140"/>
      <c r="E2312" s="140"/>
      <c r="F2312" s="17" t="s">
        <v>104</v>
      </c>
      <c r="G2312" s="41">
        <f>PRESUPUESTO!$E$80</f>
        <v>10.8</v>
      </c>
      <c r="H2312" s="33">
        <f>H2334</f>
        <v>437011.6102860017</v>
      </c>
    </row>
    <row r="2313" spans="2:8" ht="15" customHeight="1" x14ac:dyDescent="0.3">
      <c r="B2313" s="137" t="s">
        <v>675</v>
      </c>
      <c r="C2313" s="137"/>
      <c r="D2313" s="137"/>
      <c r="E2313" s="137"/>
      <c r="F2313" s="137"/>
      <c r="G2313" s="137"/>
      <c r="H2313" s="137"/>
    </row>
    <row r="2314" spans="2:8" ht="15" customHeight="1" x14ac:dyDescent="0.3">
      <c r="B2314" s="64" t="s">
        <v>388</v>
      </c>
    </row>
    <row r="2315" spans="2:8" ht="15" customHeight="1" x14ac:dyDescent="0.3">
      <c r="B2315" s="135" t="s">
        <v>389</v>
      </c>
      <c r="C2315" s="135"/>
      <c r="D2315" s="135"/>
      <c r="E2315" s="135"/>
      <c r="F2315" s="135"/>
      <c r="G2315" s="135"/>
      <c r="H2315" s="135"/>
    </row>
    <row r="2316" spans="2:8" ht="24" customHeight="1" x14ac:dyDescent="0.3">
      <c r="B2316" s="123" t="s">
        <v>94</v>
      </c>
      <c r="C2316" s="123"/>
      <c r="D2316" s="123"/>
      <c r="E2316" s="31" t="s">
        <v>383</v>
      </c>
      <c r="F2316" s="31" t="s">
        <v>364</v>
      </c>
      <c r="G2316" s="31" t="s">
        <v>390</v>
      </c>
      <c r="H2316" s="31" t="s">
        <v>391</v>
      </c>
    </row>
    <row r="2317" spans="2:8" ht="15" customHeight="1" x14ac:dyDescent="0.3">
      <c r="B2317" s="134" t="s">
        <v>392</v>
      </c>
      <c r="C2317" s="134"/>
      <c r="D2317" s="134"/>
      <c r="E2317" s="17" t="s">
        <v>393</v>
      </c>
      <c r="F2317" s="22">
        <f>EQUIPOS!$D$3</f>
        <v>0.05</v>
      </c>
      <c r="G2317" s="65">
        <f>H2332</f>
        <v>105172.44741523973</v>
      </c>
      <c r="H2317" s="66">
        <f>F2317*G2317</f>
        <v>5258.6223707619865</v>
      </c>
    </row>
    <row r="2318" spans="2:8" ht="15" customHeight="1" x14ac:dyDescent="0.3">
      <c r="G2318" s="31" t="s">
        <v>394</v>
      </c>
      <c r="H2318" s="67">
        <f>SUM(H2317:H2317)</f>
        <v>5258.6223707619865</v>
      </c>
    </row>
    <row r="2319" spans="2:8" ht="15" customHeight="1" x14ac:dyDescent="0.3">
      <c r="B2319" s="135" t="s">
        <v>395</v>
      </c>
      <c r="C2319" s="135"/>
      <c r="D2319" s="135"/>
      <c r="E2319" s="135"/>
      <c r="F2319" s="135"/>
      <c r="G2319" s="135"/>
      <c r="H2319" s="135"/>
    </row>
    <row r="2320" spans="2:8" ht="15" customHeight="1" x14ac:dyDescent="0.3">
      <c r="B2320" s="123" t="s">
        <v>94</v>
      </c>
      <c r="C2320" s="123"/>
      <c r="D2320" s="31" t="s">
        <v>383</v>
      </c>
      <c r="E2320" s="31" t="s">
        <v>96</v>
      </c>
      <c r="F2320" s="31" t="s">
        <v>396</v>
      </c>
      <c r="G2320" s="31" t="s">
        <v>397</v>
      </c>
      <c r="H2320" s="31" t="s">
        <v>391</v>
      </c>
    </row>
    <row r="2321" spans="2:8" ht="15" customHeight="1" x14ac:dyDescent="0.3">
      <c r="B2321" s="134" t="s">
        <v>645</v>
      </c>
      <c r="C2321" s="134"/>
      <c r="D2321" s="17" t="s">
        <v>423</v>
      </c>
      <c r="E2321" s="68">
        <v>1</v>
      </c>
      <c r="F2321" s="27">
        <v>0.15</v>
      </c>
      <c r="G2321" s="32">
        <f>INSUMOS!$D$5</f>
        <v>193400.47</v>
      </c>
      <c r="H2321" s="66">
        <f>E2321*(1+F2321)*G2321</f>
        <v>222410.54049999997</v>
      </c>
    </row>
    <row r="2322" spans="2:8" ht="15" customHeight="1" x14ac:dyDescent="0.3">
      <c r="B2322" s="134" t="s">
        <v>676</v>
      </c>
      <c r="C2322" s="134"/>
      <c r="D2322" s="17" t="s">
        <v>442</v>
      </c>
      <c r="E2322" s="68">
        <v>7.3</v>
      </c>
      <c r="F2322" s="27">
        <v>0.1</v>
      </c>
      <c r="G2322" s="32">
        <f>INSUMOS!$D$22</f>
        <v>6500</v>
      </c>
      <c r="H2322" s="66">
        <f>E2322*(1+F2322)*G2322</f>
        <v>52195.000000000007</v>
      </c>
    </row>
    <row r="2323" spans="2:8" ht="15" customHeight="1" x14ac:dyDescent="0.3">
      <c r="G2323" s="31" t="s">
        <v>394</v>
      </c>
      <c r="H2323" s="67">
        <f>SUM(H2321:H2322)</f>
        <v>274605.5405</v>
      </c>
    </row>
    <row r="2324" spans="2:8" ht="15" customHeight="1" x14ac:dyDescent="0.3">
      <c r="B2324" s="135" t="s">
        <v>404</v>
      </c>
      <c r="C2324" s="135"/>
      <c r="D2324" s="135"/>
      <c r="E2324" s="135"/>
      <c r="F2324" s="135"/>
      <c r="G2324" s="135"/>
      <c r="H2324" s="135"/>
    </row>
    <row r="2325" spans="2:8" ht="15" customHeight="1" x14ac:dyDescent="0.3">
      <c r="B2325" s="123" t="s">
        <v>94</v>
      </c>
      <c r="C2325" s="123"/>
      <c r="D2325" s="31" t="s">
        <v>383</v>
      </c>
      <c r="E2325" s="31" t="s">
        <v>96</v>
      </c>
      <c r="F2325" s="31"/>
      <c r="G2325" s="31" t="s">
        <v>364</v>
      </c>
      <c r="H2325" s="31" t="s">
        <v>391</v>
      </c>
    </row>
    <row r="2326" spans="2:8" ht="22.05" customHeight="1" x14ac:dyDescent="0.3">
      <c r="B2326" s="134" t="s">
        <v>677</v>
      </c>
      <c r="C2326" s="134"/>
      <c r="D2326" s="17" t="s">
        <v>431</v>
      </c>
      <c r="E2326" s="72">
        <f>1.75*'Datos Iniciales'!$B$26</f>
        <v>17.5</v>
      </c>
      <c r="F2326" s="29"/>
      <c r="G2326" s="32">
        <f>TRANSPORTE!$D$5</f>
        <v>2970</v>
      </c>
      <c r="H2326" s="66">
        <f>E2326*G2326</f>
        <v>51975</v>
      </c>
    </row>
    <row r="2327" spans="2:8" ht="15" customHeight="1" x14ac:dyDescent="0.3">
      <c r="G2327" s="31" t="s">
        <v>394</v>
      </c>
      <c r="H2327" s="67">
        <f>SUM(H2326:H2326)</f>
        <v>51975</v>
      </c>
    </row>
    <row r="2328" spans="2:8" ht="15" customHeight="1" x14ac:dyDescent="0.3">
      <c r="B2328" s="135" t="s">
        <v>406</v>
      </c>
      <c r="C2328" s="135"/>
      <c r="D2328" s="135"/>
      <c r="E2328" s="135"/>
      <c r="F2328" s="135"/>
      <c r="G2328" s="135"/>
      <c r="H2328" s="135"/>
    </row>
    <row r="2329" spans="2:8" ht="24" customHeight="1" x14ac:dyDescent="0.3">
      <c r="B2329" s="123" t="s">
        <v>407</v>
      </c>
      <c r="C2329" s="123"/>
      <c r="D2329" s="123"/>
      <c r="E2329" s="31" t="s">
        <v>96</v>
      </c>
      <c r="F2329" s="31" t="s">
        <v>408</v>
      </c>
      <c r="G2329" s="31" t="s">
        <v>390</v>
      </c>
      <c r="H2329" s="31" t="s">
        <v>391</v>
      </c>
    </row>
    <row r="2330" spans="2:8" ht="15" customHeight="1" x14ac:dyDescent="0.3">
      <c r="B2330" s="134" t="s">
        <v>409</v>
      </c>
      <c r="C2330" s="134"/>
      <c r="D2330" s="134"/>
      <c r="E2330" s="69">
        <v>0.25</v>
      </c>
      <c r="F2330" s="32">
        <f>'MANO DE OBRA'!$H$27</f>
        <v>226162.13017808215</v>
      </c>
      <c r="G2330" s="68">
        <v>0.35</v>
      </c>
      <c r="H2330" s="66">
        <f>E2330*F2330*G2330</f>
        <v>19789.186390582188</v>
      </c>
    </row>
    <row r="2331" spans="2:8" ht="15" customHeight="1" x14ac:dyDescent="0.3">
      <c r="B2331" s="134" t="s">
        <v>410</v>
      </c>
      <c r="C2331" s="134"/>
      <c r="D2331" s="134"/>
      <c r="E2331" s="69">
        <v>2</v>
      </c>
      <c r="F2331" s="32">
        <f>'MANO DE OBRA'!$H$23</f>
        <v>121976.08717808221</v>
      </c>
      <c r="G2331" s="68">
        <v>0.35</v>
      </c>
      <c r="H2331" s="66">
        <f>E2331*F2331*G2331</f>
        <v>85383.261024657535</v>
      </c>
    </row>
    <row r="2332" spans="2:8" ht="15" customHeight="1" x14ac:dyDescent="0.3">
      <c r="G2332" s="31" t="s">
        <v>394</v>
      </c>
      <c r="H2332" s="67">
        <f>SUM(H2330:H2331)</f>
        <v>105172.44741523973</v>
      </c>
    </row>
    <row r="2333" spans="2:8" ht="15" customHeight="1" x14ac:dyDescent="0.3"/>
    <row r="2334" spans="2:8" ht="15" customHeight="1" x14ac:dyDescent="0.3">
      <c r="B2334" s="115" t="s">
        <v>295</v>
      </c>
      <c r="C2334" s="115"/>
      <c r="D2334" s="115"/>
      <c r="E2334" s="115"/>
      <c r="F2334" s="115"/>
      <c r="G2334" s="115"/>
      <c r="H2334" s="70">
        <f>H2318+H2323+H2327+H2332</f>
        <v>437011.6102860017</v>
      </c>
    </row>
    <row r="2335" spans="2:8" ht="15" customHeight="1" x14ac:dyDescent="0.3"/>
    <row r="2336" spans="2:8" ht="15" customHeight="1" x14ac:dyDescent="0.3">
      <c r="B2336" s="71" t="s">
        <v>411</v>
      </c>
    </row>
    <row r="2337" spans="2:8" ht="15" customHeight="1" x14ac:dyDescent="0.3">
      <c r="B2337" s="123" t="s">
        <v>94</v>
      </c>
      <c r="C2337" s="123"/>
      <c r="D2337" s="123"/>
      <c r="E2337" s="123"/>
      <c r="F2337" s="123"/>
      <c r="G2337" s="31" t="s">
        <v>412</v>
      </c>
      <c r="H2337" s="31" t="s">
        <v>4</v>
      </c>
    </row>
    <row r="2338" spans="2:8" ht="15" customHeight="1" x14ac:dyDescent="0.3">
      <c r="B2338" s="110" t="s">
        <v>73</v>
      </c>
      <c r="C2338" s="110"/>
      <c r="D2338" s="110"/>
      <c r="E2338" s="110"/>
      <c r="F2338" s="110"/>
      <c r="G2338" s="22">
        <f>'Datos Iniciales'!$B$32</f>
        <v>0.28999999999999998</v>
      </c>
      <c r="H2338" s="66">
        <f>H2334*G2338</f>
        <v>126733.36698294048</v>
      </c>
    </row>
    <row r="2339" spans="2:8" ht="15" customHeight="1" x14ac:dyDescent="0.3">
      <c r="B2339" s="110" t="s">
        <v>74</v>
      </c>
      <c r="C2339" s="110"/>
      <c r="D2339" s="110"/>
      <c r="E2339" s="110"/>
      <c r="F2339" s="110"/>
      <c r="G2339" s="22">
        <f>'Datos Iniciales'!$B$33</f>
        <v>0.05</v>
      </c>
      <c r="H2339" s="66">
        <f>H2334*G2339</f>
        <v>21850.580514300087</v>
      </c>
    </row>
    <row r="2340" spans="2:8" ht="15" customHeight="1" x14ac:dyDescent="0.3">
      <c r="B2340" s="138" t="s">
        <v>413</v>
      </c>
      <c r="C2340" s="138"/>
      <c r="D2340" s="138"/>
      <c r="E2340" s="138"/>
      <c r="F2340" s="138"/>
      <c r="G2340" s="60">
        <f>G2338+G2339</f>
        <v>0.33999999999999997</v>
      </c>
      <c r="H2340" s="67">
        <f>H2338+H2339</f>
        <v>148583.94749724056</v>
      </c>
    </row>
    <row r="2341" spans="2:8" ht="15" customHeight="1" x14ac:dyDescent="0.3"/>
    <row r="2342" spans="2:8" ht="15" customHeight="1" x14ac:dyDescent="0.3">
      <c r="B2342" s="139" t="s">
        <v>414</v>
      </c>
      <c r="C2342" s="139"/>
      <c r="D2342" s="139"/>
      <c r="E2342" s="139"/>
      <c r="F2342" s="139"/>
      <c r="G2342" s="139"/>
      <c r="H2342" s="37">
        <f>ROUND(H2334+H2340,0)</f>
        <v>585596</v>
      </c>
    </row>
    <row r="2343" spans="2:8" ht="15" customHeight="1" x14ac:dyDescent="0.3"/>
    <row r="2344" spans="2:8" ht="15" customHeight="1" x14ac:dyDescent="0.3"/>
    <row r="2345" spans="2:8" ht="15.75" customHeight="1" x14ac:dyDescent="0.3">
      <c r="B2345" s="123" t="s">
        <v>0</v>
      </c>
      <c r="C2345" s="123"/>
      <c r="D2345" s="123"/>
      <c r="E2345" s="123"/>
      <c r="F2345" s="123"/>
      <c r="G2345" s="123"/>
      <c r="H2345" s="110"/>
    </row>
    <row r="2346" spans="2:8" ht="15.75" customHeight="1" x14ac:dyDescent="0.3">
      <c r="B2346" s="123" t="s">
        <v>1</v>
      </c>
      <c r="C2346" s="123"/>
      <c r="D2346" s="123"/>
      <c r="E2346" s="123"/>
      <c r="F2346" s="123"/>
      <c r="G2346" s="123"/>
      <c r="H2346" s="110"/>
    </row>
    <row r="2347" spans="2:8" ht="24" customHeight="1" x14ac:dyDescent="0.3">
      <c r="B2347" s="136" t="str">
        <f>'Datos Iniciales'!$B$8</f>
        <v>OBRA PÚBLICA PARA LA EJECUCIÓN DE DIFERENTES MEJORAMIENTOS DE VIVIENDA EN EL CASCO URBANO Y RURAL DEL MUNICIPIO DE MACEO - ANTIOQUIA</v>
      </c>
      <c r="C2347" s="136"/>
      <c r="D2347" s="136"/>
      <c r="E2347" s="136"/>
      <c r="F2347" s="136"/>
      <c r="G2347" s="136"/>
      <c r="H2347" s="110"/>
    </row>
    <row r="2348" spans="2:8" ht="15.75" customHeight="1" x14ac:dyDescent="0.3">
      <c r="B2348" s="112" t="s">
        <v>381</v>
      </c>
      <c r="C2348" s="112"/>
      <c r="D2348" s="112"/>
      <c r="E2348" s="112"/>
      <c r="F2348" s="112"/>
      <c r="G2348" s="112"/>
      <c r="H2348" s="110"/>
    </row>
    <row r="2349" spans="2:8" ht="24" customHeight="1" x14ac:dyDescent="0.3">
      <c r="B2349" s="13" t="s">
        <v>382</v>
      </c>
      <c r="C2349" s="112" t="s">
        <v>94</v>
      </c>
      <c r="D2349" s="112"/>
      <c r="E2349" s="112"/>
      <c r="F2349" s="13" t="s">
        <v>383</v>
      </c>
      <c r="G2349" s="13" t="s">
        <v>384</v>
      </c>
      <c r="H2349" s="13" t="s">
        <v>385</v>
      </c>
    </row>
    <row r="2350" spans="2:8" ht="30" customHeight="1" x14ac:dyDescent="0.3">
      <c r="B2350" s="63" t="s">
        <v>678</v>
      </c>
      <c r="C2350" s="140" t="s">
        <v>219</v>
      </c>
      <c r="D2350" s="140"/>
      <c r="E2350" s="140"/>
      <c r="F2350" s="17" t="s">
        <v>137</v>
      </c>
      <c r="G2350" s="41">
        <f>PRESUPUESTO!$E$79</f>
        <v>21</v>
      </c>
      <c r="H2350" s="33">
        <f>H2372</f>
        <v>16026.353846719176</v>
      </c>
    </row>
    <row r="2351" spans="2:8" ht="15" customHeight="1" x14ac:dyDescent="0.3">
      <c r="B2351" s="137" t="s">
        <v>679</v>
      </c>
      <c r="C2351" s="137"/>
      <c r="D2351" s="137"/>
      <c r="E2351" s="137"/>
      <c r="F2351" s="137"/>
      <c r="G2351" s="137"/>
      <c r="H2351" s="137"/>
    </row>
    <row r="2352" spans="2:8" ht="15" customHeight="1" x14ac:dyDescent="0.3">
      <c r="B2352" s="64" t="s">
        <v>388</v>
      </c>
    </row>
    <row r="2353" spans="2:8" ht="15" customHeight="1" x14ac:dyDescent="0.3">
      <c r="B2353" s="135" t="s">
        <v>389</v>
      </c>
      <c r="C2353" s="135"/>
      <c r="D2353" s="135"/>
      <c r="E2353" s="135"/>
      <c r="F2353" s="135"/>
      <c r="G2353" s="135"/>
      <c r="H2353" s="135"/>
    </row>
    <row r="2354" spans="2:8" ht="24" customHeight="1" x14ac:dyDescent="0.3">
      <c r="B2354" s="123" t="s">
        <v>94</v>
      </c>
      <c r="C2354" s="123"/>
      <c r="D2354" s="123"/>
      <c r="E2354" s="31" t="s">
        <v>383</v>
      </c>
      <c r="F2354" s="31" t="s">
        <v>364</v>
      </c>
      <c r="G2354" s="31" t="s">
        <v>390</v>
      </c>
      <c r="H2354" s="31" t="s">
        <v>391</v>
      </c>
    </row>
    <row r="2355" spans="2:8" ht="15" customHeight="1" x14ac:dyDescent="0.3">
      <c r="B2355" s="134" t="s">
        <v>392</v>
      </c>
      <c r="C2355" s="134"/>
      <c r="D2355" s="134"/>
      <c r="E2355" s="17" t="s">
        <v>393</v>
      </c>
      <c r="F2355" s="22">
        <f>EQUIPOS!$D$3</f>
        <v>0.05</v>
      </c>
      <c r="G2355" s="65">
        <f>H2370</f>
        <v>10444.14652068493</v>
      </c>
      <c r="H2355" s="66">
        <f>F2355*G2355</f>
        <v>522.20732603424653</v>
      </c>
    </row>
    <row r="2356" spans="2:8" ht="15" customHeight="1" x14ac:dyDescent="0.3">
      <c r="G2356" s="31" t="s">
        <v>394</v>
      </c>
      <c r="H2356" s="67">
        <f>SUM(H2355:H2355)</f>
        <v>522.20732603424653</v>
      </c>
    </row>
    <row r="2357" spans="2:8" ht="15" customHeight="1" x14ac:dyDescent="0.3">
      <c r="B2357" s="135" t="s">
        <v>395</v>
      </c>
      <c r="C2357" s="135"/>
      <c r="D2357" s="135"/>
      <c r="E2357" s="135"/>
      <c r="F2357" s="135"/>
      <c r="G2357" s="135"/>
      <c r="H2357" s="135"/>
    </row>
    <row r="2358" spans="2:8" ht="15" customHeight="1" x14ac:dyDescent="0.3">
      <c r="B2358" s="123" t="s">
        <v>94</v>
      </c>
      <c r="C2358" s="123"/>
      <c r="D2358" s="31" t="s">
        <v>383</v>
      </c>
      <c r="E2358" s="31" t="s">
        <v>96</v>
      </c>
      <c r="F2358" s="31" t="s">
        <v>396</v>
      </c>
      <c r="G2358" s="31" t="s">
        <v>397</v>
      </c>
      <c r="H2358" s="31" t="s">
        <v>391</v>
      </c>
    </row>
    <row r="2359" spans="2:8" ht="15" customHeight="1" x14ac:dyDescent="0.3">
      <c r="B2359" s="134" t="s">
        <v>629</v>
      </c>
      <c r="C2359" s="134"/>
      <c r="D2359" s="17" t="s">
        <v>488</v>
      </c>
      <c r="E2359" s="68">
        <v>0.4</v>
      </c>
      <c r="F2359" s="27">
        <v>0.05</v>
      </c>
      <c r="G2359" s="32">
        <f>INSUMOS!$D$23</f>
        <v>10500</v>
      </c>
      <c r="H2359" s="66">
        <f>E2359*(1+F2359)*G2359</f>
        <v>4410</v>
      </c>
    </row>
    <row r="2360" spans="2:8" ht="15" customHeight="1" x14ac:dyDescent="0.3">
      <c r="B2360" s="134" t="s">
        <v>676</v>
      </c>
      <c r="C2360" s="134"/>
      <c r="D2360" s="17" t="s">
        <v>442</v>
      </c>
      <c r="E2360" s="68">
        <v>0.1</v>
      </c>
      <c r="F2360" s="27">
        <v>0</v>
      </c>
      <c r="G2360" s="32">
        <f>INSUMOS!$D$22</f>
        <v>6500</v>
      </c>
      <c r="H2360" s="66">
        <f>E2360*(1+F2360)*G2360</f>
        <v>650</v>
      </c>
    </row>
    <row r="2361" spans="2:8" ht="15" customHeight="1" x14ac:dyDescent="0.3">
      <c r="G2361" s="31" t="s">
        <v>394</v>
      </c>
      <c r="H2361" s="67">
        <f>SUM(H2359:H2360)</f>
        <v>5060</v>
      </c>
    </row>
    <row r="2362" spans="2:8" ht="15" customHeight="1" x14ac:dyDescent="0.3">
      <c r="B2362" s="135" t="s">
        <v>404</v>
      </c>
      <c r="C2362" s="135"/>
      <c r="D2362" s="135"/>
      <c r="E2362" s="135"/>
      <c r="F2362" s="135"/>
      <c r="G2362" s="135"/>
      <c r="H2362" s="135"/>
    </row>
    <row r="2363" spans="2:8" ht="15" customHeight="1" x14ac:dyDescent="0.3">
      <c r="B2363" s="123" t="s">
        <v>94</v>
      </c>
      <c r="C2363" s="123"/>
      <c r="D2363" s="31" t="s">
        <v>383</v>
      </c>
      <c r="E2363" s="31" t="s">
        <v>96</v>
      </c>
      <c r="F2363" s="31"/>
      <c r="G2363" s="31" t="s">
        <v>364</v>
      </c>
      <c r="H2363" s="31" t="s">
        <v>391</v>
      </c>
    </row>
    <row r="2364" spans="2:8" ht="15" customHeight="1" x14ac:dyDescent="0.3">
      <c r="B2364" s="137" t="s">
        <v>405</v>
      </c>
      <c r="C2364" s="137"/>
      <c r="D2364" s="29"/>
      <c r="E2364" s="29"/>
      <c r="F2364" s="29"/>
      <c r="G2364" s="29"/>
      <c r="H2364" s="66">
        <v>0</v>
      </c>
    </row>
    <row r="2365" spans="2:8" ht="15" customHeight="1" x14ac:dyDescent="0.3">
      <c r="G2365" s="31" t="s">
        <v>394</v>
      </c>
      <c r="H2365" s="67">
        <f>SUM(H2364:H2364)</f>
        <v>0</v>
      </c>
    </row>
    <row r="2366" spans="2:8" ht="15" customHeight="1" x14ac:dyDescent="0.3">
      <c r="B2366" s="135" t="s">
        <v>406</v>
      </c>
      <c r="C2366" s="135"/>
      <c r="D2366" s="135"/>
      <c r="E2366" s="135"/>
      <c r="F2366" s="135"/>
      <c r="G2366" s="135"/>
      <c r="H2366" s="135"/>
    </row>
    <row r="2367" spans="2:8" ht="24" customHeight="1" x14ac:dyDescent="0.3">
      <c r="B2367" s="123" t="s">
        <v>407</v>
      </c>
      <c r="C2367" s="123"/>
      <c r="D2367" s="123"/>
      <c r="E2367" s="31" t="s">
        <v>96</v>
      </c>
      <c r="F2367" s="31" t="s">
        <v>408</v>
      </c>
      <c r="G2367" s="31" t="s">
        <v>390</v>
      </c>
      <c r="H2367" s="31" t="s">
        <v>391</v>
      </c>
    </row>
    <row r="2368" spans="2:8" ht="15" customHeight="1" x14ac:dyDescent="0.3">
      <c r="B2368" s="134" t="s">
        <v>409</v>
      </c>
      <c r="C2368" s="134"/>
      <c r="D2368" s="134"/>
      <c r="E2368" s="69">
        <v>1</v>
      </c>
      <c r="F2368" s="32">
        <f>'MANO DE OBRA'!$H$27</f>
        <v>226162.13017808215</v>
      </c>
      <c r="G2368" s="68">
        <v>0.03</v>
      </c>
      <c r="H2368" s="66">
        <f>E2368*F2368*G2368</f>
        <v>6784.863905342464</v>
      </c>
    </row>
    <row r="2369" spans="2:8" ht="15" customHeight="1" x14ac:dyDescent="0.3">
      <c r="B2369" s="134" t="s">
        <v>410</v>
      </c>
      <c r="C2369" s="134"/>
      <c r="D2369" s="134"/>
      <c r="E2369" s="69">
        <v>1</v>
      </c>
      <c r="F2369" s="32">
        <f>'MANO DE OBRA'!$H$23</f>
        <v>121976.08717808221</v>
      </c>
      <c r="G2369" s="68">
        <v>0.03</v>
      </c>
      <c r="H2369" s="66">
        <f>E2369*F2369*G2369</f>
        <v>3659.2826153424662</v>
      </c>
    </row>
    <row r="2370" spans="2:8" ht="15" customHeight="1" x14ac:dyDescent="0.3">
      <c r="G2370" s="31" t="s">
        <v>394</v>
      </c>
      <c r="H2370" s="67">
        <f>SUM(H2368:H2369)</f>
        <v>10444.14652068493</v>
      </c>
    </row>
    <row r="2371" spans="2:8" ht="15" customHeight="1" x14ac:dyDescent="0.3"/>
    <row r="2372" spans="2:8" ht="15" customHeight="1" x14ac:dyDescent="0.3">
      <c r="B2372" s="115" t="s">
        <v>295</v>
      </c>
      <c r="C2372" s="115"/>
      <c r="D2372" s="115"/>
      <c r="E2372" s="115"/>
      <c r="F2372" s="115"/>
      <c r="G2372" s="115"/>
      <c r="H2372" s="70">
        <f>H2356+H2361+H2365+H2370</f>
        <v>16026.353846719176</v>
      </c>
    </row>
    <row r="2373" spans="2:8" ht="15" customHeight="1" x14ac:dyDescent="0.3"/>
    <row r="2374" spans="2:8" ht="15" customHeight="1" x14ac:dyDescent="0.3">
      <c r="B2374" s="71" t="s">
        <v>411</v>
      </c>
    </row>
    <row r="2375" spans="2:8" ht="15" customHeight="1" x14ac:dyDescent="0.3">
      <c r="B2375" s="123" t="s">
        <v>94</v>
      </c>
      <c r="C2375" s="123"/>
      <c r="D2375" s="123"/>
      <c r="E2375" s="123"/>
      <c r="F2375" s="123"/>
      <c r="G2375" s="31" t="s">
        <v>412</v>
      </c>
      <c r="H2375" s="31" t="s">
        <v>4</v>
      </c>
    </row>
    <row r="2376" spans="2:8" ht="15" customHeight="1" x14ac:dyDescent="0.3">
      <c r="B2376" s="110" t="s">
        <v>73</v>
      </c>
      <c r="C2376" s="110"/>
      <c r="D2376" s="110"/>
      <c r="E2376" s="110"/>
      <c r="F2376" s="110"/>
      <c r="G2376" s="22">
        <f>'Datos Iniciales'!$B$32</f>
        <v>0.28999999999999998</v>
      </c>
      <c r="H2376" s="66">
        <f>H2372*G2376</f>
        <v>4647.6426155485606</v>
      </c>
    </row>
    <row r="2377" spans="2:8" ht="15" customHeight="1" x14ac:dyDescent="0.3">
      <c r="B2377" s="110" t="s">
        <v>74</v>
      </c>
      <c r="C2377" s="110"/>
      <c r="D2377" s="110"/>
      <c r="E2377" s="110"/>
      <c r="F2377" s="110"/>
      <c r="G2377" s="22">
        <f>'Datos Iniciales'!$B$33</f>
        <v>0.05</v>
      </c>
      <c r="H2377" s="66">
        <f>H2372*G2377</f>
        <v>801.31769233595878</v>
      </c>
    </row>
    <row r="2378" spans="2:8" ht="15" customHeight="1" x14ac:dyDescent="0.3">
      <c r="B2378" s="138" t="s">
        <v>413</v>
      </c>
      <c r="C2378" s="138"/>
      <c r="D2378" s="138"/>
      <c r="E2378" s="138"/>
      <c r="F2378" s="138"/>
      <c r="G2378" s="60">
        <f>G2376+G2377</f>
        <v>0.33999999999999997</v>
      </c>
      <c r="H2378" s="67">
        <f>H2376+H2377</f>
        <v>5448.9603078845194</v>
      </c>
    </row>
    <row r="2379" spans="2:8" ht="15" customHeight="1" x14ac:dyDescent="0.3"/>
    <row r="2380" spans="2:8" ht="15" customHeight="1" x14ac:dyDescent="0.3">
      <c r="B2380" s="139" t="s">
        <v>414</v>
      </c>
      <c r="C2380" s="139"/>
      <c r="D2380" s="139"/>
      <c r="E2380" s="139"/>
      <c r="F2380" s="139"/>
      <c r="G2380" s="139"/>
      <c r="H2380" s="37">
        <f>ROUND(H2372+H2378,0)</f>
        <v>21475</v>
      </c>
    </row>
    <row r="2381" spans="2:8" ht="15" customHeight="1" x14ac:dyDescent="0.3"/>
    <row r="2382" spans="2:8" ht="15" customHeight="1" x14ac:dyDescent="0.3"/>
    <row r="2383" spans="2:8" ht="15.75" customHeight="1" x14ac:dyDescent="0.3">
      <c r="B2383" s="123" t="s">
        <v>0</v>
      </c>
      <c r="C2383" s="123"/>
      <c r="D2383" s="123"/>
      <c r="E2383" s="123"/>
      <c r="F2383" s="123"/>
      <c r="G2383" s="123"/>
      <c r="H2383" s="110"/>
    </row>
    <row r="2384" spans="2:8" ht="15.75" customHeight="1" x14ac:dyDescent="0.3">
      <c r="B2384" s="123" t="s">
        <v>1</v>
      </c>
      <c r="C2384" s="123"/>
      <c r="D2384" s="123"/>
      <c r="E2384" s="123"/>
      <c r="F2384" s="123"/>
      <c r="G2384" s="123"/>
      <c r="H2384" s="110"/>
    </row>
    <row r="2385" spans="2:8" ht="24" customHeight="1" x14ac:dyDescent="0.3">
      <c r="B2385" s="136" t="str">
        <f>'Datos Iniciales'!$B$8</f>
        <v>OBRA PÚBLICA PARA LA EJECUCIÓN DE DIFERENTES MEJORAMIENTOS DE VIVIENDA EN EL CASCO URBANO Y RURAL DEL MUNICIPIO DE MACEO - ANTIOQUIA</v>
      </c>
      <c r="C2385" s="136"/>
      <c r="D2385" s="136"/>
      <c r="E2385" s="136"/>
      <c r="F2385" s="136"/>
      <c r="G2385" s="136"/>
      <c r="H2385" s="110"/>
    </row>
    <row r="2386" spans="2:8" ht="15.75" customHeight="1" x14ac:dyDescent="0.3">
      <c r="B2386" s="112" t="s">
        <v>381</v>
      </c>
      <c r="C2386" s="112"/>
      <c r="D2386" s="112"/>
      <c r="E2386" s="112"/>
      <c r="F2386" s="112"/>
      <c r="G2386" s="112"/>
      <c r="H2386" s="110"/>
    </row>
    <row r="2387" spans="2:8" ht="24" customHeight="1" x14ac:dyDescent="0.3">
      <c r="B2387" s="13" t="s">
        <v>382</v>
      </c>
      <c r="C2387" s="112" t="s">
        <v>94</v>
      </c>
      <c r="D2387" s="112"/>
      <c r="E2387" s="112"/>
      <c r="F2387" s="13" t="s">
        <v>383</v>
      </c>
      <c r="G2387" s="13" t="s">
        <v>384</v>
      </c>
      <c r="H2387" s="13" t="s">
        <v>385</v>
      </c>
    </row>
    <row r="2388" spans="2:8" ht="31.5" customHeight="1" x14ac:dyDescent="0.3">
      <c r="B2388" s="63" t="s">
        <v>680</v>
      </c>
      <c r="C2388" s="140" t="s">
        <v>285</v>
      </c>
      <c r="D2388" s="140"/>
      <c r="E2388" s="140"/>
      <c r="F2388" s="17" t="s">
        <v>101</v>
      </c>
      <c r="G2388" s="41">
        <f>PRESUPUESTO!$E$132</f>
        <v>32</v>
      </c>
      <c r="H2388" s="33">
        <f>H2412</f>
        <v>81249.126010175358</v>
      </c>
    </row>
    <row r="2389" spans="2:8" ht="15" customHeight="1" x14ac:dyDescent="0.3">
      <c r="B2389" s="137" t="s">
        <v>681</v>
      </c>
      <c r="C2389" s="137"/>
      <c r="D2389" s="137"/>
      <c r="E2389" s="137"/>
      <c r="F2389" s="137"/>
      <c r="G2389" s="137"/>
      <c r="H2389" s="137"/>
    </row>
    <row r="2390" spans="2:8" ht="15" customHeight="1" x14ac:dyDescent="0.3">
      <c r="B2390" s="64" t="s">
        <v>388</v>
      </c>
    </row>
    <row r="2391" spans="2:8" ht="15" customHeight="1" x14ac:dyDescent="0.3">
      <c r="B2391" s="135" t="s">
        <v>389</v>
      </c>
      <c r="C2391" s="135"/>
      <c r="D2391" s="135"/>
      <c r="E2391" s="135"/>
      <c r="F2391" s="135"/>
      <c r="G2391" s="135"/>
      <c r="H2391" s="135"/>
    </row>
    <row r="2392" spans="2:8" ht="24" customHeight="1" x14ac:dyDescent="0.3">
      <c r="B2392" s="123" t="s">
        <v>94</v>
      </c>
      <c r="C2392" s="123"/>
      <c r="D2392" s="123"/>
      <c r="E2392" s="31" t="s">
        <v>383</v>
      </c>
      <c r="F2392" s="31" t="s">
        <v>364</v>
      </c>
      <c r="G2392" s="31" t="s">
        <v>390</v>
      </c>
      <c r="H2392" s="31" t="s">
        <v>391</v>
      </c>
    </row>
    <row r="2393" spans="2:8" ht="15" customHeight="1" x14ac:dyDescent="0.3">
      <c r="B2393" s="134" t="s">
        <v>392</v>
      </c>
      <c r="C2393" s="134"/>
      <c r="D2393" s="134"/>
      <c r="E2393" s="17" t="s">
        <v>393</v>
      </c>
      <c r="F2393" s="22">
        <f>EQUIPOS!$D$3</f>
        <v>0.05</v>
      </c>
      <c r="G2393" s="65">
        <f>H2410</f>
        <v>24891.617152547951</v>
      </c>
      <c r="H2393" s="66">
        <f>F2393*G2393</f>
        <v>1244.5808576273976</v>
      </c>
    </row>
    <row r="2394" spans="2:8" ht="15" customHeight="1" x14ac:dyDescent="0.3">
      <c r="B2394" s="134" t="s">
        <v>682</v>
      </c>
      <c r="C2394" s="134"/>
      <c r="D2394" s="134"/>
      <c r="E2394" s="17" t="s">
        <v>421</v>
      </c>
      <c r="F2394" s="65">
        <f>EQUIPOS!$D$9</f>
        <v>25000</v>
      </c>
      <c r="G2394" s="68">
        <v>7.0000000000000007E-2</v>
      </c>
      <c r="H2394" s="66">
        <f>F2394*G2394</f>
        <v>1750.0000000000002</v>
      </c>
    </row>
    <row r="2395" spans="2:8" ht="15" customHeight="1" x14ac:dyDescent="0.3">
      <c r="G2395" s="31" t="s">
        <v>394</v>
      </c>
      <c r="H2395" s="67">
        <f>SUM(H2393:H2394)</f>
        <v>2994.5808576273976</v>
      </c>
    </row>
    <row r="2396" spans="2:8" ht="15" customHeight="1" x14ac:dyDescent="0.3">
      <c r="B2396" s="135" t="s">
        <v>395</v>
      </c>
      <c r="C2396" s="135"/>
      <c r="D2396" s="135"/>
      <c r="E2396" s="135"/>
      <c r="F2396" s="135"/>
      <c r="G2396" s="135"/>
      <c r="H2396" s="135"/>
    </row>
    <row r="2397" spans="2:8" ht="15" customHeight="1" x14ac:dyDescent="0.3">
      <c r="B2397" s="123" t="s">
        <v>94</v>
      </c>
      <c r="C2397" s="123"/>
      <c r="D2397" s="31" t="s">
        <v>383</v>
      </c>
      <c r="E2397" s="31" t="s">
        <v>96</v>
      </c>
      <c r="F2397" s="31" t="s">
        <v>396</v>
      </c>
      <c r="G2397" s="31" t="s">
        <v>397</v>
      </c>
      <c r="H2397" s="31" t="s">
        <v>391</v>
      </c>
    </row>
    <row r="2398" spans="2:8" ht="15" customHeight="1" x14ac:dyDescent="0.3">
      <c r="B2398" s="134" t="s">
        <v>683</v>
      </c>
      <c r="C2398" s="134"/>
      <c r="D2398" s="17" t="s">
        <v>399</v>
      </c>
      <c r="E2398" s="68">
        <v>0.33600000000000002</v>
      </c>
      <c r="F2398" s="27">
        <v>0.1</v>
      </c>
      <c r="G2398" s="32">
        <f>INSUMOS!$D$84</f>
        <v>125900</v>
      </c>
      <c r="H2398" s="66">
        <f>E2398*(1+F2398)*G2398</f>
        <v>46532.640000000007</v>
      </c>
    </row>
    <row r="2399" spans="2:8" ht="15" customHeight="1" x14ac:dyDescent="0.3">
      <c r="B2399" s="134" t="s">
        <v>684</v>
      </c>
      <c r="C2399" s="134"/>
      <c r="D2399" s="17" t="s">
        <v>399</v>
      </c>
      <c r="E2399" s="68">
        <v>15</v>
      </c>
      <c r="F2399" s="27">
        <v>0</v>
      </c>
      <c r="G2399" s="32">
        <f>INSUMOS!$D$85</f>
        <v>200</v>
      </c>
      <c r="H2399" s="66">
        <f>E2399*(1+F2399)*G2399</f>
        <v>3000</v>
      </c>
    </row>
    <row r="2400" spans="2:8" ht="15" customHeight="1" x14ac:dyDescent="0.3">
      <c r="G2400" s="31" t="s">
        <v>394</v>
      </c>
      <c r="H2400" s="67">
        <f>SUM(H2398:H2399)</f>
        <v>49532.640000000007</v>
      </c>
    </row>
    <row r="2401" spans="2:8" ht="15" customHeight="1" x14ac:dyDescent="0.3">
      <c r="B2401" s="135" t="s">
        <v>404</v>
      </c>
      <c r="C2401" s="135"/>
      <c r="D2401" s="135"/>
      <c r="E2401" s="135"/>
      <c r="F2401" s="135"/>
      <c r="G2401" s="135"/>
      <c r="H2401" s="135"/>
    </row>
    <row r="2402" spans="2:8" ht="15" customHeight="1" x14ac:dyDescent="0.3">
      <c r="B2402" s="123" t="s">
        <v>94</v>
      </c>
      <c r="C2402" s="123"/>
      <c r="D2402" s="31" t="s">
        <v>383</v>
      </c>
      <c r="E2402" s="31" t="s">
        <v>96</v>
      </c>
      <c r="F2402" s="31"/>
      <c r="G2402" s="31" t="s">
        <v>364</v>
      </c>
      <c r="H2402" s="31" t="s">
        <v>391</v>
      </c>
    </row>
    <row r="2403" spans="2:8" ht="22.05" customHeight="1" x14ac:dyDescent="0.3">
      <c r="B2403" s="134" t="s">
        <v>685</v>
      </c>
      <c r="C2403" s="134"/>
      <c r="D2403" s="17" t="s">
        <v>431</v>
      </c>
      <c r="E2403" s="72">
        <f>0.014*'Datos Iniciales'!$B$31</f>
        <v>1.7710000000000001</v>
      </c>
      <c r="F2403" s="29"/>
      <c r="G2403" s="32">
        <f>TRANSPORTE!$D$4</f>
        <v>1928</v>
      </c>
      <c r="H2403" s="66">
        <f>E2403*G2403</f>
        <v>3414.4880000000003</v>
      </c>
    </row>
    <row r="2404" spans="2:8" ht="22.05" customHeight="1" x14ac:dyDescent="0.3">
      <c r="B2404" s="134" t="s">
        <v>686</v>
      </c>
      <c r="C2404" s="134"/>
      <c r="D2404" s="17" t="s">
        <v>431</v>
      </c>
      <c r="E2404" s="72">
        <f>0.014*'Datos Iniciales'!$B$26</f>
        <v>0.14000000000000001</v>
      </c>
      <c r="F2404" s="29"/>
      <c r="G2404" s="32">
        <f>TRANSPORTE!$D$5</f>
        <v>2970</v>
      </c>
      <c r="H2404" s="66">
        <f>E2404*G2404</f>
        <v>415.8</v>
      </c>
    </row>
    <row r="2405" spans="2:8" ht="15" customHeight="1" x14ac:dyDescent="0.3">
      <c r="G2405" s="31" t="s">
        <v>394</v>
      </c>
      <c r="H2405" s="67">
        <f>SUM(H2403:H2404)</f>
        <v>3830.2880000000005</v>
      </c>
    </row>
    <row r="2406" spans="2:8" ht="15" customHeight="1" x14ac:dyDescent="0.3">
      <c r="B2406" s="135" t="s">
        <v>406</v>
      </c>
      <c r="C2406" s="135"/>
      <c r="D2406" s="135"/>
      <c r="E2406" s="135"/>
      <c r="F2406" s="135"/>
      <c r="G2406" s="135"/>
      <c r="H2406" s="135"/>
    </row>
    <row r="2407" spans="2:8" ht="24" customHeight="1" x14ac:dyDescent="0.3">
      <c r="B2407" s="123" t="s">
        <v>407</v>
      </c>
      <c r="C2407" s="123"/>
      <c r="D2407" s="123"/>
      <c r="E2407" s="31" t="s">
        <v>96</v>
      </c>
      <c r="F2407" s="31" t="s">
        <v>408</v>
      </c>
      <c r="G2407" s="31" t="s">
        <v>390</v>
      </c>
      <c r="H2407" s="31" t="s">
        <v>391</v>
      </c>
    </row>
    <row r="2408" spans="2:8" ht="15" customHeight="1" x14ac:dyDescent="0.3">
      <c r="B2408" s="134" t="s">
        <v>594</v>
      </c>
      <c r="C2408" s="134"/>
      <c r="D2408" s="134"/>
      <c r="E2408" s="69">
        <v>1</v>
      </c>
      <c r="F2408" s="32">
        <f>'MANO DE OBRA'!$H$33</f>
        <v>233618.44357260279</v>
      </c>
      <c r="G2408" s="68">
        <v>7.0000000000000007E-2</v>
      </c>
      <c r="H2408" s="66">
        <f>E2408*F2408*G2408</f>
        <v>16353.291050082196</v>
      </c>
    </row>
    <row r="2409" spans="2:8" ht="15" customHeight="1" x14ac:dyDescent="0.3">
      <c r="B2409" s="134" t="s">
        <v>595</v>
      </c>
      <c r="C2409" s="134"/>
      <c r="D2409" s="134"/>
      <c r="E2409" s="69">
        <v>1</v>
      </c>
      <c r="F2409" s="32">
        <f>'MANO DE OBRA'!$H$26</f>
        <v>121976.08717808221</v>
      </c>
      <c r="G2409" s="68">
        <v>7.0000000000000007E-2</v>
      </c>
      <c r="H2409" s="66">
        <f>E2409*F2409*G2409</f>
        <v>8538.326102465755</v>
      </c>
    </row>
    <row r="2410" spans="2:8" ht="15" customHeight="1" x14ac:dyDescent="0.3">
      <c r="G2410" s="31" t="s">
        <v>394</v>
      </c>
      <c r="H2410" s="67">
        <f>SUM(H2408:H2409)</f>
        <v>24891.617152547951</v>
      </c>
    </row>
    <row r="2411" spans="2:8" ht="15" customHeight="1" x14ac:dyDescent="0.3"/>
    <row r="2412" spans="2:8" ht="15" customHeight="1" x14ac:dyDescent="0.3">
      <c r="B2412" s="115" t="s">
        <v>295</v>
      </c>
      <c r="C2412" s="115"/>
      <c r="D2412" s="115"/>
      <c r="E2412" s="115"/>
      <c r="F2412" s="115"/>
      <c r="G2412" s="115"/>
      <c r="H2412" s="70">
        <f>H2395+H2400+H2405+H2410</f>
        <v>81249.126010175358</v>
      </c>
    </row>
    <row r="2413" spans="2:8" ht="15" customHeight="1" x14ac:dyDescent="0.3"/>
    <row r="2414" spans="2:8" ht="15" customHeight="1" x14ac:dyDescent="0.3">
      <c r="B2414" s="71" t="s">
        <v>411</v>
      </c>
    </row>
    <row r="2415" spans="2:8" ht="15" customHeight="1" x14ac:dyDescent="0.3">
      <c r="B2415" s="123" t="s">
        <v>94</v>
      </c>
      <c r="C2415" s="123"/>
      <c r="D2415" s="123"/>
      <c r="E2415" s="123"/>
      <c r="F2415" s="123"/>
      <c r="G2415" s="31" t="s">
        <v>412</v>
      </c>
      <c r="H2415" s="31" t="s">
        <v>4</v>
      </c>
    </row>
    <row r="2416" spans="2:8" ht="15" customHeight="1" x14ac:dyDescent="0.3">
      <c r="B2416" s="110" t="s">
        <v>73</v>
      </c>
      <c r="C2416" s="110"/>
      <c r="D2416" s="110"/>
      <c r="E2416" s="110"/>
      <c r="F2416" s="110"/>
      <c r="G2416" s="22">
        <f>'Datos Iniciales'!$B$32</f>
        <v>0.28999999999999998</v>
      </c>
      <c r="H2416" s="66">
        <f>H2412*G2416</f>
        <v>23562.246542950852</v>
      </c>
    </row>
    <row r="2417" spans="2:8" ht="15" customHeight="1" x14ac:dyDescent="0.3">
      <c r="B2417" s="110" t="s">
        <v>74</v>
      </c>
      <c r="C2417" s="110"/>
      <c r="D2417" s="110"/>
      <c r="E2417" s="110"/>
      <c r="F2417" s="110"/>
      <c r="G2417" s="22">
        <f>'Datos Iniciales'!$B$33</f>
        <v>0.05</v>
      </c>
      <c r="H2417" s="66">
        <f>H2412*G2417</f>
        <v>4062.456300508768</v>
      </c>
    </row>
    <row r="2418" spans="2:8" ht="15" customHeight="1" x14ac:dyDescent="0.3">
      <c r="B2418" s="138" t="s">
        <v>413</v>
      </c>
      <c r="C2418" s="138"/>
      <c r="D2418" s="138"/>
      <c r="E2418" s="138"/>
      <c r="F2418" s="138"/>
      <c r="G2418" s="60">
        <f>G2416+G2417</f>
        <v>0.33999999999999997</v>
      </c>
      <c r="H2418" s="67">
        <f>H2416+H2417</f>
        <v>27624.702843459621</v>
      </c>
    </row>
    <row r="2419" spans="2:8" ht="15" customHeight="1" x14ac:dyDescent="0.3"/>
    <row r="2420" spans="2:8" ht="15" customHeight="1" x14ac:dyDescent="0.3">
      <c r="B2420" s="139" t="s">
        <v>414</v>
      </c>
      <c r="C2420" s="139"/>
      <c r="D2420" s="139"/>
      <c r="E2420" s="139"/>
      <c r="F2420" s="139"/>
      <c r="G2420" s="139"/>
      <c r="H2420" s="37">
        <f>ROUND(H2412+H2418,0)</f>
        <v>108874</v>
      </c>
    </row>
    <row r="2421" spans="2:8" ht="15" customHeight="1" x14ac:dyDescent="0.3"/>
    <row r="2422" spans="2:8" ht="15" customHeight="1" x14ac:dyDescent="0.3"/>
    <row r="2423" spans="2:8" ht="15.75" customHeight="1" x14ac:dyDescent="0.3">
      <c r="B2423" s="123" t="s">
        <v>0</v>
      </c>
      <c r="C2423" s="123"/>
      <c r="D2423" s="123"/>
      <c r="E2423" s="123"/>
      <c r="F2423" s="123"/>
      <c r="G2423" s="123"/>
      <c r="H2423" s="110"/>
    </row>
    <row r="2424" spans="2:8" ht="15.75" customHeight="1" x14ac:dyDescent="0.3">
      <c r="B2424" s="123" t="s">
        <v>1</v>
      </c>
      <c r="C2424" s="123"/>
      <c r="D2424" s="123"/>
      <c r="E2424" s="123"/>
      <c r="F2424" s="123"/>
      <c r="G2424" s="123"/>
      <c r="H2424" s="110"/>
    </row>
    <row r="2425" spans="2:8" ht="24" customHeight="1" x14ac:dyDescent="0.3">
      <c r="B2425" s="136" t="str">
        <f>'Datos Iniciales'!$B$8</f>
        <v>OBRA PÚBLICA PARA LA EJECUCIÓN DE DIFERENTES MEJORAMIENTOS DE VIVIENDA EN EL CASCO URBANO Y RURAL DEL MUNICIPIO DE MACEO - ANTIOQUIA</v>
      </c>
      <c r="C2425" s="136"/>
      <c r="D2425" s="136"/>
      <c r="E2425" s="136"/>
      <c r="F2425" s="136"/>
      <c r="G2425" s="136"/>
      <c r="H2425" s="110"/>
    </row>
    <row r="2426" spans="2:8" ht="15.75" customHeight="1" x14ac:dyDescent="0.3">
      <c r="B2426" s="112" t="s">
        <v>381</v>
      </c>
      <c r="C2426" s="112"/>
      <c r="D2426" s="112"/>
      <c r="E2426" s="112"/>
      <c r="F2426" s="112"/>
      <c r="G2426" s="112"/>
      <c r="H2426" s="110"/>
    </row>
    <row r="2427" spans="2:8" ht="24" customHeight="1" x14ac:dyDescent="0.3">
      <c r="B2427" s="13" t="s">
        <v>382</v>
      </c>
      <c r="C2427" s="112" t="s">
        <v>94</v>
      </c>
      <c r="D2427" s="112"/>
      <c r="E2427" s="112"/>
      <c r="F2427" s="13" t="s">
        <v>383</v>
      </c>
      <c r="G2427" s="13" t="s">
        <v>384</v>
      </c>
      <c r="H2427" s="13" t="s">
        <v>385</v>
      </c>
    </row>
    <row r="2428" spans="2:8" ht="52.5" customHeight="1" x14ac:dyDescent="0.3">
      <c r="B2428" s="63" t="s">
        <v>687</v>
      </c>
      <c r="C2428" s="140" t="s">
        <v>292</v>
      </c>
      <c r="D2428" s="140"/>
      <c r="E2428" s="140"/>
      <c r="F2428" s="17" t="s">
        <v>137</v>
      </c>
      <c r="G2428" s="41">
        <f>PRESUPUESTO!$E$136</f>
        <v>1</v>
      </c>
      <c r="H2428" s="33">
        <f>H2455</f>
        <v>2452225.8832205478</v>
      </c>
    </row>
    <row r="2429" spans="2:8" ht="15" customHeight="1" x14ac:dyDescent="0.3">
      <c r="B2429" s="137" t="s">
        <v>688</v>
      </c>
      <c r="C2429" s="137"/>
      <c r="D2429" s="137"/>
      <c r="E2429" s="137"/>
      <c r="F2429" s="137"/>
      <c r="G2429" s="137"/>
      <c r="H2429" s="137"/>
    </row>
    <row r="2430" spans="2:8" ht="15" customHeight="1" x14ac:dyDescent="0.3">
      <c r="B2430" s="64" t="s">
        <v>388</v>
      </c>
    </row>
    <row r="2431" spans="2:8" ht="15" customHeight="1" x14ac:dyDescent="0.3">
      <c r="B2431" s="135" t="s">
        <v>389</v>
      </c>
      <c r="C2431" s="135"/>
      <c r="D2431" s="135"/>
      <c r="E2431" s="135"/>
      <c r="F2431" s="135"/>
      <c r="G2431" s="135"/>
      <c r="H2431" s="135"/>
    </row>
    <row r="2432" spans="2:8" ht="24" customHeight="1" x14ac:dyDescent="0.3">
      <c r="B2432" s="123" t="s">
        <v>94</v>
      </c>
      <c r="C2432" s="123"/>
      <c r="D2432" s="123"/>
      <c r="E2432" s="31" t="s">
        <v>383</v>
      </c>
      <c r="F2432" s="31" t="s">
        <v>364</v>
      </c>
      <c r="G2432" s="31" t="s">
        <v>390</v>
      </c>
      <c r="H2432" s="31" t="s">
        <v>391</v>
      </c>
    </row>
    <row r="2433" spans="2:8" ht="15" customHeight="1" x14ac:dyDescent="0.3">
      <c r="B2433" s="134" t="s">
        <v>392</v>
      </c>
      <c r="C2433" s="134"/>
      <c r="D2433" s="134"/>
      <c r="E2433" s="17" t="s">
        <v>393</v>
      </c>
      <c r="F2433" s="22">
        <f>EQUIPOS!$D$3</f>
        <v>0.05</v>
      </c>
      <c r="G2433" s="65">
        <f>H2453</f>
        <v>888986.3268767125</v>
      </c>
      <c r="H2433" s="66">
        <f>F2433*G2433</f>
        <v>44449.316343835628</v>
      </c>
    </row>
    <row r="2434" spans="2:8" ht="15" customHeight="1" x14ac:dyDescent="0.3">
      <c r="B2434" s="134" t="s">
        <v>682</v>
      </c>
      <c r="C2434" s="134"/>
      <c r="D2434" s="134"/>
      <c r="E2434" s="17" t="s">
        <v>421</v>
      </c>
      <c r="F2434" s="65">
        <f>EQUIPOS!$D$9</f>
        <v>25000</v>
      </c>
      <c r="G2434" s="68">
        <v>2</v>
      </c>
      <c r="H2434" s="66">
        <f>F2434*G2434</f>
        <v>50000</v>
      </c>
    </row>
    <row r="2435" spans="2:8" ht="15" customHeight="1" x14ac:dyDescent="0.3">
      <c r="B2435" s="134" t="s">
        <v>689</v>
      </c>
      <c r="C2435" s="134"/>
      <c r="D2435" s="134"/>
      <c r="E2435" s="17" t="s">
        <v>421</v>
      </c>
      <c r="F2435" s="65">
        <f>EQUIPOS!$D$12</f>
        <v>18000</v>
      </c>
      <c r="G2435" s="68">
        <v>1</v>
      </c>
      <c r="H2435" s="66">
        <f>F2435*G2435</f>
        <v>18000</v>
      </c>
    </row>
    <row r="2436" spans="2:8" ht="15" customHeight="1" x14ac:dyDescent="0.3">
      <c r="G2436" s="31" t="s">
        <v>394</v>
      </c>
      <c r="H2436" s="67">
        <f>SUM(H2433:H2435)</f>
        <v>112449.31634383563</v>
      </c>
    </row>
    <row r="2437" spans="2:8" ht="15" customHeight="1" x14ac:dyDescent="0.3">
      <c r="B2437" s="135" t="s">
        <v>395</v>
      </c>
      <c r="C2437" s="135"/>
      <c r="D2437" s="135"/>
      <c r="E2437" s="135"/>
      <c r="F2437" s="135"/>
      <c r="G2437" s="135"/>
      <c r="H2437" s="135"/>
    </row>
    <row r="2438" spans="2:8" ht="15" customHeight="1" x14ac:dyDescent="0.3">
      <c r="B2438" s="123" t="s">
        <v>94</v>
      </c>
      <c r="C2438" s="123"/>
      <c r="D2438" s="31" t="s">
        <v>383</v>
      </c>
      <c r="E2438" s="31" t="s">
        <v>96</v>
      </c>
      <c r="F2438" s="31" t="s">
        <v>396</v>
      </c>
      <c r="G2438" s="31" t="s">
        <v>397</v>
      </c>
      <c r="H2438" s="31" t="s">
        <v>391</v>
      </c>
    </row>
    <row r="2439" spans="2:8" ht="15" customHeight="1" x14ac:dyDescent="0.3">
      <c r="B2439" s="134" t="s">
        <v>589</v>
      </c>
      <c r="C2439" s="134"/>
      <c r="D2439" s="17" t="s">
        <v>590</v>
      </c>
      <c r="E2439" s="68">
        <v>128</v>
      </c>
      <c r="F2439" s="27">
        <v>0.1</v>
      </c>
      <c r="G2439" s="32">
        <f>INSUMOS!$D$64</f>
        <v>8500</v>
      </c>
      <c r="H2439" s="66">
        <f>E2439*(1+F2439)*G2439</f>
        <v>1196800</v>
      </c>
    </row>
    <row r="2440" spans="2:8" ht="15" customHeight="1" x14ac:dyDescent="0.3">
      <c r="B2440" s="134" t="s">
        <v>591</v>
      </c>
      <c r="C2440" s="134"/>
      <c r="D2440" s="17" t="s">
        <v>399</v>
      </c>
      <c r="E2440" s="68">
        <v>30</v>
      </c>
      <c r="F2440" s="27">
        <v>0</v>
      </c>
      <c r="G2440" s="32">
        <f>INSUMOS!$D$65</f>
        <v>3500</v>
      </c>
      <c r="H2440" s="66">
        <f>E2440*(1+F2440)*G2440</f>
        <v>105000</v>
      </c>
    </row>
    <row r="2441" spans="2:8" ht="15" customHeight="1" x14ac:dyDescent="0.3">
      <c r="B2441" s="134" t="s">
        <v>690</v>
      </c>
      <c r="C2441" s="134"/>
      <c r="D2441" s="17" t="s">
        <v>508</v>
      </c>
      <c r="E2441" s="68">
        <v>1</v>
      </c>
      <c r="F2441" s="27">
        <v>0</v>
      </c>
      <c r="G2441" s="32">
        <f>INSUMOS!$D$66</f>
        <v>75000</v>
      </c>
      <c r="H2441" s="66">
        <f>E2441*(1+F2441)*G2441</f>
        <v>75000</v>
      </c>
    </row>
    <row r="2442" spans="2:8" ht="15" customHeight="1" x14ac:dyDescent="0.3">
      <c r="B2442" s="134" t="s">
        <v>402</v>
      </c>
      <c r="C2442" s="134"/>
      <c r="D2442" s="17" t="s">
        <v>403</v>
      </c>
      <c r="E2442" s="68">
        <v>2</v>
      </c>
      <c r="F2442" s="27">
        <v>0</v>
      </c>
      <c r="G2442" s="32">
        <f>INSUMOS!$D$10</f>
        <v>6900</v>
      </c>
      <c r="H2442" s="66">
        <f>E2442*(1+F2442)*G2442</f>
        <v>13800</v>
      </c>
    </row>
    <row r="2443" spans="2:8" ht="15" customHeight="1" x14ac:dyDescent="0.3">
      <c r="G2443" s="31" t="s">
        <v>394</v>
      </c>
      <c r="H2443" s="67">
        <f>SUM(H2439:H2442)</f>
        <v>1390600</v>
      </c>
    </row>
    <row r="2444" spans="2:8" ht="15" customHeight="1" x14ac:dyDescent="0.3">
      <c r="B2444" s="135" t="s">
        <v>404</v>
      </c>
      <c r="C2444" s="135"/>
      <c r="D2444" s="135"/>
      <c r="E2444" s="135"/>
      <c r="F2444" s="135"/>
      <c r="G2444" s="135"/>
      <c r="H2444" s="135"/>
    </row>
    <row r="2445" spans="2:8" ht="15" customHeight="1" x14ac:dyDescent="0.3">
      <c r="B2445" s="123" t="s">
        <v>94</v>
      </c>
      <c r="C2445" s="123"/>
      <c r="D2445" s="31" t="s">
        <v>383</v>
      </c>
      <c r="E2445" s="31" t="s">
        <v>96</v>
      </c>
      <c r="F2445" s="31"/>
      <c r="G2445" s="31" t="s">
        <v>364</v>
      </c>
      <c r="H2445" s="31" t="s">
        <v>391</v>
      </c>
    </row>
    <row r="2446" spans="2:8" ht="22.05" customHeight="1" x14ac:dyDescent="0.3">
      <c r="B2446" s="134" t="s">
        <v>691</v>
      </c>
      <c r="C2446" s="134"/>
      <c r="D2446" s="17" t="s">
        <v>431</v>
      </c>
      <c r="E2446" s="72">
        <f>0.22*'Datos Iniciales'!$B$31</f>
        <v>27.830000000000002</v>
      </c>
      <c r="F2446" s="29"/>
      <c r="G2446" s="32">
        <f>TRANSPORTE!$D$4</f>
        <v>1928</v>
      </c>
      <c r="H2446" s="66">
        <f>E2446*G2446</f>
        <v>53656.240000000005</v>
      </c>
    </row>
    <row r="2447" spans="2:8" ht="22.05" customHeight="1" x14ac:dyDescent="0.3">
      <c r="B2447" s="134" t="s">
        <v>450</v>
      </c>
      <c r="C2447" s="134"/>
      <c r="D2447" s="17" t="s">
        <v>431</v>
      </c>
      <c r="E2447" s="72">
        <f>0.22*'Datos Iniciales'!$B$26</f>
        <v>2.2000000000000002</v>
      </c>
      <c r="F2447" s="29"/>
      <c r="G2447" s="32">
        <f>TRANSPORTE!$D$5</f>
        <v>2970</v>
      </c>
      <c r="H2447" s="66">
        <f>E2447*G2447</f>
        <v>6534.0000000000009</v>
      </c>
    </row>
    <row r="2448" spans="2:8" ht="15" customHeight="1" x14ac:dyDescent="0.3">
      <c r="G2448" s="31" t="s">
        <v>394</v>
      </c>
      <c r="H2448" s="67">
        <f>SUM(H2446:H2447)</f>
        <v>60190.240000000005</v>
      </c>
    </row>
    <row r="2449" spans="2:8" ht="15" customHeight="1" x14ac:dyDescent="0.3">
      <c r="B2449" s="135" t="s">
        <v>406</v>
      </c>
      <c r="C2449" s="135"/>
      <c r="D2449" s="135"/>
      <c r="E2449" s="135"/>
      <c r="F2449" s="135"/>
      <c r="G2449" s="135"/>
      <c r="H2449" s="135"/>
    </row>
    <row r="2450" spans="2:8" ht="24" customHeight="1" x14ac:dyDescent="0.3">
      <c r="B2450" s="123" t="s">
        <v>407</v>
      </c>
      <c r="C2450" s="123"/>
      <c r="D2450" s="123"/>
      <c r="E2450" s="31" t="s">
        <v>96</v>
      </c>
      <c r="F2450" s="31" t="s">
        <v>408</v>
      </c>
      <c r="G2450" s="31" t="s">
        <v>390</v>
      </c>
      <c r="H2450" s="31" t="s">
        <v>391</v>
      </c>
    </row>
    <row r="2451" spans="2:8" ht="15" customHeight="1" x14ac:dyDescent="0.3">
      <c r="B2451" s="134" t="s">
        <v>594</v>
      </c>
      <c r="C2451" s="134"/>
      <c r="D2451" s="134"/>
      <c r="E2451" s="69">
        <v>1</v>
      </c>
      <c r="F2451" s="32">
        <f>'MANO DE OBRA'!$H$33</f>
        <v>233618.44357260279</v>
      </c>
      <c r="G2451" s="68">
        <v>2.5</v>
      </c>
      <c r="H2451" s="66">
        <f>E2451*F2451*G2451</f>
        <v>584046.10893150698</v>
      </c>
    </row>
    <row r="2452" spans="2:8" ht="15" customHeight="1" x14ac:dyDescent="0.3">
      <c r="B2452" s="134" t="s">
        <v>595</v>
      </c>
      <c r="C2452" s="134"/>
      <c r="D2452" s="134"/>
      <c r="E2452" s="69">
        <v>1</v>
      </c>
      <c r="F2452" s="32">
        <f>'MANO DE OBRA'!$H$26</f>
        <v>121976.08717808221</v>
      </c>
      <c r="G2452" s="68">
        <v>2.5</v>
      </c>
      <c r="H2452" s="66">
        <f>E2452*F2452*G2452</f>
        <v>304940.21794520551</v>
      </c>
    </row>
    <row r="2453" spans="2:8" ht="15" customHeight="1" x14ac:dyDescent="0.3">
      <c r="G2453" s="31" t="s">
        <v>394</v>
      </c>
      <c r="H2453" s="67">
        <f>SUM(H2451:H2452)</f>
        <v>888986.3268767125</v>
      </c>
    </row>
    <row r="2454" spans="2:8" ht="15" customHeight="1" x14ac:dyDescent="0.3"/>
    <row r="2455" spans="2:8" ht="15" customHeight="1" x14ac:dyDescent="0.3">
      <c r="B2455" s="115" t="s">
        <v>295</v>
      </c>
      <c r="C2455" s="115"/>
      <c r="D2455" s="115"/>
      <c r="E2455" s="115"/>
      <c r="F2455" s="115"/>
      <c r="G2455" s="115"/>
      <c r="H2455" s="70">
        <f>H2436+H2443+H2448+H2453</f>
        <v>2452225.8832205478</v>
      </c>
    </row>
    <row r="2456" spans="2:8" ht="15" customHeight="1" x14ac:dyDescent="0.3"/>
    <row r="2457" spans="2:8" ht="15" customHeight="1" x14ac:dyDescent="0.3">
      <c r="B2457" s="71" t="s">
        <v>411</v>
      </c>
    </row>
    <row r="2458" spans="2:8" ht="15" customHeight="1" x14ac:dyDescent="0.3">
      <c r="B2458" s="123" t="s">
        <v>94</v>
      </c>
      <c r="C2458" s="123"/>
      <c r="D2458" s="123"/>
      <c r="E2458" s="123"/>
      <c r="F2458" s="123"/>
      <c r="G2458" s="31" t="s">
        <v>412</v>
      </c>
      <c r="H2458" s="31" t="s">
        <v>4</v>
      </c>
    </row>
    <row r="2459" spans="2:8" ht="15" customHeight="1" x14ac:dyDescent="0.3">
      <c r="B2459" s="110" t="s">
        <v>73</v>
      </c>
      <c r="C2459" s="110"/>
      <c r="D2459" s="110"/>
      <c r="E2459" s="110"/>
      <c r="F2459" s="110"/>
      <c r="G2459" s="22">
        <f>'Datos Iniciales'!$B$32</f>
        <v>0.28999999999999998</v>
      </c>
      <c r="H2459" s="66">
        <f>H2455*G2459</f>
        <v>711145.50613395881</v>
      </c>
    </row>
    <row r="2460" spans="2:8" ht="15" customHeight="1" x14ac:dyDescent="0.3">
      <c r="B2460" s="110" t="s">
        <v>74</v>
      </c>
      <c r="C2460" s="110"/>
      <c r="D2460" s="110"/>
      <c r="E2460" s="110"/>
      <c r="F2460" s="110"/>
      <c r="G2460" s="22">
        <f>'Datos Iniciales'!$B$33</f>
        <v>0.05</v>
      </c>
      <c r="H2460" s="66">
        <f>H2455*G2460</f>
        <v>122611.2941610274</v>
      </c>
    </row>
    <row r="2461" spans="2:8" ht="15" customHeight="1" x14ac:dyDescent="0.3">
      <c r="B2461" s="138" t="s">
        <v>413</v>
      </c>
      <c r="C2461" s="138"/>
      <c r="D2461" s="138"/>
      <c r="E2461" s="138"/>
      <c r="F2461" s="138"/>
      <c r="G2461" s="60">
        <f>G2459+G2460</f>
        <v>0.33999999999999997</v>
      </c>
      <c r="H2461" s="67">
        <f>H2459+H2460</f>
        <v>833756.80029498623</v>
      </c>
    </row>
    <row r="2462" spans="2:8" ht="15" customHeight="1" x14ac:dyDescent="0.3"/>
    <row r="2463" spans="2:8" ht="15" customHeight="1" x14ac:dyDescent="0.3">
      <c r="B2463" s="139" t="s">
        <v>414</v>
      </c>
      <c r="C2463" s="139"/>
      <c r="D2463" s="139"/>
      <c r="E2463" s="139"/>
      <c r="F2463" s="139"/>
      <c r="G2463" s="139"/>
      <c r="H2463" s="37">
        <f>ROUND(H2455+H2461,0)</f>
        <v>3285983</v>
      </c>
    </row>
    <row r="2464" spans="2:8" ht="15" customHeight="1" x14ac:dyDescent="0.3"/>
    <row r="2465" spans="2:8" ht="15" customHeight="1" x14ac:dyDescent="0.3"/>
    <row r="2466" spans="2:8" ht="15.75" customHeight="1" x14ac:dyDescent="0.3">
      <c r="B2466" s="123" t="s">
        <v>0</v>
      </c>
      <c r="C2466" s="123"/>
      <c r="D2466" s="123"/>
      <c r="E2466" s="123"/>
      <c r="F2466" s="123"/>
      <c r="G2466" s="123"/>
      <c r="H2466" s="110"/>
    </row>
    <row r="2467" spans="2:8" ht="15.75" customHeight="1" x14ac:dyDescent="0.3">
      <c r="B2467" s="123" t="s">
        <v>1</v>
      </c>
      <c r="C2467" s="123"/>
      <c r="D2467" s="123"/>
      <c r="E2467" s="123"/>
      <c r="F2467" s="123"/>
      <c r="G2467" s="123"/>
      <c r="H2467" s="110"/>
    </row>
    <row r="2468" spans="2:8" ht="24" customHeight="1" x14ac:dyDescent="0.3">
      <c r="B2468" s="136" t="str">
        <f>'Datos Iniciales'!$B$8</f>
        <v>OBRA PÚBLICA PARA LA EJECUCIÓN DE DIFERENTES MEJORAMIENTOS DE VIVIENDA EN EL CASCO URBANO Y RURAL DEL MUNICIPIO DE MACEO - ANTIOQUIA</v>
      </c>
      <c r="C2468" s="136"/>
      <c r="D2468" s="136"/>
      <c r="E2468" s="136"/>
      <c r="F2468" s="136"/>
      <c r="G2468" s="136"/>
      <c r="H2468" s="110"/>
    </row>
    <row r="2469" spans="2:8" ht="15.75" customHeight="1" x14ac:dyDescent="0.3">
      <c r="B2469" s="112" t="s">
        <v>381</v>
      </c>
      <c r="C2469" s="112"/>
      <c r="D2469" s="112"/>
      <c r="E2469" s="112"/>
      <c r="F2469" s="112"/>
      <c r="G2469" s="112"/>
      <c r="H2469" s="110"/>
    </row>
    <row r="2470" spans="2:8" ht="24" customHeight="1" x14ac:dyDescent="0.3">
      <c r="B2470" s="13" t="s">
        <v>382</v>
      </c>
      <c r="C2470" s="112" t="s">
        <v>94</v>
      </c>
      <c r="D2470" s="112"/>
      <c r="E2470" s="112"/>
      <c r="F2470" s="13" t="s">
        <v>383</v>
      </c>
      <c r="G2470" s="13" t="s">
        <v>384</v>
      </c>
      <c r="H2470" s="13" t="s">
        <v>385</v>
      </c>
    </row>
    <row r="2471" spans="2:8" ht="31.5" customHeight="1" x14ac:dyDescent="0.3">
      <c r="B2471" s="63" t="s">
        <v>692</v>
      </c>
      <c r="C2471" s="140" t="s">
        <v>294</v>
      </c>
      <c r="D2471" s="140"/>
      <c r="E2471" s="140"/>
      <c r="F2471" s="17" t="s">
        <v>107</v>
      </c>
      <c r="G2471" s="41">
        <f>PRESUPUESTO!$E$137</f>
        <v>7</v>
      </c>
      <c r="H2471" s="33">
        <f>H2496</f>
        <v>180593.87545764385</v>
      </c>
    </row>
    <row r="2472" spans="2:8" ht="15" customHeight="1" x14ac:dyDescent="0.3">
      <c r="B2472" s="137" t="s">
        <v>693</v>
      </c>
      <c r="C2472" s="137"/>
      <c r="D2472" s="137"/>
      <c r="E2472" s="137"/>
      <c r="F2472" s="137"/>
      <c r="G2472" s="137"/>
      <c r="H2472" s="137"/>
    </row>
    <row r="2473" spans="2:8" ht="15" customHeight="1" x14ac:dyDescent="0.3">
      <c r="B2473" s="64" t="s">
        <v>388</v>
      </c>
    </row>
    <row r="2474" spans="2:8" ht="15" customHeight="1" x14ac:dyDescent="0.3">
      <c r="B2474" s="135" t="s">
        <v>389</v>
      </c>
      <c r="C2474" s="135"/>
      <c r="D2474" s="135"/>
      <c r="E2474" s="135"/>
      <c r="F2474" s="135"/>
      <c r="G2474" s="135"/>
      <c r="H2474" s="135"/>
    </row>
    <row r="2475" spans="2:8" ht="24" customHeight="1" x14ac:dyDescent="0.3">
      <c r="B2475" s="123" t="s">
        <v>94</v>
      </c>
      <c r="C2475" s="123"/>
      <c r="D2475" s="123"/>
      <c r="E2475" s="31" t="s">
        <v>383</v>
      </c>
      <c r="F2475" s="31" t="s">
        <v>364</v>
      </c>
      <c r="G2475" s="31" t="s">
        <v>390</v>
      </c>
      <c r="H2475" s="31" t="s">
        <v>391</v>
      </c>
    </row>
    <row r="2476" spans="2:8" ht="15" customHeight="1" x14ac:dyDescent="0.3">
      <c r="B2476" s="134" t="s">
        <v>392</v>
      </c>
      <c r="C2476" s="134"/>
      <c r="D2476" s="134"/>
      <c r="E2476" s="17" t="s">
        <v>393</v>
      </c>
      <c r="F2476" s="22">
        <f>EQUIPOS!$D$3</f>
        <v>0.05</v>
      </c>
      <c r="G2476" s="65">
        <f>H2494</f>
        <v>71118.906150137002</v>
      </c>
      <c r="H2476" s="66">
        <f>F2476*G2476</f>
        <v>3555.9453075068504</v>
      </c>
    </row>
    <row r="2477" spans="2:8" ht="15" customHeight="1" x14ac:dyDescent="0.3">
      <c r="B2477" s="134" t="s">
        <v>682</v>
      </c>
      <c r="C2477" s="134"/>
      <c r="D2477" s="134"/>
      <c r="E2477" s="17" t="s">
        <v>421</v>
      </c>
      <c r="F2477" s="65">
        <f>EQUIPOS!$D$9</f>
        <v>25000</v>
      </c>
      <c r="G2477" s="68">
        <v>0.2</v>
      </c>
      <c r="H2477" s="66">
        <f>F2477*G2477</f>
        <v>5000</v>
      </c>
    </row>
    <row r="2478" spans="2:8" ht="15" customHeight="1" x14ac:dyDescent="0.3">
      <c r="G2478" s="31" t="s">
        <v>394</v>
      </c>
      <c r="H2478" s="67">
        <f>SUM(H2476:H2477)</f>
        <v>8555.9453075068504</v>
      </c>
    </row>
    <row r="2479" spans="2:8" ht="15" customHeight="1" x14ac:dyDescent="0.3">
      <c r="B2479" s="135" t="s">
        <v>395</v>
      </c>
      <c r="C2479" s="135"/>
      <c r="D2479" s="135"/>
      <c r="E2479" s="135"/>
      <c r="F2479" s="135"/>
      <c r="G2479" s="135"/>
      <c r="H2479" s="135"/>
    </row>
    <row r="2480" spans="2:8" ht="15" customHeight="1" x14ac:dyDescent="0.3">
      <c r="B2480" s="123" t="s">
        <v>94</v>
      </c>
      <c r="C2480" s="123"/>
      <c r="D2480" s="31" t="s">
        <v>383</v>
      </c>
      <c r="E2480" s="31" t="s">
        <v>96</v>
      </c>
      <c r="F2480" s="31" t="s">
        <v>396</v>
      </c>
      <c r="G2480" s="31" t="s">
        <v>397</v>
      </c>
      <c r="H2480" s="31" t="s">
        <v>391</v>
      </c>
    </row>
    <row r="2481" spans="2:8" ht="15" customHeight="1" x14ac:dyDescent="0.3">
      <c r="B2481" s="134" t="s">
        <v>589</v>
      </c>
      <c r="C2481" s="134"/>
      <c r="D2481" s="17" t="s">
        <v>590</v>
      </c>
      <c r="E2481" s="68">
        <v>9</v>
      </c>
      <c r="F2481" s="27">
        <v>0.1</v>
      </c>
      <c r="G2481" s="32">
        <f>INSUMOS!$D$64</f>
        <v>8500</v>
      </c>
      <c r="H2481" s="66">
        <f>E2481*(1+F2481)*G2481</f>
        <v>84150</v>
      </c>
    </row>
    <row r="2482" spans="2:8" ht="15" customHeight="1" x14ac:dyDescent="0.3">
      <c r="B2482" s="134" t="s">
        <v>591</v>
      </c>
      <c r="C2482" s="134"/>
      <c r="D2482" s="17" t="s">
        <v>399</v>
      </c>
      <c r="E2482" s="68">
        <v>2</v>
      </c>
      <c r="F2482" s="27">
        <v>0</v>
      </c>
      <c r="G2482" s="32">
        <f>INSUMOS!$D$65</f>
        <v>3500</v>
      </c>
      <c r="H2482" s="66">
        <f>E2482*(1+F2482)*G2482</f>
        <v>7000</v>
      </c>
    </row>
    <row r="2483" spans="2:8" ht="15" customHeight="1" x14ac:dyDescent="0.3">
      <c r="B2483" s="134" t="s">
        <v>690</v>
      </c>
      <c r="C2483" s="134"/>
      <c r="D2483" s="17" t="s">
        <v>508</v>
      </c>
      <c r="E2483" s="68">
        <v>0.05</v>
      </c>
      <c r="F2483" s="27">
        <v>0</v>
      </c>
      <c r="G2483" s="32">
        <f>INSUMOS!$D$66</f>
        <v>75000</v>
      </c>
      <c r="H2483" s="66">
        <f>E2483*(1+F2483)*G2483</f>
        <v>3750</v>
      </c>
    </row>
    <row r="2484" spans="2:8" ht="15" customHeight="1" x14ac:dyDescent="0.3">
      <c r="G2484" s="31" t="s">
        <v>394</v>
      </c>
      <c r="H2484" s="67">
        <f>SUM(H2481:H2483)</f>
        <v>94900</v>
      </c>
    </row>
    <row r="2485" spans="2:8" ht="15" customHeight="1" x14ac:dyDescent="0.3">
      <c r="B2485" s="135" t="s">
        <v>404</v>
      </c>
      <c r="C2485" s="135"/>
      <c r="D2485" s="135"/>
      <c r="E2485" s="135"/>
      <c r="F2485" s="135"/>
      <c r="G2485" s="135"/>
      <c r="H2485" s="135"/>
    </row>
    <row r="2486" spans="2:8" ht="15" customHeight="1" x14ac:dyDescent="0.3">
      <c r="B2486" s="123" t="s">
        <v>94</v>
      </c>
      <c r="C2486" s="123"/>
      <c r="D2486" s="31" t="s">
        <v>383</v>
      </c>
      <c r="E2486" s="31" t="s">
        <v>96</v>
      </c>
      <c r="F2486" s="31"/>
      <c r="G2486" s="31" t="s">
        <v>364</v>
      </c>
      <c r="H2486" s="31" t="s">
        <v>391</v>
      </c>
    </row>
    <row r="2487" spans="2:8" ht="22.05" customHeight="1" x14ac:dyDescent="0.3">
      <c r="B2487" s="134" t="s">
        <v>533</v>
      </c>
      <c r="C2487" s="134"/>
      <c r="D2487" s="17" t="s">
        <v>431</v>
      </c>
      <c r="E2487" s="72">
        <f>0.022*'Datos Iniciales'!$B$31</f>
        <v>2.7829999999999999</v>
      </c>
      <c r="F2487" s="29"/>
      <c r="G2487" s="32">
        <f>TRANSPORTE!$D$4</f>
        <v>1928</v>
      </c>
      <c r="H2487" s="66">
        <f>E2487*G2487</f>
        <v>5365.6239999999998</v>
      </c>
    </row>
    <row r="2488" spans="2:8" ht="22.05" customHeight="1" x14ac:dyDescent="0.3">
      <c r="B2488" s="134" t="s">
        <v>534</v>
      </c>
      <c r="C2488" s="134"/>
      <c r="D2488" s="17" t="s">
        <v>431</v>
      </c>
      <c r="E2488" s="72">
        <f>0.022*'Datos Iniciales'!$B$26</f>
        <v>0.21999999999999997</v>
      </c>
      <c r="F2488" s="29"/>
      <c r="G2488" s="32">
        <f>TRANSPORTE!$D$5</f>
        <v>2970</v>
      </c>
      <c r="H2488" s="66">
        <f>E2488*G2488</f>
        <v>653.4</v>
      </c>
    </row>
    <row r="2489" spans="2:8" ht="15" customHeight="1" x14ac:dyDescent="0.3">
      <c r="G2489" s="31" t="s">
        <v>394</v>
      </c>
      <c r="H2489" s="67">
        <f>SUM(H2487:H2488)</f>
        <v>6019.0239999999994</v>
      </c>
    </row>
    <row r="2490" spans="2:8" ht="15" customHeight="1" x14ac:dyDescent="0.3">
      <c r="B2490" s="135" t="s">
        <v>406</v>
      </c>
      <c r="C2490" s="135"/>
      <c r="D2490" s="135"/>
      <c r="E2490" s="135"/>
      <c r="F2490" s="135"/>
      <c r="G2490" s="135"/>
      <c r="H2490" s="135"/>
    </row>
    <row r="2491" spans="2:8" ht="24" customHeight="1" x14ac:dyDescent="0.3">
      <c r="B2491" s="123" t="s">
        <v>407</v>
      </c>
      <c r="C2491" s="123"/>
      <c r="D2491" s="123"/>
      <c r="E2491" s="31" t="s">
        <v>96</v>
      </c>
      <c r="F2491" s="31" t="s">
        <v>408</v>
      </c>
      <c r="G2491" s="31" t="s">
        <v>390</v>
      </c>
      <c r="H2491" s="31" t="s">
        <v>391</v>
      </c>
    </row>
    <row r="2492" spans="2:8" ht="15" customHeight="1" x14ac:dyDescent="0.3">
      <c r="B2492" s="134" t="s">
        <v>594</v>
      </c>
      <c r="C2492" s="134"/>
      <c r="D2492" s="134"/>
      <c r="E2492" s="69">
        <v>1</v>
      </c>
      <c r="F2492" s="32">
        <f>'MANO DE OBRA'!$H$33</f>
        <v>233618.44357260279</v>
      </c>
      <c r="G2492" s="68">
        <v>0.2</v>
      </c>
      <c r="H2492" s="66">
        <f>E2492*F2492*G2492</f>
        <v>46723.688714520562</v>
      </c>
    </row>
    <row r="2493" spans="2:8" ht="15" customHeight="1" x14ac:dyDescent="0.3">
      <c r="B2493" s="134" t="s">
        <v>595</v>
      </c>
      <c r="C2493" s="134"/>
      <c r="D2493" s="134"/>
      <c r="E2493" s="69">
        <v>1</v>
      </c>
      <c r="F2493" s="32">
        <f>'MANO DE OBRA'!$H$26</f>
        <v>121976.08717808221</v>
      </c>
      <c r="G2493" s="68">
        <v>0.2</v>
      </c>
      <c r="H2493" s="66">
        <f>E2493*F2493*G2493</f>
        <v>24395.217435616443</v>
      </c>
    </row>
    <row r="2494" spans="2:8" ht="15" customHeight="1" x14ac:dyDescent="0.3">
      <c r="G2494" s="31" t="s">
        <v>394</v>
      </c>
      <c r="H2494" s="67">
        <f>SUM(H2492:H2493)</f>
        <v>71118.906150137002</v>
      </c>
    </row>
    <row r="2495" spans="2:8" ht="15" customHeight="1" x14ac:dyDescent="0.3"/>
    <row r="2496" spans="2:8" ht="15" customHeight="1" x14ac:dyDescent="0.3">
      <c r="B2496" s="115" t="s">
        <v>295</v>
      </c>
      <c r="C2496" s="115"/>
      <c r="D2496" s="115"/>
      <c r="E2496" s="115"/>
      <c r="F2496" s="115"/>
      <c r="G2496" s="115"/>
      <c r="H2496" s="70">
        <f>H2478+H2484+H2489+H2494</f>
        <v>180593.87545764385</v>
      </c>
    </row>
    <row r="2497" spans="2:8" ht="15" customHeight="1" x14ac:dyDescent="0.3"/>
    <row r="2498" spans="2:8" ht="15" customHeight="1" x14ac:dyDescent="0.3">
      <c r="B2498" s="71" t="s">
        <v>411</v>
      </c>
    </row>
    <row r="2499" spans="2:8" ht="15" customHeight="1" x14ac:dyDescent="0.3">
      <c r="B2499" s="123" t="s">
        <v>94</v>
      </c>
      <c r="C2499" s="123"/>
      <c r="D2499" s="123"/>
      <c r="E2499" s="123"/>
      <c r="F2499" s="123"/>
      <c r="G2499" s="31" t="s">
        <v>412</v>
      </c>
      <c r="H2499" s="31" t="s">
        <v>4</v>
      </c>
    </row>
    <row r="2500" spans="2:8" ht="15" customHeight="1" x14ac:dyDescent="0.3">
      <c r="B2500" s="110" t="s">
        <v>73</v>
      </c>
      <c r="C2500" s="110"/>
      <c r="D2500" s="110"/>
      <c r="E2500" s="110"/>
      <c r="F2500" s="110"/>
      <c r="G2500" s="22">
        <f>'Datos Iniciales'!$B$32</f>
        <v>0.28999999999999998</v>
      </c>
      <c r="H2500" s="66">
        <f>H2496*G2500</f>
        <v>52372.223882716717</v>
      </c>
    </row>
    <row r="2501" spans="2:8" ht="15" customHeight="1" x14ac:dyDescent="0.3">
      <c r="B2501" s="110" t="s">
        <v>74</v>
      </c>
      <c r="C2501" s="110"/>
      <c r="D2501" s="110"/>
      <c r="E2501" s="110"/>
      <c r="F2501" s="110"/>
      <c r="G2501" s="22">
        <f>'Datos Iniciales'!$B$33</f>
        <v>0.05</v>
      </c>
      <c r="H2501" s="66">
        <f>H2496*G2501</f>
        <v>9029.6937728821922</v>
      </c>
    </row>
    <row r="2502" spans="2:8" ht="15" customHeight="1" x14ac:dyDescent="0.3">
      <c r="B2502" s="138" t="s">
        <v>413</v>
      </c>
      <c r="C2502" s="138"/>
      <c r="D2502" s="138"/>
      <c r="E2502" s="138"/>
      <c r="F2502" s="138"/>
      <c r="G2502" s="60">
        <f>G2500+G2501</f>
        <v>0.33999999999999997</v>
      </c>
      <c r="H2502" s="67">
        <f>H2500+H2501</f>
        <v>61401.917655598911</v>
      </c>
    </row>
    <row r="2503" spans="2:8" ht="15" customHeight="1" x14ac:dyDescent="0.3"/>
    <row r="2504" spans="2:8" ht="15" customHeight="1" x14ac:dyDescent="0.3">
      <c r="B2504" s="139" t="s">
        <v>414</v>
      </c>
      <c r="C2504" s="139"/>
      <c r="D2504" s="139"/>
      <c r="E2504" s="139"/>
      <c r="F2504" s="139"/>
      <c r="G2504" s="139"/>
      <c r="H2504" s="37">
        <f>ROUND(H2496+H2502,0)</f>
        <v>241996</v>
      </c>
    </row>
    <row r="2505" spans="2:8" ht="15" customHeight="1" x14ac:dyDescent="0.3"/>
    <row r="2506" spans="2:8" ht="15" customHeight="1" x14ac:dyDescent="0.3"/>
  </sheetData>
  <mergeCells count="1875">
    <mergeCell ref="B2316:D2316"/>
    <mergeCell ref="B2010:C2010"/>
    <mergeCell ref="C321:E321"/>
    <mergeCell ref="B529:D529"/>
    <mergeCell ref="B827:D827"/>
    <mergeCell ref="B1399:G1399"/>
    <mergeCell ref="B2065:F2065"/>
    <mergeCell ref="B794:F794"/>
    <mergeCell ref="B1310:F1310"/>
    <mergeCell ref="B129:H129"/>
    <mergeCell ref="B1908:G1908"/>
    <mergeCell ref="B551:F551"/>
    <mergeCell ref="B1189:G1189"/>
    <mergeCell ref="C606:E606"/>
    <mergeCell ref="B2367:D2367"/>
    <mergeCell ref="B968:D968"/>
    <mergeCell ref="B2359:C2359"/>
    <mergeCell ref="B249:C249"/>
    <mergeCell ref="B148:F148"/>
    <mergeCell ref="B2083:D2083"/>
    <mergeCell ref="B2112:G2112"/>
    <mergeCell ref="B1764:H1764"/>
    <mergeCell ref="B1312:F1312"/>
    <mergeCell ref="H2187:H2190"/>
    <mergeCell ref="B1302:D1302"/>
    <mergeCell ref="B2095:H2095"/>
    <mergeCell ref="B1460:D1460"/>
    <mergeCell ref="B1944:F1944"/>
    <mergeCell ref="B1820:G1820"/>
    <mergeCell ref="B1086:G1086"/>
    <mergeCell ref="C2349:E2349"/>
    <mergeCell ref="B719:F719"/>
    <mergeCell ref="B728:G728"/>
    <mergeCell ref="C1003:E1003"/>
    <mergeCell ref="B1781:G1781"/>
    <mergeCell ref="B720:F720"/>
    <mergeCell ref="B607:H607"/>
    <mergeCell ref="B1327:D1327"/>
    <mergeCell ref="B1021:C1021"/>
    <mergeCell ref="B2082:D2082"/>
    <mergeCell ref="B2296:G2296"/>
    <mergeCell ref="B1789:G1789"/>
    <mergeCell ref="B1655:D1655"/>
    <mergeCell ref="B1414:H1414"/>
    <mergeCell ref="B1843:H1843"/>
    <mergeCell ref="H1554:H1557"/>
    <mergeCell ref="B810:H810"/>
    <mergeCell ref="B802:G802"/>
    <mergeCell ref="B1984:F1984"/>
    <mergeCell ref="B952:F952"/>
    <mergeCell ref="B2142:F2142"/>
    <mergeCell ref="B15:C15"/>
    <mergeCell ref="B1681:D1681"/>
    <mergeCell ref="B620:C620"/>
    <mergeCell ref="B778:C778"/>
    <mergeCell ref="B195:G195"/>
    <mergeCell ref="B231:G231"/>
    <mergeCell ref="B735:D735"/>
    <mergeCell ref="B1713:G1713"/>
    <mergeCell ref="B1562:H1562"/>
    <mergeCell ref="B1340:D1340"/>
    <mergeCell ref="B1376:C1376"/>
    <mergeCell ref="B1705:F1705"/>
    <mergeCell ref="B615:C615"/>
    <mergeCell ref="B675:F675"/>
    <mergeCell ref="B2319:H2319"/>
    <mergeCell ref="B87:H87"/>
    <mergeCell ref="B234:G234"/>
    <mergeCell ref="B1752:G1752"/>
    <mergeCell ref="B1142:C1142"/>
    <mergeCell ref="B1297:H1297"/>
    <mergeCell ref="B1320:G1320"/>
    <mergeCell ref="C1088:E1088"/>
    <mergeCell ref="B901:H901"/>
    <mergeCell ref="B2085:H2085"/>
    <mergeCell ref="B2203:C2203"/>
    <mergeCell ref="B1962:H1962"/>
    <mergeCell ref="B1956:H1956"/>
    <mergeCell ref="B2169:C2169"/>
    <mergeCell ref="B1917:H1917"/>
    <mergeCell ref="B1185:D1185"/>
    <mergeCell ref="B2251:H2251"/>
    <mergeCell ref="B1606:C1606"/>
    <mergeCell ref="B2488:C2488"/>
    <mergeCell ref="B1420:D1420"/>
    <mergeCell ref="B1727:C1727"/>
    <mergeCell ref="C1244:E1244"/>
    <mergeCell ref="C2428:E2428"/>
    <mergeCell ref="B966:D966"/>
    <mergeCell ref="B1264:D1264"/>
    <mergeCell ref="B1115:F1115"/>
    <mergeCell ref="B1422:D1422"/>
    <mergeCell ref="B2446:C2446"/>
    <mergeCell ref="B390:F390"/>
    <mergeCell ref="B1488:H1488"/>
    <mergeCell ref="C2117:E2117"/>
    <mergeCell ref="B456:H456"/>
    <mergeCell ref="B389:F389"/>
    <mergeCell ref="B1275:F1275"/>
    <mergeCell ref="B1722:D1722"/>
    <mergeCell ref="C1087:E1087"/>
    <mergeCell ref="B391:F391"/>
    <mergeCell ref="B1569:C1569"/>
    <mergeCell ref="B1290:D1290"/>
    <mergeCell ref="H2383:H2386"/>
    <mergeCell ref="B1349:F1349"/>
    <mergeCell ref="B1656:D1656"/>
    <mergeCell ref="B1044:G1044"/>
    <mergeCell ref="B2372:G2372"/>
    <mergeCell ref="B2369:D2369"/>
    <mergeCell ref="B1939:G1939"/>
    <mergeCell ref="B574:C574"/>
    <mergeCell ref="B887:H887"/>
    <mergeCell ref="B1485:D1485"/>
    <mergeCell ref="B1337:C1337"/>
    <mergeCell ref="C47:E47"/>
    <mergeCell ref="B1887:C1887"/>
    <mergeCell ref="B2109:G2109"/>
    <mergeCell ref="B2401:H2401"/>
    <mergeCell ref="B705:C705"/>
    <mergeCell ref="B921:G921"/>
    <mergeCell ref="B1370:C1370"/>
    <mergeCell ref="B2493:D2493"/>
    <mergeCell ref="B408:D408"/>
    <mergeCell ref="B698:C698"/>
    <mergeCell ref="B2097:D2097"/>
    <mergeCell ref="B1372:C1372"/>
    <mergeCell ref="B924:H924"/>
    <mergeCell ref="B1680:D1680"/>
    <mergeCell ref="B1365:D1365"/>
    <mergeCell ref="B2407:D2407"/>
    <mergeCell ref="C730:E730"/>
    <mergeCell ref="H1436:H1439"/>
    <mergeCell ref="B2328:H2328"/>
    <mergeCell ref="B2476:D2476"/>
    <mergeCell ref="B1106:D1106"/>
    <mergeCell ref="B1872:G1872"/>
    <mergeCell ref="B2288:C2288"/>
    <mergeCell ref="B98:C98"/>
    <mergeCell ref="B280:H280"/>
    <mergeCell ref="B406:D406"/>
    <mergeCell ref="B282:H282"/>
    <mergeCell ref="B2469:G2469"/>
    <mergeCell ref="B1431:F1431"/>
    <mergeCell ref="B333:C333"/>
    <mergeCell ref="B1846:C1846"/>
    <mergeCell ref="B491:C491"/>
    <mergeCell ref="B34:F34"/>
    <mergeCell ref="B186:F186"/>
    <mergeCell ref="B913:F913"/>
    <mergeCell ref="B1811:C1811"/>
    <mergeCell ref="B1056:C1056"/>
    <mergeCell ref="B940:H940"/>
    <mergeCell ref="C1757:E1757"/>
    <mergeCell ref="B453:C453"/>
    <mergeCell ref="B757:F757"/>
    <mergeCell ref="B31:G31"/>
    <mergeCell ref="C1915:E1915"/>
    <mergeCell ref="B1093:D1093"/>
    <mergeCell ref="B1397:G1397"/>
    <mergeCell ref="B1058:C1058"/>
    <mergeCell ref="B1216:C1216"/>
    <mergeCell ref="B39:G39"/>
    <mergeCell ref="B1812:C1812"/>
    <mergeCell ref="H274:H277"/>
    <mergeCell ref="B782:C782"/>
    <mergeCell ref="B541:H541"/>
    <mergeCell ref="B970:H970"/>
    <mergeCell ref="B1150:G1150"/>
    <mergeCell ref="B1903:F1903"/>
    <mergeCell ref="B1117:F1117"/>
    <mergeCell ref="B478:G478"/>
    <mergeCell ref="B1905:F1905"/>
    <mergeCell ref="B987:G987"/>
    <mergeCell ref="B343:D343"/>
    <mergeCell ref="B174:C174"/>
    <mergeCell ref="B1301:H1301"/>
    <mergeCell ref="B1446:D1446"/>
    <mergeCell ref="B1024:H1024"/>
    <mergeCell ref="B2504:G2504"/>
    <mergeCell ref="B1749:G1749"/>
    <mergeCell ref="B774:D774"/>
    <mergeCell ref="C769:E769"/>
    <mergeCell ref="B1330:H1330"/>
    <mergeCell ref="B1108:D1108"/>
    <mergeCell ref="H477:H480"/>
    <mergeCell ref="B1406:D1406"/>
    <mergeCell ref="B1289:D1289"/>
    <mergeCell ref="B1153:F1153"/>
    <mergeCell ref="B1590:G1590"/>
    <mergeCell ref="B1626:F1626"/>
    <mergeCell ref="H1713:H1716"/>
    <mergeCell ref="B492:C492"/>
    <mergeCell ref="C2470:E2470"/>
    <mergeCell ref="B1163:G1163"/>
    <mergeCell ref="C2155:E2155"/>
    <mergeCell ref="B1155:F1155"/>
    <mergeCell ref="B1762:D1762"/>
    <mergeCell ref="B2188:G2188"/>
    <mergeCell ref="B1885:C1885"/>
    <mergeCell ref="B1164:G1164"/>
    <mergeCell ref="B1884:C1884"/>
    <mergeCell ref="B2190:G2190"/>
    <mergeCell ref="B1158:G1158"/>
    <mergeCell ref="B885:H885"/>
    <mergeCell ref="B2491:D2491"/>
    <mergeCell ref="B1585:F1585"/>
    <mergeCell ref="B1457:C1457"/>
    <mergeCell ref="B1451:C1451"/>
    <mergeCell ref="B696:C696"/>
    <mergeCell ref="B580:H580"/>
    <mergeCell ref="B2:G2"/>
    <mergeCell ref="B1299:C1299"/>
    <mergeCell ref="B2209:H2209"/>
    <mergeCell ref="B765:G765"/>
    <mergeCell ref="B2240:C2240"/>
    <mergeCell ref="B1517:G1517"/>
    <mergeCell ref="B2197:D2197"/>
    <mergeCell ref="B2301:F2301"/>
    <mergeCell ref="C1481:E1481"/>
    <mergeCell ref="B474:G474"/>
    <mergeCell ref="B898:C898"/>
    <mergeCell ref="B137:C137"/>
    <mergeCell ref="B1543:G1543"/>
    <mergeCell ref="B1228:G1228"/>
    <mergeCell ref="C83:E83"/>
    <mergeCell ref="B1833:G1833"/>
    <mergeCell ref="B1072:G1072"/>
    <mergeCell ref="B2284:C2284"/>
    <mergeCell ref="B652:H652"/>
    <mergeCell ref="B346:G346"/>
    <mergeCell ref="B1068:D1068"/>
    <mergeCell ref="B11:D11"/>
    <mergeCell ref="B2173:D2173"/>
    <mergeCell ref="B1292:H1292"/>
    <mergeCell ref="B342:D342"/>
    <mergeCell ref="B71:F71"/>
    <mergeCell ref="B950:F950"/>
    <mergeCell ref="B1554:G1554"/>
    <mergeCell ref="B822:C822"/>
    <mergeCell ref="B2167:H2167"/>
    <mergeCell ref="C768:E768"/>
    <mergeCell ref="B380:H380"/>
    <mergeCell ref="C7:E7"/>
    <mergeCell ref="B68:G68"/>
    <mergeCell ref="B1556:G1556"/>
    <mergeCell ref="B2005:C2005"/>
    <mergeCell ref="B369:D369"/>
    <mergeCell ref="B667:D667"/>
    <mergeCell ref="B527:D527"/>
    <mergeCell ref="B76:G76"/>
    <mergeCell ref="B1857:D1857"/>
    <mergeCell ref="B825:D825"/>
    <mergeCell ref="B368:D368"/>
    <mergeCell ref="B253:H253"/>
    <mergeCell ref="B1131:D1131"/>
    <mergeCell ref="B1760:H1760"/>
    <mergeCell ref="B1339:H1339"/>
    <mergeCell ref="B2211:D2211"/>
    <mergeCell ref="H156:H159"/>
    <mergeCell ref="B1906:F1906"/>
    <mergeCell ref="B209:C209"/>
    <mergeCell ref="B440:G440"/>
    <mergeCell ref="B598:G598"/>
    <mergeCell ref="B1351:F1351"/>
    <mergeCell ref="B1652:C1652"/>
    <mergeCell ref="C562:E562"/>
    <mergeCell ref="B1960:D1960"/>
    <mergeCell ref="B36:F36"/>
    <mergeCell ref="B984:D984"/>
    <mergeCell ref="B2106:F2106"/>
    <mergeCell ref="B702:C702"/>
    <mergeCell ref="B1671:G1671"/>
    <mergeCell ref="B539:C539"/>
    <mergeCell ref="B329:D329"/>
    <mergeCell ref="B2458:F2458"/>
    <mergeCell ref="B88:D88"/>
    <mergeCell ref="C1876:E1876"/>
    <mergeCell ref="B2205:H2205"/>
    <mergeCell ref="B427:G427"/>
    <mergeCell ref="B761:G761"/>
    <mergeCell ref="B661:C661"/>
    <mergeCell ref="B2325:C2325"/>
    <mergeCell ref="B1895:D1895"/>
    <mergeCell ref="B538:C538"/>
    <mergeCell ref="B1176:C1176"/>
    <mergeCell ref="H1871:H1874"/>
    <mergeCell ref="B1897:D1897"/>
    <mergeCell ref="B383:D383"/>
    <mergeCell ref="B1625:F1625"/>
    <mergeCell ref="B593:F593"/>
    <mergeCell ref="B322:H322"/>
    <mergeCell ref="B1200:G1200"/>
    <mergeCell ref="B141:D141"/>
    <mergeCell ref="B894:C894"/>
    <mergeCell ref="B1627:F1627"/>
    <mergeCell ref="B2233:H2233"/>
    <mergeCell ref="B1350:F1350"/>
    <mergeCell ref="B595:F595"/>
    <mergeCell ref="B446:H446"/>
    <mergeCell ref="B622:H622"/>
    <mergeCell ref="B2383:G2383"/>
    <mergeCell ref="B1651:C1651"/>
    <mergeCell ref="B2255:D2255"/>
    <mergeCell ref="C1597:E1597"/>
    <mergeCell ref="B1201:G1201"/>
    <mergeCell ref="B530:D530"/>
    <mergeCell ref="B158:G158"/>
    <mergeCell ref="B911:F911"/>
    <mergeCell ref="B316:G316"/>
    <mergeCell ref="B2404:C2404"/>
    <mergeCell ref="B1043:G1043"/>
    <mergeCell ref="B1035:F1035"/>
    <mergeCell ref="H2225:H2228"/>
    <mergeCell ref="B1123:G1123"/>
    <mergeCell ref="B2091:C2091"/>
    <mergeCell ref="B1336:C1336"/>
    <mergeCell ref="B619:C619"/>
    <mergeCell ref="B153:G153"/>
    <mergeCell ref="B1125:G1125"/>
    <mergeCell ref="B490:C490"/>
    <mergeCell ref="B1222:H1222"/>
    <mergeCell ref="B1520:H1520"/>
    <mergeCell ref="B2036:H2036"/>
    <mergeCell ref="B2158:H2158"/>
    <mergeCell ref="B1855:D1855"/>
    <mergeCell ref="B2092:C2092"/>
    <mergeCell ref="B1731:H1731"/>
    <mergeCell ref="B1210:D1210"/>
    <mergeCell ref="B1333:C1333"/>
    <mergeCell ref="B634:F634"/>
    <mergeCell ref="B2025:F2025"/>
    <mergeCell ref="H879:H882"/>
    <mergeCell ref="C1636:E1636"/>
    <mergeCell ref="B1579:D1579"/>
    <mergeCell ref="B2044:C2044"/>
    <mergeCell ref="B2258:G2258"/>
    <mergeCell ref="B2391:H2391"/>
    <mergeCell ref="B864:D864"/>
    <mergeCell ref="B2455:G2455"/>
    <mergeCell ref="B937:C937"/>
    <mergeCell ref="B844:G844"/>
    <mergeCell ref="B1144:H1144"/>
    <mergeCell ref="B838:G838"/>
    <mergeCell ref="B175:C175"/>
    <mergeCell ref="B2321:C2321"/>
    <mergeCell ref="B534:C534"/>
    <mergeCell ref="B1444:H1444"/>
    <mergeCell ref="B689:H689"/>
    <mergeCell ref="B2022:F2022"/>
    <mergeCell ref="B1261:C1261"/>
    <mergeCell ref="B992:F992"/>
    <mergeCell ref="B2445:C2445"/>
    <mergeCell ref="B1746:F1746"/>
    <mergeCell ref="H1239:H1242"/>
    <mergeCell ref="B849:H849"/>
    <mergeCell ref="B1563:D1563"/>
    <mergeCell ref="B266:F266"/>
    <mergeCell ref="B995:G995"/>
    <mergeCell ref="B993:F993"/>
    <mergeCell ref="B381:D381"/>
    <mergeCell ref="B859:C859"/>
    <mergeCell ref="B268:F268"/>
    <mergeCell ref="B1266:D1266"/>
    <mergeCell ref="B2163:C2163"/>
    <mergeCell ref="B1286:H1286"/>
    <mergeCell ref="B1593:G1593"/>
    <mergeCell ref="B1952:G1952"/>
    <mergeCell ref="B444:H444"/>
    <mergeCell ref="B559:G559"/>
    <mergeCell ref="C807:E807"/>
    <mergeCell ref="B2368:D2368"/>
    <mergeCell ref="B1033:F1033"/>
    <mergeCell ref="B920:G920"/>
    <mergeCell ref="B1673:G1673"/>
    <mergeCell ref="B1218:H1218"/>
    <mergeCell ref="B575:C575"/>
    <mergeCell ref="B2156:H2156"/>
    <mergeCell ref="B759:F759"/>
    <mergeCell ref="B1091:H1091"/>
    <mergeCell ref="B1391:F1391"/>
    <mergeCell ref="B931:C931"/>
    <mergeCell ref="B54:H54"/>
    <mergeCell ref="B640:G640"/>
    <mergeCell ref="B183:G183"/>
    <mergeCell ref="B632:F632"/>
    <mergeCell ref="B483:H483"/>
    <mergeCell ref="B1236:G1236"/>
    <mergeCell ref="B351:F351"/>
    <mergeCell ref="B196:G196"/>
    <mergeCell ref="B123:H123"/>
    <mergeCell ref="B205:D205"/>
    <mergeCell ref="B739:C739"/>
    <mergeCell ref="B200:H200"/>
    <mergeCell ref="B741:C741"/>
    <mergeCell ref="B1834:G1834"/>
    <mergeCell ref="C1796:E1796"/>
    <mergeCell ref="B149:F149"/>
    <mergeCell ref="B1966:C1966"/>
    <mergeCell ref="B912:F912"/>
    <mergeCell ref="B2271:G2271"/>
    <mergeCell ref="B1516:G1516"/>
    <mergeCell ref="B151:F151"/>
    <mergeCell ref="B2426:G2426"/>
    <mergeCell ref="B2420:G2420"/>
    <mergeCell ref="B1688:C1688"/>
    <mergeCell ref="B933:C933"/>
    <mergeCell ref="B2292:D2292"/>
    <mergeCell ref="B2418:F2418"/>
    <mergeCell ref="C1756:E1756"/>
    <mergeCell ref="B2001:H2001"/>
    <mergeCell ref="B1687:C1687"/>
    <mergeCell ref="C2388:E2388"/>
    <mergeCell ref="B1388:F1388"/>
    <mergeCell ref="B1539:D1539"/>
    <mergeCell ref="B2452:D2452"/>
    <mergeCell ref="B1697:D1697"/>
    <mergeCell ref="B1571:H1571"/>
    <mergeCell ref="B1689:C1689"/>
    <mergeCell ref="H1752:H1755"/>
    <mergeCell ref="B2293:D2293"/>
    <mergeCell ref="B1077:F1077"/>
    <mergeCell ref="B1744:F1744"/>
    <mergeCell ref="B1596:G1596"/>
    <mergeCell ref="B991:F991"/>
    <mergeCell ref="B1102:C1102"/>
    <mergeCell ref="B1496:C1496"/>
    <mergeCell ref="B1674:G1674"/>
    <mergeCell ref="B1064:C1064"/>
    <mergeCell ref="B1710:G1710"/>
    <mergeCell ref="B1832:G1832"/>
    <mergeCell ref="B2432:D2432"/>
    <mergeCell ref="B943:D943"/>
    <mergeCell ref="B2139:G2139"/>
    <mergeCell ref="B2125:C2125"/>
    <mergeCell ref="B2500:F2500"/>
    <mergeCell ref="B1162:G1162"/>
    <mergeCell ref="B1714:G1714"/>
    <mergeCell ref="B1259:H1259"/>
    <mergeCell ref="B649:D649"/>
    <mergeCell ref="B2231:H2231"/>
    <mergeCell ref="B73:F73"/>
    <mergeCell ref="B63:D63"/>
    <mergeCell ref="C1559:E1559"/>
    <mergeCell ref="B1307:G1307"/>
    <mergeCell ref="B2131:C2131"/>
    <mergeCell ref="B1099:C1099"/>
    <mergeCell ref="C643:E643"/>
    <mergeCell ref="B858:H858"/>
    <mergeCell ref="B1578:D1578"/>
    <mergeCell ref="B2220:F2220"/>
    <mergeCell ref="C1400:E1400"/>
    <mergeCell ref="B276:G276"/>
    <mergeCell ref="B1644:H1644"/>
    <mergeCell ref="B1603:D1603"/>
    <mergeCell ref="B881:G881"/>
    <mergeCell ref="B120:G120"/>
    <mergeCell ref="B2487:C2487"/>
    <mergeCell ref="B1455:C1455"/>
    <mergeCell ref="B700:C700"/>
    <mergeCell ref="B1610:H1610"/>
    <mergeCell ref="B217:H217"/>
    <mergeCell ref="C1243:E1243"/>
    <mergeCell ref="C1401:E1401"/>
    <mergeCell ref="B2358:C2358"/>
    <mergeCell ref="B1041:G1041"/>
    <mergeCell ref="B1298:C1298"/>
    <mergeCell ref="B2482:C2482"/>
    <mergeCell ref="B1785:F1785"/>
    <mergeCell ref="B1470:F1470"/>
    <mergeCell ref="B112:F112"/>
    <mergeCell ref="B725:G725"/>
    <mergeCell ref="C1717:E1717"/>
    <mergeCell ref="B2200:C2200"/>
    <mergeCell ref="B413:C413"/>
    <mergeCell ref="B717:F717"/>
    <mergeCell ref="C239:E239"/>
    <mergeCell ref="B1773:C1773"/>
    <mergeCell ref="B2424:G2424"/>
    <mergeCell ref="B2202:C2202"/>
    <mergeCell ref="B2416:F2416"/>
    <mergeCell ref="B415:C415"/>
    <mergeCell ref="B299:H299"/>
    <mergeCell ref="C1598:E1598"/>
    <mergeCell ref="B1766:C1766"/>
    <mergeCell ref="H357:H360"/>
    <mergeCell ref="B2201:C2201"/>
    <mergeCell ref="B808:H808"/>
    <mergeCell ref="B890:D890"/>
    <mergeCell ref="H234:H237"/>
    <mergeCell ref="B1776:D1776"/>
    <mergeCell ref="B1013:C1013"/>
    <mergeCell ref="B897:H897"/>
    <mergeCell ref="B287:D287"/>
    <mergeCell ref="B2291:D2291"/>
    <mergeCell ref="B1050:D1050"/>
    <mergeCell ref="B169:H169"/>
    <mergeCell ref="B1506:F1506"/>
    <mergeCell ref="B797:F797"/>
    <mergeCell ref="B2474:H2474"/>
    <mergeCell ref="B2135:D2135"/>
    <mergeCell ref="B2433:D2433"/>
    <mergeCell ref="B2127:C2127"/>
    <mergeCell ref="B1428:F1428"/>
    <mergeCell ref="B219:D219"/>
    <mergeCell ref="B1430:F1430"/>
    <mergeCell ref="B1588:F1588"/>
    <mergeCell ref="B2463:G2463"/>
    <mergeCell ref="B72:F72"/>
    <mergeCell ref="B454:C454"/>
    <mergeCell ref="B670:G670"/>
    <mergeCell ref="B213:H213"/>
    <mergeCell ref="B2150:G2150"/>
    <mergeCell ref="B678:G678"/>
    <mergeCell ref="B779:C779"/>
    <mergeCell ref="B1726:C1726"/>
    <mergeCell ref="B242:H242"/>
    <mergeCell ref="B1411:C1411"/>
    <mergeCell ref="B2101:G2101"/>
    <mergeCell ref="B1042:G1042"/>
    <mergeCell ref="B2098:D2098"/>
    <mergeCell ref="B2248:C2248"/>
    <mergeCell ref="B94:C94"/>
    <mergeCell ref="B1684:H1684"/>
    <mergeCell ref="B1328:D1328"/>
    <mergeCell ref="B611:D611"/>
    <mergeCell ref="B1801:D1801"/>
    <mergeCell ref="B1942:F1942"/>
    <mergeCell ref="B157:G157"/>
    <mergeCell ref="B910:F910"/>
    <mergeCell ref="H1041:H1044"/>
    <mergeCell ref="H2:H5"/>
    <mergeCell ref="C2427:E2427"/>
    <mergeCell ref="B963:H963"/>
    <mergeCell ref="B208:H208"/>
    <mergeCell ref="B1421:D1421"/>
    <mergeCell ref="B1272:F1272"/>
    <mergeCell ref="B1635:G1635"/>
    <mergeCell ref="B1841:D1841"/>
    <mergeCell ref="B203:D203"/>
    <mergeCell ref="B510:F510"/>
    <mergeCell ref="B2176:G2176"/>
    <mergeCell ref="B2055:H2055"/>
    <mergeCell ref="B1445:D1445"/>
    <mergeCell ref="B378:C378"/>
    <mergeCell ref="B982:D982"/>
    <mergeCell ref="B1568:C1568"/>
    <mergeCell ref="B714:G714"/>
    <mergeCell ref="B1141:C1141"/>
    <mergeCell ref="B1784:F1784"/>
    <mergeCell ref="B1654:H1654"/>
    <mergeCell ref="B283:D283"/>
    <mergeCell ref="B258:D258"/>
    <mergeCell ref="B1479:G1479"/>
    <mergeCell ref="B285:D285"/>
    <mergeCell ref="B260:D260"/>
    <mergeCell ref="B470:F470"/>
    <mergeCell ref="B313:G313"/>
    <mergeCell ref="B1075:F1075"/>
    <mergeCell ref="B918:G918"/>
    <mergeCell ref="C686:E686"/>
    <mergeCell ref="B854:C854"/>
    <mergeCell ref="B1492:C1492"/>
    <mergeCell ref="B23:C23"/>
    <mergeCell ref="B1061:H1061"/>
    <mergeCell ref="B1851:C1851"/>
    <mergeCell ref="B1735:H1735"/>
    <mergeCell ref="B791:G791"/>
    <mergeCell ref="B1368:H1368"/>
    <mergeCell ref="B452:C452"/>
    <mergeCell ref="B336:H336"/>
    <mergeCell ref="B1817:D1817"/>
    <mergeCell ref="B2483:C2483"/>
    <mergeCell ref="B2238:C2238"/>
    <mergeCell ref="B787:D787"/>
    <mergeCell ref="B965:H965"/>
    <mergeCell ref="B26:D26"/>
    <mergeCell ref="B1969:C1969"/>
    <mergeCell ref="H2112:H2115"/>
    <mergeCell ref="B2449:H2449"/>
    <mergeCell ref="B1874:G1874"/>
    <mergeCell ref="B27:D27"/>
    <mergeCell ref="B511:F511"/>
    <mergeCell ref="B1866:F1866"/>
    <mergeCell ref="B2024:F2024"/>
    <mergeCell ref="C1836:E1836"/>
    <mergeCell ref="B1448:H1448"/>
    <mergeCell ref="B836:F836"/>
    <mergeCell ref="B1877:H1877"/>
    <mergeCell ref="B2351:H2351"/>
    <mergeCell ref="B166:D166"/>
    <mergeCell ref="B564:H564"/>
    <mergeCell ref="B695:H695"/>
    <mergeCell ref="H2269:H2272"/>
    <mergeCell ref="B2320:C2320"/>
    <mergeCell ref="B2345:G2345"/>
    <mergeCell ref="B1890:H1890"/>
    <mergeCell ref="B974:C974"/>
    <mergeCell ref="B708:H708"/>
    <mergeCell ref="B1006:H1006"/>
    <mergeCell ref="B403:H403"/>
    <mergeCell ref="C522:E522"/>
    <mergeCell ref="B1913:G1913"/>
    <mergeCell ref="B1972:H1972"/>
    <mergeCell ref="B1880:D1880"/>
    <mergeCell ref="B772:H772"/>
    <mergeCell ref="B466:G466"/>
    <mergeCell ref="B811:D811"/>
    <mergeCell ref="B1223:D1223"/>
    <mergeCell ref="B2247:C2247"/>
    <mergeCell ref="B1530:C1530"/>
    <mergeCell ref="B462:D462"/>
    <mergeCell ref="B2219:F2219"/>
    <mergeCell ref="B2214:G2214"/>
    <mergeCell ref="B2253:D2253"/>
    <mergeCell ref="B1049:H1049"/>
    <mergeCell ref="B2252:D2252"/>
    <mergeCell ref="B1557:G1557"/>
    <mergeCell ref="H1593:H1596"/>
    <mergeCell ref="B1076:F1076"/>
    <mergeCell ref="B1586:F1586"/>
    <mergeCell ref="B795:F795"/>
    <mergeCell ref="B1366:D1366"/>
    <mergeCell ref="B2151:G2151"/>
    <mergeCell ref="B666:D666"/>
    <mergeCell ref="B1848:C1848"/>
    <mergeCell ref="B1935:D1935"/>
    <mergeCell ref="B2364:C2364"/>
    <mergeCell ref="C1875:E1875"/>
    <mergeCell ref="B1362:H1362"/>
    <mergeCell ref="B535:C535"/>
    <mergeCell ref="B1364:H1364"/>
    <mergeCell ref="B1085:G1085"/>
    <mergeCell ref="B2277:H2277"/>
    <mergeCell ref="B2269:G2269"/>
    <mergeCell ref="B1514:G1514"/>
    <mergeCell ref="B126:D126"/>
    <mergeCell ref="B421:H421"/>
    <mergeCell ref="B753:G753"/>
    <mergeCell ref="B424:D424"/>
    <mergeCell ref="B1177:C1177"/>
    <mergeCell ref="B1815:D1815"/>
    <mergeCell ref="B1691:H1691"/>
    <mergeCell ref="B1385:G1385"/>
    <mergeCell ref="B930:H930"/>
    <mergeCell ref="B2120:H2120"/>
    <mergeCell ref="B749:D749"/>
    <mergeCell ref="B409:D409"/>
    <mergeCell ref="B2270:G2270"/>
    <mergeCell ref="B1381:D1381"/>
    <mergeCell ref="B1232:F1232"/>
    <mergeCell ref="H725:H728"/>
    <mergeCell ref="B1242:G1242"/>
    <mergeCell ref="B292:C292"/>
    <mergeCell ref="B596:F596"/>
    <mergeCell ref="B1234:F1234"/>
    <mergeCell ref="C1046:E1046"/>
    <mergeCell ref="B932:C932"/>
    <mergeCell ref="C1204:E1204"/>
    <mergeCell ref="C2312:E2312"/>
    <mergeCell ref="B770:H770"/>
    <mergeCell ref="B349:F349"/>
    <mergeCell ref="H438:H441"/>
    <mergeCell ref="B1225:D1225"/>
    <mergeCell ref="B2133:H2133"/>
    <mergeCell ref="B48:H48"/>
    <mergeCell ref="B1523:D1523"/>
    <mergeCell ref="B226:F226"/>
    <mergeCell ref="B1101:H1101"/>
    <mergeCell ref="B1708:F1708"/>
    <mergeCell ref="B194:G194"/>
    <mergeCell ref="B1525:D1525"/>
    <mergeCell ref="B493:C493"/>
    <mergeCell ref="B180:D180"/>
    <mergeCell ref="B371:H371"/>
    <mergeCell ref="B949:F949"/>
    <mergeCell ref="B223:G223"/>
    <mergeCell ref="B821:C821"/>
    <mergeCell ref="B1249:D1249"/>
    <mergeCell ref="B521:G521"/>
    <mergeCell ref="B1134:H1134"/>
    <mergeCell ref="B59:C59"/>
    <mergeCell ref="B2004:C2004"/>
    <mergeCell ref="B1914:G1914"/>
    <mergeCell ref="B1856:D1856"/>
    <mergeCell ref="B1459:H1459"/>
    <mergeCell ref="B704:H704"/>
    <mergeCell ref="B367:D367"/>
    <mergeCell ref="B2006:C2006"/>
    <mergeCell ref="B1004:H1004"/>
    <mergeCell ref="B1911:G1911"/>
    <mergeCell ref="B64:D64"/>
    <mergeCell ref="B2210:D2210"/>
    <mergeCell ref="B656:C656"/>
    <mergeCell ref="H2150:H2153"/>
    <mergeCell ref="B2246:H2246"/>
    <mergeCell ref="B847:H847"/>
    <mergeCell ref="B1477:G1477"/>
    <mergeCell ref="B1912:G1912"/>
    <mergeCell ref="B880:G880"/>
    <mergeCell ref="B658:C658"/>
    <mergeCell ref="B1904:F1904"/>
    <mergeCell ref="B1936:D1936"/>
    <mergeCell ref="B417:H417"/>
    <mergeCell ref="B2234:D2234"/>
    <mergeCell ref="B882:G882"/>
    <mergeCell ref="B1930:C1930"/>
    <mergeCell ref="B1175:C1175"/>
    <mergeCell ref="H1396:H1399"/>
    <mergeCell ref="H1476:H1479"/>
    <mergeCell ref="B1103:C1103"/>
    <mergeCell ref="B519:G519"/>
    <mergeCell ref="B2002:C2002"/>
    <mergeCell ref="B237:G237"/>
    <mergeCell ref="B904:D904"/>
    <mergeCell ref="B1429:F1429"/>
    <mergeCell ref="B2147:G2147"/>
    <mergeCell ref="B1415:C1415"/>
    <mergeCell ref="B309:F309"/>
    <mergeCell ref="B101:D101"/>
    <mergeCell ref="B566:H566"/>
    <mergeCell ref="B1138:C1138"/>
    <mergeCell ref="B2164:C2164"/>
    <mergeCell ref="B2501:F2501"/>
    <mergeCell ref="B1612:C1612"/>
    <mergeCell ref="B2380:G2380"/>
    <mergeCell ref="B1321:G1321"/>
    <mergeCell ref="B1015:C1015"/>
    <mergeCell ref="C1558:E1558"/>
    <mergeCell ref="C2471:E2471"/>
    <mergeCell ref="B290:C290"/>
    <mergeCell ref="B594:F594"/>
    <mergeCell ref="B1920:D1920"/>
    <mergeCell ref="B743:H743"/>
    <mergeCell ref="B804:G804"/>
    <mergeCell ref="B1356:G1356"/>
    <mergeCell ref="B1772:C1772"/>
    <mergeCell ref="B1017:C1017"/>
    <mergeCell ref="B1933:H1933"/>
    <mergeCell ref="C1718:E1718"/>
    <mergeCell ref="B1804:H1804"/>
    <mergeCell ref="B1358:G1358"/>
    <mergeCell ref="B1617:D1617"/>
    <mergeCell ref="B1921:D1921"/>
    <mergeCell ref="B889:D889"/>
    <mergeCell ref="H1161:H1164"/>
    <mergeCell ref="B1128:H1128"/>
    <mergeCell ref="B1706:F1706"/>
    <mergeCell ref="B2310:G2310"/>
    <mergeCell ref="B2088:C2088"/>
    <mergeCell ref="B1371:C1371"/>
    <mergeCell ref="B1491:C1491"/>
    <mergeCell ref="B1130:H1130"/>
    <mergeCell ref="B946:G946"/>
    <mergeCell ref="B1551:G1551"/>
    <mergeCell ref="B2441:C2441"/>
    <mergeCell ref="B654:C654"/>
    <mergeCell ref="B1844:C1844"/>
    <mergeCell ref="C2387:E2387"/>
    <mergeCell ref="B2027:G2027"/>
    <mergeCell ref="B1417:C1417"/>
    <mergeCell ref="B662:C662"/>
    <mergeCell ref="B2450:D2450"/>
    <mergeCell ref="B2442:C2442"/>
    <mergeCell ref="B1410:C1410"/>
    <mergeCell ref="B655:C655"/>
    <mergeCell ref="B85:H85"/>
    <mergeCell ref="B657:C657"/>
    <mergeCell ref="B2016:D2016"/>
    <mergeCell ref="B1745:F1745"/>
    <mergeCell ref="B990:F990"/>
    <mergeCell ref="B229:F229"/>
    <mergeCell ref="B2168:C2168"/>
    <mergeCell ref="B1747:F1747"/>
    <mergeCell ref="C199:E199"/>
    <mergeCell ref="B558:G558"/>
    <mergeCell ref="B2384:G2384"/>
    <mergeCell ref="C962:E962"/>
    <mergeCell ref="B1923:H1923"/>
    <mergeCell ref="B254:C254"/>
    <mergeCell ref="B2073:G2073"/>
    <mergeCell ref="B1318:G1318"/>
    <mergeCell ref="B1800:H1800"/>
    <mergeCell ref="B1587:F1587"/>
    <mergeCell ref="B1950:G1950"/>
    <mergeCell ref="B2043:C2043"/>
    <mergeCell ref="B220:D220"/>
    <mergeCell ref="H2345:H2348"/>
    <mergeCell ref="B1038:G1038"/>
    <mergeCell ref="B1007:D1007"/>
    <mergeCell ref="B701:C701"/>
    <mergeCell ref="B1456:C1456"/>
    <mergeCell ref="B246:D246"/>
    <mergeCell ref="B602:G602"/>
    <mergeCell ref="B1965:C1965"/>
    <mergeCell ref="B1638:H1638"/>
    <mergeCell ref="B1978:G1978"/>
    <mergeCell ref="B604:G604"/>
    <mergeCell ref="B756:F756"/>
    <mergeCell ref="B2393:D2393"/>
    <mergeCell ref="B2087:C2087"/>
    <mergeCell ref="B302:D302"/>
    <mergeCell ref="B1055:C1055"/>
    <mergeCell ref="B758:F758"/>
    <mergeCell ref="B1212:H1212"/>
    <mergeCell ref="B1390:F1390"/>
    <mergeCell ref="B414:C414"/>
    <mergeCell ref="B936:H936"/>
    <mergeCell ref="C563:E563"/>
    <mergeCell ref="B1357:G1357"/>
    <mergeCell ref="B1393:G1393"/>
    <mergeCell ref="B1716:G1716"/>
    <mergeCell ref="B328:D328"/>
    <mergeCell ref="B2347:G2347"/>
    <mergeCell ref="B2226:G2226"/>
    <mergeCell ref="B2376:F2376"/>
    <mergeCell ref="B2378:F2378"/>
    <mergeCell ref="B2360:C2360"/>
    <mergeCell ref="B2315:H2315"/>
    <mergeCell ref="B22:C22"/>
    <mergeCell ref="B177:H177"/>
    <mergeCell ref="B1359:G1359"/>
    <mergeCell ref="B1686:C1686"/>
    <mergeCell ref="B1808:C1808"/>
    <mergeCell ref="B1263:H1263"/>
    <mergeCell ref="B1991:G1991"/>
    <mergeCell ref="B471:F471"/>
    <mergeCell ref="B1140:H1140"/>
    <mergeCell ref="B2324:H2324"/>
    <mergeCell ref="B928:D928"/>
    <mergeCell ref="H1356:H1359"/>
    <mergeCell ref="B773:D773"/>
    <mergeCell ref="B45:G45"/>
    <mergeCell ref="B352:F352"/>
    <mergeCell ref="H1200:H1203"/>
    <mergeCell ref="B37:F37"/>
    <mergeCell ref="B2014:D2014"/>
    <mergeCell ref="B1865:F1865"/>
    <mergeCell ref="B472:F472"/>
    <mergeCell ref="B338:C338"/>
    <mergeCell ref="B2283:C2283"/>
    <mergeCell ref="B1528:C1528"/>
    <mergeCell ref="B2050:H2050"/>
    <mergeCell ref="C922:E922"/>
    <mergeCell ref="B2159:D2159"/>
    <mergeCell ref="B2134:D2134"/>
    <mergeCell ref="B498:C498"/>
    <mergeCell ref="B1761:D1761"/>
    <mergeCell ref="B2059:D2059"/>
    <mergeCell ref="B117:G117"/>
    <mergeCell ref="B109:F109"/>
    <mergeCell ref="B131:C131"/>
    <mergeCell ref="B1197:G1197"/>
    <mergeCell ref="B2499:F2499"/>
    <mergeCell ref="B2126:C2126"/>
    <mergeCell ref="B341:D341"/>
    <mergeCell ref="B257:H257"/>
    <mergeCell ref="B2434:D2434"/>
    <mergeCell ref="B2040:D2040"/>
    <mergeCell ref="B1096:C1096"/>
    <mergeCell ref="B979:C979"/>
    <mergeCell ref="B1156:F1156"/>
    <mergeCell ref="B2339:F2339"/>
    <mergeCell ref="H316:H319"/>
    <mergeCell ref="B1001:G1001"/>
    <mergeCell ref="B125:H125"/>
    <mergeCell ref="B2062:G2062"/>
    <mergeCell ref="B1452:C1452"/>
    <mergeCell ref="B697:C697"/>
    <mergeCell ref="B2184:G2184"/>
    <mergeCell ref="B275:G275"/>
    <mergeCell ref="B1465:G1465"/>
    <mergeCell ref="B267:F267"/>
    <mergeCell ref="B788:D788"/>
    <mergeCell ref="B570:D570"/>
    <mergeCell ref="B699:C699"/>
    <mergeCell ref="B2058:D2058"/>
    <mergeCell ref="B277:G277"/>
    <mergeCell ref="B399:G399"/>
    <mergeCell ref="B1303:D1303"/>
    <mergeCell ref="B269:F269"/>
    <mergeCell ref="B1295:C1295"/>
    <mergeCell ref="C2154:E2154"/>
    <mergeCell ref="B173:H173"/>
    <mergeCell ref="B1478:G1478"/>
    <mergeCell ref="B1995:H1995"/>
    <mergeCell ref="B1624:F1624"/>
    <mergeCell ref="B624:D624"/>
    <mergeCell ref="B1377:C1377"/>
    <mergeCell ref="B202:H202"/>
    <mergeCell ref="B284:D284"/>
    <mergeCell ref="B1532:H1532"/>
    <mergeCell ref="B1806:C1806"/>
    <mergeCell ref="C2078:E2078"/>
    <mergeCell ref="B1997:H1997"/>
    <mergeCell ref="B1989:G1989"/>
    <mergeCell ref="B286:D286"/>
    <mergeCell ref="B133:C133"/>
    <mergeCell ref="B1679:H1679"/>
    <mergeCell ref="B2008:H2008"/>
    <mergeCell ref="B1891:C1891"/>
    <mergeCell ref="B441:G441"/>
    <mergeCell ref="B1194:F1194"/>
    <mergeCell ref="C401:E401"/>
    <mergeCell ref="B433:F433"/>
    <mergeCell ref="B973:C973"/>
    <mergeCell ref="B1489:C1489"/>
    <mergeCell ref="B618:H618"/>
    <mergeCell ref="B1647:C1647"/>
    <mergeCell ref="B1047:H1047"/>
    <mergeCell ref="B1154:F1154"/>
    <mergeCell ref="B571:D571"/>
    <mergeCell ref="B311:F311"/>
    <mergeCell ref="B377:C377"/>
    <mergeCell ref="C1993:E1993"/>
    <mergeCell ref="B43:G43"/>
    <mergeCell ref="B796:F796"/>
    <mergeCell ref="B647:H647"/>
    <mergeCell ref="B1069:D1069"/>
    <mergeCell ref="B12:D12"/>
    <mergeCell ref="C1166:E1166"/>
    <mergeCell ref="B639:G639"/>
    <mergeCell ref="C1045:E1045"/>
    <mergeCell ref="B1252:H1252"/>
    <mergeCell ref="B1374:H1374"/>
    <mergeCell ref="B641:G641"/>
    <mergeCell ref="B1245:H1245"/>
    <mergeCell ref="B1831:G1831"/>
    <mergeCell ref="B610:D610"/>
    <mergeCell ref="B1105:H1105"/>
    <mergeCell ref="B799:G799"/>
    <mergeCell ref="B1823:F1823"/>
    <mergeCell ref="B951:F951"/>
    <mergeCell ref="B1702:G1702"/>
    <mergeCell ref="B52:D52"/>
    <mergeCell ref="B82:G82"/>
    <mergeCell ref="C481:E481"/>
    <mergeCell ref="B709:D709"/>
    <mergeCell ref="B745:C745"/>
    <mergeCell ref="B1193:F1193"/>
    <mergeCell ref="B1775:H1775"/>
    <mergeCell ref="B892:H892"/>
    <mergeCell ref="B439:G439"/>
    <mergeCell ref="B711:D711"/>
    <mergeCell ref="B289:H289"/>
    <mergeCell ref="B1009:D1009"/>
    <mergeCell ref="B747:H747"/>
    <mergeCell ref="B2437:H2437"/>
    <mergeCell ref="B1698:D1698"/>
    <mergeCell ref="B1549:F1549"/>
    <mergeCell ref="B818:C818"/>
    <mergeCell ref="C1361:E1361"/>
    <mergeCell ref="C1519:E1519"/>
    <mergeCell ref="B1998:D1998"/>
    <mergeCell ref="B248:H248"/>
    <mergeCell ref="B1852:C1852"/>
    <mergeCell ref="B1753:G1753"/>
    <mergeCell ref="B660:H660"/>
    <mergeCell ref="B1850:H1850"/>
    <mergeCell ref="B2180:F2180"/>
    <mergeCell ref="B1089:H1089"/>
    <mergeCell ref="B1845:C1845"/>
    <mergeCell ref="B1755:G1755"/>
    <mergeCell ref="B1721:H1721"/>
    <mergeCell ref="B665:D665"/>
    <mergeCell ref="B1640:H1640"/>
    <mergeCell ref="B1540:D1540"/>
    <mergeCell ref="B1847:C1847"/>
    <mergeCell ref="B363:H363"/>
    <mergeCell ref="B2206:C2206"/>
    <mergeCell ref="B1900:G1900"/>
    <mergeCell ref="B843:G843"/>
    <mergeCell ref="C1205:E1205"/>
    <mergeCell ref="B1136:C1136"/>
    <mergeCell ref="B533:C533"/>
    <mergeCell ref="B1260:C1260"/>
    <mergeCell ref="B499:C499"/>
    <mergeCell ref="B2196:D2196"/>
    <mergeCell ref="B1019:H1019"/>
    <mergeCell ref="B2431:H2431"/>
    <mergeCell ref="B2406:H2406"/>
    <mergeCell ref="B1490:C1490"/>
    <mergeCell ref="B422:D422"/>
    <mergeCell ref="C2191:E2191"/>
    <mergeCell ref="B1500:D1500"/>
    <mergeCell ref="B1036:F1036"/>
    <mergeCell ref="B2096:D2096"/>
    <mergeCell ref="B460:H460"/>
    <mergeCell ref="B1555:G1555"/>
    <mergeCell ref="B156:G156"/>
    <mergeCell ref="B1547:F1547"/>
    <mergeCell ref="B326:D326"/>
    <mergeCell ref="B1332:C1332"/>
    <mergeCell ref="B1515:G1515"/>
    <mergeCell ref="B2153:G2153"/>
    <mergeCell ref="B748:D748"/>
    <mergeCell ref="B1665:F1665"/>
    <mergeCell ref="B1419:H1419"/>
    <mergeCell ref="C845:E845"/>
    <mergeCell ref="C1360:E1360"/>
    <mergeCell ref="B750:D750"/>
    <mergeCell ref="B1719:H1719"/>
    <mergeCell ref="B1574:C1574"/>
    <mergeCell ref="B397:G397"/>
    <mergeCell ref="B2342:G2342"/>
    <mergeCell ref="B1283:G1283"/>
    <mergeCell ref="B977:C977"/>
    <mergeCell ref="B1732:C1732"/>
    <mergeCell ref="B555:G555"/>
    <mergeCell ref="B971:C971"/>
    <mergeCell ref="B2217:F2217"/>
    <mergeCell ref="B2490:H2490"/>
    <mergeCell ref="B1538:D1538"/>
    <mergeCell ref="H1514:H1517"/>
    <mergeCell ref="B170:C170"/>
    <mergeCell ref="C442:E442"/>
    <mergeCell ref="B2136:D2136"/>
    <mergeCell ref="B51:D51"/>
    <mergeCell ref="B841:G841"/>
    <mergeCell ref="B80:G80"/>
    <mergeCell ref="B1437:G1437"/>
    <mergeCell ref="B2023:F2023"/>
    <mergeCell ref="B1650:C1650"/>
    <mergeCell ref="B1256:C1256"/>
    <mergeCell ref="B79:G79"/>
    <mergeCell ref="C1835:E1835"/>
    <mergeCell ref="B386:G386"/>
    <mergeCell ref="B1439:G1439"/>
    <mergeCell ref="B842:G842"/>
    <mergeCell ref="B1564:D1564"/>
    <mergeCell ref="B1868:G1868"/>
    <mergeCell ref="B1224:D1224"/>
    <mergeCell ref="B81:G81"/>
    <mergeCell ref="B165:D165"/>
    <mergeCell ref="B834:F834"/>
    <mergeCell ref="B2472:H2472"/>
    <mergeCell ref="B382:D382"/>
    <mergeCell ref="B1442:H1442"/>
    <mergeCell ref="B687:H687"/>
    <mergeCell ref="H764:H767"/>
    <mergeCell ref="B1281:G1281"/>
    <mergeCell ref="B520:G520"/>
    <mergeCell ref="B676:F676"/>
    <mergeCell ref="B100:H100"/>
    <mergeCell ref="B1124:G1124"/>
    <mergeCell ref="B1282:G1282"/>
    <mergeCell ref="B766:G766"/>
    <mergeCell ref="B850:D850"/>
    <mergeCell ref="B2396:H2396"/>
    <mergeCell ref="H194:H197"/>
    <mergeCell ref="B89:D89"/>
    <mergeCell ref="B1677:H1677"/>
    <mergeCell ref="B1577:D1577"/>
    <mergeCell ref="B972:C972"/>
    <mergeCell ref="H1280:H1283"/>
    <mergeCell ref="B693:D693"/>
    <mergeCell ref="B851:D851"/>
    <mergeCell ref="B90:D90"/>
    <mergeCell ref="B1666:F1666"/>
    <mergeCell ref="B2244:C2244"/>
    <mergeCell ref="H2307:H2310"/>
    <mergeCell ref="B576:C576"/>
    <mergeCell ref="B145:G145"/>
    <mergeCell ref="B873:F873"/>
    <mergeCell ref="B2272:G2272"/>
    <mergeCell ref="B2266:G2266"/>
    <mergeCell ref="B1511:G1511"/>
    <mergeCell ref="B1633:G1633"/>
    <mergeCell ref="B785:H785"/>
    <mergeCell ref="B1174:C1174"/>
    <mergeCell ref="B331:H331"/>
    <mergeCell ref="B631:F631"/>
    <mergeCell ref="B1209:D1209"/>
    <mergeCell ref="B448:D448"/>
    <mergeCell ref="B423:D423"/>
    <mergeCell ref="H117:H120"/>
    <mergeCell ref="B775:D775"/>
    <mergeCell ref="B1814:H1814"/>
    <mergeCell ref="B1231:F1231"/>
    <mergeCell ref="B1353:G1353"/>
    <mergeCell ref="B636:G636"/>
    <mergeCell ref="B1389:F1389"/>
    <mergeCell ref="B2415:F2415"/>
    <mergeCell ref="B2287:C2287"/>
    <mergeCell ref="B255:C255"/>
    <mergeCell ref="B1233:F1233"/>
    <mergeCell ref="B507:G507"/>
    <mergeCell ref="B919:G919"/>
    <mergeCell ref="B815:H815"/>
    <mergeCell ref="B167:D167"/>
    <mergeCell ref="B616:C616"/>
    <mergeCell ref="B503:D503"/>
    <mergeCell ref="B1953:G1953"/>
    <mergeCell ref="B1685:C1685"/>
    <mergeCell ref="B2199:H2199"/>
    <mergeCell ref="B461:D461"/>
    <mergeCell ref="B1214:C1214"/>
    <mergeCell ref="B501:H501"/>
    <mergeCell ref="B1527:H1527"/>
    <mergeCell ref="B497:H497"/>
    <mergeCell ref="B191:G191"/>
    <mergeCell ref="H1950:H1953"/>
    <mergeCell ref="B526:H526"/>
    <mergeCell ref="B2286:H2286"/>
    <mergeCell ref="B119:G119"/>
    <mergeCell ref="B1892:C1892"/>
    <mergeCell ref="B628:G628"/>
    <mergeCell ref="B2459:F2459"/>
    <mergeCell ref="B2130:C2130"/>
    <mergeCell ref="B1369:C1369"/>
    <mergeCell ref="B337:C337"/>
    <mergeCell ref="H1831:H1834"/>
    <mergeCell ref="B1621:G1621"/>
    <mergeCell ref="B1883:H1883"/>
    <mergeCell ref="C161:E161"/>
    <mergeCell ref="B1248:D1248"/>
    <mergeCell ref="B96:H96"/>
    <mergeCell ref="B2461:F2461"/>
    <mergeCell ref="B487:D487"/>
    <mergeCell ref="B2348:G2348"/>
    <mergeCell ref="B2033:G2033"/>
    <mergeCell ref="B1250:D1250"/>
    <mergeCell ref="B853:H853"/>
    <mergeCell ref="B2003:C2003"/>
    <mergeCell ref="B218:D218"/>
    <mergeCell ref="B1280:G1280"/>
    <mergeCell ref="H1671:H1674"/>
    <mergeCell ref="B2329:D2329"/>
    <mergeCell ref="B1983:F1983"/>
    <mergeCell ref="B2074:G2074"/>
    <mergeCell ref="B1319:G1319"/>
    <mergeCell ref="B803:G803"/>
    <mergeCell ref="B1016:C1016"/>
    <mergeCell ref="B139:H139"/>
    <mergeCell ref="B888:D888"/>
    <mergeCell ref="B582:C582"/>
    <mergeCell ref="B1186:D1186"/>
    <mergeCell ref="B127:D127"/>
    <mergeCell ref="B740:C740"/>
    <mergeCell ref="B2481:C2481"/>
    <mergeCell ref="B1147:D1147"/>
    <mergeCell ref="B1482:H1482"/>
    <mergeCell ref="B2331:D2331"/>
    <mergeCell ref="B2182:F2182"/>
    <mergeCell ref="B1416:C1416"/>
    <mergeCell ref="B1293:C1293"/>
    <mergeCell ref="C1994:E1994"/>
    <mergeCell ref="B1484:H1484"/>
    <mergeCell ref="B1169:H1169"/>
    <mergeCell ref="B1634:G1634"/>
    <mergeCell ref="B879:G879"/>
    <mergeCell ref="B1179:H1179"/>
    <mergeCell ref="B118:G118"/>
    <mergeCell ref="B871:F871"/>
    <mergeCell ref="B60:C60"/>
    <mergeCell ref="B2057:D2057"/>
    <mergeCell ref="B2355:D2355"/>
    <mergeCell ref="B295:H295"/>
    <mergeCell ref="B1934:D1934"/>
    <mergeCell ref="B1599:H1599"/>
    <mergeCell ref="B2235:D2235"/>
    <mergeCell ref="B1602:D1602"/>
    <mergeCell ref="B1810:H1810"/>
    <mergeCell ref="B2417:F2417"/>
    <mergeCell ref="B1767:C1767"/>
    <mergeCell ref="B251:C251"/>
    <mergeCell ref="B1476:G1476"/>
    <mergeCell ref="B1468:F1468"/>
    <mergeCell ref="B1769:C1769"/>
    <mergeCell ref="B110:F110"/>
    <mergeCell ref="B1014:C1014"/>
    <mergeCell ref="B2309:G2309"/>
    <mergeCell ref="B524:H524"/>
    <mergeCell ref="B1854:H1854"/>
    <mergeCell ref="B2012:H2012"/>
    <mergeCell ref="B613:H613"/>
    <mergeCell ref="C884:E884"/>
    <mergeCell ref="B301:D301"/>
    <mergeCell ref="B1963:C1963"/>
    <mergeCell ref="B824:H824"/>
    <mergeCell ref="B2304:G2304"/>
    <mergeCell ref="B941:D941"/>
    <mergeCell ref="B1694:C1694"/>
    <mergeCell ref="B812:D812"/>
    <mergeCell ref="B1119:G1119"/>
    <mergeCell ref="B350:F350"/>
    <mergeCell ref="B1412:C1412"/>
    <mergeCell ref="B2145:F2145"/>
    <mergeCell ref="B1725:H1725"/>
    <mergeCell ref="B360:G360"/>
    <mergeCell ref="B2275:H2275"/>
    <mergeCell ref="B324:H324"/>
    <mergeCell ref="B1663:F1663"/>
    <mergeCell ref="B2218:F2218"/>
    <mergeCell ref="B2307:G2307"/>
    <mergeCell ref="B1738:D1738"/>
    <mergeCell ref="B983:D983"/>
    <mergeCell ref="B2193:H2193"/>
    <mergeCell ref="B1582:G1582"/>
    <mergeCell ref="B1161:G1161"/>
    <mergeCell ref="B400:G400"/>
    <mergeCell ref="C361:E361"/>
    <mergeCell ref="B1664:F1664"/>
    <mergeCell ref="B204:D204"/>
    <mergeCell ref="B537:H537"/>
    <mergeCell ref="H601:H604"/>
    <mergeCell ref="B2439:C2439"/>
    <mergeCell ref="B1183:H1183"/>
    <mergeCell ref="B240:H240"/>
    <mergeCell ref="B1409:C1409"/>
    <mergeCell ref="B2047:C2047"/>
    <mergeCell ref="B2013:D2013"/>
    <mergeCell ref="B532:H532"/>
    <mergeCell ref="B1171:D1171"/>
    <mergeCell ref="B684:G684"/>
    <mergeCell ref="B2237:H2237"/>
    <mergeCell ref="B2015:D2015"/>
    <mergeCell ref="B2075:G2075"/>
    <mergeCell ref="B263:G263"/>
    <mergeCell ref="H1989:H1992"/>
    <mergeCell ref="H957:H960"/>
    <mergeCell ref="B1135:C1135"/>
    <mergeCell ref="C923:E923"/>
    <mergeCell ref="B2249:C2249"/>
    <mergeCell ref="B2093:C2093"/>
    <mergeCell ref="B2207:C2207"/>
    <mergeCell ref="B2389:H2389"/>
    <mergeCell ref="B2394:D2394"/>
    <mergeCell ref="B2264:F2264"/>
    <mergeCell ref="B2300:F2300"/>
    <mergeCell ref="B2152:G2152"/>
    <mergeCell ref="H1632:H1635"/>
    <mergeCell ref="B2302:F2302"/>
    <mergeCell ref="B479:G479"/>
    <mergeCell ref="B2346:G2346"/>
    <mergeCell ref="C198:E198"/>
    <mergeCell ref="C320:E320"/>
    <mergeCell ref="B2076:G2076"/>
    <mergeCell ref="B1137:C1137"/>
    <mergeCell ref="B2070:G2070"/>
    <mergeCell ref="B1315:G1315"/>
    <mergeCell ref="B1733:C1733"/>
    <mergeCell ref="B590:G590"/>
    <mergeCell ref="B1616:D1616"/>
    <mergeCell ref="B135:H135"/>
    <mergeCell ref="B586:D586"/>
    <mergeCell ref="B1494:H1494"/>
    <mergeCell ref="B1768:C1768"/>
    <mergeCell ref="B308:F308"/>
    <mergeCell ref="B1184:D1184"/>
    <mergeCell ref="B3:G3"/>
    <mergeCell ref="B310:F310"/>
    <mergeCell ref="B418:C418"/>
    <mergeCell ref="B1195:F1195"/>
    <mergeCell ref="B1642:D1642"/>
    <mergeCell ref="B609:H609"/>
    <mergeCell ref="B601:G601"/>
    <mergeCell ref="C121:E121"/>
    <mergeCell ref="B97:C97"/>
    <mergeCell ref="B1030:G1030"/>
    <mergeCell ref="B733:H733"/>
    <mergeCell ref="B603:G603"/>
    <mergeCell ref="B150:F150"/>
    <mergeCell ref="B1026:D1026"/>
    <mergeCell ref="B1062:C1062"/>
    <mergeCell ref="B1672:G1672"/>
    <mergeCell ref="B1020:C1020"/>
    <mergeCell ref="B17:C17"/>
    <mergeCell ref="C122:E122"/>
    <mergeCell ref="C1323:E1323"/>
    <mergeCell ref="B325:D325"/>
    <mergeCell ref="B19:C19"/>
    <mergeCell ref="B1964:C1964"/>
    <mergeCell ref="B1052:D1052"/>
    <mergeCell ref="B327:D327"/>
    <mergeCell ref="B1657:D1657"/>
    <mergeCell ref="B625:D625"/>
    <mergeCell ref="B1807:C1807"/>
    <mergeCell ref="B1560:H1560"/>
    <mergeCell ref="B42:G42"/>
    <mergeCell ref="C1165:E1165"/>
    <mergeCell ref="B1741:G1741"/>
    <mergeCell ref="B44:G44"/>
    <mergeCell ref="B682:G682"/>
    <mergeCell ref="B674:F674"/>
    <mergeCell ref="B1864:F1864"/>
    <mergeCell ref="B366:D366"/>
    <mergeCell ref="B274:G274"/>
    <mergeCell ref="B93:C93"/>
    <mergeCell ref="B130:C130"/>
    <mergeCell ref="B132:C132"/>
    <mergeCell ref="B1828:G1828"/>
    <mergeCell ref="B56:C56"/>
    <mergeCell ref="B25:H25"/>
    <mergeCell ref="B1425:G1425"/>
    <mergeCell ref="C1480:E1480"/>
    <mergeCell ref="B142:D142"/>
    <mergeCell ref="B58:H58"/>
    <mergeCell ref="B449:D449"/>
    <mergeCell ref="B2468:G2468"/>
    <mergeCell ref="B1220:C1220"/>
    <mergeCell ref="B1436:G1436"/>
    <mergeCell ref="B681:G681"/>
    <mergeCell ref="B2165:C2165"/>
    <mergeCell ref="C1676:E1676"/>
    <mergeCell ref="B1288:H1288"/>
    <mergeCell ref="B1737:D1737"/>
    <mergeCell ref="B1729:C1729"/>
    <mergeCell ref="B1438:G1438"/>
    <mergeCell ref="B683:G683"/>
    <mergeCell ref="C1675:E1675"/>
    <mergeCell ref="B2042:H2042"/>
    <mergeCell ref="B981:H981"/>
    <mergeCell ref="B373:C373"/>
    <mergeCell ref="B2039:D2039"/>
    <mergeCell ref="B862:H862"/>
    <mergeCell ref="B976:H976"/>
    <mergeCell ref="B2451:D2451"/>
    <mergeCell ref="B2338:F2338"/>
    <mergeCell ref="C1518:E1518"/>
    <mergeCell ref="B1449:C1449"/>
    <mergeCell ref="B1754:G1754"/>
    <mergeCell ref="B2340:F2340"/>
    <mergeCell ref="B553:F553"/>
    <mergeCell ref="B1573:C1573"/>
    <mergeCell ref="C2274:E2274"/>
    <mergeCell ref="B691:D691"/>
    <mergeCell ref="B1881:D1881"/>
    <mergeCell ref="B398:G398"/>
    <mergeCell ref="B2242:C2242"/>
    <mergeCell ref="B1524:D1524"/>
    <mergeCell ref="B2477:D2477"/>
    <mergeCell ref="B568:D568"/>
    <mergeCell ref="B1668:G1668"/>
    <mergeCell ref="C362:E362"/>
    <mergeCell ref="B692:D692"/>
    <mergeCell ref="H998:H1001"/>
    <mergeCell ref="B2090:H2090"/>
    <mergeCell ref="B2262:F2262"/>
    <mergeCell ref="B1507:F1507"/>
    <mergeCell ref="C1441:E1441"/>
    <mergeCell ref="B1509:F1509"/>
    <mergeCell ref="B2113:G2113"/>
    <mergeCell ref="B2105:F2105"/>
    <mergeCell ref="B1294:C1294"/>
    <mergeCell ref="B2263:F2263"/>
    <mergeCell ref="B1382:D1382"/>
    <mergeCell ref="B2408:D2408"/>
    <mergeCell ref="B2115:G2115"/>
    <mergeCell ref="B1083:G1083"/>
    <mergeCell ref="B744:C744"/>
    <mergeCell ref="B1958:H1958"/>
    <mergeCell ref="B710:D710"/>
    <mergeCell ref="B926:H926"/>
    <mergeCell ref="B1682:D1682"/>
    <mergeCell ref="B623:D623"/>
    <mergeCell ref="B860:C860"/>
    <mergeCell ref="B1805:C1805"/>
    <mergeCell ref="B2409:D2409"/>
    <mergeCell ref="B2118:H2118"/>
    <mergeCell ref="B407:D407"/>
    <mergeCell ref="B463:D463"/>
    <mergeCell ref="B767:G767"/>
    <mergeCell ref="B2466:G2466"/>
    <mergeCell ref="B457:C457"/>
    <mergeCell ref="C729:E729"/>
    <mergeCell ref="B1986:G1986"/>
    <mergeCell ref="B2038:H2038"/>
    <mergeCell ref="B2402:C2402"/>
    <mergeCell ref="B2243:C2243"/>
    <mergeCell ref="B187:F187"/>
    <mergeCell ref="H397:H400"/>
    <mergeCell ref="B1402:H1402"/>
    <mergeCell ref="B2122:D2122"/>
    <mergeCell ref="B2129:H2129"/>
    <mergeCell ref="B1213:C1213"/>
    <mergeCell ref="B458:C458"/>
    <mergeCell ref="B189:F189"/>
    <mergeCell ref="B1404:H1404"/>
    <mergeCell ref="B1092:D1092"/>
    <mergeCell ref="B188:F188"/>
    <mergeCell ref="B1548:F1548"/>
    <mergeCell ref="B480:G480"/>
    <mergeCell ref="B1758:H1758"/>
    <mergeCell ref="B817:C817"/>
    <mergeCell ref="B1095:H1095"/>
    <mergeCell ref="B2299:F2299"/>
    <mergeCell ref="B512:F512"/>
    <mergeCell ref="B297:C297"/>
    <mergeCell ref="B1546:F1546"/>
    <mergeCell ref="B365:H365"/>
    <mergeCell ref="B447:D447"/>
    <mergeCell ref="B2086:C2086"/>
    <mergeCell ref="B1331:C1331"/>
    <mergeCell ref="B2308:G2308"/>
    <mergeCell ref="B4:G4"/>
    <mergeCell ref="B1618:D1618"/>
    <mergeCell ref="C1127:E1127"/>
    <mergeCell ref="C1285:E1285"/>
    <mergeCell ref="C2311:E2311"/>
    <mergeCell ref="C402:E402"/>
    <mergeCell ref="B14:H14"/>
    <mergeCell ref="B731:H731"/>
    <mergeCell ref="B734:D734"/>
    <mergeCell ref="H518:H521"/>
    <mergeCell ref="B1951:G1951"/>
    <mergeCell ref="B1645:C1645"/>
    <mergeCell ref="B435:G435"/>
    <mergeCell ref="B1792:G1792"/>
    <mergeCell ref="B1611:C1611"/>
    <mergeCell ref="B736:D736"/>
    <mergeCell ref="B2485:H2485"/>
    <mergeCell ref="B178:D178"/>
    <mergeCell ref="B214:C214"/>
    <mergeCell ref="B1122:G1122"/>
    <mergeCell ref="B783:C783"/>
    <mergeCell ref="B489:H489"/>
    <mergeCell ref="B781:H781"/>
    <mergeCell ref="B62:H62"/>
    <mergeCell ref="B394:G394"/>
    <mergeCell ref="B65:D65"/>
    <mergeCell ref="B1529:C1529"/>
    <mergeCell ref="B171:C171"/>
    <mergeCell ref="B2475:D2475"/>
    <mergeCell ref="B874:F874"/>
    <mergeCell ref="B573:H573"/>
    <mergeCell ref="B690:D690"/>
    <mergeCell ref="B210:C210"/>
    <mergeCell ref="B543:D543"/>
    <mergeCell ref="B1066:H1066"/>
    <mergeCell ref="B1787:F1787"/>
    <mergeCell ref="B1959:D1959"/>
    <mergeCell ref="B164:H164"/>
    <mergeCell ref="B340:H340"/>
    <mergeCell ref="B2502:F2502"/>
    <mergeCell ref="B1926:C1926"/>
    <mergeCell ref="B2081:H2081"/>
    <mergeCell ref="B103:D103"/>
    <mergeCell ref="B856:C856"/>
    <mergeCell ref="B1011:H1011"/>
    <mergeCell ref="B410:D410"/>
    <mergeCell ref="B2195:H2195"/>
    <mergeCell ref="H79:H82"/>
    <mergeCell ref="B584:H584"/>
    <mergeCell ref="B1462:D1462"/>
    <mergeCell ref="B438:G438"/>
    <mergeCell ref="B430:F430"/>
    <mergeCell ref="B2375:F2375"/>
    <mergeCell ref="B1181:C1181"/>
    <mergeCell ref="B2377:F2377"/>
    <mergeCell ref="C685:E685"/>
    <mergeCell ref="B1594:G1594"/>
    <mergeCell ref="B504:D504"/>
    <mergeCell ref="B1257:C1257"/>
    <mergeCell ref="B1931:C1931"/>
    <mergeCell ref="B1771:H1771"/>
    <mergeCell ref="B2045:C2045"/>
    <mergeCell ref="B1929:H1929"/>
    <mergeCell ref="B868:G868"/>
    <mergeCell ref="B235:G235"/>
    <mergeCell ref="B227:F227"/>
    <mergeCell ref="B1253:C1253"/>
    <mergeCell ref="C1954:E1954"/>
    <mergeCell ref="B1566:H1566"/>
    <mergeCell ref="B1132:D1132"/>
    <mergeCell ref="B2144:F2144"/>
    <mergeCell ref="B2171:H2171"/>
    <mergeCell ref="B1255:C1255"/>
    <mergeCell ref="B494:C494"/>
    <mergeCell ref="B2009:C2009"/>
    <mergeCell ref="B228:F228"/>
    <mergeCell ref="B805:G805"/>
    <mergeCell ref="B245:D245"/>
    <mergeCell ref="B1924:C1924"/>
    <mergeCell ref="B1595:G1595"/>
    <mergeCell ref="B1461:D1461"/>
    <mergeCell ref="B1896:D1896"/>
    <mergeCell ref="B1696:H1696"/>
    <mergeCell ref="B1613:C1613"/>
    <mergeCell ref="B432:F432"/>
    <mergeCell ref="B1974:D1974"/>
    <mergeCell ref="B1825:F1825"/>
    <mergeCell ref="H1318:H1321"/>
    <mergeCell ref="H2073:H2076"/>
    <mergeCell ref="C1637:E1637"/>
    <mergeCell ref="B305:G305"/>
    <mergeCell ref="B726:G726"/>
    <mergeCell ref="B718:F718"/>
    <mergeCell ref="C238:E238"/>
    <mergeCell ref="B1629:G1629"/>
    <mergeCell ref="C2035:E2035"/>
    <mergeCell ref="B2438:C2438"/>
    <mergeCell ref="C1955:E1955"/>
    <mergeCell ref="B957:G957"/>
    <mergeCell ref="B2317:D2317"/>
    <mergeCell ref="B495:C495"/>
    <mergeCell ref="B2440:C2440"/>
    <mergeCell ref="B561:G561"/>
    <mergeCell ref="B2460:F2460"/>
    <mergeCell ref="B2066:F2066"/>
    <mergeCell ref="B1311:F1311"/>
    <mergeCell ref="B8:H8"/>
    <mergeCell ref="B2222:G2222"/>
    <mergeCell ref="B2068:F2068"/>
    <mergeCell ref="B1313:F1313"/>
    <mergeCell ref="B978:C978"/>
    <mergeCell ref="B10:H10"/>
    <mergeCell ref="B518:G518"/>
    <mergeCell ref="B1498:H1498"/>
    <mergeCell ref="B1947:G1947"/>
    <mergeCell ref="B244:D244"/>
    <mergeCell ref="B542:D542"/>
    <mergeCell ref="H918:H921"/>
    <mergeCell ref="B1607:C1607"/>
    <mergeCell ref="B547:G547"/>
    <mergeCell ref="B92:H92"/>
    <mergeCell ref="B1798:H1798"/>
    <mergeCell ref="B544:D544"/>
    <mergeCell ref="B1180:C1180"/>
    <mergeCell ref="B1486:D1486"/>
    <mergeCell ref="B1335:H1335"/>
    <mergeCell ref="B2239:C2239"/>
    <mergeCell ref="B2330:D2330"/>
    <mergeCell ref="B2385:G2385"/>
    <mergeCell ref="B21:H21"/>
    <mergeCell ref="B1660:G1660"/>
    <mergeCell ref="H2030:H2033"/>
    <mergeCell ref="B1203:G1203"/>
    <mergeCell ref="B1632:G1632"/>
    <mergeCell ref="B1022:C1022"/>
    <mergeCell ref="B1968:H1968"/>
    <mergeCell ref="B907:G907"/>
    <mergeCell ref="B1925:C1925"/>
    <mergeCell ref="B1503:G1503"/>
    <mergeCell ref="B140:D140"/>
    <mergeCell ref="B893:C893"/>
    <mergeCell ref="B1206:H1206"/>
    <mergeCell ref="B451:H451"/>
    <mergeCell ref="B903:D903"/>
    <mergeCell ref="B895:C895"/>
    <mergeCell ref="B2254:D2254"/>
    <mergeCell ref="B1499:D1499"/>
    <mergeCell ref="B1208:H1208"/>
    <mergeCell ref="B318:G318"/>
    <mergeCell ref="B2107:F2107"/>
    <mergeCell ref="B958:G958"/>
    <mergeCell ref="B1992:G1992"/>
    <mergeCell ref="C1322:E1322"/>
    <mergeCell ref="B1345:G1345"/>
    <mergeCell ref="B2019:G2019"/>
    <mergeCell ref="B1342:D1342"/>
    <mergeCell ref="B2280:D2280"/>
    <mergeCell ref="B1341:D1341"/>
    <mergeCell ref="B502:D502"/>
    <mergeCell ref="B1860:G1860"/>
    <mergeCell ref="B2403:C2403"/>
    <mergeCell ref="B2162:H2162"/>
    <mergeCell ref="B830:G830"/>
    <mergeCell ref="B1641:D1641"/>
    <mergeCell ref="C279:E279"/>
    <mergeCell ref="B469:F469"/>
    <mergeCell ref="B1975:D1975"/>
    <mergeCell ref="H558:H561"/>
    <mergeCell ref="B334:C334"/>
    <mergeCell ref="B35:F35"/>
    <mergeCell ref="B1097:C1097"/>
    <mergeCell ref="B2030:G2030"/>
    <mergeCell ref="B2337:F2337"/>
    <mergeCell ref="B1269:G1269"/>
    <mergeCell ref="B179:D179"/>
    <mergeCell ref="C605:E605"/>
    <mergeCell ref="B1063:C1063"/>
    <mergeCell ref="B2032:G2032"/>
    <mergeCell ref="B1919:H1919"/>
    <mergeCell ref="B967:D967"/>
    <mergeCell ref="B942:D942"/>
    <mergeCell ref="B552:F552"/>
    <mergeCell ref="B1265:D1265"/>
    <mergeCell ref="B259:D259"/>
    <mergeCell ref="C46:E46"/>
    <mergeCell ref="B250:C250"/>
    <mergeCell ref="B197:G197"/>
    <mergeCell ref="B585:D585"/>
    <mergeCell ref="B1008:D1008"/>
    <mergeCell ref="B2114:G2114"/>
    <mergeCell ref="B136:C136"/>
    <mergeCell ref="B159:G159"/>
    <mergeCell ref="B2447:C2447"/>
    <mergeCell ref="B1723:D1723"/>
    <mergeCell ref="B359:G359"/>
    <mergeCell ref="B2187:G2187"/>
    <mergeCell ref="B2179:F2179"/>
    <mergeCell ref="B2051:C2051"/>
    <mergeCell ref="B392:F392"/>
    <mergeCell ref="B2480:C2480"/>
    <mergeCell ref="B999:G999"/>
    <mergeCell ref="B271:G271"/>
    <mergeCell ref="B2181:F2181"/>
    <mergeCell ref="B2053:C2053"/>
    <mergeCell ref="B876:G876"/>
    <mergeCell ref="B998:G998"/>
    <mergeCell ref="B1450:C1450"/>
    <mergeCell ref="B1605:H1605"/>
    <mergeCell ref="B2046:C2046"/>
    <mergeCell ref="B1000:G1000"/>
    <mergeCell ref="B2056:D2056"/>
    <mergeCell ref="B2354:D2354"/>
    <mergeCell ref="B2048:C2048"/>
    <mergeCell ref="B567:D567"/>
    <mergeCell ref="B569:D569"/>
    <mergeCell ref="B2386:G2386"/>
    <mergeCell ref="B1348:F1348"/>
    <mergeCell ref="H841:H844"/>
    <mergeCell ref="B1888:C1888"/>
    <mergeCell ref="C2350:E2350"/>
    <mergeCell ref="B706:C706"/>
    <mergeCell ref="B1990:G1990"/>
    <mergeCell ref="B2290:H2290"/>
    <mergeCell ref="B1982:F1982"/>
    <mergeCell ref="B2412:G2412"/>
    <mergeCell ref="B587:D587"/>
    <mergeCell ref="B2278:D2278"/>
    <mergeCell ref="B1375:C1375"/>
    <mergeCell ref="B2392:D2392"/>
    <mergeCell ref="B162:H162"/>
    <mergeCell ref="B1522:H1522"/>
    <mergeCell ref="B642:G642"/>
    <mergeCell ref="B485:H485"/>
    <mergeCell ref="B1824:F1824"/>
    <mergeCell ref="B1057:C1057"/>
    <mergeCell ref="B332:C332"/>
    <mergeCell ref="B1826:F1826"/>
    <mergeCell ref="C278:E278"/>
    <mergeCell ref="B645:H645"/>
    <mergeCell ref="B1059:C1059"/>
    <mergeCell ref="B1398:G1398"/>
    <mergeCell ref="B1699:D1699"/>
    <mergeCell ref="B300:D300"/>
    <mergeCell ref="B1027:D1027"/>
    <mergeCell ref="B1999:D1999"/>
    <mergeCell ref="B1693:C1693"/>
    <mergeCell ref="B2121:D2121"/>
    <mergeCell ref="H1792:H1795"/>
    <mergeCell ref="B2160:D2160"/>
    <mergeCell ref="B317:G317"/>
    <mergeCell ref="B319:G319"/>
    <mergeCell ref="B477:G477"/>
    <mergeCell ref="B1215:C1215"/>
    <mergeCell ref="B915:G915"/>
    <mergeCell ref="B2399:C2399"/>
    <mergeCell ref="C1916:E1916"/>
    <mergeCell ref="B2425:G2425"/>
    <mergeCell ref="B206:D206"/>
    <mergeCell ref="C6:E6"/>
    <mergeCell ref="H2423:H2426"/>
    <mergeCell ref="B1240:G1240"/>
    <mergeCell ref="B357:G357"/>
    <mergeCell ref="B236:G236"/>
    <mergeCell ref="B1084:G1084"/>
    <mergeCell ref="B816:C816"/>
    <mergeCell ref="B1111:G1111"/>
    <mergeCell ref="B1533:C1533"/>
    <mergeCell ref="B2362:H2362"/>
    <mergeCell ref="B1601:H1601"/>
    <mergeCell ref="B1535:C1535"/>
    <mergeCell ref="B664:H664"/>
    <mergeCell ref="B358:G358"/>
    <mergeCell ref="B1107:D1107"/>
    <mergeCell ref="B1173:H1173"/>
    <mergeCell ref="B2357:H2357"/>
    <mergeCell ref="H1083:H1086"/>
    <mergeCell ref="B1863:F1863"/>
    <mergeCell ref="B648:D648"/>
    <mergeCell ref="B833:F833"/>
    <mergeCell ref="B1471:F1471"/>
    <mergeCell ref="B1098:C1098"/>
    <mergeCell ref="B2225:G2225"/>
    <mergeCell ref="B1736:D1736"/>
    <mergeCell ref="B1728:C1728"/>
    <mergeCell ref="B1274:F1274"/>
    <mergeCell ref="B513:F513"/>
    <mergeCell ref="B243:D243"/>
    <mergeCell ref="B2366:H2366"/>
    <mergeCell ref="B2496:G2496"/>
    <mergeCell ref="B1886:C1886"/>
    <mergeCell ref="B372:C372"/>
    <mergeCell ref="B2227:G2227"/>
    <mergeCell ref="B2492:D2492"/>
    <mergeCell ref="C644:E644"/>
    <mergeCell ref="B374:C374"/>
    <mergeCell ref="B1649:H1649"/>
    <mergeCell ref="B1304:D1304"/>
    <mergeCell ref="H681:H684"/>
    <mergeCell ref="B2486:C2486"/>
    <mergeCell ref="B1615:H1615"/>
    <mergeCell ref="B1795:G1795"/>
    <mergeCell ref="B1945:F1945"/>
    <mergeCell ref="B215:C215"/>
    <mergeCell ref="C2034:E2034"/>
    <mergeCell ref="B727:G727"/>
    <mergeCell ref="C1002:E1002"/>
    <mergeCell ref="B1034:F1034"/>
    <mergeCell ref="C2192:E2192"/>
    <mergeCell ref="B1192:F1192"/>
    <mergeCell ref="B431:F431"/>
    <mergeCell ref="C1126:E1126"/>
    <mergeCell ref="B2241:C2241"/>
    <mergeCell ref="B722:G722"/>
    <mergeCell ref="B2435:D2435"/>
    <mergeCell ref="B2444:H2444"/>
    <mergeCell ref="B614:C614"/>
    <mergeCell ref="B2467:G2467"/>
    <mergeCell ref="B1219:C1219"/>
    <mergeCell ref="B1254:C1254"/>
    <mergeCell ref="C1797:E1797"/>
    <mergeCell ref="B5:G5"/>
    <mergeCell ref="B1396:G1396"/>
    <mergeCell ref="B1067:D1067"/>
    <mergeCell ref="B419:C419"/>
    <mergeCell ref="B1778:D1778"/>
    <mergeCell ref="H1122:H1125"/>
    <mergeCell ref="B2429:H2429"/>
    <mergeCell ref="B1025:D1025"/>
    <mergeCell ref="B2423:G2423"/>
    <mergeCell ref="B1508:F1508"/>
    <mergeCell ref="B1114:F1114"/>
    <mergeCell ref="C846:E846"/>
    <mergeCell ref="B16:C16"/>
    <mergeCell ref="C2116:E2116"/>
    <mergeCell ref="B1116:F1116"/>
    <mergeCell ref="C84:E84"/>
    <mergeCell ref="C2230:E2230"/>
    <mergeCell ref="B1927:C1927"/>
    <mergeCell ref="B18:C18"/>
    <mergeCell ref="B354:G354"/>
    <mergeCell ref="B1051:D1051"/>
    <mergeCell ref="C443:E443"/>
    <mergeCell ref="B2353:H2353"/>
    <mergeCell ref="B1839:H1839"/>
    <mergeCell ref="B1405:D1405"/>
    <mergeCell ref="B650:D650"/>
    <mergeCell ref="B1380:D1380"/>
    <mergeCell ref="B2313:H2313"/>
    <mergeCell ref="B835:F835"/>
    <mergeCell ref="B74:F74"/>
    <mergeCell ref="B1433:G1433"/>
    <mergeCell ref="B1646:C1646"/>
    <mergeCell ref="H2466:H2469"/>
    <mergeCell ref="B673:F673"/>
    <mergeCell ref="B1277:G1277"/>
    <mergeCell ref="B1793:G1793"/>
    <mergeCell ref="B1943:F1943"/>
    <mergeCell ref="B550:F550"/>
    <mergeCell ref="B1794:G1794"/>
    <mergeCell ref="B1572:C1572"/>
    <mergeCell ref="B1786:F1786"/>
    <mergeCell ref="C2273:E2273"/>
    <mergeCell ref="B2326:C2326"/>
    <mergeCell ref="B1146:D1146"/>
    <mergeCell ref="B2079:H2079"/>
    <mergeCell ref="B1324:H1324"/>
    <mergeCell ref="B1567:C1567"/>
    <mergeCell ref="B1326:H1326"/>
    <mergeCell ref="B1777:D1777"/>
    <mergeCell ref="B2261:F2261"/>
    <mergeCell ref="C1440:E1440"/>
    <mergeCell ref="B1080:G1080"/>
    <mergeCell ref="B1202:G1202"/>
    <mergeCell ref="B1802:D1802"/>
    <mergeCell ref="B2228:G2228"/>
    <mergeCell ref="B865:D865"/>
    <mergeCell ref="B1054:H1054"/>
    <mergeCell ref="B1495:C1495"/>
    <mergeCell ref="B1408:H1408"/>
    <mergeCell ref="B764:G764"/>
    <mergeCell ref="C2229:E2229"/>
    <mergeCell ref="B2397:C2397"/>
    <mergeCell ref="B2104:F2104"/>
    <mergeCell ref="B1970:C1970"/>
    <mergeCell ref="B28:D28"/>
    <mergeCell ref="B1973:D1973"/>
    <mergeCell ref="B2279:D2279"/>
    <mergeCell ref="B2189:G2189"/>
    <mergeCell ref="B486:D486"/>
    <mergeCell ref="B1816:D1816"/>
    <mergeCell ref="C883:E883"/>
    <mergeCell ref="B786:D786"/>
    <mergeCell ref="B211:C211"/>
    <mergeCell ref="B2334:G2334"/>
    <mergeCell ref="B1273:F1273"/>
    <mergeCell ref="B1879:H1879"/>
    <mergeCell ref="B938:C938"/>
    <mergeCell ref="B1871:G1871"/>
    <mergeCell ref="B2172:D2172"/>
    <mergeCell ref="C482:E482"/>
    <mergeCell ref="B1873:G1873"/>
    <mergeCell ref="B2322:C2322"/>
    <mergeCell ref="B2031:G2031"/>
    <mergeCell ref="B1454:H1454"/>
    <mergeCell ref="B1576:H1576"/>
    <mergeCell ref="B102:D102"/>
    <mergeCell ref="H42:H45"/>
    <mergeCell ref="H639:H642"/>
    <mergeCell ref="B578:C578"/>
    <mergeCell ref="B2124:H2124"/>
    <mergeCell ref="B50:H50"/>
    <mergeCell ref="C160:E160"/>
    <mergeCell ref="C2077:E2077"/>
    <mergeCell ref="B376:H376"/>
    <mergeCell ref="B55:C55"/>
    <mergeCell ref="B899:C899"/>
    <mergeCell ref="B2479:H2479"/>
    <mergeCell ref="B872:F872"/>
    <mergeCell ref="B111:F111"/>
    <mergeCell ref="C806:E806"/>
    <mergeCell ref="B1145:D1145"/>
    <mergeCell ref="B2052:C2052"/>
    <mergeCell ref="B653:C653"/>
    <mergeCell ref="B560:G560"/>
    <mergeCell ref="B114:G114"/>
    <mergeCell ref="H802:H805"/>
    <mergeCell ref="B1167:H1167"/>
    <mergeCell ref="B412:H412"/>
    <mergeCell ref="B106:G106"/>
    <mergeCell ref="B1170:D1170"/>
    <mergeCell ref="B1894:H1894"/>
    <mergeCell ref="B1473:G1473"/>
    <mergeCell ref="B405:H405"/>
    <mergeCell ref="B863:D863"/>
    <mergeCell ref="B1469:F1469"/>
    <mergeCell ref="B855:C855"/>
    <mergeCell ref="B1379:H1379"/>
    <mergeCell ref="B2067:F2067"/>
    <mergeCell ref="B581:C581"/>
    <mergeCell ref="B1765:C1765"/>
    <mergeCell ref="B738:H738"/>
    <mergeCell ref="B577:C577"/>
    <mergeCell ref="B1012:C1012"/>
    <mergeCell ref="C1284:E1284"/>
    <mergeCell ref="B1981:F1981"/>
    <mergeCell ref="C523:E523"/>
    <mergeCell ref="B2363:C2363"/>
    <mergeCell ref="B1608:C1608"/>
    <mergeCell ref="B2398:C2398"/>
    <mergeCell ref="H1911:H1914"/>
    <mergeCell ref="B2282:H2282"/>
    <mergeCell ref="B633:F633"/>
    <mergeCell ref="B296:C296"/>
    <mergeCell ref="B934:C934"/>
    <mergeCell ref="C961:E961"/>
    <mergeCell ref="B1247:H1247"/>
    <mergeCell ref="B813:D813"/>
    <mergeCell ref="B1239:G1239"/>
    <mergeCell ref="B1537:H1537"/>
    <mergeCell ref="B820:H820"/>
    <mergeCell ref="B902:D902"/>
    <mergeCell ref="B927:D927"/>
    <mergeCell ref="B1241:G1241"/>
    <mergeCell ref="B291:C291"/>
    <mergeCell ref="B1837:H1837"/>
    <mergeCell ref="B1840:D1840"/>
    <mergeCell ref="B1078:F1078"/>
    <mergeCell ref="B1534:C1534"/>
    <mergeCell ref="B1692:C1692"/>
    <mergeCell ref="B515:G515"/>
    <mergeCell ref="B293:C293"/>
    <mergeCell ref="B777:H777"/>
    <mergeCell ref="B959:G959"/>
    <mergeCell ref="B2143:F2143"/>
    <mergeCell ref="B1715:G1715"/>
    <mergeCell ref="B960:G960"/>
    <mergeCell ref="B528:D528"/>
    <mergeCell ref="B954:G954"/>
    <mergeCell ref="B1707:F1707"/>
    <mergeCell ref="B826:D826"/>
  </mergeCells>
  <pageMargins left="0.4" right="0.4" top="0.5" bottom="0.5" header="0.5" footer="0.5"/>
  <pageSetup fitToHeight="0" orientation="portrait"/>
  <rowBreaks count="62" manualBreakCount="62">
    <brk id="41" max="16383" man="1"/>
    <brk id="78" max="16383" man="1"/>
    <brk id="116" max="16383" man="1"/>
    <brk id="155" max="16383" man="1"/>
    <brk id="193" max="16383" man="1"/>
    <brk id="233" max="16383" man="1"/>
    <brk id="273" max="16383" man="1"/>
    <brk id="315" max="16383" man="1"/>
    <brk id="356" max="16383" man="1"/>
    <brk id="396" max="16383" man="1"/>
    <brk id="437" max="16383" man="1"/>
    <brk id="476" max="16383" man="1"/>
    <brk id="517" max="16383" man="1"/>
    <brk id="557" max="16383" man="1"/>
    <brk id="600" max="16383" man="1"/>
    <brk id="638" max="16383" man="1"/>
    <brk id="680" max="16383" man="1"/>
    <brk id="724" max="16383" man="1"/>
    <brk id="763" max="16383" man="1"/>
    <brk id="801" max="16383" man="1"/>
    <brk id="840" max="16383" man="1"/>
    <brk id="878" max="16383" man="1"/>
    <brk id="917" max="16383" man="1"/>
    <brk id="956" max="16383" man="1"/>
    <brk id="997" max="16383" man="1"/>
    <brk id="1040" max="16383" man="1"/>
    <brk id="1082" max="16383" man="1"/>
    <brk id="1121" max="16383" man="1"/>
    <brk id="1160" max="16383" man="1"/>
    <brk id="1199" max="16383" man="1"/>
    <brk id="1238" max="16383" man="1"/>
    <brk id="1279" max="16383" man="1"/>
    <brk id="1317" max="16383" man="1"/>
    <brk id="1355" max="16383" man="1"/>
    <brk id="1395" max="16383" man="1"/>
    <brk id="1435" max="16383" man="1"/>
    <brk id="1475" max="16383" man="1"/>
    <brk id="1513" max="16383" man="1"/>
    <brk id="1553" max="16383" man="1"/>
    <brk id="1592" max="16383" man="1"/>
    <brk id="1631" max="16383" man="1"/>
    <brk id="1670" max="16383" man="1"/>
    <brk id="1712" max="16383" man="1"/>
    <brk id="1751" max="16383" man="1"/>
    <brk id="1791" max="16383" man="1"/>
    <brk id="1830" max="16383" man="1"/>
    <brk id="1870" max="16383" man="1"/>
    <brk id="1910" max="16383" man="1"/>
    <brk id="1949" max="16383" man="1"/>
    <brk id="1988" max="16383" man="1"/>
    <brk id="2029" max="16383" man="1"/>
    <brk id="2072" max="16383" man="1"/>
    <brk id="2111" max="16383" man="1"/>
    <brk id="2149" max="16383" man="1"/>
    <brk id="2186" max="16383" man="1"/>
    <brk id="2224" max="16383" man="1"/>
    <brk id="2268" max="16383" man="1"/>
    <brk id="2306" max="16383" man="1"/>
    <brk id="2344" max="16383" man="1"/>
    <brk id="2382" max="16383" man="1"/>
    <brk id="2422" max="16383" man="1"/>
    <brk id="2465" max="16383" man="1"/>
  </row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I138"/>
  <sheetViews>
    <sheetView showGridLines="0" topLeftCell="C1" workbookViewId="0">
      <pane ySplit="6" topLeftCell="A16" activePane="bottomLeft" state="frozen"/>
      <selection pane="bottomLeft" activeCell="F31" sqref="F31"/>
    </sheetView>
  </sheetViews>
  <sheetFormatPr baseColWidth="10" defaultColWidth="8.88671875" defaultRowHeight="14.4" x14ac:dyDescent="0.3"/>
  <cols>
    <col min="1" max="1" width="2" customWidth="1"/>
    <col min="2" max="2" width="8" customWidth="1"/>
    <col min="3" max="3" width="46" customWidth="1"/>
    <col min="4" max="4" width="7" customWidth="1"/>
    <col min="5" max="5" width="62" customWidth="1"/>
    <col min="6" max="6" width="13" customWidth="1"/>
    <col min="7" max="7" width="11" customWidth="1"/>
    <col min="8" max="8" width="14" customWidth="1"/>
    <col min="9" max="9" width="46" customWidth="1"/>
  </cols>
  <sheetData>
    <row r="1" spans="2:9" x14ac:dyDescent="0.3">
      <c r="B1" s="111" t="s">
        <v>694</v>
      </c>
      <c r="C1" s="111"/>
      <c r="D1" s="111"/>
      <c r="E1" s="111"/>
      <c r="F1" s="111"/>
      <c r="G1" s="111"/>
      <c r="H1" s="111"/>
      <c r="I1" s="111"/>
    </row>
    <row r="2" spans="2:9" x14ac:dyDescent="0.3">
      <c r="B2" s="123" t="str">
        <f>'Datos Iniciales'!$B$8</f>
        <v>OBRA PÚBLICA PARA LA EJECUCIÓN DE DIFERENTES MEJORAMIENTOS DE VIVIENDA EN EL CASCO URBANO Y RURAL DEL MUNICIPIO DE MACEO - ANTIOQUIA</v>
      </c>
      <c r="C2" s="123"/>
      <c r="D2" s="123"/>
      <c r="E2" s="123"/>
      <c r="F2" s="123"/>
      <c r="G2" s="123"/>
      <c r="H2" s="123"/>
      <c r="I2" s="123"/>
    </row>
    <row r="3" spans="2:9" x14ac:dyDescent="0.3">
      <c r="B3" s="114" t="str">
        <f>"Proceso: "&amp;'Datos Iniciales'!$B$29&amp;"   |   Cantidad total = cantidad por unidad x número de unidades del capítulo (hoja BENEFICIARIOS)"</f>
        <v>Proceso: SAMC-SP-011-2026   |   Cantidad total = cantidad por unidad x número de unidades del capítulo (hoja BENEFICIARIOS)</v>
      </c>
      <c r="C3" s="114"/>
      <c r="D3" s="114"/>
      <c r="E3" s="114"/>
      <c r="F3" s="114"/>
      <c r="G3" s="114"/>
      <c r="H3" s="114"/>
      <c r="I3" s="114"/>
    </row>
    <row r="6" spans="2:9" ht="30" customHeight="1" x14ac:dyDescent="0.3">
      <c r="B6" s="13" t="s">
        <v>93</v>
      </c>
      <c r="C6" s="13" t="s">
        <v>94</v>
      </c>
      <c r="D6" s="13" t="s">
        <v>95</v>
      </c>
      <c r="E6" s="13" t="s">
        <v>695</v>
      </c>
      <c r="F6" s="13" t="s">
        <v>696</v>
      </c>
      <c r="G6" s="13" t="s">
        <v>697</v>
      </c>
      <c r="H6" s="13" t="s">
        <v>384</v>
      </c>
      <c r="I6" s="13" t="s">
        <v>698</v>
      </c>
    </row>
    <row r="7" spans="2:9" x14ac:dyDescent="0.3">
      <c r="B7" s="57">
        <v>1</v>
      </c>
      <c r="C7" s="126" t="str">
        <f>"MÓDULO HABITACIONAL DE 2,50 x 3,00 m - "&amp;RESUMEN!$D$7&amp;" UNIDAD(ES)"</f>
        <v>MÓDULO HABITACIONAL DE 2,50 x 3,00 m - 3 UNIDAD(ES)</v>
      </c>
      <c r="D7" s="126"/>
      <c r="E7" s="126"/>
      <c r="F7" s="126"/>
      <c r="G7" s="126"/>
      <c r="H7" s="126"/>
      <c r="I7" s="126"/>
    </row>
    <row r="8" spans="2:9" ht="22.05" customHeight="1" x14ac:dyDescent="0.3">
      <c r="B8" s="17" t="s">
        <v>99</v>
      </c>
      <c r="C8" s="16" t="s">
        <v>699</v>
      </c>
      <c r="D8" s="17" t="s">
        <v>101</v>
      </c>
      <c r="E8" s="16" t="s">
        <v>700</v>
      </c>
      <c r="F8" s="73">
        <v>7.5</v>
      </c>
      <c r="G8" s="26">
        <f>RESUMEN!$D$7</f>
        <v>3</v>
      </c>
      <c r="H8" s="74">
        <f t="shared" ref="H8:H33" si="0">ROUND(F8*G8,2)</f>
        <v>22.5</v>
      </c>
      <c r="I8" s="18" t="s">
        <v>701</v>
      </c>
    </row>
    <row r="9" spans="2:9" ht="15" customHeight="1" x14ac:dyDescent="0.3">
      <c r="B9" s="17" t="s">
        <v>102</v>
      </c>
      <c r="C9" s="16" t="s">
        <v>702</v>
      </c>
      <c r="D9" s="17" t="s">
        <v>104</v>
      </c>
      <c r="E9" s="16" t="s">
        <v>703</v>
      </c>
      <c r="F9" s="73">
        <v>2.33</v>
      </c>
      <c r="G9" s="26">
        <f>RESUMEN!$D$7</f>
        <v>3</v>
      </c>
      <c r="H9" s="74">
        <f t="shared" si="0"/>
        <v>6.99</v>
      </c>
      <c r="I9" s="16"/>
    </row>
    <row r="10" spans="2:9" ht="22.05" customHeight="1" x14ac:dyDescent="0.3">
      <c r="B10" s="17" t="s">
        <v>105</v>
      </c>
      <c r="C10" s="16" t="s">
        <v>704</v>
      </c>
      <c r="D10" s="17" t="s">
        <v>107</v>
      </c>
      <c r="E10" s="16" t="s">
        <v>705</v>
      </c>
      <c r="F10" s="73">
        <v>10.52</v>
      </c>
      <c r="G10" s="26">
        <f>RESUMEN!$D$7</f>
        <v>3</v>
      </c>
      <c r="H10" s="74">
        <f t="shared" si="0"/>
        <v>31.56</v>
      </c>
      <c r="I10" s="18" t="s">
        <v>706</v>
      </c>
    </row>
    <row r="11" spans="2:9" ht="22.05" customHeight="1" x14ac:dyDescent="0.3">
      <c r="B11" s="17" t="s">
        <v>108</v>
      </c>
      <c r="C11" s="16" t="s">
        <v>707</v>
      </c>
      <c r="D11" s="17" t="s">
        <v>101</v>
      </c>
      <c r="E11" s="16" t="s">
        <v>708</v>
      </c>
      <c r="F11" s="73">
        <v>6.24</v>
      </c>
      <c r="G11" s="26">
        <f>RESUMEN!$D$7</f>
        <v>3</v>
      </c>
      <c r="H11" s="74">
        <f t="shared" si="0"/>
        <v>18.72</v>
      </c>
      <c r="I11" s="18" t="s">
        <v>709</v>
      </c>
    </row>
    <row r="12" spans="2:9" ht="15" customHeight="1" x14ac:dyDescent="0.3">
      <c r="B12" s="17" t="s">
        <v>110</v>
      </c>
      <c r="C12" s="16" t="s">
        <v>710</v>
      </c>
      <c r="D12" s="17" t="s">
        <v>112</v>
      </c>
      <c r="E12" s="16" t="s">
        <v>711</v>
      </c>
      <c r="F12" s="73">
        <v>141.68</v>
      </c>
      <c r="G12" s="26">
        <f>RESUMEN!$D$7</f>
        <v>3</v>
      </c>
      <c r="H12" s="74">
        <f t="shared" si="0"/>
        <v>425.04</v>
      </c>
      <c r="I12" s="16"/>
    </row>
    <row r="13" spans="2:9" ht="22.05" customHeight="1" x14ac:dyDescent="0.3">
      <c r="B13" s="17" t="s">
        <v>113</v>
      </c>
      <c r="C13" s="16" t="s">
        <v>712</v>
      </c>
      <c r="D13" s="17" t="s">
        <v>107</v>
      </c>
      <c r="E13" s="16" t="s">
        <v>713</v>
      </c>
      <c r="F13" s="73">
        <v>9.1999999999999993</v>
      </c>
      <c r="G13" s="26">
        <f>RESUMEN!$D$7</f>
        <v>3</v>
      </c>
      <c r="H13" s="74">
        <f t="shared" si="0"/>
        <v>27.6</v>
      </c>
      <c r="I13" s="18" t="s">
        <v>714</v>
      </c>
    </row>
    <row r="14" spans="2:9" ht="22.05" customHeight="1" x14ac:dyDescent="0.3">
      <c r="B14" s="17" t="s">
        <v>115</v>
      </c>
      <c r="C14" s="16" t="s">
        <v>715</v>
      </c>
      <c r="D14" s="17" t="s">
        <v>101</v>
      </c>
      <c r="E14" s="16" t="s">
        <v>716</v>
      </c>
      <c r="F14" s="73">
        <v>19.309999999999999</v>
      </c>
      <c r="G14" s="26">
        <f>RESUMEN!$D$7</f>
        <v>3</v>
      </c>
      <c r="H14" s="74">
        <f t="shared" si="0"/>
        <v>57.93</v>
      </c>
      <c r="I14" s="18" t="s">
        <v>717</v>
      </c>
    </row>
    <row r="15" spans="2:9" ht="15" customHeight="1" x14ac:dyDescent="0.3">
      <c r="B15" s="17" t="s">
        <v>117</v>
      </c>
      <c r="C15" s="16" t="s">
        <v>718</v>
      </c>
      <c r="D15" s="17" t="s">
        <v>107</v>
      </c>
      <c r="E15" s="16" t="s">
        <v>705</v>
      </c>
      <c r="F15" s="73">
        <v>10.52</v>
      </c>
      <c r="G15" s="26">
        <f>RESUMEN!$D$7</f>
        <v>3</v>
      </c>
      <c r="H15" s="74">
        <f t="shared" si="0"/>
        <v>31.56</v>
      </c>
      <c r="I15" s="18" t="s">
        <v>706</v>
      </c>
    </row>
    <row r="16" spans="2:9" ht="15" customHeight="1" x14ac:dyDescent="0.3">
      <c r="B16" s="17" t="s">
        <v>119</v>
      </c>
      <c r="C16" s="16" t="s">
        <v>719</v>
      </c>
      <c r="D16" s="17" t="s">
        <v>107</v>
      </c>
      <c r="E16" s="16" t="s">
        <v>720</v>
      </c>
      <c r="F16" s="73">
        <v>8.1999999999999993</v>
      </c>
      <c r="G16" s="26">
        <f>RESUMEN!$D$7</f>
        <v>3</v>
      </c>
      <c r="H16" s="74">
        <f t="shared" si="0"/>
        <v>24.6</v>
      </c>
      <c r="I16" s="18" t="s">
        <v>721</v>
      </c>
    </row>
    <row r="17" spans="2:9" ht="22.05" customHeight="1" x14ac:dyDescent="0.3">
      <c r="B17" s="17" t="s">
        <v>121</v>
      </c>
      <c r="C17" s="16" t="s">
        <v>722</v>
      </c>
      <c r="D17" s="17" t="s">
        <v>107</v>
      </c>
      <c r="E17" s="16" t="s">
        <v>723</v>
      </c>
      <c r="F17" s="73">
        <v>3.6</v>
      </c>
      <c r="G17" s="26">
        <f>RESUMEN!$D$7</f>
        <v>3</v>
      </c>
      <c r="H17" s="74">
        <f t="shared" si="0"/>
        <v>10.8</v>
      </c>
      <c r="I17" s="16"/>
    </row>
    <row r="18" spans="2:9" ht="22.05" customHeight="1" x14ac:dyDescent="0.3">
      <c r="B18" s="17" t="s">
        <v>123</v>
      </c>
      <c r="C18" s="16" t="s">
        <v>724</v>
      </c>
      <c r="D18" s="17" t="s">
        <v>107</v>
      </c>
      <c r="E18" s="16" t="s">
        <v>725</v>
      </c>
      <c r="F18" s="73">
        <v>15.5</v>
      </c>
      <c r="G18" s="26">
        <f>RESUMEN!$D$7</f>
        <v>3</v>
      </c>
      <c r="H18" s="74">
        <f t="shared" si="0"/>
        <v>46.5</v>
      </c>
      <c r="I18" s="18" t="s">
        <v>726</v>
      </c>
    </row>
    <row r="19" spans="2:9" ht="22.05" customHeight="1" x14ac:dyDescent="0.3">
      <c r="B19" s="17" t="s">
        <v>125</v>
      </c>
      <c r="C19" s="16" t="s">
        <v>727</v>
      </c>
      <c r="D19" s="17" t="s">
        <v>101</v>
      </c>
      <c r="E19" s="16" t="s">
        <v>728</v>
      </c>
      <c r="F19" s="73">
        <v>11.27</v>
      </c>
      <c r="G19" s="26">
        <f>RESUMEN!$D$7</f>
        <v>3</v>
      </c>
      <c r="H19" s="74">
        <f t="shared" si="0"/>
        <v>33.81</v>
      </c>
      <c r="I19" s="18" t="s">
        <v>729</v>
      </c>
    </row>
    <row r="20" spans="2:9" ht="15" customHeight="1" x14ac:dyDescent="0.3">
      <c r="B20" s="17" t="s">
        <v>127</v>
      </c>
      <c r="C20" s="16" t="s">
        <v>730</v>
      </c>
      <c r="D20" s="17" t="s">
        <v>107</v>
      </c>
      <c r="E20" s="16" t="s">
        <v>731</v>
      </c>
      <c r="F20" s="73">
        <v>3.1</v>
      </c>
      <c r="G20" s="26">
        <f>RESUMEN!$D$7</f>
        <v>3</v>
      </c>
      <c r="H20" s="74">
        <f t="shared" si="0"/>
        <v>9.3000000000000007</v>
      </c>
      <c r="I20" s="18" t="s">
        <v>732</v>
      </c>
    </row>
    <row r="21" spans="2:9" ht="15" customHeight="1" x14ac:dyDescent="0.3">
      <c r="B21" s="17" t="s">
        <v>129</v>
      </c>
      <c r="C21" s="16" t="s">
        <v>733</v>
      </c>
      <c r="D21" s="17" t="s">
        <v>107</v>
      </c>
      <c r="E21" s="16" t="s">
        <v>734</v>
      </c>
      <c r="F21" s="73">
        <v>2.5</v>
      </c>
      <c r="G21" s="26">
        <f>RESUMEN!$D$7</f>
        <v>3</v>
      </c>
      <c r="H21" s="74">
        <f t="shared" si="0"/>
        <v>7.5</v>
      </c>
      <c r="I21" s="16"/>
    </row>
    <row r="22" spans="2:9" ht="15" customHeight="1" x14ac:dyDescent="0.3">
      <c r="B22" s="17" t="s">
        <v>131</v>
      </c>
      <c r="C22" s="16" t="s">
        <v>735</v>
      </c>
      <c r="D22" s="17" t="s">
        <v>107</v>
      </c>
      <c r="E22" s="16" t="s">
        <v>736</v>
      </c>
      <c r="F22" s="73">
        <v>12</v>
      </c>
      <c r="G22" s="26">
        <f>RESUMEN!$D$7</f>
        <v>3</v>
      </c>
      <c r="H22" s="74">
        <f t="shared" si="0"/>
        <v>36</v>
      </c>
      <c r="I22" s="16"/>
    </row>
    <row r="23" spans="2:9" ht="15" customHeight="1" x14ac:dyDescent="0.3">
      <c r="B23" s="17" t="s">
        <v>133</v>
      </c>
      <c r="C23" s="16" t="s">
        <v>737</v>
      </c>
      <c r="D23" s="17" t="s">
        <v>107</v>
      </c>
      <c r="E23" s="16" t="s">
        <v>738</v>
      </c>
      <c r="F23" s="73">
        <v>36</v>
      </c>
      <c r="G23" s="26">
        <f>RESUMEN!$D$7</f>
        <v>3</v>
      </c>
      <c r="H23" s="74">
        <f t="shared" si="0"/>
        <v>108</v>
      </c>
      <c r="I23" s="16"/>
    </row>
    <row r="24" spans="2:9" ht="15" customHeight="1" x14ac:dyDescent="0.3">
      <c r="B24" s="17" t="s">
        <v>135</v>
      </c>
      <c r="C24" s="16" t="s">
        <v>739</v>
      </c>
      <c r="D24" s="17" t="s">
        <v>137</v>
      </c>
      <c r="E24" s="16" t="s">
        <v>736</v>
      </c>
      <c r="F24" s="73">
        <v>3</v>
      </c>
      <c r="G24" s="26">
        <f>RESUMEN!$D$7</f>
        <v>3</v>
      </c>
      <c r="H24" s="74">
        <f t="shared" si="0"/>
        <v>9</v>
      </c>
      <c r="I24" s="16"/>
    </row>
    <row r="25" spans="2:9" ht="15" customHeight="1" x14ac:dyDescent="0.3">
      <c r="B25" s="17" t="s">
        <v>138</v>
      </c>
      <c r="C25" s="16" t="s">
        <v>740</v>
      </c>
      <c r="D25" s="17" t="s">
        <v>137</v>
      </c>
      <c r="E25" s="16" t="s">
        <v>736</v>
      </c>
      <c r="F25" s="73">
        <v>2</v>
      </c>
      <c r="G25" s="26">
        <f>RESUMEN!$D$7</f>
        <v>3</v>
      </c>
      <c r="H25" s="74">
        <f t="shared" si="0"/>
        <v>6</v>
      </c>
      <c r="I25" s="16"/>
    </row>
    <row r="26" spans="2:9" ht="15" customHeight="1" x14ac:dyDescent="0.3">
      <c r="B26" s="17" t="s">
        <v>140</v>
      </c>
      <c r="C26" s="16" t="s">
        <v>741</v>
      </c>
      <c r="D26" s="17" t="s">
        <v>137</v>
      </c>
      <c r="E26" s="16" t="s">
        <v>736</v>
      </c>
      <c r="F26" s="73">
        <v>1</v>
      </c>
      <c r="G26" s="26">
        <f>RESUMEN!$D$7</f>
        <v>3</v>
      </c>
      <c r="H26" s="74">
        <f t="shared" si="0"/>
        <v>3</v>
      </c>
      <c r="I26" s="16"/>
    </row>
    <row r="27" spans="2:9" ht="15" customHeight="1" x14ac:dyDescent="0.3">
      <c r="B27" s="17" t="s">
        <v>142</v>
      </c>
      <c r="C27" s="16" t="s">
        <v>742</v>
      </c>
      <c r="D27" s="17" t="s">
        <v>101</v>
      </c>
      <c r="E27" s="16" t="s">
        <v>743</v>
      </c>
      <c r="F27" s="73">
        <v>27.49</v>
      </c>
      <c r="G27" s="26">
        <f>RESUMEN!$D$7</f>
        <v>3</v>
      </c>
      <c r="H27" s="74">
        <f t="shared" si="0"/>
        <v>82.47</v>
      </c>
      <c r="I27" s="18" t="s">
        <v>744</v>
      </c>
    </row>
    <row r="28" spans="2:9" ht="15" customHeight="1" x14ac:dyDescent="0.3">
      <c r="B28" s="17" t="s">
        <v>144</v>
      </c>
      <c r="C28" s="16" t="s">
        <v>745</v>
      </c>
      <c r="D28" s="17" t="s">
        <v>101</v>
      </c>
      <c r="E28" s="16" t="s">
        <v>746</v>
      </c>
      <c r="F28" s="73">
        <v>27.49</v>
      </c>
      <c r="G28" s="26">
        <f>RESUMEN!$D$7</f>
        <v>3</v>
      </c>
      <c r="H28" s="74">
        <f t="shared" si="0"/>
        <v>82.47</v>
      </c>
      <c r="I28" s="18" t="s">
        <v>744</v>
      </c>
    </row>
    <row r="29" spans="2:9" ht="15" customHeight="1" x14ac:dyDescent="0.3">
      <c r="B29" s="17" t="s">
        <v>146</v>
      </c>
      <c r="C29" s="16" t="s">
        <v>747</v>
      </c>
      <c r="D29" s="17" t="s">
        <v>101</v>
      </c>
      <c r="E29" s="16" t="s">
        <v>746</v>
      </c>
      <c r="F29" s="73">
        <v>27.49</v>
      </c>
      <c r="G29" s="26">
        <f>RESUMEN!$D$7</f>
        <v>3</v>
      </c>
      <c r="H29" s="74">
        <f t="shared" si="0"/>
        <v>82.47</v>
      </c>
      <c r="I29" s="18" t="s">
        <v>744</v>
      </c>
    </row>
    <row r="30" spans="2:9" ht="15" customHeight="1" x14ac:dyDescent="0.3">
      <c r="B30" s="17" t="s">
        <v>148</v>
      </c>
      <c r="C30" s="16" t="s">
        <v>748</v>
      </c>
      <c r="D30" s="17" t="s">
        <v>101</v>
      </c>
      <c r="E30" s="16" t="s">
        <v>749</v>
      </c>
      <c r="F30" s="73">
        <v>7.07</v>
      </c>
      <c r="G30" s="26">
        <f>RESUMEN!$D$7</f>
        <v>3</v>
      </c>
      <c r="H30" s="74">
        <f t="shared" si="0"/>
        <v>21.21</v>
      </c>
      <c r="I30" s="18" t="s">
        <v>750</v>
      </c>
    </row>
    <row r="31" spans="2:9" ht="15" customHeight="1" x14ac:dyDescent="0.3">
      <c r="B31" s="17" t="s">
        <v>150</v>
      </c>
      <c r="C31" s="16" t="s">
        <v>751</v>
      </c>
      <c r="D31" s="17" t="s">
        <v>137</v>
      </c>
      <c r="E31" s="16" t="s">
        <v>752</v>
      </c>
      <c r="F31" s="73">
        <v>1</v>
      </c>
      <c r="G31" s="26">
        <f>RESUMEN!$D$7</f>
        <v>3</v>
      </c>
      <c r="H31" s="74">
        <f t="shared" si="0"/>
        <v>3</v>
      </c>
      <c r="I31" s="16"/>
    </row>
    <row r="32" spans="2:9" ht="15" customHeight="1" x14ac:dyDescent="0.3">
      <c r="B32" s="17" t="s">
        <v>152</v>
      </c>
      <c r="C32" s="16" t="s">
        <v>753</v>
      </c>
      <c r="D32" s="17" t="s">
        <v>101</v>
      </c>
      <c r="E32" s="16" t="s">
        <v>754</v>
      </c>
      <c r="F32" s="73">
        <v>1</v>
      </c>
      <c r="G32" s="26">
        <f>RESUMEN!$D$7</f>
        <v>3</v>
      </c>
      <c r="H32" s="74">
        <f t="shared" si="0"/>
        <v>3</v>
      </c>
      <c r="I32" s="18" t="s">
        <v>755</v>
      </c>
    </row>
    <row r="33" spans="2:9" ht="15" customHeight="1" x14ac:dyDescent="0.3">
      <c r="B33" s="17" t="s">
        <v>154</v>
      </c>
      <c r="C33" s="16" t="s">
        <v>756</v>
      </c>
      <c r="D33" s="17" t="s">
        <v>101</v>
      </c>
      <c r="E33" s="16" t="s">
        <v>757</v>
      </c>
      <c r="F33" s="73">
        <v>6.36</v>
      </c>
      <c r="G33" s="26">
        <f>RESUMEN!$D$7</f>
        <v>3</v>
      </c>
      <c r="H33" s="74">
        <f t="shared" si="0"/>
        <v>19.079999999999998</v>
      </c>
      <c r="I33" s="18" t="s">
        <v>758</v>
      </c>
    </row>
    <row r="34" spans="2:9" x14ac:dyDescent="0.3">
      <c r="B34" s="57">
        <v>2</v>
      </c>
      <c r="C34" s="126" t="str">
        <f>"BAÑO DE 1,50 x 2,50 m CON SISTEMA SÉPTICO - "&amp;RESUMEN!$D$8&amp;" UNIDAD(ES)"</f>
        <v>BAÑO DE 1,50 x 2,50 m CON SISTEMA SÉPTICO - 3 UNIDAD(ES)</v>
      </c>
      <c r="D34" s="126"/>
      <c r="E34" s="126"/>
      <c r="F34" s="126"/>
      <c r="G34" s="126"/>
      <c r="H34" s="126"/>
      <c r="I34" s="126"/>
    </row>
    <row r="35" spans="2:9" ht="15" customHeight="1" x14ac:dyDescent="0.3">
      <c r="B35" s="17" t="s">
        <v>156</v>
      </c>
      <c r="C35" s="16" t="s">
        <v>699</v>
      </c>
      <c r="D35" s="17" t="s">
        <v>101</v>
      </c>
      <c r="E35" s="16" t="s">
        <v>759</v>
      </c>
      <c r="F35" s="73">
        <v>3.75</v>
      </c>
      <c r="G35" s="26">
        <f>RESUMEN!$D$8</f>
        <v>3</v>
      </c>
      <c r="H35" s="74">
        <f t="shared" ref="H35:H72" si="1">ROUND(F35*G35,2)</f>
        <v>11.25</v>
      </c>
      <c r="I35" s="16"/>
    </row>
    <row r="36" spans="2:9" ht="15" customHeight="1" x14ac:dyDescent="0.3">
      <c r="B36" s="17" t="s">
        <v>157</v>
      </c>
      <c r="C36" s="16" t="s">
        <v>702</v>
      </c>
      <c r="D36" s="17" t="s">
        <v>104</v>
      </c>
      <c r="E36" s="16" t="s">
        <v>703</v>
      </c>
      <c r="F36" s="73">
        <v>1.8</v>
      </c>
      <c r="G36" s="26">
        <f>RESUMEN!$D$8</f>
        <v>3</v>
      </c>
      <c r="H36" s="74">
        <f t="shared" si="1"/>
        <v>5.4</v>
      </c>
      <c r="I36" s="16"/>
    </row>
    <row r="37" spans="2:9" ht="22.05" customHeight="1" x14ac:dyDescent="0.3">
      <c r="B37" s="17" t="s">
        <v>158</v>
      </c>
      <c r="C37" s="16" t="s">
        <v>704</v>
      </c>
      <c r="D37" s="17" t="s">
        <v>107</v>
      </c>
      <c r="E37" s="16" t="s">
        <v>760</v>
      </c>
      <c r="F37" s="73">
        <v>7.52</v>
      </c>
      <c r="G37" s="26">
        <f>RESUMEN!$D$8</f>
        <v>3</v>
      </c>
      <c r="H37" s="74">
        <f t="shared" si="1"/>
        <v>22.56</v>
      </c>
      <c r="I37" s="18" t="s">
        <v>761</v>
      </c>
    </row>
    <row r="38" spans="2:9" ht="22.05" customHeight="1" x14ac:dyDescent="0.3">
      <c r="B38" s="17" t="s">
        <v>159</v>
      </c>
      <c r="C38" s="16" t="s">
        <v>707</v>
      </c>
      <c r="D38" s="17" t="s">
        <v>101</v>
      </c>
      <c r="E38" s="16" t="s">
        <v>762</v>
      </c>
      <c r="F38" s="73">
        <v>2.85</v>
      </c>
      <c r="G38" s="26">
        <f>RESUMEN!$D$8</f>
        <v>3</v>
      </c>
      <c r="H38" s="74">
        <f t="shared" si="1"/>
        <v>8.5500000000000007</v>
      </c>
      <c r="I38" s="18" t="s">
        <v>763</v>
      </c>
    </row>
    <row r="39" spans="2:9" ht="15" customHeight="1" x14ac:dyDescent="0.3">
      <c r="B39" s="17" t="s">
        <v>160</v>
      </c>
      <c r="C39" s="16" t="s">
        <v>710</v>
      </c>
      <c r="D39" s="17" t="s">
        <v>112</v>
      </c>
      <c r="E39" s="16" t="s">
        <v>711</v>
      </c>
      <c r="F39" s="73">
        <v>116.43</v>
      </c>
      <c r="G39" s="26">
        <f>RESUMEN!$D$8</f>
        <v>3</v>
      </c>
      <c r="H39" s="74">
        <f t="shared" si="1"/>
        <v>349.29</v>
      </c>
      <c r="I39" s="16"/>
    </row>
    <row r="40" spans="2:9" ht="22.05" customHeight="1" x14ac:dyDescent="0.3">
      <c r="B40" s="17" t="s">
        <v>161</v>
      </c>
      <c r="C40" s="16" t="s">
        <v>712</v>
      </c>
      <c r="D40" s="17" t="s">
        <v>107</v>
      </c>
      <c r="E40" s="16" t="s">
        <v>764</v>
      </c>
      <c r="F40" s="73">
        <v>9.1999999999999993</v>
      </c>
      <c r="G40" s="26">
        <f>RESUMEN!$D$8</f>
        <v>3</v>
      </c>
      <c r="H40" s="74">
        <f t="shared" si="1"/>
        <v>27.6</v>
      </c>
      <c r="I40" s="18" t="s">
        <v>765</v>
      </c>
    </row>
    <row r="41" spans="2:9" ht="22.05" customHeight="1" x14ac:dyDescent="0.3">
      <c r="B41" s="17" t="s">
        <v>162</v>
      </c>
      <c r="C41" s="16" t="s">
        <v>715</v>
      </c>
      <c r="D41" s="17" t="s">
        <v>101</v>
      </c>
      <c r="E41" s="16" t="s">
        <v>766</v>
      </c>
      <c r="F41" s="73">
        <v>13.32</v>
      </c>
      <c r="G41" s="26">
        <f>RESUMEN!$D$8</f>
        <v>3</v>
      </c>
      <c r="H41" s="74">
        <f t="shared" si="1"/>
        <v>39.96</v>
      </c>
      <c r="I41" s="18" t="s">
        <v>767</v>
      </c>
    </row>
    <row r="42" spans="2:9" ht="15" customHeight="1" x14ac:dyDescent="0.3">
      <c r="B42" s="17" t="s">
        <v>163</v>
      </c>
      <c r="C42" s="16" t="s">
        <v>718</v>
      </c>
      <c r="D42" s="17" t="s">
        <v>107</v>
      </c>
      <c r="E42" s="16" t="s">
        <v>760</v>
      </c>
      <c r="F42" s="73">
        <v>7.52</v>
      </c>
      <c r="G42" s="26">
        <f>RESUMEN!$D$8</f>
        <v>3</v>
      </c>
      <c r="H42" s="74">
        <f t="shared" si="1"/>
        <v>22.56</v>
      </c>
      <c r="I42" s="18" t="s">
        <v>761</v>
      </c>
    </row>
    <row r="43" spans="2:9" ht="15" customHeight="1" x14ac:dyDescent="0.3">
      <c r="B43" s="17" t="s">
        <v>164</v>
      </c>
      <c r="C43" s="16" t="s">
        <v>719</v>
      </c>
      <c r="D43" s="17" t="s">
        <v>107</v>
      </c>
      <c r="E43" s="16" t="s">
        <v>768</v>
      </c>
      <c r="F43" s="73">
        <v>6.21</v>
      </c>
      <c r="G43" s="26">
        <f>RESUMEN!$D$8</f>
        <v>3</v>
      </c>
      <c r="H43" s="74">
        <f t="shared" si="1"/>
        <v>18.63</v>
      </c>
      <c r="I43" s="16"/>
    </row>
    <row r="44" spans="2:9" ht="22.05" customHeight="1" x14ac:dyDescent="0.3">
      <c r="B44" s="17" t="s">
        <v>165</v>
      </c>
      <c r="C44" s="16" t="s">
        <v>722</v>
      </c>
      <c r="D44" s="17" t="s">
        <v>107</v>
      </c>
      <c r="E44" s="16" t="s">
        <v>769</v>
      </c>
      <c r="F44" s="73">
        <v>3.1</v>
      </c>
      <c r="G44" s="26">
        <f>RESUMEN!$D$8</f>
        <v>3</v>
      </c>
      <c r="H44" s="74">
        <f t="shared" si="1"/>
        <v>9.3000000000000007</v>
      </c>
      <c r="I44" s="16"/>
    </row>
    <row r="45" spans="2:9" ht="22.05" customHeight="1" x14ac:dyDescent="0.3">
      <c r="B45" s="17" t="s">
        <v>166</v>
      </c>
      <c r="C45" s="16" t="s">
        <v>724</v>
      </c>
      <c r="D45" s="17" t="s">
        <v>107</v>
      </c>
      <c r="E45" s="16" t="s">
        <v>770</v>
      </c>
      <c r="F45" s="73">
        <v>10.5</v>
      </c>
      <c r="G45" s="26">
        <f>RESUMEN!$D$8</f>
        <v>3</v>
      </c>
      <c r="H45" s="74">
        <f t="shared" si="1"/>
        <v>31.5</v>
      </c>
      <c r="I45" s="18" t="s">
        <v>771</v>
      </c>
    </row>
    <row r="46" spans="2:9" ht="15" customHeight="1" x14ac:dyDescent="0.3">
      <c r="B46" s="17" t="s">
        <v>167</v>
      </c>
      <c r="C46" s="16" t="s">
        <v>727</v>
      </c>
      <c r="D46" s="17" t="s">
        <v>101</v>
      </c>
      <c r="E46" s="16" t="s">
        <v>772</v>
      </c>
      <c r="F46" s="73">
        <v>6.6</v>
      </c>
      <c r="G46" s="26">
        <f>RESUMEN!$D$8</f>
        <v>3</v>
      </c>
      <c r="H46" s="74">
        <f t="shared" si="1"/>
        <v>19.8</v>
      </c>
      <c r="I46" s="18" t="s">
        <v>773</v>
      </c>
    </row>
    <row r="47" spans="2:9" ht="15" customHeight="1" x14ac:dyDescent="0.3">
      <c r="B47" s="17" t="s">
        <v>168</v>
      </c>
      <c r="C47" s="16" t="s">
        <v>730</v>
      </c>
      <c r="D47" s="17" t="s">
        <v>107</v>
      </c>
      <c r="E47" s="16" t="s">
        <v>774</v>
      </c>
      <c r="F47" s="73">
        <v>2.1</v>
      </c>
      <c r="G47" s="26">
        <f>RESUMEN!$D$8</f>
        <v>3</v>
      </c>
      <c r="H47" s="74">
        <f t="shared" si="1"/>
        <v>6.3</v>
      </c>
      <c r="I47" s="18" t="s">
        <v>775</v>
      </c>
    </row>
    <row r="48" spans="2:9" ht="15" customHeight="1" x14ac:dyDescent="0.3">
      <c r="B48" s="17" t="s">
        <v>169</v>
      </c>
      <c r="C48" s="16" t="s">
        <v>733</v>
      </c>
      <c r="D48" s="17" t="s">
        <v>107</v>
      </c>
      <c r="E48" s="16" t="s">
        <v>736</v>
      </c>
      <c r="F48" s="73">
        <v>2.5</v>
      </c>
      <c r="G48" s="26">
        <f>RESUMEN!$D$8</f>
        <v>3</v>
      </c>
      <c r="H48" s="74">
        <f t="shared" si="1"/>
        <v>7.5</v>
      </c>
      <c r="I48" s="16"/>
    </row>
    <row r="49" spans="2:9" ht="15" customHeight="1" x14ac:dyDescent="0.3">
      <c r="B49" s="17" t="s">
        <v>170</v>
      </c>
      <c r="C49" s="16" t="s">
        <v>776</v>
      </c>
      <c r="D49" s="17" t="s">
        <v>107</v>
      </c>
      <c r="E49" s="16" t="s">
        <v>777</v>
      </c>
      <c r="F49" s="73">
        <v>12</v>
      </c>
      <c r="G49" s="26">
        <f>RESUMEN!$D$8</f>
        <v>3</v>
      </c>
      <c r="H49" s="74">
        <f t="shared" si="1"/>
        <v>36</v>
      </c>
      <c r="I49" s="16"/>
    </row>
    <row r="50" spans="2:9" ht="15" customHeight="1" x14ac:dyDescent="0.3">
      <c r="B50" s="17" t="s">
        <v>172</v>
      </c>
      <c r="C50" s="16" t="s">
        <v>778</v>
      </c>
      <c r="D50" s="17" t="s">
        <v>137</v>
      </c>
      <c r="E50" s="16" t="s">
        <v>779</v>
      </c>
      <c r="F50" s="73">
        <v>3</v>
      </c>
      <c r="G50" s="26">
        <f>RESUMEN!$D$8</f>
        <v>3</v>
      </c>
      <c r="H50" s="74">
        <f t="shared" si="1"/>
        <v>9</v>
      </c>
      <c r="I50" s="16"/>
    </row>
    <row r="51" spans="2:9" ht="15" customHeight="1" x14ac:dyDescent="0.3">
      <c r="B51" s="17" t="s">
        <v>174</v>
      </c>
      <c r="C51" s="16" t="s">
        <v>780</v>
      </c>
      <c r="D51" s="17" t="s">
        <v>137</v>
      </c>
      <c r="E51" s="16" t="s">
        <v>781</v>
      </c>
      <c r="F51" s="73">
        <v>1</v>
      </c>
      <c r="G51" s="26">
        <f>RESUMEN!$D$8</f>
        <v>3</v>
      </c>
      <c r="H51" s="74">
        <f t="shared" si="1"/>
        <v>3</v>
      </c>
      <c r="I51" s="16"/>
    </row>
    <row r="52" spans="2:9" ht="15" customHeight="1" x14ac:dyDescent="0.3">
      <c r="B52" s="17" t="s">
        <v>176</v>
      </c>
      <c r="C52" s="16" t="s">
        <v>782</v>
      </c>
      <c r="D52" s="17" t="s">
        <v>137</v>
      </c>
      <c r="E52" s="16" t="s">
        <v>783</v>
      </c>
      <c r="F52" s="73">
        <v>2</v>
      </c>
      <c r="G52" s="26">
        <f>RESUMEN!$D$8</f>
        <v>3</v>
      </c>
      <c r="H52" s="74">
        <f t="shared" si="1"/>
        <v>6</v>
      </c>
      <c r="I52" s="16"/>
    </row>
    <row r="53" spans="2:9" ht="15" customHeight="1" x14ac:dyDescent="0.3">
      <c r="B53" s="17" t="s">
        <v>178</v>
      </c>
      <c r="C53" s="16" t="s">
        <v>784</v>
      </c>
      <c r="D53" s="17" t="s">
        <v>137</v>
      </c>
      <c r="E53" s="16" t="s">
        <v>785</v>
      </c>
      <c r="F53" s="73">
        <v>1</v>
      </c>
      <c r="G53" s="26">
        <f>RESUMEN!$D$8</f>
        <v>3</v>
      </c>
      <c r="H53" s="74">
        <f t="shared" si="1"/>
        <v>3</v>
      </c>
      <c r="I53" s="16"/>
    </row>
    <row r="54" spans="2:9" ht="15" customHeight="1" x14ac:dyDescent="0.3">
      <c r="B54" s="17" t="s">
        <v>180</v>
      </c>
      <c r="C54" s="16" t="s">
        <v>786</v>
      </c>
      <c r="D54" s="17" t="s">
        <v>107</v>
      </c>
      <c r="E54" s="16" t="s">
        <v>787</v>
      </c>
      <c r="F54" s="73">
        <v>18</v>
      </c>
      <c r="G54" s="26">
        <f>RESUMEN!$D$8</f>
        <v>3</v>
      </c>
      <c r="H54" s="74">
        <f t="shared" si="1"/>
        <v>54</v>
      </c>
      <c r="I54" s="16"/>
    </row>
    <row r="55" spans="2:9" ht="15" customHeight="1" x14ac:dyDescent="0.3">
      <c r="B55" s="17" t="s">
        <v>182</v>
      </c>
      <c r="C55" s="16" t="s">
        <v>788</v>
      </c>
      <c r="D55" s="17" t="s">
        <v>107</v>
      </c>
      <c r="E55" s="16" t="s">
        <v>789</v>
      </c>
      <c r="F55" s="73">
        <v>18</v>
      </c>
      <c r="G55" s="26">
        <f>RESUMEN!$D$8</f>
        <v>3</v>
      </c>
      <c r="H55" s="74">
        <f t="shared" si="1"/>
        <v>54</v>
      </c>
      <c r="I55" s="18" t="s">
        <v>790</v>
      </c>
    </row>
    <row r="56" spans="2:9" ht="22.05" customHeight="1" x14ac:dyDescent="0.3">
      <c r="B56" s="17" t="s">
        <v>184</v>
      </c>
      <c r="C56" s="16" t="s">
        <v>791</v>
      </c>
      <c r="D56" s="17" t="s">
        <v>137</v>
      </c>
      <c r="E56" s="16" t="s">
        <v>792</v>
      </c>
      <c r="F56" s="73">
        <v>1</v>
      </c>
      <c r="G56" s="26">
        <f>RESUMEN!$D$8</f>
        <v>3</v>
      </c>
      <c r="H56" s="74">
        <f t="shared" si="1"/>
        <v>3</v>
      </c>
      <c r="I56" s="16"/>
    </row>
    <row r="57" spans="2:9" ht="15" customHeight="1" x14ac:dyDescent="0.3">
      <c r="B57" s="17" t="s">
        <v>186</v>
      </c>
      <c r="C57" s="16" t="s">
        <v>735</v>
      </c>
      <c r="D57" s="17" t="s">
        <v>107</v>
      </c>
      <c r="E57" s="16" t="s">
        <v>736</v>
      </c>
      <c r="F57" s="73">
        <v>6</v>
      </c>
      <c r="G57" s="26">
        <f>RESUMEN!$D$8</f>
        <v>3</v>
      </c>
      <c r="H57" s="74">
        <f t="shared" si="1"/>
        <v>18</v>
      </c>
      <c r="I57" s="16"/>
    </row>
    <row r="58" spans="2:9" ht="15" customHeight="1" x14ac:dyDescent="0.3">
      <c r="B58" s="17" t="s">
        <v>187</v>
      </c>
      <c r="C58" s="16" t="s">
        <v>737</v>
      </c>
      <c r="D58" s="17" t="s">
        <v>107</v>
      </c>
      <c r="E58" s="16" t="s">
        <v>736</v>
      </c>
      <c r="F58" s="73">
        <v>20</v>
      </c>
      <c r="G58" s="26">
        <f>RESUMEN!$D$8</f>
        <v>3</v>
      </c>
      <c r="H58" s="74">
        <f t="shared" si="1"/>
        <v>60</v>
      </c>
      <c r="I58" s="16"/>
    </row>
    <row r="59" spans="2:9" ht="15" customHeight="1" x14ac:dyDescent="0.3">
      <c r="B59" s="17" t="s">
        <v>188</v>
      </c>
      <c r="C59" s="16" t="s">
        <v>793</v>
      </c>
      <c r="D59" s="17" t="s">
        <v>137</v>
      </c>
      <c r="E59" s="16" t="s">
        <v>794</v>
      </c>
      <c r="F59" s="73">
        <v>1</v>
      </c>
      <c r="G59" s="26">
        <f>RESUMEN!$D$8</f>
        <v>3</v>
      </c>
      <c r="H59" s="74">
        <f t="shared" si="1"/>
        <v>3</v>
      </c>
      <c r="I59" s="16"/>
    </row>
    <row r="60" spans="2:9" ht="15" customHeight="1" x14ac:dyDescent="0.3">
      <c r="B60" s="17" t="s">
        <v>190</v>
      </c>
      <c r="C60" s="16" t="s">
        <v>795</v>
      </c>
      <c r="D60" s="17" t="s">
        <v>137</v>
      </c>
      <c r="E60" s="16" t="s">
        <v>736</v>
      </c>
      <c r="F60" s="73">
        <v>1</v>
      </c>
      <c r="G60" s="26">
        <f>RESUMEN!$D$8</f>
        <v>3</v>
      </c>
      <c r="H60" s="74">
        <f t="shared" si="1"/>
        <v>3</v>
      </c>
      <c r="I60" s="16"/>
    </row>
    <row r="61" spans="2:9" ht="15" customHeight="1" x14ac:dyDescent="0.3">
      <c r="B61" s="17" t="s">
        <v>192</v>
      </c>
      <c r="C61" s="16" t="s">
        <v>741</v>
      </c>
      <c r="D61" s="17" t="s">
        <v>137</v>
      </c>
      <c r="E61" s="16" t="s">
        <v>736</v>
      </c>
      <c r="F61" s="73">
        <v>1</v>
      </c>
      <c r="G61" s="26">
        <f>RESUMEN!$D$8</f>
        <v>3</v>
      </c>
      <c r="H61" s="74">
        <f t="shared" si="1"/>
        <v>3</v>
      </c>
      <c r="I61" s="16"/>
    </row>
    <row r="62" spans="2:9" ht="15" customHeight="1" x14ac:dyDescent="0.3">
      <c r="B62" s="17" t="s">
        <v>193</v>
      </c>
      <c r="C62" s="16" t="s">
        <v>742</v>
      </c>
      <c r="D62" s="17" t="s">
        <v>101</v>
      </c>
      <c r="E62" s="16" t="s">
        <v>796</v>
      </c>
      <c r="F62" s="73">
        <v>18.05</v>
      </c>
      <c r="G62" s="26">
        <f>RESUMEN!$D$8</f>
        <v>3</v>
      </c>
      <c r="H62" s="74">
        <f t="shared" si="1"/>
        <v>54.15</v>
      </c>
      <c r="I62" s="18" t="s">
        <v>797</v>
      </c>
    </row>
    <row r="63" spans="2:9" ht="15" customHeight="1" x14ac:dyDescent="0.3">
      <c r="B63" s="17" t="s">
        <v>194</v>
      </c>
      <c r="C63" s="16" t="s">
        <v>798</v>
      </c>
      <c r="D63" s="17" t="s">
        <v>101</v>
      </c>
      <c r="E63" s="16" t="s">
        <v>799</v>
      </c>
      <c r="F63" s="73">
        <v>2.94</v>
      </c>
      <c r="G63" s="26">
        <f>RESUMEN!$D$8</f>
        <v>3</v>
      </c>
      <c r="H63" s="74">
        <f t="shared" si="1"/>
        <v>8.82</v>
      </c>
      <c r="I63" s="18" t="s">
        <v>763</v>
      </c>
    </row>
    <row r="64" spans="2:9" ht="15" customHeight="1" x14ac:dyDescent="0.3">
      <c r="B64" s="17" t="s">
        <v>196</v>
      </c>
      <c r="C64" s="16" t="s">
        <v>800</v>
      </c>
      <c r="D64" s="17" t="s">
        <v>101</v>
      </c>
      <c r="E64" s="16" t="s">
        <v>801</v>
      </c>
      <c r="F64" s="73">
        <v>7.24</v>
      </c>
      <c r="G64" s="26">
        <f>RESUMEN!$D$8</f>
        <v>3</v>
      </c>
      <c r="H64" s="74">
        <f t="shared" si="1"/>
        <v>21.72</v>
      </c>
      <c r="I64" s="18" t="s">
        <v>802</v>
      </c>
    </row>
    <row r="65" spans="2:9" ht="15" customHeight="1" x14ac:dyDescent="0.3">
      <c r="B65" s="17" t="s">
        <v>198</v>
      </c>
      <c r="C65" s="16" t="s">
        <v>745</v>
      </c>
      <c r="D65" s="17" t="s">
        <v>101</v>
      </c>
      <c r="E65" s="16" t="s">
        <v>803</v>
      </c>
      <c r="F65" s="73">
        <v>10.81</v>
      </c>
      <c r="G65" s="26">
        <f>RESUMEN!$D$8</f>
        <v>3</v>
      </c>
      <c r="H65" s="74">
        <f t="shared" si="1"/>
        <v>32.43</v>
      </c>
      <c r="I65" s="18" t="s">
        <v>804</v>
      </c>
    </row>
    <row r="66" spans="2:9" ht="15" customHeight="1" x14ac:dyDescent="0.3">
      <c r="B66" s="17" t="s">
        <v>199</v>
      </c>
      <c r="C66" s="16" t="s">
        <v>747</v>
      </c>
      <c r="D66" s="17" t="s">
        <v>101</v>
      </c>
      <c r="E66" s="16" t="s">
        <v>805</v>
      </c>
      <c r="F66" s="73">
        <v>10.81</v>
      </c>
      <c r="G66" s="26">
        <f>RESUMEN!$D$8</f>
        <v>3</v>
      </c>
      <c r="H66" s="74">
        <f t="shared" si="1"/>
        <v>32.43</v>
      </c>
      <c r="I66" s="18" t="s">
        <v>804</v>
      </c>
    </row>
    <row r="67" spans="2:9" ht="22.05" customHeight="1" x14ac:dyDescent="0.3">
      <c r="B67" s="17" t="s">
        <v>200</v>
      </c>
      <c r="C67" s="16" t="s">
        <v>806</v>
      </c>
      <c r="D67" s="17" t="s">
        <v>137</v>
      </c>
      <c r="E67" s="16" t="s">
        <v>807</v>
      </c>
      <c r="F67" s="73">
        <v>1</v>
      </c>
      <c r="G67" s="26">
        <f>RESUMEN!$D$8</f>
        <v>3</v>
      </c>
      <c r="H67" s="74">
        <f t="shared" si="1"/>
        <v>3</v>
      </c>
      <c r="I67" s="16"/>
    </row>
    <row r="68" spans="2:9" ht="15" customHeight="1" x14ac:dyDescent="0.3">
      <c r="B68" s="17" t="s">
        <v>202</v>
      </c>
      <c r="C68" s="16" t="s">
        <v>808</v>
      </c>
      <c r="D68" s="17" t="s">
        <v>137</v>
      </c>
      <c r="E68" s="16" t="s">
        <v>809</v>
      </c>
      <c r="F68" s="73">
        <v>1</v>
      </c>
      <c r="G68" s="26">
        <f>RESUMEN!$D$8</f>
        <v>3</v>
      </c>
      <c r="H68" s="74">
        <f t="shared" si="1"/>
        <v>3</v>
      </c>
      <c r="I68" s="16"/>
    </row>
    <row r="69" spans="2:9" ht="15" customHeight="1" x14ac:dyDescent="0.3">
      <c r="B69" s="17" t="s">
        <v>204</v>
      </c>
      <c r="C69" s="16" t="s">
        <v>810</v>
      </c>
      <c r="D69" s="17" t="s">
        <v>137</v>
      </c>
      <c r="E69" s="16" t="s">
        <v>811</v>
      </c>
      <c r="F69" s="73">
        <v>1</v>
      </c>
      <c r="G69" s="26">
        <f>RESUMEN!$D$8</f>
        <v>3</v>
      </c>
      <c r="H69" s="74">
        <f t="shared" si="1"/>
        <v>3</v>
      </c>
      <c r="I69" s="16"/>
    </row>
    <row r="70" spans="2:9" ht="15" customHeight="1" x14ac:dyDescent="0.3">
      <c r="B70" s="17" t="s">
        <v>206</v>
      </c>
      <c r="C70" s="16" t="s">
        <v>751</v>
      </c>
      <c r="D70" s="17" t="s">
        <v>137</v>
      </c>
      <c r="E70" s="16" t="s">
        <v>812</v>
      </c>
      <c r="F70" s="73">
        <v>1</v>
      </c>
      <c r="G70" s="26">
        <f>RESUMEN!$D$8</f>
        <v>3</v>
      </c>
      <c r="H70" s="74">
        <f t="shared" si="1"/>
        <v>3</v>
      </c>
      <c r="I70" s="16"/>
    </row>
    <row r="71" spans="2:9" ht="15" customHeight="1" x14ac:dyDescent="0.3">
      <c r="B71" s="17" t="s">
        <v>207</v>
      </c>
      <c r="C71" s="16" t="s">
        <v>753</v>
      </c>
      <c r="D71" s="17" t="s">
        <v>101</v>
      </c>
      <c r="E71" s="16" t="s">
        <v>813</v>
      </c>
      <c r="F71" s="73">
        <v>0.24</v>
      </c>
      <c r="G71" s="26">
        <f>RESUMEN!$D$8</f>
        <v>3</v>
      </c>
      <c r="H71" s="74">
        <f t="shared" si="1"/>
        <v>0.72</v>
      </c>
      <c r="I71" s="18" t="s">
        <v>814</v>
      </c>
    </row>
    <row r="72" spans="2:9" ht="15" customHeight="1" x14ac:dyDescent="0.3">
      <c r="B72" s="17" t="s">
        <v>208</v>
      </c>
      <c r="C72" s="16" t="s">
        <v>756</v>
      </c>
      <c r="D72" s="17" t="s">
        <v>101</v>
      </c>
      <c r="E72" s="16" t="s">
        <v>815</v>
      </c>
      <c r="F72" s="73">
        <v>4.6399999999999997</v>
      </c>
      <c r="G72" s="26">
        <f>RESUMEN!$D$8</f>
        <v>3</v>
      </c>
      <c r="H72" s="74">
        <f t="shared" si="1"/>
        <v>13.92</v>
      </c>
      <c r="I72" s="18" t="s">
        <v>758</v>
      </c>
    </row>
    <row r="73" spans="2:9" x14ac:dyDescent="0.3">
      <c r="B73" s="57">
        <v>3</v>
      </c>
      <c r="C73" s="126" t="str">
        <f>"MURO DE CONTENCIÓN EN CONCRETO REFORZADO (h = 2,00 m; L = 10,00 m) - "&amp;RESUMEN!$D$9&amp;" UNIDAD(ES)"</f>
        <v>MURO DE CONTENCIÓN EN CONCRETO REFORZADO (h = 2,00 m; L = 10,00 m) - 3 UNIDAD(ES)</v>
      </c>
      <c r="D73" s="126"/>
      <c r="E73" s="126"/>
      <c r="F73" s="126"/>
      <c r="G73" s="126"/>
      <c r="H73" s="126"/>
      <c r="I73" s="126"/>
    </row>
    <row r="74" spans="2:9" ht="15" customHeight="1" x14ac:dyDescent="0.3">
      <c r="B74" s="17" t="s">
        <v>209</v>
      </c>
      <c r="C74" s="16" t="s">
        <v>699</v>
      </c>
      <c r="D74" s="17" t="s">
        <v>101</v>
      </c>
      <c r="E74" s="16" t="s">
        <v>816</v>
      </c>
      <c r="F74" s="73">
        <v>10</v>
      </c>
      <c r="G74" s="26">
        <f>RESUMEN!$D$9</f>
        <v>3</v>
      </c>
      <c r="H74" s="74">
        <f t="shared" ref="H74:H82" si="2">ROUND(F74*G74,2)</f>
        <v>30</v>
      </c>
      <c r="I74" s="16"/>
    </row>
    <row r="75" spans="2:9" ht="15" customHeight="1" x14ac:dyDescent="0.3">
      <c r="B75" s="17" t="s">
        <v>210</v>
      </c>
      <c r="C75" s="16" t="s">
        <v>702</v>
      </c>
      <c r="D75" s="17" t="s">
        <v>104</v>
      </c>
      <c r="E75" s="16" t="s">
        <v>817</v>
      </c>
      <c r="F75" s="73">
        <v>12</v>
      </c>
      <c r="G75" s="26">
        <f>RESUMEN!$D$9</f>
        <v>3</v>
      </c>
      <c r="H75" s="74">
        <f t="shared" si="2"/>
        <v>36</v>
      </c>
      <c r="I75" s="16"/>
    </row>
    <row r="76" spans="2:9" ht="15" customHeight="1" x14ac:dyDescent="0.3">
      <c r="B76" s="17" t="s">
        <v>211</v>
      </c>
      <c r="C76" s="16" t="s">
        <v>818</v>
      </c>
      <c r="D76" s="17" t="s">
        <v>104</v>
      </c>
      <c r="E76" s="16" t="s">
        <v>819</v>
      </c>
      <c r="F76" s="73">
        <v>0.5</v>
      </c>
      <c r="G76" s="26">
        <f>RESUMEN!$D$9</f>
        <v>3</v>
      </c>
      <c r="H76" s="74">
        <f t="shared" si="2"/>
        <v>1.5</v>
      </c>
      <c r="I76" s="18" t="s">
        <v>820</v>
      </c>
    </row>
    <row r="77" spans="2:9" ht="22.05" customHeight="1" x14ac:dyDescent="0.3">
      <c r="B77" s="17" t="s">
        <v>213</v>
      </c>
      <c r="C77" s="16" t="s">
        <v>821</v>
      </c>
      <c r="D77" s="17" t="s">
        <v>104</v>
      </c>
      <c r="E77" s="16" t="s">
        <v>822</v>
      </c>
      <c r="F77" s="73">
        <v>2.5</v>
      </c>
      <c r="G77" s="26">
        <f>RESUMEN!$D$9</f>
        <v>3</v>
      </c>
      <c r="H77" s="74">
        <f t="shared" si="2"/>
        <v>7.5</v>
      </c>
      <c r="I77" s="18" t="s">
        <v>823</v>
      </c>
    </row>
    <row r="78" spans="2:9" ht="22.05" customHeight="1" x14ac:dyDescent="0.3">
      <c r="B78" s="17" t="s">
        <v>215</v>
      </c>
      <c r="C78" s="16" t="s">
        <v>824</v>
      </c>
      <c r="D78" s="17" t="s">
        <v>104</v>
      </c>
      <c r="E78" s="16" t="s">
        <v>825</v>
      </c>
      <c r="F78" s="73">
        <v>4</v>
      </c>
      <c r="G78" s="26">
        <f>RESUMEN!$D$9</f>
        <v>3</v>
      </c>
      <c r="H78" s="74">
        <f t="shared" si="2"/>
        <v>12</v>
      </c>
      <c r="I78" s="16"/>
    </row>
    <row r="79" spans="2:9" ht="15" customHeight="1" x14ac:dyDescent="0.3">
      <c r="B79" s="17" t="s">
        <v>217</v>
      </c>
      <c r="C79" s="16" t="s">
        <v>710</v>
      </c>
      <c r="D79" s="17" t="s">
        <v>112</v>
      </c>
      <c r="E79" s="16" t="s">
        <v>826</v>
      </c>
      <c r="F79" s="73">
        <v>752.98</v>
      </c>
      <c r="G79" s="26">
        <f>RESUMEN!$D$9</f>
        <v>3</v>
      </c>
      <c r="H79" s="74">
        <f t="shared" si="2"/>
        <v>2258.94</v>
      </c>
      <c r="I79" s="16"/>
    </row>
    <row r="80" spans="2:9" ht="15" customHeight="1" x14ac:dyDescent="0.3">
      <c r="B80" s="17" t="s">
        <v>218</v>
      </c>
      <c r="C80" s="16" t="s">
        <v>827</v>
      </c>
      <c r="D80" s="17" t="s">
        <v>137</v>
      </c>
      <c r="E80" s="16" t="s">
        <v>828</v>
      </c>
      <c r="F80" s="73">
        <v>7</v>
      </c>
      <c r="G80" s="26">
        <f>RESUMEN!$D$9</f>
        <v>3</v>
      </c>
      <c r="H80" s="74">
        <f t="shared" si="2"/>
        <v>21</v>
      </c>
      <c r="I80" s="18" t="s">
        <v>829</v>
      </c>
    </row>
    <row r="81" spans="2:9" ht="15" customHeight="1" x14ac:dyDescent="0.3">
      <c r="B81" s="17" t="s">
        <v>220</v>
      </c>
      <c r="C81" s="16" t="s">
        <v>830</v>
      </c>
      <c r="D81" s="17" t="s">
        <v>104</v>
      </c>
      <c r="E81" s="16" t="s">
        <v>831</v>
      </c>
      <c r="F81" s="73">
        <v>3.6</v>
      </c>
      <c r="G81" s="26">
        <f>RESUMEN!$D$9</f>
        <v>3</v>
      </c>
      <c r="H81" s="74">
        <f t="shared" si="2"/>
        <v>10.8</v>
      </c>
      <c r="I81" s="18" t="s">
        <v>832</v>
      </c>
    </row>
    <row r="82" spans="2:9" ht="22.05" customHeight="1" x14ac:dyDescent="0.3">
      <c r="B82" s="17" t="s">
        <v>222</v>
      </c>
      <c r="C82" s="16" t="s">
        <v>833</v>
      </c>
      <c r="D82" s="17" t="s">
        <v>104</v>
      </c>
      <c r="E82" s="16" t="s">
        <v>834</v>
      </c>
      <c r="F82" s="73">
        <v>6.4</v>
      </c>
      <c r="G82" s="26">
        <f>RESUMEN!$D$9</f>
        <v>3</v>
      </c>
      <c r="H82" s="74">
        <f t="shared" si="2"/>
        <v>19.2</v>
      </c>
      <c r="I82" s="18" t="s">
        <v>835</v>
      </c>
    </row>
    <row r="83" spans="2:9" x14ac:dyDescent="0.3">
      <c r="B83" s="57">
        <v>4</v>
      </c>
      <c r="C83" s="126" t="str">
        <f>"APARTAESTUDIO DE 5,00 x 4,00 m SOBRE ESTRUCTURA APORTICADA - "&amp;RESUMEN!$D$10&amp;" UNIDAD(ES)"</f>
        <v>APARTAESTUDIO DE 5,00 x 4,00 m SOBRE ESTRUCTURA APORTICADA - 1 UNIDAD(ES)</v>
      </c>
      <c r="D83" s="126"/>
      <c r="E83" s="126"/>
      <c r="F83" s="126"/>
      <c r="G83" s="126"/>
      <c r="H83" s="126"/>
      <c r="I83" s="126"/>
    </row>
    <row r="84" spans="2:9" ht="15" customHeight="1" x14ac:dyDescent="0.3">
      <c r="B84" s="17" t="s">
        <v>224</v>
      </c>
      <c r="C84" s="16" t="s">
        <v>836</v>
      </c>
      <c r="D84" s="17" t="s">
        <v>104</v>
      </c>
      <c r="E84" s="16" t="s">
        <v>837</v>
      </c>
      <c r="F84" s="73">
        <v>13</v>
      </c>
      <c r="G84" s="26">
        <f>RESUMEN!$D$10</f>
        <v>1</v>
      </c>
      <c r="H84" s="74">
        <f t="shared" ref="H84:H125" si="3">ROUND(F84*G84,2)</f>
        <v>13</v>
      </c>
      <c r="I84" s="16"/>
    </row>
    <row r="85" spans="2:9" ht="15" customHeight="1" x14ac:dyDescent="0.3">
      <c r="B85" s="17" t="s">
        <v>226</v>
      </c>
      <c r="C85" s="16" t="s">
        <v>699</v>
      </c>
      <c r="D85" s="17" t="s">
        <v>101</v>
      </c>
      <c r="E85" s="16" t="s">
        <v>838</v>
      </c>
      <c r="F85" s="73">
        <v>20</v>
      </c>
      <c r="G85" s="26">
        <f>RESUMEN!$D$10</f>
        <v>1</v>
      </c>
      <c r="H85" s="74">
        <f t="shared" si="3"/>
        <v>20</v>
      </c>
      <c r="I85" s="16"/>
    </row>
    <row r="86" spans="2:9" ht="15" customHeight="1" x14ac:dyDescent="0.3">
      <c r="B86" s="17" t="s">
        <v>227</v>
      </c>
      <c r="C86" s="16" t="s">
        <v>702</v>
      </c>
      <c r="D86" s="17" t="s">
        <v>104</v>
      </c>
      <c r="E86" s="16" t="s">
        <v>736</v>
      </c>
      <c r="F86" s="73">
        <v>6</v>
      </c>
      <c r="G86" s="26">
        <f>RESUMEN!$D$10</f>
        <v>1</v>
      </c>
      <c r="H86" s="74">
        <f t="shared" si="3"/>
        <v>6</v>
      </c>
      <c r="I86" s="16"/>
    </row>
    <row r="87" spans="2:9" ht="22.05" customHeight="1" x14ac:dyDescent="0.3">
      <c r="B87" s="17" t="s">
        <v>228</v>
      </c>
      <c r="C87" s="16" t="s">
        <v>839</v>
      </c>
      <c r="D87" s="17" t="s">
        <v>107</v>
      </c>
      <c r="E87" s="16" t="s">
        <v>840</v>
      </c>
      <c r="F87" s="73">
        <v>20.5</v>
      </c>
      <c r="G87" s="26">
        <f>RESUMEN!$D$10</f>
        <v>1</v>
      </c>
      <c r="H87" s="74">
        <f t="shared" si="3"/>
        <v>20.5</v>
      </c>
      <c r="I87" s="18" t="s">
        <v>841</v>
      </c>
    </row>
    <row r="88" spans="2:9" ht="22.05" customHeight="1" x14ac:dyDescent="0.3">
      <c r="B88" s="17" t="s">
        <v>230</v>
      </c>
      <c r="C88" s="16" t="s">
        <v>842</v>
      </c>
      <c r="D88" s="17" t="s">
        <v>107</v>
      </c>
      <c r="E88" s="16" t="s">
        <v>843</v>
      </c>
      <c r="F88" s="73">
        <v>18</v>
      </c>
      <c r="G88" s="26">
        <f>RESUMEN!$D$10</f>
        <v>1</v>
      </c>
      <c r="H88" s="74">
        <f t="shared" si="3"/>
        <v>18</v>
      </c>
      <c r="I88" s="18" t="s">
        <v>844</v>
      </c>
    </row>
    <row r="89" spans="2:9" ht="22.05" customHeight="1" x14ac:dyDescent="0.3">
      <c r="B89" s="17" t="s">
        <v>232</v>
      </c>
      <c r="C89" s="16" t="s">
        <v>845</v>
      </c>
      <c r="D89" s="17" t="s">
        <v>107</v>
      </c>
      <c r="E89" s="16" t="s">
        <v>840</v>
      </c>
      <c r="F89" s="73">
        <v>20.5</v>
      </c>
      <c r="G89" s="26">
        <f>RESUMEN!$D$10</f>
        <v>1</v>
      </c>
      <c r="H89" s="74">
        <f t="shared" si="3"/>
        <v>20.5</v>
      </c>
      <c r="I89" s="18" t="s">
        <v>841</v>
      </c>
    </row>
    <row r="90" spans="2:9" ht="22.05" customHeight="1" x14ac:dyDescent="0.3">
      <c r="B90" s="17" t="s">
        <v>234</v>
      </c>
      <c r="C90" s="16" t="s">
        <v>846</v>
      </c>
      <c r="D90" s="17" t="s">
        <v>101</v>
      </c>
      <c r="E90" s="16" t="s">
        <v>847</v>
      </c>
      <c r="F90" s="73">
        <v>13.94</v>
      </c>
      <c r="G90" s="26">
        <f>RESUMEN!$D$10</f>
        <v>1</v>
      </c>
      <c r="H90" s="74">
        <f t="shared" si="3"/>
        <v>13.94</v>
      </c>
      <c r="I90" s="18" t="s">
        <v>848</v>
      </c>
    </row>
    <row r="91" spans="2:9" ht="15" customHeight="1" x14ac:dyDescent="0.3">
      <c r="B91" s="17" t="s">
        <v>236</v>
      </c>
      <c r="C91" s="16" t="s">
        <v>710</v>
      </c>
      <c r="D91" s="17" t="s">
        <v>112</v>
      </c>
      <c r="E91" s="16" t="s">
        <v>711</v>
      </c>
      <c r="F91" s="73">
        <v>543</v>
      </c>
      <c r="G91" s="26">
        <f>RESUMEN!$D$10</f>
        <v>1</v>
      </c>
      <c r="H91" s="74">
        <f t="shared" si="3"/>
        <v>543</v>
      </c>
      <c r="I91" s="16"/>
    </row>
    <row r="92" spans="2:9" ht="22.05" customHeight="1" x14ac:dyDescent="0.3">
      <c r="B92" s="17" t="s">
        <v>237</v>
      </c>
      <c r="C92" s="16" t="s">
        <v>712</v>
      </c>
      <c r="D92" s="17" t="s">
        <v>107</v>
      </c>
      <c r="E92" s="16" t="s">
        <v>849</v>
      </c>
      <c r="F92" s="73">
        <v>13.8</v>
      </c>
      <c r="G92" s="26">
        <f>RESUMEN!$D$10</f>
        <v>1</v>
      </c>
      <c r="H92" s="74">
        <f t="shared" si="3"/>
        <v>13.8</v>
      </c>
      <c r="I92" s="18" t="s">
        <v>850</v>
      </c>
    </row>
    <row r="93" spans="2:9" ht="22.05" customHeight="1" x14ac:dyDescent="0.3">
      <c r="B93" s="17" t="s">
        <v>238</v>
      </c>
      <c r="C93" s="16" t="s">
        <v>715</v>
      </c>
      <c r="D93" s="17" t="s">
        <v>101</v>
      </c>
      <c r="E93" s="16" t="s">
        <v>851</v>
      </c>
      <c r="F93" s="73">
        <v>39.03</v>
      </c>
      <c r="G93" s="26">
        <f>RESUMEN!$D$10</f>
        <v>1</v>
      </c>
      <c r="H93" s="74">
        <f t="shared" si="3"/>
        <v>39.03</v>
      </c>
      <c r="I93" s="18" t="s">
        <v>852</v>
      </c>
    </row>
    <row r="94" spans="2:9" ht="15" customHeight="1" x14ac:dyDescent="0.3">
      <c r="B94" s="17" t="s">
        <v>239</v>
      </c>
      <c r="C94" s="16" t="s">
        <v>718</v>
      </c>
      <c r="D94" s="17" t="s">
        <v>107</v>
      </c>
      <c r="E94" s="16" t="s">
        <v>853</v>
      </c>
      <c r="F94" s="73">
        <v>21.4</v>
      </c>
      <c r="G94" s="26">
        <f>RESUMEN!$D$10</f>
        <v>1</v>
      </c>
      <c r="H94" s="74">
        <f t="shared" si="3"/>
        <v>21.4</v>
      </c>
      <c r="I94" s="18" t="s">
        <v>841</v>
      </c>
    </row>
    <row r="95" spans="2:9" ht="22.05" customHeight="1" x14ac:dyDescent="0.3">
      <c r="B95" s="17" t="s">
        <v>240</v>
      </c>
      <c r="C95" s="16" t="s">
        <v>719</v>
      </c>
      <c r="D95" s="17" t="s">
        <v>107</v>
      </c>
      <c r="E95" s="16" t="s">
        <v>854</v>
      </c>
      <c r="F95" s="73">
        <v>12.68</v>
      </c>
      <c r="G95" s="26">
        <f>RESUMEN!$D$10</f>
        <v>1</v>
      </c>
      <c r="H95" s="74">
        <f t="shared" si="3"/>
        <v>12.68</v>
      </c>
      <c r="I95" s="18" t="s">
        <v>855</v>
      </c>
    </row>
    <row r="96" spans="2:9" ht="22.05" customHeight="1" x14ac:dyDescent="0.3">
      <c r="B96" s="17" t="s">
        <v>241</v>
      </c>
      <c r="C96" s="16" t="s">
        <v>856</v>
      </c>
      <c r="D96" s="17" t="s">
        <v>107</v>
      </c>
      <c r="E96" s="16" t="s">
        <v>857</v>
      </c>
      <c r="F96" s="73">
        <v>4.5999999999999996</v>
      </c>
      <c r="G96" s="26">
        <f>RESUMEN!$D$10</f>
        <v>1</v>
      </c>
      <c r="H96" s="74">
        <f t="shared" si="3"/>
        <v>4.5999999999999996</v>
      </c>
      <c r="I96" s="16"/>
    </row>
    <row r="97" spans="2:9" ht="22.05" customHeight="1" x14ac:dyDescent="0.3">
      <c r="B97" s="17" t="s">
        <v>243</v>
      </c>
      <c r="C97" s="16" t="s">
        <v>724</v>
      </c>
      <c r="D97" s="17" t="s">
        <v>107</v>
      </c>
      <c r="E97" s="16" t="s">
        <v>858</v>
      </c>
      <c r="F97" s="73">
        <v>33.6</v>
      </c>
      <c r="G97" s="26">
        <f>RESUMEN!$D$10</f>
        <v>1</v>
      </c>
      <c r="H97" s="74">
        <f t="shared" si="3"/>
        <v>33.6</v>
      </c>
      <c r="I97" s="18" t="s">
        <v>859</v>
      </c>
    </row>
    <row r="98" spans="2:9" ht="15" customHeight="1" x14ac:dyDescent="0.3">
      <c r="B98" s="17" t="s">
        <v>244</v>
      </c>
      <c r="C98" s="16" t="s">
        <v>727</v>
      </c>
      <c r="D98" s="17" t="s">
        <v>101</v>
      </c>
      <c r="E98" s="16" t="s">
        <v>860</v>
      </c>
      <c r="F98" s="73">
        <v>25.9</v>
      </c>
      <c r="G98" s="26">
        <f>RESUMEN!$D$10</f>
        <v>1</v>
      </c>
      <c r="H98" s="74">
        <f t="shared" si="3"/>
        <v>25.9</v>
      </c>
      <c r="I98" s="18" t="s">
        <v>861</v>
      </c>
    </row>
    <row r="99" spans="2:9" ht="15" customHeight="1" x14ac:dyDescent="0.3">
      <c r="B99" s="17" t="s">
        <v>245</v>
      </c>
      <c r="C99" s="16" t="s">
        <v>730</v>
      </c>
      <c r="D99" s="17" t="s">
        <v>107</v>
      </c>
      <c r="E99" s="16" t="s">
        <v>862</v>
      </c>
      <c r="F99" s="73">
        <v>5.6</v>
      </c>
      <c r="G99" s="26">
        <f>RESUMEN!$D$10</f>
        <v>1</v>
      </c>
      <c r="H99" s="74">
        <f t="shared" si="3"/>
        <v>5.6</v>
      </c>
      <c r="I99" s="16"/>
    </row>
    <row r="100" spans="2:9" ht="15" customHeight="1" x14ac:dyDescent="0.3">
      <c r="B100" s="17" t="s">
        <v>246</v>
      </c>
      <c r="C100" s="16" t="s">
        <v>733</v>
      </c>
      <c r="D100" s="17" t="s">
        <v>107</v>
      </c>
      <c r="E100" s="16" t="s">
        <v>863</v>
      </c>
      <c r="F100" s="73">
        <v>5.6</v>
      </c>
      <c r="G100" s="26">
        <f>RESUMEN!$D$10</f>
        <v>1</v>
      </c>
      <c r="H100" s="74">
        <f t="shared" si="3"/>
        <v>5.6</v>
      </c>
      <c r="I100" s="18" t="s">
        <v>864</v>
      </c>
    </row>
    <row r="101" spans="2:9" ht="15" customHeight="1" x14ac:dyDescent="0.3">
      <c r="B101" s="17" t="s">
        <v>247</v>
      </c>
      <c r="C101" s="16" t="s">
        <v>776</v>
      </c>
      <c r="D101" s="17" t="s">
        <v>107</v>
      </c>
      <c r="E101" s="16" t="s">
        <v>736</v>
      </c>
      <c r="F101" s="73">
        <v>18</v>
      </c>
      <c r="G101" s="26">
        <f>RESUMEN!$D$10</f>
        <v>1</v>
      </c>
      <c r="H101" s="74">
        <f t="shared" si="3"/>
        <v>18</v>
      </c>
      <c r="I101" s="16"/>
    </row>
    <row r="102" spans="2:9" ht="15" customHeight="1" x14ac:dyDescent="0.3">
      <c r="B102" s="17" t="s">
        <v>248</v>
      </c>
      <c r="C102" s="16" t="s">
        <v>778</v>
      </c>
      <c r="D102" s="17" t="s">
        <v>137</v>
      </c>
      <c r="E102" s="16" t="s">
        <v>865</v>
      </c>
      <c r="F102" s="73">
        <v>5</v>
      </c>
      <c r="G102" s="26">
        <f>RESUMEN!$D$10</f>
        <v>1</v>
      </c>
      <c r="H102" s="74">
        <f t="shared" si="3"/>
        <v>5</v>
      </c>
      <c r="I102" s="16"/>
    </row>
    <row r="103" spans="2:9" ht="15" customHeight="1" x14ac:dyDescent="0.3">
      <c r="B103" s="17" t="s">
        <v>249</v>
      </c>
      <c r="C103" s="16" t="s">
        <v>780</v>
      </c>
      <c r="D103" s="17" t="s">
        <v>137</v>
      </c>
      <c r="E103" s="16" t="s">
        <v>866</v>
      </c>
      <c r="F103" s="73">
        <v>1</v>
      </c>
      <c r="G103" s="26">
        <f>RESUMEN!$D$10</f>
        <v>1</v>
      </c>
      <c r="H103" s="74">
        <f t="shared" si="3"/>
        <v>1</v>
      </c>
      <c r="I103" s="16"/>
    </row>
    <row r="104" spans="2:9" ht="15" customHeight="1" x14ac:dyDescent="0.3">
      <c r="B104" s="17" t="s">
        <v>250</v>
      </c>
      <c r="C104" s="16" t="s">
        <v>867</v>
      </c>
      <c r="D104" s="17" t="s">
        <v>137</v>
      </c>
      <c r="E104" s="16" t="s">
        <v>868</v>
      </c>
      <c r="F104" s="73">
        <v>1</v>
      </c>
      <c r="G104" s="26">
        <f>RESUMEN!$D$10</f>
        <v>1</v>
      </c>
      <c r="H104" s="74">
        <f t="shared" si="3"/>
        <v>1</v>
      </c>
      <c r="I104" s="16"/>
    </row>
    <row r="105" spans="2:9" ht="15" customHeight="1" x14ac:dyDescent="0.3">
      <c r="B105" s="17" t="s">
        <v>252</v>
      </c>
      <c r="C105" s="16" t="s">
        <v>782</v>
      </c>
      <c r="D105" s="17" t="s">
        <v>137</v>
      </c>
      <c r="E105" s="16" t="s">
        <v>736</v>
      </c>
      <c r="F105" s="73">
        <v>4</v>
      </c>
      <c r="G105" s="26">
        <f>RESUMEN!$D$10</f>
        <v>1</v>
      </c>
      <c r="H105" s="74">
        <f t="shared" si="3"/>
        <v>4</v>
      </c>
      <c r="I105" s="16"/>
    </row>
    <row r="106" spans="2:9" ht="15" customHeight="1" x14ac:dyDescent="0.3">
      <c r="B106" s="17" t="s">
        <v>253</v>
      </c>
      <c r="C106" s="16" t="s">
        <v>784</v>
      </c>
      <c r="D106" s="17" t="s">
        <v>137</v>
      </c>
      <c r="E106" s="16" t="s">
        <v>785</v>
      </c>
      <c r="F106" s="73">
        <v>1</v>
      </c>
      <c r="G106" s="26">
        <f>RESUMEN!$D$10</f>
        <v>1</v>
      </c>
      <c r="H106" s="74">
        <f t="shared" si="3"/>
        <v>1</v>
      </c>
      <c r="I106" s="16"/>
    </row>
    <row r="107" spans="2:9" ht="15" customHeight="1" x14ac:dyDescent="0.3">
      <c r="B107" s="17" t="s">
        <v>254</v>
      </c>
      <c r="C107" s="16" t="s">
        <v>786</v>
      </c>
      <c r="D107" s="17" t="s">
        <v>107</v>
      </c>
      <c r="E107" s="16" t="s">
        <v>787</v>
      </c>
      <c r="F107" s="73">
        <v>24</v>
      </c>
      <c r="G107" s="26">
        <f>RESUMEN!$D$10</f>
        <v>1</v>
      </c>
      <c r="H107" s="74">
        <f t="shared" si="3"/>
        <v>24</v>
      </c>
      <c r="I107" s="16"/>
    </row>
    <row r="108" spans="2:9" ht="15" customHeight="1" x14ac:dyDescent="0.3">
      <c r="B108" s="17" t="s">
        <v>255</v>
      </c>
      <c r="C108" s="16" t="s">
        <v>788</v>
      </c>
      <c r="D108" s="17" t="s">
        <v>107</v>
      </c>
      <c r="E108" s="16" t="s">
        <v>789</v>
      </c>
      <c r="F108" s="73">
        <v>24</v>
      </c>
      <c r="G108" s="26">
        <f>RESUMEN!$D$10</f>
        <v>1</v>
      </c>
      <c r="H108" s="74">
        <f t="shared" si="3"/>
        <v>24</v>
      </c>
      <c r="I108" s="18" t="s">
        <v>790</v>
      </c>
    </row>
    <row r="109" spans="2:9" ht="22.05" customHeight="1" x14ac:dyDescent="0.3">
      <c r="B109" s="17" t="s">
        <v>256</v>
      </c>
      <c r="C109" s="16" t="s">
        <v>791</v>
      </c>
      <c r="D109" s="17" t="s">
        <v>137</v>
      </c>
      <c r="E109" s="16" t="s">
        <v>869</v>
      </c>
      <c r="F109" s="73">
        <v>1</v>
      </c>
      <c r="G109" s="26">
        <f>RESUMEN!$D$10</f>
        <v>1</v>
      </c>
      <c r="H109" s="74">
        <f t="shared" si="3"/>
        <v>1</v>
      </c>
      <c r="I109" s="16"/>
    </row>
    <row r="110" spans="2:9" ht="15" customHeight="1" x14ac:dyDescent="0.3">
      <c r="B110" s="17" t="s">
        <v>257</v>
      </c>
      <c r="C110" s="16" t="s">
        <v>735</v>
      </c>
      <c r="D110" s="17" t="s">
        <v>107</v>
      </c>
      <c r="E110" s="16" t="s">
        <v>736</v>
      </c>
      <c r="F110" s="73">
        <v>24</v>
      </c>
      <c r="G110" s="26">
        <f>RESUMEN!$D$10</f>
        <v>1</v>
      </c>
      <c r="H110" s="74">
        <f t="shared" si="3"/>
        <v>24</v>
      </c>
      <c r="I110" s="16"/>
    </row>
    <row r="111" spans="2:9" ht="15" customHeight="1" x14ac:dyDescent="0.3">
      <c r="B111" s="17" t="s">
        <v>258</v>
      </c>
      <c r="C111" s="16" t="s">
        <v>737</v>
      </c>
      <c r="D111" s="17" t="s">
        <v>107</v>
      </c>
      <c r="E111" s="16" t="s">
        <v>870</v>
      </c>
      <c r="F111" s="73">
        <v>72</v>
      </c>
      <c r="G111" s="26">
        <f>RESUMEN!$D$10</f>
        <v>1</v>
      </c>
      <c r="H111" s="74">
        <f t="shared" si="3"/>
        <v>72</v>
      </c>
      <c r="I111" s="16"/>
    </row>
    <row r="112" spans="2:9" ht="22.05" customHeight="1" x14ac:dyDescent="0.3">
      <c r="B112" s="17" t="s">
        <v>259</v>
      </c>
      <c r="C112" s="16" t="s">
        <v>739</v>
      </c>
      <c r="D112" s="17" t="s">
        <v>137</v>
      </c>
      <c r="E112" s="16" t="s">
        <v>871</v>
      </c>
      <c r="F112" s="73">
        <v>4</v>
      </c>
      <c r="G112" s="26">
        <f>RESUMEN!$D$10</f>
        <v>1</v>
      </c>
      <c r="H112" s="74">
        <f t="shared" si="3"/>
        <v>4</v>
      </c>
      <c r="I112" s="18" t="s">
        <v>872</v>
      </c>
    </row>
    <row r="113" spans="2:9" ht="15" customHeight="1" x14ac:dyDescent="0.3">
      <c r="B113" s="17" t="s">
        <v>260</v>
      </c>
      <c r="C113" s="16" t="s">
        <v>793</v>
      </c>
      <c r="D113" s="17" t="s">
        <v>137</v>
      </c>
      <c r="E113" s="16" t="s">
        <v>873</v>
      </c>
      <c r="F113" s="73">
        <v>2</v>
      </c>
      <c r="G113" s="26">
        <f>RESUMEN!$D$10</f>
        <v>1</v>
      </c>
      <c r="H113" s="74">
        <f t="shared" si="3"/>
        <v>2</v>
      </c>
      <c r="I113" s="18" t="s">
        <v>874</v>
      </c>
    </row>
    <row r="114" spans="2:9" ht="15" customHeight="1" x14ac:dyDescent="0.3">
      <c r="B114" s="17" t="s">
        <v>261</v>
      </c>
      <c r="C114" s="16" t="s">
        <v>795</v>
      </c>
      <c r="D114" s="17" t="s">
        <v>137</v>
      </c>
      <c r="E114" s="16" t="s">
        <v>875</v>
      </c>
      <c r="F114" s="73">
        <v>5</v>
      </c>
      <c r="G114" s="26">
        <f>RESUMEN!$D$10</f>
        <v>1</v>
      </c>
      <c r="H114" s="74">
        <f t="shared" si="3"/>
        <v>5</v>
      </c>
      <c r="I114" s="16"/>
    </row>
    <row r="115" spans="2:9" ht="15" customHeight="1" x14ac:dyDescent="0.3">
      <c r="B115" s="17" t="s">
        <v>262</v>
      </c>
      <c r="C115" s="16" t="s">
        <v>741</v>
      </c>
      <c r="D115" s="17" t="s">
        <v>137</v>
      </c>
      <c r="E115" s="16" t="s">
        <v>876</v>
      </c>
      <c r="F115" s="73">
        <v>5</v>
      </c>
      <c r="G115" s="26">
        <f>RESUMEN!$D$10</f>
        <v>1</v>
      </c>
      <c r="H115" s="74">
        <f t="shared" si="3"/>
        <v>5</v>
      </c>
      <c r="I115" s="16"/>
    </row>
    <row r="116" spans="2:9" ht="15" customHeight="1" x14ac:dyDescent="0.3">
      <c r="B116" s="17" t="s">
        <v>263</v>
      </c>
      <c r="C116" s="16" t="s">
        <v>798</v>
      </c>
      <c r="D116" s="17" t="s">
        <v>101</v>
      </c>
      <c r="E116" s="16" t="s">
        <v>877</v>
      </c>
      <c r="F116" s="73">
        <v>3.16</v>
      </c>
      <c r="G116" s="26">
        <f>RESUMEN!$D$10</f>
        <v>1</v>
      </c>
      <c r="H116" s="74">
        <f t="shared" si="3"/>
        <v>3.16</v>
      </c>
      <c r="I116" s="18" t="s">
        <v>878</v>
      </c>
    </row>
    <row r="117" spans="2:9" ht="15" customHeight="1" x14ac:dyDescent="0.3">
      <c r="B117" s="17" t="s">
        <v>264</v>
      </c>
      <c r="C117" s="16" t="s">
        <v>800</v>
      </c>
      <c r="D117" s="17" t="s">
        <v>101</v>
      </c>
      <c r="E117" s="16" t="s">
        <v>879</v>
      </c>
      <c r="F117" s="73">
        <v>7.4</v>
      </c>
      <c r="G117" s="26">
        <f>RESUMEN!$D$10</f>
        <v>1</v>
      </c>
      <c r="H117" s="74">
        <f t="shared" si="3"/>
        <v>7.4</v>
      </c>
      <c r="I117" s="18" t="s">
        <v>880</v>
      </c>
    </row>
    <row r="118" spans="2:9" ht="22.05" customHeight="1" x14ac:dyDescent="0.3">
      <c r="B118" s="17" t="s">
        <v>265</v>
      </c>
      <c r="C118" s="16" t="s">
        <v>806</v>
      </c>
      <c r="D118" s="17" t="s">
        <v>137</v>
      </c>
      <c r="E118" s="16" t="s">
        <v>881</v>
      </c>
      <c r="F118" s="73">
        <v>1</v>
      </c>
      <c r="G118" s="26">
        <f>RESUMEN!$D$10</f>
        <v>1</v>
      </c>
      <c r="H118" s="74">
        <f t="shared" si="3"/>
        <v>1</v>
      </c>
      <c r="I118" s="16"/>
    </row>
    <row r="119" spans="2:9" ht="15" customHeight="1" x14ac:dyDescent="0.3">
      <c r="B119" s="17" t="s">
        <v>266</v>
      </c>
      <c r="C119" s="16" t="s">
        <v>808</v>
      </c>
      <c r="D119" s="17" t="s">
        <v>137</v>
      </c>
      <c r="E119" s="16" t="s">
        <v>881</v>
      </c>
      <c r="F119" s="73">
        <v>1</v>
      </c>
      <c r="G119" s="26">
        <f>RESUMEN!$D$10</f>
        <v>1</v>
      </c>
      <c r="H119" s="74">
        <f t="shared" si="3"/>
        <v>1</v>
      </c>
      <c r="I119" s="16"/>
    </row>
    <row r="120" spans="2:9" ht="15" customHeight="1" x14ac:dyDescent="0.3">
      <c r="B120" s="17" t="s">
        <v>267</v>
      </c>
      <c r="C120" s="16" t="s">
        <v>810</v>
      </c>
      <c r="D120" s="17" t="s">
        <v>137</v>
      </c>
      <c r="E120" s="16" t="s">
        <v>811</v>
      </c>
      <c r="F120" s="73">
        <v>1</v>
      </c>
      <c r="G120" s="26">
        <f>RESUMEN!$D$10</f>
        <v>1</v>
      </c>
      <c r="H120" s="74">
        <f t="shared" si="3"/>
        <v>1</v>
      </c>
      <c r="I120" s="16"/>
    </row>
    <row r="121" spans="2:9" ht="22.05" customHeight="1" x14ac:dyDescent="0.3">
      <c r="B121" s="17" t="s">
        <v>268</v>
      </c>
      <c r="C121" s="16" t="s">
        <v>882</v>
      </c>
      <c r="D121" s="17" t="s">
        <v>137</v>
      </c>
      <c r="E121" s="16" t="s">
        <v>883</v>
      </c>
      <c r="F121" s="73">
        <v>1</v>
      </c>
      <c r="G121" s="26">
        <f>RESUMEN!$D$10</f>
        <v>1</v>
      </c>
      <c r="H121" s="74">
        <f t="shared" si="3"/>
        <v>1</v>
      </c>
      <c r="I121" s="16"/>
    </row>
    <row r="122" spans="2:9" ht="15" customHeight="1" x14ac:dyDescent="0.3">
      <c r="B122" s="17" t="s">
        <v>270</v>
      </c>
      <c r="C122" s="16" t="s">
        <v>884</v>
      </c>
      <c r="D122" s="17" t="s">
        <v>137</v>
      </c>
      <c r="E122" s="16" t="s">
        <v>752</v>
      </c>
      <c r="F122" s="73">
        <v>1</v>
      </c>
      <c r="G122" s="26">
        <f>RESUMEN!$D$10</f>
        <v>1</v>
      </c>
      <c r="H122" s="74">
        <f t="shared" si="3"/>
        <v>1</v>
      </c>
      <c r="I122" s="16"/>
    </row>
    <row r="123" spans="2:9" ht="15" customHeight="1" x14ac:dyDescent="0.3">
      <c r="B123" s="17" t="s">
        <v>272</v>
      </c>
      <c r="C123" s="16" t="s">
        <v>751</v>
      </c>
      <c r="D123" s="17" t="s">
        <v>137</v>
      </c>
      <c r="E123" s="16" t="s">
        <v>885</v>
      </c>
      <c r="F123" s="73">
        <v>1</v>
      </c>
      <c r="G123" s="26">
        <f>RESUMEN!$D$10</f>
        <v>1</v>
      </c>
      <c r="H123" s="74">
        <f t="shared" si="3"/>
        <v>1</v>
      </c>
      <c r="I123" s="18" t="s">
        <v>886</v>
      </c>
    </row>
    <row r="124" spans="2:9" ht="22.05" customHeight="1" x14ac:dyDescent="0.3">
      <c r="B124" s="17" t="s">
        <v>273</v>
      </c>
      <c r="C124" s="16" t="s">
        <v>753</v>
      </c>
      <c r="D124" s="17" t="s">
        <v>101</v>
      </c>
      <c r="E124" s="16" t="s">
        <v>887</v>
      </c>
      <c r="F124" s="73">
        <v>2.2400000000000002</v>
      </c>
      <c r="G124" s="26">
        <f>RESUMEN!$D$10</f>
        <v>1</v>
      </c>
      <c r="H124" s="74">
        <f t="shared" si="3"/>
        <v>2.2400000000000002</v>
      </c>
      <c r="I124" s="18" t="s">
        <v>888</v>
      </c>
    </row>
    <row r="125" spans="2:9" ht="22.05" customHeight="1" x14ac:dyDescent="0.3">
      <c r="B125" s="17" t="s">
        <v>274</v>
      </c>
      <c r="C125" s="16" t="s">
        <v>756</v>
      </c>
      <c r="D125" s="17" t="s">
        <v>101</v>
      </c>
      <c r="E125" s="16" t="s">
        <v>889</v>
      </c>
      <c r="F125" s="73">
        <v>14.26</v>
      </c>
      <c r="G125" s="26">
        <f>RESUMEN!$D$10</f>
        <v>1</v>
      </c>
      <c r="H125" s="74">
        <f t="shared" si="3"/>
        <v>14.26</v>
      </c>
      <c r="I125" s="18" t="s">
        <v>890</v>
      </c>
    </row>
    <row r="126" spans="2:9" x14ac:dyDescent="0.3">
      <c r="B126" s="57">
        <v>5</v>
      </c>
      <c r="C126" s="126" t="str">
        <f>"PARED EN FIBROCEMENTO SOBRE ESTRUCTURA EN MADERA Y ESCALERA EN MADERA - "&amp;RESUMEN!$D$11&amp;" UNIDAD(ES)"</f>
        <v>PARED EN FIBROCEMENTO SOBRE ESTRUCTURA EN MADERA Y ESCALERA EN MADERA - 1 UNIDAD(ES)</v>
      </c>
      <c r="D126" s="126"/>
      <c r="E126" s="126"/>
      <c r="F126" s="126"/>
      <c r="G126" s="126"/>
      <c r="H126" s="126"/>
      <c r="I126" s="126"/>
    </row>
    <row r="127" spans="2:9" ht="15" customHeight="1" x14ac:dyDescent="0.3">
      <c r="B127" s="17" t="s">
        <v>275</v>
      </c>
      <c r="C127" s="16" t="s">
        <v>891</v>
      </c>
      <c r="D127" s="17" t="s">
        <v>277</v>
      </c>
      <c r="E127" s="16" t="s">
        <v>892</v>
      </c>
      <c r="F127" s="73">
        <v>1</v>
      </c>
      <c r="G127" s="26">
        <f>RESUMEN!$D$11</f>
        <v>1</v>
      </c>
      <c r="H127" s="74">
        <f t="shared" ref="H127:H138" si="4">ROUND(F127*G127,2)</f>
        <v>1</v>
      </c>
      <c r="I127" s="16"/>
    </row>
    <row r="128" spans="2:9" ht="15" customHeight="1" x14ac:dyDescent="0.3">
      <c r="B128" s="17" t="s">
        <v>278</v>
      </c>
      <c r="C128" s="16" t="s">
        <v>836</v>
      </c>
      <c r="D128" s="17" t="s">
        <v>104</v>
      </c>
      <c r="E128" s="16" t="s">
        <v>893</v>
      </c>
      <c r="F128" s="73">
        <v>2</v>
      </c>
      <c r="G128" s="26">
        <f>RESUMEN!$D$11</f>
        <v>1</v>
      </c>
      <c r="H128" s="74">
        <f t="shared" si="4"/>
        <v>2</v>
      </c>
      <c r="I128" s="16"/>
    </row>
    <row r="129" spans="2:9" ht="15" customHeight="1" x14ac:dyDescent="0.3">
      <c r="B129" s="17" t="s">
        <v>279</v>
      </c>
      <c r="C129" s="16" t="s">
        <v>702</v>
      </c>
      <c r="D129" s="17" t="s">
        <v>104</v>
      </c>
      <c r="E129" s="16" t="s">
        <v>894</v>
      </c>
      <c r="F129" s="73">
        <v>1</v>
      </c>
      <c r="G129" s="26">
        <f>RESUMEN!$D$11</f>
        <v>1</v>
      </c>
      <c r="H129" s="74">
        <f t="shared" si="4"/>
        <v>1</v>
      </c>
      <c r="I129" s="16"/>
    </row>
    <row r="130" spans="2:9" ht="22.05" customHeight="1" x14ac:dyDescent="0.3">
      <c r="B130" s="17" t="s">
        <v>280</v>
      </c>
      <c r="C130" s="16" t="s">
        <v>895</v>
      </c>
      <c r="D130" s="17" t="s">
        <v>137</v>
      </c>
      <c r="E130" s="16" t="s">
        <v>896</v>
      </c>
      <c r="F130" s="73">
        <v>4</v>
      </c>
      <c r="G130" s="26">
        <f>RESUMEN!$D$11</f>
        <v>1</v>
      </c>
      <c r="H130" s="74">
        <f t="shared" si="4"/>
        <v>4</v>
      </c>
      <c r="I130" s="18" t="s">
        <v>897</v>
      </c>
    </row>
    <row r="131" spans="2:9" ht="22.05" customHeight="1" x14ac:dyDescent="0.3">
      <c r="B131" s="17" t="s">
        <v>282</v>
      </c>
      <c r="C131" s="16" t="s">
        <v>722</v>
      </c>
      <c r="D131" s="17" t="s">
        <v>107</v>
      </c>
      <c r="E131" s="16" t="s">
        <v>898</v>
      </c>
      <c r="F131" s="73">
        <v>24</v>
      </c>
      <c r="G131" s="26">
        <f>RESUMEN!$D$11</f>
        <v>1</v>
      </c>
      <c r="H131" s="74">
        <f t="shared" si="4"/>
        <v>24</v>
      </c>
      <c r="I131" s="16"/>
    </row>
    <row r="132" spans="2:9" ht="22.05" customHeight="1" x14ac:dyDescent="0.3">
      <c r="B132" s="17" t="s">
        <v>283</v>
      </c>
      <c r="C132" s="16" t="s">
        <v>724</v>
      </c>
      <c r="D132" s="17" t="s">
        <v>107</v>
      </c>
      <c r="E132" s="16" t="s">
        <v>899</v>
      </c>
      <c r="F132" s="73">
        <v>20</v>
      </c>
      <c r="G132" s="26">
        <f>RESUMEN!$D$11</f>
        <v>1</v>
      </c>
      <c r="H132" s="74">
        <f t="shared" si="4"/>
        <v>20</v>
      </c>
      <c r="I132" s="16"/>
    </row>
    <row r="133" spans="2:9" ht="22.05" customHeight="1" x14ac:dyDescent="0.3">
      <c r="B133" s="17" t="s">
        <v>284</v>
      </c>
      <c r="C133" s="16" t="s">
        <v>900</v>
      </c>
      <c r="D133" s="17" t="s">
        <v>101</v>
      </c>
      <c r="E133" s="16" t="s">
        <v>901</v>
      </c>
      <c r="F133" s="73">
        <v>32</v>
      </c>
      <c r="G133" s="26">
        <f>RESUMEN!$D$11</f>
        <v>1</v>
      </c>
      <c r="H133" s="74">
        <f t="shared" si="4"/>
        <v>32</v>
      </c>
      <c r="I133" s="16"/>
    </row>
    <row r="134" spans="2:9" ht="22.05" customHeight="1" x14ac:dyDescent="0.3">
      <c r="B134" s="17" t="s">
        <v>286</v>
      </c>
      <c r="C134" s="16" t="s">
        <v>902</v>
      </c>
      <c r="D134" s="17" t="s">
        <v>101</v>
      </c>
      <c r="E134" s="16" t="s">
        <v>903</v>
      </c>
      <c r="F134" s="73">
        <v>32</v>
      </c>
      <c r="G134" s="26">
        <f>RESUMEN!$D$11</f>
        <v>1</v>
      </c>
      <c r="H134" s="74">
        <f t="shared" si="4"/>
        <v>32</v>
      </c>
      <c r="I134" s="18" t="s">
        <v>904</v>
      </c>
    </row>
    <row r="135" spans="2:9" ht="15" customHeight="1" x14ac:dyDescent="0.3">
      <c r="B135" s="17" t="s">
        <v>288</v>
      </c>
      <c r="C135" s="16" t="s">
        <v>747</v>
      </c>
      <c r="D135" s="17" t="s">
        <v>101</v>
      </c>
      <c r="E135" s="16" t="s">
        <v>905</v>
      </c>
      <c r="F135" s="73">
        <v>16</v>
      </c>
      <c r="G135" s="26">
        <f>RESUMEN!$D$11</f>
        <v>1</v>
      </c>
      <c r="H135" s="74">
        <f t="shared" si="4"/>
        <v>16</v>
      </c>
      <c r="I135" s="16"/>
    </row>
    <row r="136" spans="2:9" ht="22.05" customHeight="1" x14ac:dyDescent="0.3">
      <c r="B136" s="17" t="s">
        <v>289</v>
      </c>
      <c r="C136" s="16" t="s">
        <v>906</v>
      </c>
      <c r="D136" s="17" t="s">
        <v>101</v>
      </c>
      <c r="E136" s="16" t="s">
        <v>907</v>
      </c>
      <c r="F136" s="73">
        <v>16</v>
      </c>
      <c r="G136" s="26">
        <f>RESUMEN!$D$11</f>
        <v>1</v>
      </c>
      <c r="H136" s="74">
        <f t="shared" si="4"/>
        <v>16</v>
      </c>
      <c r="I136" s="16"/>
    </row>
    <row r="137" spans="2:9" ht="15" customHeight="1" x14ac:dyDescent="0.3">
      <c r="B137" s="17" t="s">
        <v>291</v>
      </c>
      <c r="C137" s="16" t="s">
        <v>908</v>
      </c>
      <c r="D137" s="17" t="s">
        <v>137</v>
      </c>
      <c r="E137" s="16" t="s">
        <v>909</v>
      </c>
      <c r="F137" s="73">
        <v>1</v>
      </c>
      <c r="G137" s="26">
        <f>RESUMEN!$D$11</f>
        <v>1</v>
      </c>
      <c r="H137" s="74">
        <f t="shared" si="4"/>
        <v>1</v>
      </c>
      <c r="I137" s="18" t="s">
        <v>910</v>
      </c>
    </row>
    <row r="138" spans="2:9" ht="15" customHeight="1" x14ac:dyDescent="0.3">
      <c r="B138" s="17" t="s">
        <v>293</v>
      </c>
      <c r="C138" s="16" t="s">
        <v>911</v>
      </c>
      <c r="D138" s="17" t="s">
        <v>107</v>
      </c>
      <c r="E138" s="16" t="s">
        <v>912</v>
      </c>
      <c r="F138" s="73">
        <v>7</v>
      </c>
      <c r="G138" s="26">
        <f>RESUMEN!$D$11</f>
        <v>1</v>
      </c>
      <c r="H138" s="74">
        <f t="shared" si="4"/>
        <v>7</v>
      </c>
      <c r="I138" s="18" t="s">
        <v>913</v>
      </c>
    </row>
  </sheetData>
  <mergeCells count="8">
    <mergeCell ref="B1:I1"/>
    <mergeCell ref="C126:I126"/>
    <mergeCell ref="B2:I2"/>
    <mergeCell ref="C73:I73"/>
    <mergeCell ref="C83:I83"/>
    <mergeCell ref="C34:I34"/>
    <mergeCell ref="B3:I3"/>
    <mergeCell ref="C7:I7"/>
  </mergeCells>
  <pageMargins left="0.4" right="0.4" top="0.5" bottom="0.5" header="0.5" footer="0.5"/>
  <pageSetup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50"/>
  <sheetViews>
    <sheetView showGridLines="0" topLeftCell="A28" workbookViewId="0"/>
  </sheetViews>
  <sheetFormatPr baseColWidth="10" defaultColWidth="8.88671875" defaultRowHeight="14.4" x14ac:dyDescent="0.3"/>
  <cols>
    <col min="1" max="1" width="3" customWidth="1"/>
    <col min="2" max="2" width="58" customWidth="1"/>
    <col min="3" max="3" width="12" customWidth="1"/>
    <col min="4" max="5" width="16" customWidth="1"/>
    <col min="6" max="6" width="18" customWidth="1"/>
    <col min="7" max="7" width="44" customWidth="1"/>
  </cols>
  <sheetData>
    <row r="1" spans="1:6" x14ac:dyDescent="0.3">
      <c r="A1" t="s">
        <v>1436</v>
      </c>
      <c r="B1" s="111" t="s">
        <v>914</v>
      </c>
      <c r="C1" s="111"/>
      <c r="D1" s="111"/>
      <c r="E1" s="111"/>
      <c r="F1" s="111"/>
    </row>
    <row r="2" spans="1:6" x14ac:dyDescent="0.3">
      <c r="B2" s="13" t="s">
        <v>94</v>
      </c>
      <c r="C2" s="13" t="s">
        <v>383</v>
      </c>
      <c r="D2" s="13" t="s">
        <v>915</v>
      </c>
    </row>
    <row r="3" spans="1:6" x14ac:dyDescent="0.3">
      <c r="B3" s="14" t="s">
        <v>435</v>
      </c>
      <c r="C3" s="17" t="s">
        <v>423</v>
      </c>
      <c r="D3" s="33">
        <f>F20</f>
        <v>485805.48110000003</v>
      </c>
    </row>
    <row r="4" spans="1:6" x14ac:dyDescent="0.3">
      <c r="B4" s="14" t="s">
        <v>916</v>
      </c>
      <c r="C4" s="17" t="s">
        <v>423</v>
      </c>
      <c r="D4" s="33">
        <f>F27</f>
        <v>512465.71200000006</v>
      </c>
    </row>
    <row r="5" spans="1:6" x14ac:dyDescent="0.3">
      <c r="B5" s="14" t="s">
        <v>440</v>
      </c>
      <c r="C5" s="17" t="s">
        <v>423</v>
      </c>
      <c r="D5" s="33">
        <f>F34</f>
        <v>546867.8722000001</v>
      </c>
    </row>
    <row r="6" spans="1:6" x14ac:dyDescent="0.3">
      <c r="B6" s="14" t="s">
        <v>495</v>
      </c>
      <c r="C6" s="17" t="s">
        <v>423</v>
      </c>
      <c r="D6" s="33">
        <f>F40</f>
        <v>527590.16320000007</v>
      </c>
    </row>
    <row r="7" spans="1:6" x14ac:dyDescent="0.3">
      <c r="B7" s="14" t="s">
        <v>441</v>
      </c>
      <c r="C7" s="17" t="s">
        <v>442</v>
      </c>
      <c r="D7" s="33">
        <f>F49</f>
        <v>17705</v>
      </c>
    </row>
    <row r="9" spans="1:6" x14ac:dyDescent="0.3">
      <c r="B9" s="29" t="s">
        <v>917</v>
      </c>
      <c r="C9" s="17" t="s">
        <v>464</v>
      </c>
      <c r="D9" s="32">
        <f>INSUMOS!$D$3/50</f>
        <v>840</v>
      </c>
    </row>
    <row r="10" spans="1:6" x14ac:dyDescent="0.3">
      <c r="B10" s="29" t="s">
        <v>918</v>
      </c>
      <c r="C10" s="17" t="s">
        <v>423</v>
      </c>
      <c r="D10" s="32">
        <f>INSUMOS!$D$4</f>
        <v>188991.52000000002</v>
      </c>
    </row>
    <row r="11" spans="1:6" x14ac:dyDescent="0.3">
      <c r="B11" s="29" t="s">
        <v>919</v>
      </c>
      <c r="C11" s="17" t="s">
        <v>423</v>
      </c>
      <c r="D11" s="32">
        <f>INSUMOS!$D$5</f>
        <v>193400.47</v>
      </c>
    </row>
    <row r="12" spans="1:6" x14ac:dyDescent="0.3">
      <c r="B12" s="29" t="s">
        <v>920</v>
      </c>
      <c r="C12" s="17" t="s">
        <v>673</v>
      </c>
      <c r="D12" s="32">
        <f>INSUMOS!$D$7</f>
        <v>10</v>
      </c>
    </row>
    <row r="14" spans="1:6" x14ac:dyDescent="0.3">
      <c r="B14" s="135" t="s">
        <v>921</v>
      </c>
      <c r="C14" s="135"/>
      <c r="D14" s="135"/>
      <c r="E14" s="135"/>
      <c r="F14" s="135"/>
    </row>
    <row r="15" spans="1:6" x14ac:dyDescent="0.3">
      <c r="B15" s="31" t="s">
        <v>922</v>
      </c>
      <c r="C15" s="31" t="s">
        <v>923</v>
      </c>
      <c r="D15" s="31" t="s">
        <v>924</v>
      </c>
      <c r="E15" s="31" t="s">
        <v>925</v>
      </c>
      <c r="F15" s="31" t="s">
        <v>926</v>
      </c>
    </row>
    <row r="16" spans="1:6" x14ac:dyDescent="0.3">
      <c r="B16" s="29" t="s">
        <v>927</v>
      </c>
      <c r="C16" s="17" t="s">
        <v>112</v>
      </c>
      <c r="D16" s="68">
        <v>250</v>
      </c>
      <c r="E16" s="32">
        <f>$D$9</f>
        <v>840</v>
      </c>
      <c r="F16" s="32">
        <f>D16*E16</f>
        <v>210000</v>
      </c>
    </row>
    <row r="17" spans="2:6" x14ac:dyDescent="0.3">
      <c r="B17" s="29" t="s">
        <v>928</v>
      </c>
      <c r="C17" s="17" t="s">
        <v>929</v>
      </c>
      <c r="D17" s="68">
        <v>0.57999999999999996</v>
      </c>
      <c r="E17" s="32">
        <f>$D$10</f>
        <v>188991.52000000002</v>
      </c>
      <c r="F17" s="32">
        <f>D17*E17</f>
        <v>109615.0816</v>
      </c>
    </row>
    <row r="18" spans="2:6" x14ac:dyDescent="0.3">
      <c r="B18" s="29" t="s">
        <v>930</v>
      </c>
      <c r="C18" s="17" t="s">
        <v>929</v>
      </c>
      <c r="D18" s="68">
        <v>0.85</v>
      </c>
      <c r="E18" s="32">
        <f>$D$11</f>
        <v>193400.47</v>
      </c>
      <c r="F18" s="32">
        <f>D18*E18</f>
        <v>164390.3995</v>
      </c>
    </row>
    <row r="19" spans="2:6" x14ac:dyDescent="0.3">
      <c r="B19" s="29" t="s">
        <v>931</v>
      </c>
      <c r="C19" s="17" t="s">
        <v>673</v>
      </c>
      <c r="D19" s="68">
        <v>180</v>
      </c>
      <c r="E19" s="32">
        <f>$D$12</f>
        <v>10</v>
      </c>
      <c r="F19" s="32">
        <f>D19*E19</f>
        <v>1800</v>
      </c>
    </row>
    <row r="20" spans="2:6" ht="20.399999999999999" x14ac:dyDescent="0.3">
      <c r="B20" s="75" t="s">
        <v>932</v>
      </c>
      <c r="C20" s="29"/>
      <c r="D20" s="29"/>
      <c r="E20" s="29"/>
      <c r="F20" s="35">
        <f>SUM(F16:F19)</f>
        <v>485805.48110000003</v>
      </c>
    </row>
    <row r="21" spans="2:6" x14ac:dyDescent="0.3">
      <c r="B21" s="135" t="s">
        <v>933</v>
      </c>
      <c r="C21" s="135"/>
      <c r="D21" s="135"/>
      <c r="E21" s="135"/>
      <c r="F21" s="135"/>
    </row>
    <row r="22" spans="2:6" x14ac:dyDescent="0.3">
      <c r="B22" s="31" t="s">
        <v>922</v>
      </c>
      <c r="C22" s="31" t="s">
        <v>923</v>
      </c>
      <c r="D22" s="31" t="s">
        <v>924</v>
      </c>
      <c r="E22" s="31" t="s">
        <v>925</v>
      </c>
      <c r="F22" s="31" t="s">
        <v>926</v>
      </c>
    </row>
    <row r="23" spans="2:6" x14ac:dyDescent="0.3">
      <c r="B23" s="29" t="s">
        <v>927</v>
      </c>
      <c r="C23" s="17" t="s">
        <v>112</v>
      </c>
      <c r="D23" s="68">
        <v>300</v>
      </c>
      <c r="E23" s="32">
        <f>$D$9</f>
        <v>840</v>
      </c>
      <c r="F23" s="32">
        <f>D23*E23</f>
        <v>252000</v>
      </c>
    </row>
    <row r="24" spans="2:6" x14ac:dyDescent="0.3">
      <c r="B24" s="29" t="s">
        <v>928</v>
      </c>
      <c r="C24" s="17" t="s">
        <v>929</v>
      </c>
      <c r="D24" s="68">
        <v>0.55000000000000004</v>
      </c>
      <c r="E24" s="32">
        <f>$D$10</f>
        <v>188991.52000000002</v>
      </c>
      <c r="F24" s="32">
        <f>D24*E24</f>
        <v>103945.33600000002</v>
      </c>
    </row>
    <row r="25" spans="2:6" x14ac:dyDescent="0.3">
      <c r="B25" s="29" t="s">
        <v>930</v>
      </c>
      <c r="C25" s="17" t="s">
        <v>929</v>
      </c>
      <c r="D25" s="68">
        <v>0.8</v>
      </c>
      <c r="E25" s="32">
        <f>$D$11</f>
        <v>193400.47</v>
      </c>
      <c r="F25" s="32">
        <f>D25*E25</f>
        <v>154720.37600000002</v>
      </c>
    </row>
    <row r="26" spans="2:6" x14ac:dyDescent="0.3">
      <c r="B26" s="29" t="s">
        <v>931</v>
      </c>
      <c r="C26" s="17" t="s">
        <v>673</v>
      </c>
      <c r="D26" s="68">
        <v>180</v>
      </c>
      <c r="E26" s="32">
        <f>$D$12</f>
        <v>10</v>
      </c>
      <c r="F26" s="32">
        <f>D26*E26</f>
        <v>1800</v>
      </c>
    </row>
    <row r="27" spans="2:6" ht="20.399999999999999" x14ac:dyDescent="0.3">
      <c r="B27" s="75" t="s">
        <v>932</v>
      </c>
      <c r="C27" s="29"/>
      <c r="D27" s="29"/>
      <c r="E27" s="29"/>
      <c r="F27" s="35">
        <f>SUM(F23:F26)</f>
        <v>512465.71200000006</v>
      </c>
    </row>
    <row r="28" spans="2:6" x14ac:dyDescent="0.3">
      <c r="B28" s="135" t="s">
        <v>934</v>
      </c>
      <c r="C28" s="135"/>
      <c r="D28" s="135"/>
      <c r="E28" s="135"/>
      <c r="F28" s="135"/>
    </row>
    <row r="29" spans="2:6" x14ac:dyDescent="0.3">
      <c r="B29" s="31" t="s">
        <v>922</v>
      </c>
      <c r="C29" s="31" t="s">
        <v>923</v>
      </c>
      <c r="D29" s="31" t="s">
        <v>924</v>
      </c>
      <c r="E29" s="31" t="s">
        <v>925</v>
      </c>
      <c r="F29" s="31" t="s">
        <v>926</v>
      </c>
    </row>
    <row r="30" spans="2:6" x14ac:dyDescent="0.3">
      <c r="B30" s="29" t="s">
        <v>927</v>
      </c>
      <c r="C30" s="17" t="s">
        <v>112</v>
      </c>
      <c r="D30" s="68">
        <v>350</v>
      </c>
      <c r="E30" s="32">
        <f>$D$9</f>
        <v>840</v>
      </c>
      <c r="F30" s="32">
        <f>D30*E30</f>
        <v>294000</v>
      </c>
    </row>
    <row r="31" spans="2:6" x14ac:dyDescent="0.3">
      <c r="B31" s="29" t="s">
        <v>928</v>
      </c>
      <c r="C31" s="17" t="s">
        <v>929</v>
      </c>
      <c r="D31" s="68">
        <v>0.53</v>
      </c>
      <c r="E31" s="32">
        <f>$D$10</f>
        <v>188991.52000000002</v>
      </c>
      <c r="F31" s="32">
        <f>D31*E31</f>
        <v>100165.50560000002</v>
      </c>
    </row>
    <row r="32" spans="2:6" x14ac:dyDescent="0.3">
      <c r="B32" s="29" t="s">
        <v>930</v>
      </c>
      <c r="C32" s="17" t="s">
        <v>929</v>
      </c>
      <c r="D32" s="68">
        <v>0.78</v>
      </c>
      <c r="E32" s="32">
        <f>$D$11</f>
        <v>193400.47</v>
      </c>
      <c r="F32" s="32">
        <f>D32*E32</f>
        <v>150852.36660000001</v>
      </c>
    </row>
    <row r="33" spans="2:6" x14ac:dyDescent="0.3">
      <c r="B33" s="29" t="s">
        <v>931</v>
      </c>
      <c r="C33" s="17" t="s">
        <v>673</v>
      </c>
      <c r="D33" s="68">
        <v>185</v>
      </c>
      <c r="E33" s="32">
        <f>$D$12</f>
        <v>10</v>
      </c>
      <c r="F33" s="32">
        <f>D33*E33</f>
        <v>1850</v>
      </c>
    </row>
    <row r="34" spans="2:6" ht="20.399999999999999" x14ac:dyDescent="0.3">
      <c r="B34" s="75" t="s">
        <v>932</v>
      </c>
      <c r="C34" s="29"/>
      <c r="D34" s="29"/>
      <c r="E34" s="29"/>
      <c r="F34" s="35">
        <f>SUM(F30:F33)</f>
        <v>546867.8722000001</v>
      </c>
    </row>
    <row r="35" spans="2:6" x14ac:dyDescent="0.3">
      <c r="B35" s="135" t="s">
        <v>935</v>
      </c>
      <c r="C35" s="135"/>
      <c r="D35" s="135"/>
      <c r="E35" s="135"/>
      <c r="F35" s="135"/>
    </row>
    <row r="36" spans="2:6" x14ac:dyDescent="0.3">
      <c r="B36" s="31" t="s">
        <v>922</v>
      </c>
      <c r="C36" s="31" t="s">
        <v>923</v>
      </c>
      <c r="D36" s="31" t="s">
        <v>924</v>
      </c>
      <c r="E36" s="31" t="s">
        <v>925</v>
      </c>
      <c r="F36" s="31" t="s">
        <v>926</v>
      </c>
    </row>
    <row r="37" spans="2:6" x14ac:dyDescent="0.3">
      <c r="B37" s="29" t="s">
        <v>927</v>
      </c>
      <c r="C37" s="17" t="s">
        <v>112</v>
      </c>
      <c r="D37" s="68">
        <v>364</v>
      </c>
      <c r="E37" s="32">
        <f>$D$9</f>
        <v>840</v>
      </c>
      <c r="F37" s="32">
        <f>D37*E37</f>
        <v>305760</v>
      </c>
    </row>
    <row r="38" spans="2:6" x14ac:dyDescent="0.3">
      <c r="B38" s="29" t="s">
        <v>928</v>
      </c>
      <c r="C38" s="17" t="s">
        <v>929</v>
      </c>
      <c r="D38" s="68">
        <v>1.1599999999999999</v>
      </c>
      <c r="E38" s="32">
        <f>$D$10</f>
        <v>188991.52000000002</v>
      </c>
      <c r="F38" s="32">
        <f>D38*E38</f>
        <v>219230.16320000001</v>
      </c>
    </row>
    <row r="39" spans="2:6" x14ac:dyDescent="0.3">
      <c r="B39" s="29" t="s">
        <v>931</v>
      </c>
      <c r="C39" s="17" t="s">
        <v>673</v>
      </c>
      <c r="D39" s="68">
        <v>260</v>
      </c>
      <c r="E39" s="32">
        <f>$D$12</f>
        <v>10</v>
      </c>
      <c r="F39" s="32">
        <f>D39*E39</f>
        <v>2600</v>
      </c>
    </row>
    <row r="40" spans="2:6" ht="20.399999999999999" x14ac:dyDescent="0.3">
      <c r="B40" s="75" t="s">
        <v>932</v>
      </c>
      <c r="C40" s="29"/>
      <c r="D40" s="29"/>
      <c r="E40" s="29"/>
      <c r="F40" s="35">
        <f>SUM(F37:F39)</f>
        <v>527590.16320000007</v>
      </c>
    </row>
    <row r="42" spans="2:6" x14ac:dyDescent="0.3">
      <c r="B42" s="135" t="s">
        <v>936</v>
      </c>
      <c r="C42" s="135"/>
      <c r="D42" s="135"/>
      <c r="E42" s="135"/>
      <c r="F42" s="135"/>
    </row>
    <row r="43" spans="2:6" x14ac:dyDescent="0.3">
      <c r="B43" s="31" t="s">
        <v>922</v>
      </c>
      <c r="C43" s="31" t="s">
        <v>923</v>
      </c>
      <c r="D43" s="31" t="s">
        <v>924</v>
      </c>
      <c r="E43" s="31" t="s">
        <v>925</v>
      </c>
      <c r="F43" s="31" t="s">
        <v>926</v>
      </c>
    </row>
    <row r="44" spans="2:6" x14ac:dyDescent="0.3">
      <c r="B44" s="29" t="s">
        <v>937</v>
      </c>
      <c r="C44" s="17" t="s">
        <v>137</v>
      </c>
      <c r="D44" s="68">
        <v>0.35</v>
      </c>
      <c r="E44" s="32">
        <f>INSUMOS!$D$11</f>
        <v>22000</v>
      </c>
      <c r="F44" s="32">
        <f>D44*E44</f>
        <v>7699.9999999999991</v>
      </c>
    </row>
    <row r="45" spans="2:6" x14ac:dyDescent="0.3">
      <c r="B45" s="29" t="s">
        <v>938</v>
      </c>
      <c r="C45" s="17" t="s">
        <v>137</v>
      </c>
      <c r="D45" s="68">
        <v>0.375</v>
      </c>
      <c r="E45" s="32">
        <f>INSUMOS!$D$12</f>
        <v>18000</v>
      </c>
      <c r="F45" s="32">
        <f>D45*E45</f>
        <v>6750</v>
      </c>
    </row>
    <row r="46" spans="2:6" x14ac:dyDescent="0.3">
      <c r="B46" s="29" t="s">
        <v>939</v>
      </c>
      <c r="C46" s="17" t="s">
        <v>940</v>
      </c>
      <c r="D46" s="68">
        <v>0.25</v>
      </c>
      <c r="E46" s="32">
        <f>INSUMOS!$D$10</f>
        <v>6900</v>
      </c>
      <c r="F46" s="32">
        <f>D46*E46</f>
        <v>1725</v>
      </c>
    </row>
    <row r="47" spans="2:6" x14ac:dyDescent="0.3">
      <c r="B47" s="29" t="s">
        <v>941</v>
      </c>
      <c r="C47" s="17" t="s">
        <v>112</v>
      </c>
      <c r="D47" s="68">
        <v>0.1</v>
      </c>
      <c r="E47" s="32">
        <f>INSUMOS!$D$9</f>
        <v>12500</v>
      </c>
      <c r="F47" s="32">
        <f>D47*E47</f>
        <v>1250</v>
      </c>
    </row>
    <row r="48" spans="2:6" x14ac:dyDescent="0.3">
      <c r="B48" s="29" t="s">
        <v>942</v>
      </c>
      <c r="C48" s="17" t="s">
        <v>277</v>
      </c>
      <c r="D48" s="68">
        <v>0.02</v>
      </c>
      <c r="E48" s="32">
        <f>INSUMOS!$D$13</f>
        <v>14000</v>
      </c>
      <c r="F48" s="32">
        <f>D48*E48</f>
        <v>280</v>
      </c>
    </row>
    <row r="49" spans="2:7" ht="20.399999999999999" x14ac:dyDescent="0.3">
      <c r="B49" s="75" t="s">
        <v>932</v>
      </c>
      <c r="C49" s="29"/>
      <c r="D49" s="29"/>
      <c r="E49" s="29"/>
      <c r="F49" s="35">
        <f>SUM(F44:F48)</f>
        <v>17705</v>
      </c>
    </row>
    <row r="50" spans="2:7" ht="36" customHeight="1" x14ac:dyDescent="0.3">
      <c r="B50" s="106" t="s">
        <v>943</v>
      </c>
      <c r="C50" s="101"/>
      <c r="D50" s="101"/>
      <c r="E50" s="101"/>
      <c r="F50" s="101"/>
      <c r="G50" s="101"/>
    </row>
  </sheetData>
  <mergeCells count="7">
    <mergeCell ref="B21:F21"/>
    <mergeCell ref="B28:F28"/>
    <mergeCell ref="B42:F42"/>
    <mergeCell ref="B50:G50"/>
    <mergeCell ref="B1:F1"/>
    <mergeCell ref="B14:F14"/>
    <mergeCell ref="B35:F35"/>
  </mergeCells>
  <pageMargins left="0.4" right="0.4" top="0.5" bottom="0.5" header="0.5" footer="0.5"/>
  <pageSetup fitToHeight="0"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E88"/>
  <sheetViews>
    <sheetView showGridLines="0" workbookViewId="0">
      <pane ySplit="2" topLeftCell="A71" activePane="bottomLeft" state="frozen"/>
      <selection pane="bottomLeft" activeCell="D89" sqref="D89"/>
    </sheetView>
  </sheetViews>
  <sheetFormatPr baseColWidth="10" defaultColWidth="8.88671875" defaultRowHeight="14.4" x14ac:dyDescent="0.3"/>
  <cols>
    <col min="1" max="1" width="7" customWidth="1"/>
    <col min="2" max="2" width="84" customWidth="1"/>
    <col min="3" max="3" width="10" customWidth="1"/>
    <col min="4" max="4" width="18" customWidth="1"/>
    <col min="5" max="5" width="80" customWidth="1"/>
  </cols>
  <sheetData>
    <row r="1" spans="1:5" x14ac:dyDescent="0.3">
      <c r="A1" s="111" t="s">
        <v>944</v>
      </c>
      <c r="B1" s="111"/>
      <c r="C1" s="111"/>
      <c r="D1" s="111"/>
      <c r="E1" s="111"/>
    </row>
    <row r="2" spans="1:5" ht="22.8" x14ac:dyDescent="0.3">
      <c r="A2" s="13" t="s">
        <v>945</v>
      </c>
      <c r="B2" s="13" t="s">
        <v>94</v>
      </c>
      <c r="C2" s="13" t="s">
        <v>383</v>
      </c>
      <c r="D2" s="13" t="s">
        <v>946</v>
      </c>
      <c r="E2" s="13" t="s">
        <v>5</v>
      </c>
    </row>
    <row r="3" spans="1:5" x14ac:dyDescent="0.3">
      <c r="A3" s="17" t="s">
        <v>947</v>
      </c>
      <c r="B3" s="16" t="s">
        <v>489</v>
      </c>
      <c r="C3" s="17" t="s">
        <v>490</v>
      </c>
      <c r="D3" s="76">
        <v>42000</v>
      </c>
      <c r="E3" s="16" t="s">
        <v>948</v>
      </c>
    </row>
    <row r="4" spans="1:5" x14ac:dyDescent="0.3">
      <c r="A4" s="17" t="s">
        <v>949</v>
      </c>
      <c r="B4" s="16" t="s">
        <v>640</v>
      </c>
      <c r="C4" s="17" t="s">
        <v>423</v>
      </c>
      <c r="D4" s="77">
        <f>MATERIAL!$F$8</f>
        <v>188991.52000000002</v>
      </c>
      <c r="E4" s="16" t="s">
        <v>950</v>
      </c>
    </row>
    <row r="5" spans="1:5" x14ac:dyDescent="0.3">
      <c r="A5" s="17" t="s">
        <v>951</v>
      </c>
      <c r="B5" s="16" t="s">
        <v>645</v>
      </c>
      <c r="C5" s="17" t="s">
        <v>423</v>
      </c>
      <c r="D5" s="77">
        <f>MATERIAL!$F$7</f>
        <v>193400.47</v>
      </c>
      <c r="E5" s="16" t="s">
        <v>952</v>
      </c>
    </row>
    <row r="6" spans="1:5" x14ac:dyDescent="0.3">
      <c r="A6" s="17" t="s">
        <v>953</v>
      </c>
      <c r="B6" s="16" t="s">
        <v>480</v>
      </c>
      <c r="C6" s="17" t="s">
        <v>423</v>
      </c>
      <c r="D6" s="77">
        <f>MATERIAL!$F$6</f>
        <v>227198.9</v>
      </c>
      <c r="E6" s="16" t="s">
        <v>952</v>
      </c>
    </row>
    <row r="7" spans="1:5" x14ac:dyDescent="0.3">
      <c r="A7" s="17" t="s">
        <v>954</v>
      </c>
      <c r="B7" s="16" t="s">
        <v>672</v>
      </c>
      <c r="C7" s="17" t="s">
        <v>673</v>
      </c>
      <c r="D7" s="76">
        <v>10</v>
      </c>
      <c r="E7" s="16" t="s">
        <v>948</v>
      </c>
    </row>
    <row r="8" spans="1:5" x14ac:dyDescent="0.3">
      <c r="A8" s="17" t="s">
        <v>955</v>
      </c>
      <c r="B8" s="16" t="s">
        <v>463</v>
      </c>
      <c r="C8" s="17" t="s">
        <v>464</v>
      </c>
      <c r="D8" s="76">
        <v>6800</v>
      </c>
      <c r="E8" s="16" t="s">
        <v>948</v>
      </c>
    </row>
    <row r="9" spans="1:5" x14ac:dyDescent="0.3">
      <c r="A9" s="17" t="s">
        <v>956</v>
      </c>
      <c r="B9" s="16" t="s">
        <v>465</v>
      </c>
      <c r="C9" s="17" t="s">
        <v>464</v>
      </c>
      <c r="D9" s="76">
        <v>12500</v>
      </c>
      <c r="E9" s="16" t="s">
        <v>948</v>
      </c>
    </row>
    <row r="10" spans="1:5" x14ac:dyDescent="0.3">
      <c r="A10" s="17" t="s">
        <v>957</v>
      </c>
      <c r="B10" s="16" t="s">
        <v>402</v>
      </c>
      <c r="C10" s="17" t="s">
        <v>403</v>
      </c>
      <c r="D10" s="76">
        <v>6900</v>
      </c>
      <c r="E10" s="16" t="s">
        <v>948</v>
      </c>
    </row>
    <row r="11" spans="1:5" x14ac:dyDescent="0.3">
      <c r="A11" s="17" t="s">
        <v>958</v>
      </c>
      <c r="B11" s="16" t="s">
        <v>429</v>
      </c>
      <c r="C11" s="17" t="s">
        <v>399</v>
      </c>
      <c r="D11" s="76">
        <v>22000</v>
      </c>
      <c r="E11" s="18" t="s">
        <v>959</v>
      </c>
    </row>
    <row r="12" spans="1:5" x14ac:dyDescent="0.3">
      <c r="A12" s="17" t="s">
        <v>960</v>
      </c>
      <c r="B12" s="16" t="s">
        <v>473</v>
      </c>
      <c r="C12" s="17" t="s">
        <v>399</v>
      </c>
      <c r="D12" s="76">
        <v>18000</v>
      </c>
      <c r="E12" s="16" t="s">
        <v>948</v>
      </c>
    </row>
    <row r="13" spans="1:5" x14ac:dyDescent="0.3">
      <c r="A13" s="17" t="s">
        <v>961</v>
      </c>
      <c r="B13" s="16" t="s">
        <v>962</v>
      </c>
      <c r="C13" s="17" t="s">
        <v>508</v>
      </c>
      <c r="D13" s="76">
        <v>14000</v>
      </c>
      <c r="E13" s="18" t="s">
        <v>959</v>
      </c>
    </row>
    <row r="14" spans="1:5" x14ac:dyDescent="0.3">
      <c r="A14" s="17" t="s">
        <v>963</v>
      </c>
      <c r="B14" s="16" t="s">
        <v>398</v>
      </c>
      <c r="C14" s="17" t="s">
        <v>399</v>
      </c>
      <c r="D14" s="76">
        <v>1500</v>
      </c>
      <c r="E14" s="16" t="s">
        <v>948</v>
      </c>
    </row>
    <row r="15" spans="1:5" x14ac:dyDescent="0.3">
      <c r="A15" s="17" t="s">
        <v>964</v>
      </c>
      <c r="B15" s="16" t="s">
        <v>400</v>
      </c>
      <c r="C15" s="17" t="s">
        <v>399</v>
      </c>
      <c r="D15" s="76">
        <v>7000</v>
      </c>
      <c r="E15" s="16" t="s">
        <v>948</v>
      </c>
    </row>
    <row r="16" spans="1:5" x14ac:dyDescent="0.3">
      <c r="A16" s="17" t="s">
        <v>965</v>
      </c>
      <c r="B16" s="16" t="s">
        <v>401</v>
      </c>
      <c r="C16" s="17" t="s">
        <v>399</v>
      </c>
      <c r="D16" s="76">
        <v>14000</v>
      </c>
      <c r="E16" s="16" t="s">
        <v>948</v>
      </c>
    </row>
    <row r="17" spans="1:5" ht="21.6" x14ac:dyDescent="0.3">
      <c r="A17" s="17" t="s">
        <v>966</v>
      </c>
      <c r="B17" s="16" t="s">
        <v>481</v>
      </c>
      <c r="C17" s="17" t="s">
        <v>442</v>
      </c>
      <c r="D17" s="76">
        <v>17500</v>
      </c>
      <c r="E17" s="18" t="s">
        <v>967</v>
      </c>
    </row>
    <row r="18" spans="1:5" x14ac:dyDescent="0.3">
      <c r="A18" s="17" t="s">
        <v>968</v>
      </c>
      <c r="B18" s="16" t="s">
        <v>482</v>
      </c>
      <c r="C18" s="17" t="s">
        <v>442</v>
      </c>
      <c r="D18" s="76">
        <v>2600</v>
      </c>
      <c r="E18" s="18" t="s">
        <v>959</v>
      </c>
    </row>
    <row r="19" spans="1:5" ht="21.6" x14ac:dyDescent="0.3">
      <c r="A19" s="17" t="s">
        <v>969</v>
      </c>
      <c r="B19" s="16" t="s">
        <v>494</v>
      </c>
      <c r="C19" s="17" t="s">
        <v>399</v>
      </c>
      <c r="D19" s="76">
        <v>2600</v>
      </c>
      <c r="E19" s="18" t="s">
        <v>970</v>
      </c>
    </row>
    <row r="20" spans="1:5" x14ac:dyDescent="0.3">
      <c r="A20" s="17" t="s">
        <v>971</v>
      </c>
      <c r="B20" s="16" t="s">
        <v>486</v>
      </c>
      <c r="C20" s="17" t="s">
        <v>399</v>
      </c>
      <c r="D20" s="76">
        <v>8400</v>
      </c>
      <c r="E20" s="16" t="s">
        <v>972</v>
      </c>
    </row>
    <row r="21" spans="1:5" x14ac:dyDescent="0.3">
      <c r="A21" s="17" t="s">
        <v>973</v>
      </c>
      <c r="B21" s="16" t="s">
        <v>487</v>
      </c>
      <c r="C21" s="17" t="s">
        <v>488</v>
      </c>
      <c r="D21" s="76">
        <v>22000</v>
      </c>
      <c r="E21" s="18" t="s">
        <v>959</v>
      </c>
    </row>
    <row r="22" spans="1:5" x14ac:dyDescent="0.3">
      <c r="A22" s="17" t="s">
        <v>974</v>
      </c>
      <c r="B22" s="16" t="s">
        <v>676</v>
      </c>
      <c r="C22" s="17" t="s">
        <v>442</v>
      </c>
      <c r="D22" s="76">
        <v>6500</v>
      </c>
      <c r="E22" s="18" t="s">
        <v>959</v>
      </c>
    </row>
    <row r="23" spans="1:5" x14ac:dyDescent="0.3">
      <c r="A23" s="17" t="s">
        <v>975</v>
      </c>
      <c r="B23" s="16" t="s">
        <v>629</v>
      </c>
      <c r="C23" s="17" t="s">
        <v>488</v>
      </c>
      <c r="D23" s="76">
        <v>10500</v>
      </c>
      <c r="E23" s="18" t="s">
        <v>959</v>
      </c>
    </row>
    <row r="24" spans="1:5" x14ac:dyDescent="0.3">
      <c r="A24" s="17" t="s">
        <v>976</v>
      </c>
      <c r="B24" s="16" t="s">
        <v>634</v>
      </c>
      <c r="C24" s="17" t="s">
        <v>488</v>
      </c>
      <c r="D24" s="76">
        <v>22000</v>
      </c>
      <c r="E24" s="18" t="s">
        <v>959</v>
      </c>
    </row>
    <row r="25" spans="1:5" x14ac:dyDescent="0.3">
      <c r="A25" s="17" t="s">
        <v>977</v>
      </c>
      <c r="B25" s="16" t="s">
        <v>630</v>
      </c>
      <c r="C25" s="17" t="s">
        <v>399</v>
      </c>
      <c r="D25" s="76">
        <v>5500</v>
      </c>
      <c r="E25" s="18" t="s">
        <v>959</v>
      </c>
    </row>
    <row r="26" spans="1:5" x14ac:dyDescent="0.3">
      <c r="A26" s="17" t="s">
        <v>978</v>
      </c>
      <c r="B26" s="16" t="s">
        <v>635</v>
      </c>
      <c r="C26" s="17" t="s">
        <v>399</v>
      </c>
      <c r="D26" s="76">
        <v>16000</v>
      </c>
      <c r="E26" s="18" t="s">
        <v>959</v>
      </c>
    </row>
    <row r="27" spans="1:5" x14ac:dyDescent="0.3">
      <c r="A27" s="17" t="s">
        <v>979</v>
      </c>
      <c r="B27" s="16" t="s">
        <v>631</v>
      </c>
      <c r="C27" s="17" t="s">
        <v>399</v>
      </c>
      <c r="D27" s="76">
        <v>7500</v>
      </c>
      <c r="E27" s="18" t="s">
        <v>959</v>
      </c>
    </row>
    <row r="28" spans="1:5" x14ac:dyDescent="0.3">
      <c r="A28" s="17" t="s">
        <v>980</v>
      </c>
      <c r="B28" s="16" t="s">
        <v>619</v>
      </c>
      <c r="C28" s="17" t="s">
        <v>488</v>
      </c>
      <c r="D28" s="76">
        <v>3800</v>
      </c>
      <c r="E28" s="18" t="s">
        <v>959</v>
      </c>
    </row>
    <row r="29" spans="1:5" x14ac:dyDescent="0.3">
      <c r="A29" s="17" t="s">
        <v>981</v>
      </c>
      <c r="B29" s="16" t="s">
        <v>620</v>
      </c>
      <c r="C29" s="17" t="s">
        <v>399</v>
      </c>
      <c r="D29" s="76">
        <v>1300</v>
      </c>
      <c r="E29" s="18" t="s">
        <v>959</v>
      </c>
    </row>
    <row r="30" spans="1:5" x14ac:dyDescent="0.3">
      <c r="A30" s="17" t="s">
        <v>982</v>
      </c>
      <c r="B30" s="16" t="s">
        <v>609</v>
      </c>
      <c r="C30" s="17" t="s">
        <v>399</v>
      </c>
      <c r="D30" s="76">
        <v>74000</v>
      </c>
      <c r="E30" s="18" t="s">
        <v>959</v>
      </c>
    </row>
    <row r="31" spans="1:5" x14ac:dyDescent="0.3">
      <c r="A31" s="17" t="s">
        <v>983</v>
      </c>
      <c r="B31" s="16" t="s">
        <v>626</v>
      </c>
      <c r="C31" s="17" t="s">
        <v>399</v>
      </c>
      <c r="D31" s="76">
        <v>12500</v>
      </c>
      <c r="E31" s="18" t="s">
        <v>959</v>
      </c>
    </row>
    <row r="32" spans="1:5" x14ac:dyDescent="0.3">
      <c r="A32" s="17" t="s">
        <v>984</v>
      </c>
      <c r="B32" s="16" t="s">
        <v>659</v>
      </c>
      <c r="C32" s="17" t="s">
        <v>399</v>
      </c>
      <c r="D32" s="76">
        <v>12000</v>
      </c>
      <c r="E32" s="18" t="s">
        <v>959</v>
      </c>
    </row>
    <row r="33" spans="1:5" x14ac:dyDescent="0.3">
      <c r="A33" s="17" t="s">
        <v>985</v>
      </c>
      <c r="B33" s="16" t="s">
        <v>621</v>
      </c>
      <c r="C33" s="17" t="s">
        <v>399</v>
      </c>
      <c r="D33" s="76">
        <v>1500</v>
      </c>
      <c r="E33" s="18" t="s">
        <v>959</v>
      </c>
    </row>
    <row r="34" spans="1:5" x14ac:dyDescent="0.3">
      <c r="A34" s="17" t="s">
        <v>986</v>
      </c>
      <c r="B34" s="16" t="s">
        <v>644</v>
      </c>
      <c r="C34" s="17" t="s">
        <v>399</v>
      </c>
      <c r="D34" s="76">
        <v>2266900</v>
      </c>
      <c r="E34" s="16" t="s">
        <v>987</v>
      </c>
    </row>
    <row r="35" spans="1:5" ht="21.6" x14ac:dyDescent="0.3">
      <c r="A35" s="17" t="s">
        <v>988</v>
      </c>
      <c r="B35" s="16" t="s">
        <v>650</v>
      </c>
      <c r="C35" s="17" t="s">
        <v>399</v>
      </c>
      <c r="D35" s="76">
        <v>429900</v>
      </c>
      <c r="E35" s="16" t="s">
        <v>989</v>
      </c>
    </row>
    <row r="36" spans="1:5" x14ac:dyDescent="0.3">
      <c r="A36" s="17" t="s">
        <v>990</v>
      </c>
      <c r="B36" s="16" t="s">
        <v>651</v>
      </c>
      <c r="C36" s="17" t="s">
        <v>399</v>
      </c>
      <c r="D36" s="76">
        <v>45000</v>
      </c>
      <c r="E36" s="18" t="s">
        <v>959</v>
      </c>
    </row>
    <row r="37" spans="1:5" x14ac:dyDescent="0.3">
      <c r="A37" s="17" t="s">
        <v>991</v>
      </c>
      <c r="B37" s="16" t="s">
        <v>656</v>
      </c>
      <c r="C37" s="17" t="s">
        <v>399</v>
      </c>
      <c r="D37" s="76">
        <v>89000</v>
      </c>
      <c r="E37" s="18" t="s">
        <v>959</v>
      </c>
    </row>
    <row r="38" spans="1:5" x14ac:dyDescent="0.3">
      <c r="A38" s="17" t="s">
        <v>992</v>
      </c>
      <c r="B38" s="16" t="s">
        <v>662</v>
      </c>
      <c r="C38" s="17" t="s">
        <v>399</v>
      </c>
      <c r="D38" s="76">
        <v>43000</v>
      </c>
      <c r="E38" s="18" t="s">
        <v>959</v>
      </c>
    </row>
    <row r="39" spans="1:5" x14ac:dyDescent="0.3">
      <c r="A39" s="17" t="s">
        <v>993</v>
      </c>
      <c r="B39" s="16" t="s">
        <v>665</v>
      </c>
      <c r="C39" s="17" t="s">
        <v>399</v>
      </c>
      <c r="D39" s="76">
        <v>326000</v>
      </c>
      <c r="E39" s="18" t="s">
        <v>959</v>
      </c>
    </row>
    <row r="40" spans="1:5" x14ac:dyDescent="0.3">
      <c r="A40" s="17" t="s">
        <v>994</v>
      </c>
      <c r="B40" s="16" t="s">
        <v>666</v>
      </c>
      <c r="C40" s="17" t="s">
        <v>399</v>
      </c>
      <c r="D40" s="76">
        <v>75000</v>
      </c>
      <c r="E40" s="18" t="s">
        <v>959</v>
      </c>
    </row>
    <row r="41" spans="1:5" x14ac:dyDescent="0.3">
      <c r="A41" s="17" t="s">
        <v>995</v>
      </c>
      <c r="B41" s="16" t="s">
        <v>667</v>
      </c>
      <c r="C41" s="17" t="s">
        <v>399</v>
      </c>
      <c r="D41" s="76">
        <v>29900</v>
      </c>
      <c r="E41" s="16" t="s">
        <v>996</v>
      </c>
    </row>
    <row r="42" spans="1:5" ht="21.6" x14ac:dyDescent="0.3">
      <c r="A42" s="17" t="s">
        <v>997</v>
      </c>
      <c r="B42" s="16" t="s">
        <v>519</v>
      </c>
      <c r="C42" s="17" t="s">
        <v>442</v>
      </c>
      <c r="D42" s="76">
        <v>38000</v>
      </c>
      <c r="E42" s="18" t="s">
        <v>998</v>
      </c>
    </row>
    <row r="43" spans="1:5" x14ac:dyDescent="0.3">
      <c r="A43" s="17" t="s">
        <v>999</v>
      </c>
      <c r="B43" s="16" t="s">
        <v>526</v>
      </c>
      <c r="C43" s="17" t="s">
        <v>442</v>
      </c>
      <c r="D43" s="76">
        <v>42000</v>
      </c>
      <c r="E43" s="18" t="s">
        <v>959</v>
      </c>
    </row>
    <row r="44" spans="1:5" x14ac:dyDescent="0.3">
      <c r="A44" s="17" t="s">
        <v>1000</v>
      </c>
      <c r="B44" s="16" t="s">
        <v>531</v>
      </c>
      <c r="C44" s="17" t="s">
        <v>442</v>
      </c>
      <c r="D44" s="76">
        <v>36000</v>
      </c>
      <c r="E44" s="18" t="s">
        <v>959</v>
      </c>
    </row>
    <row r="45" spans="1:5" x14ac:dyDescent="0.3">
      <c r="A45" s="17" t="s">
        <v>1001</v>
      </c>
      <c r="B45" s="16" t="s">
        <v>520</v>
      </c>
      <c r="C45" s="17" t="s">
        <v>490</v>
      </c>
      <c r="D45" s="76">
        <v>37500</v>
      </c>
      <c r="E45" s="18" t="s">
        <v>959</v>
      </c>
    </row>
    <row r="46" spans="1:5" x14ac:dyDescent="0.3">
      <c r="A46" s="17" t="s">
        <v>1002</v>
      </c>
      <c r="B46" s="16" t="s">
        <v>521</v>
      </c>
      <c r="C46" s="17" t="s">
        <v>464</v>
      </c>
      <c r="D46" s="76">
        <v>5500</v>
      </c>
      <c r="E46" s="18" t="s">
        <v>959</v>
      </c>
    </row>
    <row r="47" spans="1:5" x14ac:dyDescent="0.3">
      <c r="A47" s="17" t="s">
        <v>1003</v>
      </c>
      <c r="B47" s="16" t="s">
        <v>527</v>
      </c>
      <c r="C47" s="17" t="s">
        <v>464</v>
      </c>
      <c r="D47" s="76">
        <v>11500</v>
      </c>
      <c r="E47" s="18" t="s">
        <v>959</v>
      </c>
    </row>
    <row r="48" spans="1:5" x14ac:dyDescent="0.3">
      <c r="A48" s="17" t="s">
        <v>1004</v>
      </c>
      <c r="B48" s="16" t="s">
        <v>532</v>
      </c>
      <c r="C48" s="17" t="s">
        <v>488</v>
      </c>
      <c r="D48" s="76">
        <v>3000</v>
      </c>
      <c r="E48" s="18" t="s">
        <v>959</v>
      </c>
    </row>
    <row r="49" spans="1:5" ht="21.6" x14ac:dyDescent="0.3">
      <c r="A49" s="17" t="s">
        <v>1005</v>
      </c>
      <c r="B49" s="16" t="s">
        <v>502</v>
      </c>
      <c r="C49" s="17" t="s">
        <v>399</v>
      </c>
      <c r="D49" s="76">
        <v>95000</v>
      </c>
      <c r="E49" s="18" t="s">
        <v>1006</v>
      </c>
    </row>
    <row r="50" spans="1:5" x14ac:dyDescent="0.3">
      <c r="A50" s="17" t="s">
        <v>1007</v>
      </c>
      <c r="B50" s="16" t="s">
        <v>515</v>
      </c>
      <c r="C50" s="17" t="s">
        <v>399</v>
      </c>
      <c r="D50" s="76">
        <v>98000</v>
      </c>
      <c r="E50" s="18" t="s">
        <v>959</v>
      </c>
    </row>
    <row r="51" spans="1:5" x14ac:dyDescent="0.3">
      <c r="A51" s="17" t="s">
        <v>1008</v>
      </c>
      <c r="B51" s="16" t="s">
        <v>514</v>
      </c>
      <c r="C51" s="17" t="s">
        <v>488</v>
      </c>
      <c r="D51" s="76">
        <v>250</v>
      </c>
      <c r="E51" s="18" t="s">
        <v>959</v>
      </c>
    </row>
    <row r="52" spans="1:5" ht="21.6" x14ac:dyDescent="0.3">
      <c r="A52" s="17" t="s">
        <v>1009</v>
      </c>
      <c r="B52" s="16" t="s">
        <v>507</v>
      </c>
      <c r="C52" s="17" t="s">
        <v>508</v>
      </c>
      <c r="D52" s="76">
        <v>95000</v>
      </c>
      <c r="E52" s="18" t="s">
        <v>1010</v>
      </c>
    </row>
    <row r="53" spans="1:5" ht="21.6" x14ac:dyDescent="0.3">
      <c r="A53" s="17" t="s">
        <v>1011</v>
      </c>
      <c r="B53" s="16" t="s">
        <v>511</v>
      </c>
      <c r="C53" s="17" t="s">
        <v>508</v>
      </c>
      <c r="D53" s="76">
        <v>115000</v>
      </c>
      <c r="E53" s="18" t="s">
        <v>1012</v>
      </c>
    </row>
    <row r="54" spans="1:5" x14ac:dyDescent="0.3">
      <c r="A54" s="17" t="s">
        <v>1013</v>
      </c>
      <c r="B54" s="16" t="s">
        <v>579</v>
      </c>
      <c r="C54" s="17" t="s">
        <v>508</v>
      </c>
      <c r="D54" s="76">
        <v>70000</v>
      </c>
      <c r="E54" s="16" t="s">
        <v>948</v>
      </c>
    </row>
    <row r="55" spans="1:5" x14ac:dyDescent="0.3">
      <c r="A55" s="17" t="s">
        <v>1014</v>
      </c>
      <c r="B55" s="16" t="s">
        <v>580</v>
      </c>
      <c r="C55" s="17" t="s">
        <v>508</v>
      </c>
      <c r="D55" s="76">
        <v>25000</v>
      </c>
      <c r="E55" s="18" t="s">
        <v>959</v>
      </c>
    </row>
    <row r="56" spans="1:5" x14ac:dyDescent="0.3">
      <c r="A56" s="17" t="s">
        <v>1015</v>
      </c>
      <c r="B56" s="16" t="s">
        <v>503</v>
      </c>
      <c r="C56" s="17" t="s">
        <v>399</v>
      </c>
      <c r="D56" s="76">
        <v>2500</v>
      </c>
      <c r="E56" s="18" t="s">
        <v>959</v>
      </c>
    </row>
    <row r="57" spans="1:5" ht="21.6" x14ac:dyDescent="0.3">
      <c r="A57" s="17" t="s">
        <v>1016</v>
      </c>
      <c r="B57" s="16" t="s">
        <v>565</v>
      </c>
      <c r="C57" s="17" t="s">
        <v>399</v>
      </c>
      <c r="D57" s="76">
        <v>820000</v>
      </c>
      <c r="E57" s="18" t="s">
        <v>1017</v>
      </c>
    </row>
    <row r="58" spans="1:5" x14ac:dyDescent="0.3">
      <c r="A58" s="17" t="s">
        <v>1018</v>
      </c>
      <c r="B58" s="16" t="s">
        <v>570</v>
      </c>
      <c r="C58" s="17" t="s">
        <v>399</v>
      </c>
      <c r="D58" s="76">
        <v>915000</v>
      </c>
      <c r="E58" s="18" t="s">
        <v>1019</v>
      </c>
    </row>
    <row r="59" spans="1:5" x14ac:dyDescent="0.3">
      <c r="A59" s="17" t="s">
        <v>1020</v>
      </c>
      <c r="B59" s="16" t="s">
        <v>566</v>
      </c>
      <c r="C59" s="17" t="s">
        <v>399</v>
      </c>
      <c r="D59" s="76">
        <v>65000</v>
      </c>
      <c r="E59" s="18" t="s">
        <v>959</v>
      </c>
    </row>
    <row r="60" spans="1:5" x14ac:dyDescent="0.3">
      <c r="A60" s="17" t="s">
        <v>1021</v>
      </c>
      <c r="B60" s="16" t="s">
        <v>575</v>
      </c>
      <c r="C60" s="17" t="s">
        <v>442</v>
      </c>
      <c r="D60" s="76">
        <v>300000</v>
      </c>
      <c r="E60" s="18" t="s">
        <v>1019</v>
      </c>
    </row>
    <row r="61" spans="1:5" x14ac:dyDescent="0.3">
      <c r="A61" s="17" t="s">
        <v>1022</v>
      </c>
      <c r="B61" s="16" t="s">
        <v>576</v>
      </c>
      <c r="C61" s="17" t="s">
        <v>442</v>
      </c>
      <c r="D61" s="76">
        <v>60000</v>
      </c>
      <c r="E61" s="18" t="s">
        <v>959</v>
      </c>
    </row>
    <row r="62" spans="1:5" ht="21.6" x14ac:dyDescent="0.3">
      <c r="A62" s="17" t="s">
        <v>1023</v>
      </c>
      <c r="B62" s="16" t="s">
        <v>583</v>
      </c>
      <c r="C62" s="17" t="s">
        <v>442</v>
      </c>
      <c r="D62" s="76">
        <v>48000</v>
      </c>
      <c r="E62" s="16" t="s">
        <v>1024</v>
      </c>
    </row>
    <row r="63" spans="1:5" x14ac:dyDescent="0.3">
      <c r="A63" s="17" t="s">
        <v>1025</v>
      </c>
      <c r="B63" s="16" t="s">
        <v>584</v>
      </c>
      <c r="C63" s="17" t="s">
        <v>399</v>
      </c>
      <c r="D63" s="76">
        <v>1200</v>
      </c>
      <c r="E63" s="18" t="s">
        <v>959</v>
      </c>
    </row>
    <row r="64" spans="1:5" x14ac:dyDescent="0.3">
      <c r="A64" s="17" t="s">
        <v>1026</v>
      </c>
      <c r="B64" s="16" t="s">
        <v>589</v>
      </c>
      <c r="C64" s="17" t="s">
        <v>590</v>
      </c>
      <c r="D64" s="76">
        <v>8500</v>
      </c>
      <c r="E64" s="18" t="s">
        <v>1027</v>
      </c>
    </row>
    <row r="65" spans="1:5" x14ac:dyDescent="0.3">
      <c r="A65" s="17" t="s">
        <v>1028</v>
      </c>
      <c r="B65" s="16" t="s">
        <v>591</v>
      </c>
      <c r="C65" s="17" t="s">
        <v>399</v>
      </c>
      <c r="D65" s="76">
        <v>3500</v>
      </c>
      <c r="E65" s="18" t="s">
        <v>959</v>
      </c>
    </row>
    <row r="66" spans="1:5" x14ac:dyDescent="0.3">
      <c r="A66" s="17" t="s">
        <v>1029</v>
      </c>
      <c r="B66" s="16" t="s">
        <v>690</v>
      </c>
      <c r="C66" s="17" t="s">
        <v>508</v>
      </c>
      <c r="D66" s="76">
        <v>75000</v>
      </c>
      <c r="E66" s="18" t="s">
        <v>959</v>
      </c>
    </row>
    <row r="67" spans="1:5" x14ac:dyDescent="0.3">
      <c r="A67" s="17" t="s">
        <v>1030</v>
      </c>
      <c r="B67" s="16" t="s">
        <v>606</v>
      </c>
      <c r="C67" s="17" t="s">
        <v>488</v>
      </c>
      <c r="D67" s="76">
        <v>28000</v>
      </c>
      <c r="E67" s="18" t="s">
        <v>959</v>
      </c>
    </row>
    <row r="68" spans="1:5" x14ac:dyDescent="0.3">
      <c r="A68" s="17" t="s">
        <v>1031</v>
      </c>
      <c r="B68" s="16" t="s">
        <v>607</v>
      </c>
      <c r="C68" s="17" t="s">
        <v>399</v>
      </c>
      <c r="D68" s="76">
        <v>4500</v>
      </c>
      <c r="E68" s="18" t="s">
        <v>959</v>
      </c>
    </row>
    <row r="69" spans="1:5" x14ac:dyDescent="0.3">
      <c r="A69" s="17" t="s">
        <v>1032</v>
      </c>
      <c r="B69" s="16" t="s">
        <v>608</v>
      </c>
      <c r="C69" s="17" t="s">
        <v>399</v>
      </c>
      <c r="D69" s="76">
        <v>12000</v>
      </c>
      <c r="E69" s="18" t="s">
        <v>959</v>
      </c>
    </row>
    <row r="70" spans="1:5" x14ac:dyDescent="0.3">
      <c r="A70" s="17" t="s">
        <v>1033</v>
      </c>
      <c r="B70" s="16" t="s">
        <v>614</v>
      </c>
      <c r="C70" s="17" t="s">
        <v>488</v>
      </c>
      <c r="D70" s="76">
        <v>9500</v>
      </c>
      <c r="E70" s="18" t="s">
        <v>959</v>
      </c>
    </row>
    <row r="71" spans="1:5" x14ac:dyDescent="0.3">
      <c r="A71" s="17" t="s">
        <v>1034</v>
      </c>
      <c r="B71" s="16" t="s">
        <v>615</v>
      </c>
      <c r="C71" s="17" t="s">
        <v>399</v>
      </c>
      <c r="D71" s="76">
        <v>4500</v>
      </c>
      <c r="E71" s="18" t="s">
        <v>959</v>
      </c>
    </row>
    <row r="72" spans="1:5" x14ac:dyDescent="0.3">
      <c r="A72" s="17" t="s">
        <v>1035</v>
      </c>
      <c r="B72" s="16" t="s">
        <v>558</v>
      </c>
      <c r="C72" s="17" t="s">
        <v>488</v>
      </c>
      <c r="D72" s="76">
        <v>2000</v>
      </c>
      <c r="E72" s="18" t="s">
        <v>959</v>
      </c>
    </row>
    <row r="73" spans="1:5" x14ac:dyDescent="0.3">
      <c r="A73" s="17" t="s">
        <v>1036</v>
      </c>
      <c r="B73" s="16" t="s">
        <v>559</v>
      </c>
      <c r="C73" s="17" t="s">
        <v>399</v>
      </c>
      <c r="D73" s="76">
        <v>2000</v>
      </c>
      <c r="E73" s="18" t="s">
        <v>959</v>
      </c>
    </row>
    <row r="74" spans="1:5" x14ac:dyDescent="0.3">
      <c r="A74" s="17" t="s">
        <v>1037</v>
      </c>
      <c r="B74" s="16" t="s">
        <v>562</v>
      </c>
      <c r="C74" s="17" t="s">
        <v>488</v>
      </c>
      <c r="D74" s="76">
        <v>3200</v>
      </c>
      <c r="E74" s="16" t="s">
        <v>1038</v>
      </c>
    </row>
    <row r="75" spans="1:5" x14ac:dyDescent="0.3">
      <c r="A75" s="17" t="s">
        <v>1039</v>
      </c>
      <c r="B75" s="16" t="s">
        <v>538</v>
      </c>
      <c r="C75" s="17" t="s">
        <v>399</v>
      </c>
      <c r="D75" s="76">
        <v>2500</v>
      </c>
      <c r="E75" s="18" t="s">
        <v>959</v>
      </c>
    </row>
    <row r="76" spans="1:5" x14ac:dyDescent="0.3">
      <c r="A76" s="17" t="s">
        <v>1040</v>
      </c>
      <c r="B76" s="16" t="s">
        <v>554</v>
      </c>
      <c r="C76" s="17" t="s">
        <v>399</v>
      </c>
      <c r="D76" s="76">
        <v>5200</v>
      </c>
      <c r="E76" s="18" t="s">
        <v>959</v>
      </c>
    </row>
    <row r="77" spans="1:5" x14ac:dyDescent="0.3">
      <c r="A77" s="17" t="s">
        <v>1041</v>
      </c>
      <c r="B77" s="16" t="s">
        <v>537</v>
      </c>
      <c r="C77" s="17" t="s">
        <v>399</v>
      </c>
      <c r="D77" s="76">
        <v>11000</v>
      </c>
      <c r="E77" s="18" t="s">
        <v>959</v>
      </c>
    </row>
    <row r="78" spans="1:5" x14ac:dyDescent="0.3">
      <c r="A78" s="17" t="s">
        <v>1042</v>
      </c>
      <c r="B78" s="16" t="s">
        <v>543</v>
      </c>
      <c r="C78" s="17" t="s">
        <v>399</v>
      </c>
      <c r="D78" s="76">
        <v>48000</v>
      </c>
      <c r="E78" s="18" t="s">
        <v>959</v>
      </c>
    </row>
    <row r="79" spans="1:5" x14ac:dyDescent="0.3">
      <c r="A79" s="17" t="s">
        <v>1043</v>
      </c>
      <c r="B79" s="16" t="s">
        <v>546</v>
      </c>
      <c r="C79" s="17" t="s">
        <v>399</v>
      </c>
      <c r="D79" s="76">
        <v>7500</v>
      </c>
      <c r="E79" s="18" t="s">
        <v>959</v>
      </c>
    </row>
    <row r="80" spans="1:5" x14ac:dyDescent="0.3">
      <c r="A80" s="17" t="s">
        <v>1044</v>
      </c>
      <c r="B80" s="16" t="s">
        <v>549</v>
      </c>
      <c r="C80" s="17" t="s">
        <v>399</v>
      </c>
      <c r="D80" s="76">
        <v>13500</v>
      </c>
      <c r="E80" s="18" t="s">
        <v>959</v>
      </c>
    </row>
    <row r="81" spans="1:5" x14ac:dyDescent="0.3">
      <c r="A81" s="17" t="s">
        <v>1045</v>
      </c>
      <c r="B81" s="16" t="s">
        <v>553</v>
      </c>
      <c r="C81" s="17" t="s">
        <v>399</v>
      </c>
      <c r="D81" s="76">
        <v>6800</v>
      </c>
      <c r="E81" s="18" t="s">
        <v>959</v>
      </c>
    </row>
    <row r="82" spans="1:5" x14ac:dyDescent="0.3">
      <c r="A82" s="17" t="s">
        <v>1046</v>
      </c>
      <c r="B82" s="16" t="s">
        <v>555</v>
      </c>
      <c r="C82" s="17" t="s">
        <v>399</v>
      </c>
      <c r="D82" s="76">
        <v>6500</v>
      </c>
      <c r="E82" s="18" t="s">
        <v>959</v>
      </c>
    </row>
    <row r="83" spans="1:5" x14ac:dyDescent="0.3">
      <c r="A83" s="17" t="s">
        <v>1047</v>
      </c>
      <c r="B83" s="16" t="s">
        <v>539</v>
      </c>
      <c r="C83" s="17" t="s">
        <v>399</v>
      </c>
      <c r="D83" s="76">
        <v>18000</v>
      </c>
      <c r="E83" s="18" t="s">
        <v>959</v>
      </c>
    </row>
    <row r="84" spans="1:5" x14ac:dyDescent="0.3">
      <c r="A84" s="17" t="s">
        <v>1048</v>
      </c>
      <c r="B84" s="16" t="s">
        <v>683</v>
      </c>
      <c r="C84" s="17" t="s">
        <v>399</v>
      </c>
      <c r="D84" s="76">
        <v>125900</v>
      </c>
      <c r="E84" s="18" t="s">
        <v>959</v>
      </c>
    </row>
    <row r="85" spans="1:5" x14ac:dyDescent="0.3">
      <c r="A85" s="17" t="s">
        <v>1049</v>
      </c>
      <c r="B85" s="16" t="s">
        <v>684</v>
      </c>
      <c r="C85" s="17" t="s">
        <v>399</v>
      </c>
      <c r="D85" s="76">
        <v>200</v>
      </c>
      <c r="E85" s="18" t="s">
        <v>959</v>
      </c>
    </row>
    <row r="86" spans="1:5" x14ac:dyDescent="0.3">
      <c r="A86" s="17" t="s">
        <v>1050</v>
      </c>
      <c r="B86" s="16" t="s">
        <v>428</v>
      </c>
      <c r="C86" s="17" t="s">
        <v>399</v>
      </c>
      <c r="D86" s="76">
        <v>25000</v>
      </c>
      <c r="E86" s="18" t="s">
        <v>959</v>
      </c>
    </row>
    <row r="87" spans="1:5" x14ac:dyDescent="0.3">
      <c r="A87" s="17" t="s">
        <v>1051</v>
      </c>
      <c r="B87" s="16" t="s">
        <v>466</v>
      </c>
      <c r="C87" s="17" t="s">
        <v>399</v>
      </c>
      <c r="D87" s="76">
        <v>26500</v>
      </c>
      <c r="E87" s="18" t="s">
        <v>959</v>
      </c>
    </row>
    <row r="88" spans="1:5" x14ac:dyDescent="0.3">
      <c r="A88" s="17" t="s">
        <v>1052</v>
      </c>
      <c r="B88" s="16" t="s">
        <v>422</v>
      </c>
      <c r="C88" s="17" t="s">
        <v>423</v>
      </c>
      <c r="D88" s="76">
        <v>20000</v>
      </c>
      <c r="E88" s="18" t="s">
        <v>959</v>
      </c>
    </row>
  </sheetData>
  <mergeCells count="1">
    <mergeCell ref="A1:E1"/>
  </mergeCells>
  <pageMargins left="0.4" right="0.4" top="0.5" bottom="0.5" header="0.5" footer="0.5"/>
  <pageSetup fitToHeight="0"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G8"/>
  <sheetViews>
    <sheetView showGridLines="0" workbookViewId="0">
      <selection activeCell="B17" sqref="B17"/>
    </sheetView>
  </sheetViews>
  <sheetFormatPr baseColWidth="10" defaultColWidth="8.88671875" defaultRowHeight="14.4" x14ac:dyDescent="0.3"/>
  <cols>
    <col min="1" max="1" width="44" customWidth="1"/>
    <col min="2" max="2" width="16" customWidth="1"/>
    <col min="3" max="3" width="14" customWidth="1"/>
    <col min="4" max="5" width="16" customWidth="1"/>
    <col min="6" max="6" width="18" customWidth="1"/>
    <col min="7" max="7" width="50" customWidth="1"/>
  </cols>
  <sheetData>
    <row r="1" spans="1:7" ht="22.8" x14ac:dyDescent="0.3">
      <c r="A1" s="14" t="s">
        <v>1053</v>
      </c>
      <c r="B1" s="25">
        <f>'Datos Iniciales'!$B$24</f>
        <v>50</v>
      </c>
    </row>
    <row r="2" spans="1:7" ht="22.8" x14ac:dyDescent="0.3">
      <c r="A2" s="14" t="s">
        <v>1054</v>
      </c>
      <c r="B2" s="25">
        <f>'Datos Iniciales'!$B$25</f>
        <v>80</v>
      </c>
    </row>
    <row r="3" spans="1:7" x14ac:dyDescent="0.3">
      <c r="A3" s="14" t="s">
        <v>1055</v>
      </c>
      <c r="B3" s="65">
        <f>TRANSPORTE!$D$3</f>
        <v>1928</v>
      </c>
    </row>
    <row r="5" spans="1:7" ht="22.8" x14ac:dyDescent="0.3">
      <c r="A5" s="13" t="s">
        <v>1056</v>
      </c>
      <c r="B5" s="13" t="s">
        <v>1057</v>
      </c>
      <c r="C5" s="13" t="s">
        <v>1058</v>
      </c>
      <c r="D5" s="13" t="s">
        <v>1059</v>
      </c>
      <c r="E5" s="13" t="s">
        <v>1060</v>
      </c>
      <c r="F5" s="13" t="s">
        <v>1061</v>
      </c>
      <c r="G5" s="13" t="s">
        <v>1062</v>
      </c>
    </row>
    <row r="6" spans="1:7" x14ac:dyDescent="0.3">
      <c r="A6" s="29" t="s">
        <v>1063</v>
      </c>
      <c r="B6" s="59">
        <v>61310</v>
      </c>
      <c r="C6" s="32">
        <f>B6*0.19</f>
        <v>11648.9</v>
      </c>
      <c r="D6" s="32">
        <f>B6+C6</f>
        <v>72958.899999999994</v>
      </c>
      <c r="E6" s="32">
        <f>$B$2*$B$3</f>
        <v>154240</v>
      </c>
      <c r="F6" s="33">
        <f>D6+E6</f>
        <v>227198.9</v>
      </c>
      <c r="G6" s="16" t="s">
        <v>1064</v>
      </c>
    </row>
    <row r="7" spans="1:7" x14ac:dyDescent="0.3">
      <c r="A7" s="29" t="s">
        <v>1065</v>
      </c>
      <c r="B7" s="59">
        <v>81513</v>
      </c>
      <c r="C7" s="32">
        <f>B7*0.19</f>
        <v>15487.47</v>
      </c>
      <c r="D7" s="32">
        <f>B7+C7</f>
        <v>97000.47</v>
      </c>
      <c r="E7" s="32">
        <f>$B$1*$B$3</f>
        <v>96400</v>
      </c>
      <c r="F7" s="33">
        <f>D7+E7</f>
        <v>193400.47</v>
      </c>
      <c r="G7" s="16" t="s">
        <v>1064</v>
      </c>
    </row>
    <row r="8" spans="1:7" x14ac:dyDescent="0.3">
      <c r="A8" s="29" t="s">
        <v>1066</v>
      </c>
      <c r="B8" s="59">
        <v>77808</v>
      </c>
      <c r="C8" s="32">
        <f>B8*0.19</f>
        <v>14783.52</v>
      </c>
      <c r="D8" s="32">
        <f>B8+C8</f>
        <v>92591.52</v>
      </c>
      <c r="E8" s="32">
        <f>$B$1*$B$3</f>
        <v>96400</v>
      </c>
      <c r="F8" s="33">
        <f>D8+E8</f>
        <v>188991.52000000002</v>
      </c>
      <c r="G8" s="16" t="s">
        <v>1064</v>
      </c>
    </row>
  </sheetData>
  <pageMargins left="0.4" right="0.4" top="0.5" bottom="0.5" header="0.5" footer="0.5"/>
  <pageSetup fitToHeight="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E12"/>
  <sheetViews>
    <sheetView showGridLines="0" workbookViewId="0">
      <pane ySplit="2" topLeftCell="A3" activePane="bottomLeft" state="frozen"/>
      <selection pane="bottomLeft" sqref="A1:E1"/>
    </sheetView>
  </sheetViews>
  <sheetFormatPr baseColWidth="10" defaultColWidth="8.88671875" defaultRowHeight="14.4" x14ac:dyDescent="0.3"/>
  <cols>
    <col min="1" max="1" width="7" customWidth="1"/>
    <col min="2" max="2" width="84" customWidth="1"/>
    <col min="3" max="3" width="10" customWidth="1"/>
    <col min="4" max="4" width="18" customWidth="1"/>
    <col min="5" max="5" width="80" customWidth="1"/>
  </cols>
  <sheetData>
    <row r="1" spans="1:5" x14ac:dyDescent="0.3">
      <c r="A1" s="111" t="s">
        <v>1067</v>
      </c>
      <c r="B1" s="111"/>
      <c r="C1" s="111"/>
      <c r="D1" s="111"/>
      <c r="E1" s="111"/>
    </row>
    <row r="2" spans="1:5" x14ac:dyDescent="0.3">
      <c r="A2" s="13" t="s">
        <v>945</v>
      </c>
      <c r="B2" s="13" t="s">
        <v>94</v>
      </c>
      <c r="C2" s="13" t="s">
        <v>383</v>
      </c>
      <c r="D2" s="13" t="s">
        <v>364</v>
      </c>
      <c r="E2" s="13" t="s">
        <v>5</v>
      </c>
    </row>
    <row r="3" spans="1:5" x14ac:dyDescent="0.3">
      <c r="A3" s="17" t="s">
        <v>1068</v>
      </c>
      <c r="B3" s="16" t="s">
        <v>392</v>
      </c>
      <c r="C3" s="17" t="s">
        <v>393</v>
      </c>
      <c r="D3" s="78">
        <v>0.05</v>
      </c>
      <c r="E3" s="16" t="s">
        <v>948</v>
      </c>
    </row>
    <row r="4" spans="1:5" x14ac:dyDescent="0.3">
      <c r="A4" s="17" t="s">
        <v>1069</v>
      </c>
      <c r="B4" s="16" t="s">
        <v>434</v>
      </c>
      <c r="C4" s="17" t="s">
        <v>421</v>
      </c>
      <c r="D4" s="76">
        <v>53440</v>
      </c>
      <c r="E4" s="16" t="s">
        <v>948</v>
      </c>
    </row>
    <row r="5" spans="1:5" x14ac:dyDescent="0.3">
      <c r="A5" s="17" t="s">
        <v>1070</v>
      </c>
      <c r="B5" s="16" t="s">
        <v>439</v>
      </c>
      <c r="C5" s="17" t="s">
        <v>421</v>
      </c>
      <c r="D5" s="76">
        <v>45000</v>
      </c>
      <c r="E5" s="18" t="s">
        <v>959</v>
      </c>
    </row>
    <row r="6" spans="1:5" x14ac:dyDescent="0.3">
      <c r="A6" s="17" t="s">
        <v>1071</v>
      </c>
      <c r="B6" s="16" t="s">
        <v>671</v>
      </c>
      <c r="C6" s="17" t="s">
        <v>421</v>
      </c>
      <c r="D6" s="76">
        <v>120000</v>
      </c>
      <c r="E6" s="18" t="s">
        <v>959</v>
      </c>
    </row>
    <row r="7" spans="1:5" x14ac:dyDescent="0.3">
      <c r="A7" s="17" t="s">
        <v>1072</v>
      </c>
      <c r="B7" s="16" t="s">
        <v>449</v>
      </c>
      <c r="C7" s="17" t="s">
        <v>421</v>
      </c>
      <c r="D7" s="76">
        <v>8900</v>
      </c>
      <c r="E7" s="16" t="s">
        <v>948</v>
      </c>
    </row>
    <row r="8" spans="1:5" x14ac:dyDescent="0.3">
      <c r="A8" s="17" t="s">
        <v>1073</v>
      </c>
      <c r="B8" s="16" t="s">
        <v>518</v>
      </c>
      <c r="C8" s="17" t="s">
        <v>421</v>
      </c>
      <c r="D8" s="76">
        <v>15000</v>
      </c>
      <c r="E8" s="18" t="s">
        <v>959</v>
      </c>
    </row>
    <row r="9" spans="1:5" x14ac:dyDescent="0.3">
      <c r="A9" s="17" t="s">
        <v>1074</v>
      </c>
      <c r="B9" s="16" t="s">
        <v>682</v>
      </c>
      <c r="C9" s="17" t="s">
        <v>421</v>
      </c>
      <c r="D9" s="76">
        <v>25000</v>
      </c>
      <c r="E9" s="16" t="s">
        <v>948</v>
      </c>
    </row>
    <row r="10" spans="1:5" x14ac:dyDescent="0.3">
      <c r="A10" s="17" t="s">
        <v>1075</v>
      </c>
      <c r="B10" s="16" t="s">
        <v>420</v>
      </c>
      <c r="C10" s="17" t="s">
        <v>421</v>
      </c>
      <c r="D10" s="76">
        <v>70000</v>
      </c>
      <c r="E10" s="18" t="s">
        <v>959</v>
      </c>
    </row>
    <row r="11" spans="1:5" x14ac:dyDescent="0.3">
      <c r="A11" s="17" t="s">
        <v>1076</v>
      </c>
      <c r="B11" s="16" t="s">
        <v>552</v>
      </c>
      <c r="C11" s="17" t="s">
        <v>421</v>
      </c>
      <c r="D11" s="76">
        <v>12000</v>
      </c>
      <c r="E11" s="16" t="s">
        <v>948</v>
      </c>
    </row>
    <row r="12" spans="1:5" x14ac:dyDescent="0.3">
      <c r="A12" s="17" t="s">
        <v>1077</v>
      </c>
      <c r="B12" s="16" t="s">
        <v>689</v>
      </c>
      <c r="C12" s="17" t="s">
        <v>421</v>
      </c>
      <c r="D12" s="76">
        <v>18000</v>
      </c>
      <c r="E12" s="18" t="s">
        <v>959</v>
      </c>
    </row>
  </sheetData>
  <mergeCells count="1">
    <mergeCell ref="A1:E1"/>
  </mergeCells>
  <pageMargins left="0.4" right="0.4" top="0.5" bottom="0.5" header="0.5" footer="0.5"/>
  <pageSetup fitToHeight="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E6"/>
  <sheetViews>
    <sheetView showGridLines="0" workbookViewId="0">
      <pane ySplit="2" topLeftCell="A3" activePane="bottomLeft" state="frozen"/>
      <selection pane="bottomLeft" sqref="A1:E1"/>
    </sheetView>
  </sheetViews>
  <sheetFormatPr baseColWidth="10" defaultColWidth="8.88671875" defaultRowHeight="14.4" x14ac:dyDescent="0.3"/>
  <cols>
    <col min="1" max="1" width="7" customWidth="1"/>
    <col min="2" max="2" width="84" customWidth="1"/>
    <col min="3" max="3" width="10" customWidth="1"/>
    <col min="4" max="4" width="18" customWidth="1"/>
    <col min="5" max="5" width="80" customWidth="1"/>
  </cols>
  <sheetData>
    <row r="1" spans="1:5" x14ac:dyDescent="0.3">
      <c r="A1" s="111" t="s">
        <v>1078</v>
      </c>
      <c r="B1" s="111"/>
      <c r="C1" s="111"/>
      <c r="D1" s="111"/>
      <c r="E1" s="111"/>
    </row>
    <row r="2" spans="1:5" x14ac:dyDescent="0.3">
      <c r="A2" s="13" t="s">
        <v>945</v>
      </c>
      <c r="B2" s="13" t="s">
        <v>94</v>
      </c>
      <c r="C2" s="13" t="s">
        <v>383</v>
      </c>
      <c r="D2" s="13" t="s">
        <v>364</v>
      </c>
      <c r="E2" s="13" t="s">
        <v>5</v>
      </c>
    </row>
    <row r="3" spans="1:5" x14ac:dyDescent="0.3">
      <c r="A3" s="17" t="s">
        <v>1079</v>
      </c>
      <c r="B3" s="16" t="s">
        <v>1080</v>
      </c>
      <c r="C3" s="17" t="s">
        <v>425</v>
      </c>
      <c r="D3" s="76">
        <v>1928</v>
      </c>
      <c r="E3" s="16" t="s">
        <v>948</v>
      </c>
    </row>
    <row r="4" spans="1:5" x14ac:dyDescent="0.3">
      <c r="A4" s="17" t="s">
        <v>1081</v>
      </c>
      <c r="B4" s="16" t="s">
        <v>1082</v>
      </c>
      <c r="C4" s="17" t="s">
        <v>431</v>
      </c>
      <c r="D4" s="76">
        <v>1928</v>
      </c>
      <c r="E4" s="16" t="s">
        <v>948</v>
      </c>
    </row>
    <row r="5" spans="1:5" x14ac:dyDescent="0.3">
      <c r="A5" s="17" t="s">
        <v>1083</v>
      </c>
      <c r="B5" s="16" t="s">
        <v>1084</v>
      </c>
      <c r="C5" s="17" t="s">
        <v>431</v>
      </c>
      <c r="D5" s="76">
        <v>2970</v>
      </c>
      <c r="E5" s="16" t="s">
        <v>948</v>
      </c>
    </row>
    <row r="6" spans="1:5" x14ac:dyDescent="0.3">
      <c r="A6" s="17" t="s">
        <v>1085</v>
      </c>
      <c r="B6" s="16" t="s">
        <v>1086</v>
      </c>
      <c r="C6" s="17" t="s">
        <v>425</v>
      </c>
      <c r="D6" s="76">
        <v>3000</v>
      </c>
      <c r="E6" s="18" t="s">
        <v>959</v>
      </c>
    </row>
  </sheetData>
  <mergeCells count="1">
    <mergeCell ref="A1:E1"/>
  </mergeCells>
  <pageMargins left="0.4" right="0.4" top="0.5" bottom="0.5" header="0.5" footer="0.5"/>
  <pageSetup fitToHeight="0"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1:H35"/>
  <sheetViews>
    <sheetView showGridLines="0" workbookViewId="0"/>
  </sheetViews>
  <sheetFormatPr baseColWidth="10" defaultColWidth="8.88671875" defaultRowHeight="14.4" x14ac:dyDescent="0.3"/>
  <cols>
    <col min="1" max="1" width="3" customWidth="1"/>
    <col min="2" max="2" width="44" customWidth="1"/>
    <col min="3" max="3" width="18" customWidth="1"/>
    <col min="4" max="4" width="14" customWidth="1"/>
    <col min="5" max="5" width="20" customWidth="1"/>
    <col min="6" max="7" width="16" customWidth="1"/>
    <col min="8" max="8" width="18" customWidth="1"/>
  </cols>
  <sheetData>
    <row r="1" spans="2:8" x14ac:dyDescent="0.3">
      <c r="B1" s="111" t="s">
        <v>1087</v>
      </c>
      <c r="C1" s="111"/>
      <c r="D1" s="111"/>
      <c r="E1" s="111"/>
      <c r="F1" s="111"/>
      <c r="G1" s="111"/>
      <c r="H1" s="111"/>
    </row>
    <row r="2" spans="2:8" ht="22.8" x14ac:dyDescent="0.3">
      <c r="B2" s="13" t="s">
        <v>407</v>
      </c>
      <c r="C2" s="13" t="s">
        <v>1088</v>
      </c>
      <c r="D2" s="13" t="s">
        <v>335</v>
      </c>
      <c r="E2" s="13" t="s">
        <v>1089</v>
      </c>
      <c r="F2" s="13" t="s">
        <v>1090</v>
      </c>
      <c r="G2" s="13" t="s">
        <v>1091</v>
      </c>
      <c r="H2" s="13" t="s">
        <v>408</v>
      </c>
    </row>
    <row r="3" spans="2:8" x14ac:dyDescent="0.3">
      <c r="B3" s="29" t="str">
        <f>'FACTOR PRESTACIONAL'!B5</f>
        <v>DIRECTOR DE OBRA</v>
      </c>
      <c r="C3" s="32">
        <f>'FACTOR PRESTACIONAL'!B8</f>
        <v>11380882.5</v>
      </c>
      <c r="D3" s="41">
        <f>'FACTOR PRESTACIONAL'!B30</f>
        <v>1.4553710364288537</v>
      </c>
      <c r="E3" s="32">
        <f>'FACTOR PRESTACIONAL'!B27</f>
        <v>16563406.759500002</v>
      </c>
      <c r="F3" s="32">
        <f>'FACTOR PRESTACIONAL'!B28</f>
        <v>467707.5</v>
      </c>
      <c r="G3" s="32">
        <f>'FACTOR PRESTACIONAL'!B29</f>
        <v>212980.44902054805</v>
      </c>
      <c r="H3" s="33">
        <f t="shared" ref="H3:H33" si="0">F3+G3</f>
        <v>680687.94902054803</v>
      </c>
    </row>
    <row r="4" spans="2:8" x14ac:dyDescent="0.3">
      <c r="B4" s="29" t="str">
        <f>'FACTOR PRESTACIONAL'!C5</f>
        <v>DIRECTOR DE INTERVENTORÍA</v>
      </c>
      <c r="C4" s="32">
        <f>'FACTOR PRESTACIONAL'!C8</f>
        <v>11380882.5</v>
      </c>
      <c r="D4" s="41">
        <f>'FACTOR PRESTACIONAL'!C30</f>
        <v>1.4553710364288537</v>
      </c>
      <c r="E4" s="32">
        <f>'FACTOR PRESTACIONAL'!C27</f>
        <v>16563406.759500002</v>
      </c>
      <c r="F4" s="32">
        <f>'FACTOR PRESTACIONAL'!C28</f>
        <v>467707.5</v>
      </c>
      <c r="G4" s="32">
        <f>'FACTOR PRESTACIONAL'!C29</f>
        <v>212980.44902054805</v>
      </c>
      <c r="H4" s="33">
        <f t="shared" si="0"/>
        <v>680687.94902054803</v>
      </c>
    </row>
    <row r="5" spans="2:8" x14ac:dyDescent="0.3">
      <c r="B5" s="29" t="str">
        <f>'FACTOR PRESTACIONAL'!D5</f>
        <v>RESIDENTE DE OBRA</v>
      </c>
      <c r="C5" s="32">
        <f>'FACTOR PRESTACIONAL'!D8</f>
        <v>6128167.5</v>
      </c>
      <c r="D5" s="41">
        <f>'FACTOR PRESTACIONAL'!D30</f>
        <v>1.4617462105107277</v>
      </c>
      <c r="E5" s="32">
        <f>'FACTOR PRESTACIONAL'!D27</f>
        <v>8957825.6205000002</v>
      </c>
      <c r="F5" s="32">
        <f>'FACTOR PRESTACIONAL'!D28</f>
        <v>251842.5</v>
      </c>
      <c r="G5" s="32">
        <f>'FACTOR PRESTACIONAL'!D29</f>
        <v>116287.32002054795</v>
      </c>
      <c r="H5" s="33">
        <f t="shared" si="0"/>
        <v>368129.82002054795</v>
      </c>
    </row>
    <row r="6" spans="2:8" x14ac:dyDescent="0.3">
      <c r="B6" s="29" t="str">
        <f>'FACTOR PRESTACIONAL'!E5</f>
        <v>RESIDENTE DE INTERVENTORÍA</v>
      </c>
      <c r="C6" s="32">
        <f>'FACTOR PRESTACIONAL'!E8</f>
        <v>6128167.5</v>
      </c>
      <c r="D6" s="41">
        <f>'FACTOR PRESTACIONAL'!E30</f>
        <v>1.4617462105107277</v>
      </c>
      <c r="E6" s="32">
        <f>'FACTOR PRESTACIONAL'!E27</f>
        <v>8957825.6205000002</v>
      </c>
      <c r="F6" s="32">
        <f>'FACTOR PRESTACIONAL'!E28</f>
        <v>251842.5</v>
      </c>
      <c r="G6" s="32">
        <f>'FACTOR PRESTACIONAL'!E29</f>
        <v>116287.32002054795</v>
      </c>
      <c r="H6" s="33">
        <f t="shared" si="0"/>
        <v>368129.82002054795</v>
      </c>
    </row>
    <row r="7" spans="2:8" x14ac:dyDescent="0.3">
      <c r="B7" s="29" t="str">
        <f>'FACTOR PRESTACIONAL'!F5</f>
        <v>RESIDENTE AMBIENTAL</v>
      </c>
      <c r="C7" s="32">
        <f>'FACTOR PRESTACIONAL'!F8</f>
        <v>6128167.5</v>
      </c>
      <c r="D7" s="41">
        <f>'FACTOR PRESTACIONAL'!F30</f>
        <v>1.4617462105107277</v>
      </c>
      <c r="E7" s="32">
        <f>'FACTOR PRESTACIONAL'!F27</f>
        <v>8957825.6205000002</v>
      </c>
      <c r="F7" s="32">
        <f>'FACTOR PRESTACIONAL'!F28</f>
        <v>251842.5</v>
      </c>
      <c r="G7" s="32">
        <f>'FACTOR PRESTACIONAL'!F29</f>
        <v>116287.32002054795</v>
      </c>
      <c r="H7" s="33">
        <f t="shared" si="0"/>
        <v>368129.82002054795</v>
      </c>
    </row>
    <row r="8" spans="2:8" x14ac:dyDescent="0.3">
      <c r="B8" s="29" t="str">
        <f>'FACTOR PRESTACIONAL'!G5</f>
        <v>RESIDENTE SOCIAL</v>
      </c>
      <c r="C8" s="32">
        <f>'FACTOR PRESTACIONAL'!G8</f>
        <v>6128167.5</v>
      </c>
      <c r="D8" s="41">
        <f>'FACTOR PRESTACIONAL'!G30</f>
        <v>1.4617462105107277</v>
      </c>
      <c r="E8" s="32">
        <f>'FACTOR PRESTACIONAL'!G27</f>
        <v>8957825.6205000002</v>
      </c>
      <c r="F8" s="32">
        <f>'FACTOR PRESTACIONAL'!G28</f>
        <v>251842.5</v>
      </c>
      <c r="G8" s="32">
        <f>'FACTOR PRESTACIONAL'!G29</f>
        <v>116287.32002054795</v>
      </c>
      <c r="H8" s="33">
        <f t="shared" si="0"/>
        <v>368129.82002054795</v>
      </c>
    </row>
    <row r="9" spans="2:8" x14ac:dyDescent="0.3">
      <c r="B9" s="29" t="str">
        <f>'FACTOR PRESTACIONAL'!H5</f>
        <v>AUXILIAR DE RESIDENCIA</v>
      </c>
      <c r="C9" s="32">
        <f>'FACTOR PRESTACIONAL'!H8</f>
        <v>5252715</v>
      </c>
      <c r="D9" s="41">
        <f>'FACTOR PRESTACIONAL'!H30</f>
        <v>1.46404835670696</v>
      </c>
      <c r="E9" s="32">
        <f>'FACTOR PRESTACIONAL'!H27</f>
        <v>7690228.7639999995</v>
      </c>
      <c r="F9" s="32">
        <f>'FACTOR PRESTACIONAL'!H28</f>
        <v>215865</v>
      </c>
      <c r="G9" s="32">
        <f>'FACTOR PRESTACIONAL'!H29</f>
        <v>100171.79852054793</v>
      </c>
      <c r="H9" s="33">
        <f t="shared" si="0"/>
        <v>316036.79852054792</v>
      </c>
    </row>
    <row r="10" spans="2:8" x14ac:dyDescent="0.3">
      <c r="B10" s="29" t="str">
        <f>'FACTOR PRESTACIONAL'!I5</f>
        <v>PROFESIONAL SST</v>
      </c>
      <c r="C10" s="32">
        <f>'FACTOR PRESTACIONAL'!I8</f>
        <v>2801448</v>
      </c>
      <c r="D10" s="41">
        <f>'FACTOR PRESTACIONAL'!I30</f>
        <v>1.5943752477766255</v>
      </c>
      <c r="E10" s="32">
        <f>'FACTOR PRESTACIONAL'!I27</f>
        <v>4466559.3491333323</v>
      </c>
      <c r="F10" s="32">
        <f>'FACTOR PRESTACIONAL'!I28</f>
        <v>115128</v>
      </c>
      <c r="G10" s="32">
        <f>'FACTOR PRESTACIONAL'!I29</f>
        <v>68429.233526027354</v>
      </c>
      <c r="H10" s="33">
        <f t="shared" si="0"/>
        <v>183557.23352602735</v>
      </c>
    </row>
    <row r="11" spans="2:8" x14ac:dyDescent="0.3">
      <c r="B11" s="29" t="str">
        <f>'FACTOR PRESTACIONAL'!J5</f>
        <v>SECRETARIA</v>
      </c>
      <c r="C11" s="32">
        <f>'FACTOR PRESTACIONAL'!J8</f>
        <v>1750905</v>
      </c>
      <c r="D11" s="41">
        <f>'FACTOR PRESTACIONAL'!J30</f>
        <v>1.6822403964426016</v>
      </c>
      <c r="E11" s="32">
        <f>'FACTOR PRESTACIONAL'!J27</f>
        <v>2945443.1213333332</v>
      </c>
      <c r="F11" s="32">
        <f>'FACTOR PRESTACIONAL'!J28</f>
        <v>71955</v>
      </c>
      <c r="G11" s="32">
        <f>'FACTOR PRESTACIONAL'!J29</f>
        <v>49090.607726027396</v>
      </c>
      <c r="H11" s="33">
        <f t="shared" si="0"/>
        <v>121045.6077260274</v>
      </c>
    </row>
    <row r="12" spans="2:8" x14ac:dyDescent="0.3">
      <c r="B12" s="29" t="str">
        <f>'FACTOR PRESTACIONAL'!K5</f>
        <v>MENSAJERO</v>
      </c>
      <c r="C12" s="32">
        <f>'FACTOR PRESTACIONAL'!K8</f>
        <v>1750905</v>
      </c>
      <c r="D12" s="41">
        <f>'FACTOR PRESTACIONAL'!K30</f>
        <v>1.6822403964426016</v>
      </c>
      <c r="E12" s="32">
        <f>'FACTOR PRESTACIONAL'!K27</f>
        <v>2945443.1213333332</v>
      </c>
      <c r="F12" s="32">
        <f>'FACTOR PRESTACIONAL'!K28</f>
        <v>71955</v>
      </c>
      <c r="G12" s="32">
        <f>'FACTOR PRESTACIONAL'!K29</f>
        <v>49090.607726027396</v>
      </c>
      <c r="H12" s="33">
        <f t="shared" si="0"/>
        <v>121045.6077260274</v>
      </c>
    </row>
    <row r="13" spans="2:8" x14ac:dyDescent="0.3">
      <c r="B13" s="29" t="str">
        <f>'FACTOR PRESTACIONAL'!L5</f>
        <v>VIGILANTE</v>
      </c>
      <c r="C13" s="32">
        <f>'FACTOR PRESTACIONAL'!L8</f>
        <v>1750905</v>
      </c>
      <c r="D13" s="41">
        <f>'FACTOR PRESTACIONAL'!L30</f>
        <v>1.6822403964426016</v>
      </c>
      <c r="E13" s="32">
        <f>'FACTOR PRESTACIONAL'!L27</f>
        <v>2945443.1213333332</v>
      </c>
      <c r="F13" s="32">
        <f>'FACTOR PRESTACIONAL'!L28</f>
        <v>71955</v>
      </c>
      <c r="G13" s="32">
        <f>'FACTOR PRESTACIONAL'!L29</f>
        <v>49090.607726027396</v>
      </c>
      <c r="H13" s="33">
        <f t="shared" si="0"/>
        <v>121045.6077260274</v>
      </c>
    </row>
    <row r="14" spans="2:8" x14ac:dyDescent="0.3">
      <c r="B14" s="29" t="str">
        <f>'FACTOR PRESTACIONAL'!M5</f>
        <v>AUXILIAR PARE- SIGA</v>
      </c>
      <c r="C14" s="32">
        <f>'FACTOR PRESTACIONAL'!M8</f>
        <v>1750905</v>
      </c>
      <c r="D14" s="41">
        <f>'FACTOR PRESTACIONAL'!M30</f>
        <v>1.6822403964426016</v>
      </c>
      <c r="E14" s="32">
        <f>'FACTOR PRESTACIONAL'!M27</f>
        <v>2945443.1213333332</v>
      </c>
      <c r="F14" s="32">
        <f>'FACTOR PRESTACIONAL'!M28</f>
        <v>71955</v>
      </c>
      <c r="G14" s="32">
        <f>'FACTOR PRESTACIONAL'!M29</f>
        <v>49090.607726027396</v>
      </c>
      <c r="H14" s="33">
        <f t="shared" si="0"/>
        <v>121045.6077260274</v>
      </c>
    </row>
    <row r="15" spans="2:8" x14ac:dyDescent="0.3">
      <c r="B15" s="29" t="str">
        <f>'FACTOR PRESTACIONAL'!N5</f>
        <v>INGENIERO SIG</v>
      </c>
      <c r="C15" s="32">
        <f>'FACTOR PRESTACIONAL'!N8</f>
        <v>8754525</v>
      </c>
      <c r="D15" s="41">
        <f>'FACTOR PRESTACIONAL'!N30</f>
        <v>1.4576023473575093</v>
      </c>
      <c r="E15" s="32">
        <f>'FACTOR PRESTACIONAL'!N27</f>
        <v>12760616.189999999</v>
      </c>
      <c r="F15" s="32">
        <f>'FACTOR PRESTACIONAL'!N28</f>
        <v>359775</v>
      </c>
      <c r="G15" s="32">
        <f>'FACTOR PRESTACIONAL'!N29</f>
        <v>164633.88452054793</v>
      </c>
      <c r="H15" s="33">
        <f t="shared" si="0"/>
        <v>524408.88452054793</v>
      </c>
    </row>
    <row r="16" spans="2:8" x14ac:dyDescent="0.3">
      <c r="B16" s="29" t="str">
        <f>'FACTOR PRESTACIONAL'!O5</f>
        <v>TECNÓLOGO SIG</v>
      </c>
      <c r="C16" s="32">
        <f>'FACTOR PRESTACIONAL'!O8</f>
        <v>4027081.4999999995</v>
      </c>
      <c r="D16" s="41">
        <f>'FACTOR PRESTACIONAL'!O30</f>
        <v>1.4689529290380641</v>
      </c>
      <c r="E16" s="32">
        <f>'FACTOR PRESTACIONAL'!O27</f>
        <v>5915593.1649000002</v>
      </c>
      <c r="F16" s="32">
        <f>'FACTOR PRESTACIONAL'!O28</f>
        <v>165496.5</v>
      </c>
      <c r="G16" s="32">
        <f>'FACTOR PRESTACIONAL'!O29</f>
        <v>77610.068420547977</v>
      </c>
      <c r="H16" s="33">
        <f t="shared" si="0"/>
        <v>243106.56842054799</v>
      </c>
    </row>
    <row r="17" spans="2:8" x14ac:dyDescent="0.3">
      <c r="B17" s="29" t="str">
        <f>'FACTOR PRESTACIONAL'!P5</f>
        <v>TOPÓGRAFO</v>
      </c>
      <c r="C17" s="32">
        <f>'FACTOR PRESTACIONAL'!P8</f>
        <v>8404344</v>
      </c>
      <c r="D17" s="41">
        <f>'FACTOR PRESTACIONAL'!P30</f>
        <v>1.4580052229418499</v>
      </c>
      <c r="E17" s="32">
        <f>'FACTOR PRESTACIONAL'!P27</f>
        <v>12253577.447399998</v>
      </c>
      <c r="F17" s="32">
        <f>'FACTOR PRESTACIONAL'!P28</f>
        <v>345384</v>
      </c>
      <c r="G17" s="32">
        <f>'FACTOR PRESTACIONAL'!P29</f>
        <v>158187.67592054789</v>
      </c>
      <c r="H17" s="33">
        <f t="shared" si="0"/>
        <v>503571.67592054792</v>
      </c>
    </row>
    <row r="18" spans="2:8" x14ac:dyDescent="0.3">
      <c r="B18" s="29" t="str">
        <f>'FACTOR PRESTACIONAL'!Q5</f>
        <v>CADENERO 1</v>
      </c>
      <c r="C18" s="32">
        <f>'FACTOR PRESTACIONAL'!Q8</f>
        <v>4114626.75</v>
      </c>
      <c r="D18" s="41">
        <f>'FACTOR PRESTACIONAL'!Q30</f>
        <v>1.468505703597538</v>
      </c>
      <c r="E18" s="32">
        <f>'FACTOR PRESTACIONAL'!Q27</f>
        <v>6042352.8505500006</v>
      </c>
      <c r="F18" s="32">
        <f>'FACTOR PRESTACIONAL'!Q28</f>
        <v>169094.25</v>
      </c>
      <c r="G18" s="32">
        <f>'FACTOR PRESTACIONAL'!Q29</f>
        <v>79221.620570547966</v>
      </c>
      <c r="H18" s="33">
        <f t="shared" si="0"/>
        <v>248315.87057054797</v>
      </c>
    </row>
    <row r="19" spans="2:8" x14ac:dyDescent="0.3">
      <c r="B19" s="29" t="str">
        <f>'FACTOR PRESTACIONAL'!R5</f>
        <v>CADENERO 2</v>
      </c>
      <c r="C19" s="32">
        <f>'FACTOR PRESTACIONAL'!R8</f>
        <v>2363721.75</v>
      </c>
      <c r="D19" s="41">
        <f>'FACTOR PRESTACIONAL'!R30</f>
        <v>1.62149412082168</v>
      </c>
      <c r="E19" s="32">
        <f>'FACTOR PRESTACIONAL'!R27</f>
        <v>3832760.9208833328</v>
      </c>
      <c r="F19" s="32">
        <f>'FACTOR PRESTACIONAL'!R28</f>
        <v>97139.25</v>
      </c>
      <c r="G19" s="32">
        <f>'FACTOR PRESTACIONAL'!R29</f>
        <v>60371.472776027382</v>
      </c>
      <c r="H19" s="33">
        <f t="shared" si="0"/>
        <v>157510.7227760274</v>
      </c>
    </row>
    <row r="20" spans="2:8" x14ac:dyDescent="0.3">
      <c r="B20" s="29" t="str">
        <f>'FACTOR PRESTACIONAL'!S5</f>
        <v>OPERADOR EQUIPO LIVIANO</v>
      </c>
      <c r="C20" s="32">
        <f>'FACTOR PRESTACIONAL'!S8</f>
        <v>2451267</v>
      </c>
      <c r="D20" s="41">
        <f>'FACTOR PRESTACIONAL'!S30</f>
        <v>1.6152955212685245</v>
      </c>
      <c r="E20" s="32">
        <f>'FACTOR PRESTACIONAL'!S27</f>
        <v>3959520.6065333323</v>
      </c>
      <c r="F20" s="32">
        <f>'FACTOR PRESTACIONAL'!S28</f>
        <v>100737</v>
      </c>
      <c r="G20" s="32">
        <f>'FACTOR PRESTACIONAL'!S29</f>
        <v>61983.024926027356</v>
      </c>
      <c r="H20" s="33">
        <f t="shared" si="0"/>
        <v>162720.02492602734</v>
      </c>
    </row>
    <row r="21" spans="2:8" x14ac:dyDescent="0.3">
      <c r="B21" s="29" t="str">
        <f>'FACTOR PRESTACIONAL'!T5</f>
        <v xml:space="preserve">MAESTRO DE OBRA </v>
      </c>
      <c r="C21" s="32">
        <f>'FACTOR PRESTACIONAL'!T8</f>
        <v>5252715</v>
      </c>
      <c r="D21" s="41">
        <f>'FACTOR PRESTACIONAL'!T30</f>
        <v>1.4683588259912572</v>
      </c>
      <c r="E21" s="32">
        <f>'FACTOR PRESTACIONAL'!T27</f>
        <v>7712870.4306666665</v>
      </c>
      <c r="F21" s="32">
        <f>'FACTOR PRESTACIONAL'!T28</f>
        <v>215865</v>
      </c>
      <c r="G21" s="32">
        <f>'FACTOR PRESTACIONAL'!T29</f>
        <v>101102.27797260274</v>
      </c>
      <c r="H21" s="33">
        <f t="shared" si="0"/>
        <v>316967.27797260275</v>
      </c>
    </row>
    <row r="22" spans="2:8" x14ac:dyDescent="0.3">
      <c r="B22" s="29" t="str">
        <f>'FACTOR PRESTACIONAL'!U5</f>
        <v xml:space="preserve">AYUDANTE ENTENDIDO </v>
      </c>
      <c r="C22" s="32">
        <f>'FACTOR PRESTACIONAL'!U8</f>
        <v>2801448</v>
      </c>
      <c r="D22" s="41">
        <f>'FACTOR PRESTACIONAL'!U30</f>
        <v>1.6024573776846829</v>
      </c>
      <c r="E22" s="32">
        <f>'FACTOR PRESTACIONAL'!U27</f>
        <v>4489201.0157999992</v>
      </c>
      <c r="F22" s="32">
        <f>'FACTOR PRESTACIONAL'!U28</f>
        <v>115128</v>
      </c>
      <c r="G22" s="32">
        <f>'FACTOR PRESTACIONAL'!U29</f>
        <v>69359.712978082171</v>
      </c>
      <c r="H22" s="33">
        <f t="shared" si="0"/>
        <v>184487.71297808219</v>
      </c>
    </row>
    <row r="23" spans="2:8" x14ac:dyDescent="0.3">
      <c r="B23" s="29" t="str">
        <f>'FACTOR PRESTACIONAL'!V5</f>
        <v xml:space="preserve">AYUDANTE RASO  </v>
      </c>
      <c r="C23" s="32">
        <f>'FACTOR PRESTACIONAL'!V8</f>
        <v>1750905</v>
      </c>
      <c r="D23" s="41">
        <f>'FACTOR PRESTACIONAL'!V30</f>
        <v>1.6951718042954931</v>
      </c>
      <c r="E23" s="32">
        <f>'FACTOR PRESTACIONAL'!V27</f>
        <v>2968084.7880000002</v>
      </c>
      <c r="F23" s="32">
        <f>'FACTOR PRESTACIONAL'!V28</f>
        <v>71955</v>
      </c>
      <c r="G23" s="32">
        <f>'FACTOR PRESTACIONAL'!V29</f>
        <v>50021.087178082198</v>
      </c>
      <c r="H23" s="33">
        <f t="shared" si="0"/>
        <v>121976.08717808221</v>
      </c>
    </row>
    <row r="24" spans="2:8" x14ac:dyDescent="0.3">
      <c r="B24" s="29" t="str">
        <f>'FACTOR PRESTACIONAL'!W5</f>
        <v>OFICIAL ELECTRICISTA</v>
      </c>
      <c r="C24" s="32">
        <f>'FACTOR PRESTACIONAL'!W8</f>
        <v>4377262.5</v>
      </c>
      <c r="D24" s="41">
        <f>'FACTOR PRESTACIONAL'!W30</f>
        <v>1.472443924522842</v>
      </c>
      <c r="E24" s="32">
        <f>'FACTOR PRESTACIONAL'!W27</f>
        <v>6445273.5741666667</v>
      </c>
      <c r="F24" s="32">
        <f>'FACTOR PRESTACIONAL'!W28</f>
        <v>179887.5</v>
      </c>
      <c r="G24" s="32">
        <f>'FACTOR PRESTACIONAL'!W29</f>
        <v>84986.756472602749</v>
      </c>
      <c r="H24" s="33">
        <f t="shared" si="0"/>
        <v>264874.25647260272</v>
      </c>
    </row>
    <row r="25" spans="2:8" x14ac:dyDescent="0.3">
      <c r="B25" s="29" t="str">
        <f>'FACTOR PRESTACIONAL'!X5</f>
        <v>OFICIAL PINTOR</v>
      </c>
      <c r="C25" s="32">
        <f>'FACTOR PRESTACIONAL'!X8</f>
        <v>3501810</v>
      </c>
      <c r="D25" s="41">
        <f>'FACTOR PRESTACIONAL'!X30</f>
        <v>1.571552568814413</v>
      </c>
      <c r="E25" s="32">
        <f>'FACTOR PRESTACIONAL'!X27</f>
        <v>5503278.5009999992</v>
      </c>
      <c r="F25" s="32">
        <f>'FACTOR PRESTACIONAL'!X28</f>
        <v>143910</v>
      </c>
      <c r="G25" s="32">
        <f>'FACTOR PRESTACIONAL'!X29</f>
        <v>82252.130178082167</v>
      </c>
      <c r="H25" s="33">
        <f t="shared" si="0"/>
        <v>226162.13017808215</v>
      </c>
    </row>
    <row r="26" spans="2:8" x14ac:dyDescent="0.3">
      <c r="B26" s="29" t="str">
        <f>'FACTOR PRESTACIONAL'!Y5</f>
        <v>AYUDANTE CARPINTERO</v>
      </c>
      <c r="C26" s="32">
        <f>'FACTOR PRESTACIONAL'!Y8</f>
        <v>1750905</v>
      </c>
      <c r="D26" s="41">
        <f>'FACTOR PRESTACIONAL'!Y30</f>
        <v>1.6951718042954931</v>
      </c>
      <c r="E26" s="32">
        <f>'FACTOR PRESTACIONAL'!Y27</f>
        <v>2968084.7880000002</v>
      </c>
      <c r="F26" s="32">
        <f>'FACTOR PRESTACIONAL'!Y28</f>
        <v>71955</v>
      </c>
      <c r="G26" s="32">
        <f>'FACTOR PRESTACIONAL'!Y29</f>
        <v>50021.087178082198</v>
      </c>
      <c r="H26" s="33">
        <f t="shared" si="0"/>
        <v>121976.08717808221</v>
      </c>
    </row>
    <row r="27" spans="2:8" x14ac:dyDescent="0.3">
      <c r="B27" s="29" t="str">
        <f>'FACTOR PRESTACIONAL'!Z5</f>
        <v>OFICIAL OBRA CIVIL</v>
      </c>
      <c r="C27" s="32">
        <f>'FACTOR PRESTACIONAL'!Z8</f>
        <v>3501810</v>
      </c>
      <c r="D27" s="41">
        <f>'FACTOR PRESTACIONAL'!Z30</f>
        <v>1.571552568814413</v>
      </c>
      <c r="E27" s="32">
        <f>'FACTOR PRESTACIONAL'!Z27</f>
        <v>5503278.5009999992</v>
      </c>
      <c r="F27" s="32">
        <f>'FACTOR PRESTACIONAL'!Z28</f>
        <v>143910</v>
      </c>
      <c r="G27" s="32">
        <f>'FACTOR PRESTACIONAL'!Z29</f>
        <v>82252.130178082167</v>
      </c>
      <c r="H27" s="33">
        <f t="shared" si="0"/>
        <v>226162.13017808215</v>
      </c>
    </row>
    <row r="28" spans="2:8" x14ac:dyDescent="0.3">
      <c r="B28" s="29" t="str">
        <f>'FACTOR PRESTACIONAL'!AA5</f>
        <v>ALMACENISTA</v>
      </c>
      <c r="C28" s="32">
        <f>'FACTOR PRESTACIONAL'!AA8</f>
        <v>3239174.25</v>
      </c>
      <c r="D28" s="41">
        <f>'FACTOR PRESTACIONAL'!AA30</f>
        <v>1.5815757500696359</v>
      </c>
      <c r="E28" s="32">
        <f>'FACTOR PRESTACIONAL'!AA27</f>
        <v>5122999.44405</v>
      </c>
      <c r="F28" s="32">
        <f>'FACTOR PRESTACIONAL'!AA28</f>
        <v>133116.75</v>
      </c>
      <c r="G28" s="32">
        <f>'FACTOR PRESTACIONAL'!AA29</f>
        <v>77417.473728082201</v>
      </c>
      <c r="H28" s="33">
        <f t="shared" si="0"/>
        <v>210534.2237280822</v>
      </c>
    </row>
    <row r="29" spans="2:8" x14ac:dyDescent="0.3">
      <c r="B29" s="29" t="str">
        <f>'FACTOR PRESTACIONAL'!AB5</f>
        <v>RASTRILLERO ASFALTO</v>
      </c>
      <c r="C29" s="32">
        <f>'FACTOR PRESTACIONAL'!AB8</f>
        <v>2276176.5</v>
      </c>
      <c r="D29" s="41">
        <f>'FACTOR PRESTACIONAL'!AB30</f>
        <v>1.6381167725349943</v>
      </c>
      <c r="E29" s="32">
        <f>'FACTOR PRESTACIONAL'!AB27</f>
        <v>3728642.9018999995</v>
      </c>
      <c r="F29" s="32">
        <f>'FACTOR PRESTACIONAL'!AB28</f>
        <v>93541.5</v>
      </c>
      <c r="G29" s="32">
        <f>'FACTOR PRESTACIONAL'!AB29</f>
        <v>59690.400078082173</v>
      </c>
      <c r="H29" s="33">
        <f t="shared" si="0"/>
        <v>153231.90007808217</v>
      </c>
    </row>
    <row r="30" spans="2:8" x14ac:dyDescent="0.3">
      <c r="B30" s="29" t="str">
        <f>'FACTOR PRESTACIONAL'!AC5</f>
        <v>OFICIAL ASFALTO</v>
      </c>
      <c r="C30" s="32">
        <f>'FACTOR PRESTACIONAL'!AC8</f>
        <v>3501810</v>
      </c>
      <c r="D30" s="41">
        <f>'FACTOR PRESTACIONAL'!AC30</f>
        <v>1.571552568814413</v>
      </c>
      <c r="E30" s="32">
        <f>'FACTOR PRESTACIONAL'!AC27</f>
        <v>5503278.5009999992</v>
      </c>
      <c r="F30" s="32">
        <f>'FACTOR PRESTACIONAL'!AC28</f>
        <v>143910</v>
      </c>
      <c r="G30" s="32">
        <f>'FACTOR PRESTACIONAL'!AC29</f>
        <v>82252.130178082167</v>
      </c>
      <c r="H30" s="33">
        <f t="shared" si="0"/>
        <v>226162.13017808215</v>
      </c>
    </row>
    <row r="31" spans="2:8" x14ac:dyDescent="0.3">
      <c r="B31" s="29" t="str">
        <f>'FACTOR PRESTACIONAL'!AD5</f>
        <v>OFICIAL HIDROSANITARIO (PLOMERO)</v>
      </c>
      <c r="C31" s="32">
        <f>'FACTOR PRESTACIONAL'!AD8</f>
        <v>3501810</v>
      </c>
      <c r="D31" s="41">
        <f>'FACTOR PRESTACIONAL'!AD30</f>
        <v>1.571552568814413</v>
      </c>
      <c r="E31" s="32">
        <f>'FACTOR PRESTACIONAL'!AD27</f>
        <v>5503278.5009999992</v>
      </c>
      <c r="F31" s="32">
        <f>'FACTOR PRESTACIONAL'!AD28</f>
        <v>143910</v>
      </c>
      <c r="G31" s="32">
        <f>'FACTOR PRESTACIONAL'!AD29</f>
        <v>82252.130178082167</v>
      </c>
      <c r="H31" s="33">
        <f t="shared" si="0"/>
        <v>226162.13017808215</v>
      </c>
    </row>
    <row r="32" spans="2:8" x14ac:dyDescent="0.3">
      <c r="B32" s="29" t="str">
        <f>'FACTOR PRESTACIONAL'!AE5</f>
        <v>OFICIAL SOLDADOR</v>
      </c>
      <c r="C32" s="32">
        <f>'FACTOR PRESTACIONAL'!AE8</f>
        <v>4377262.5</v>
      </c>
      <c r="D32" s="41">
        <f>'FACTOR PRESTACIONAL'!AE30</f>
        <v>1.472443924522842</v>
      </c>
      <c r="E32" s="32">
        <f>'FACTOR PRESTACIONAL'!AE27</f>
        <v>6445273.5741666667</v>
      </c>
      <c r="F32" s="32">
        <f>'FACTOR PRESTACIONAL'!AE28</f>
        <v>179887.5</v>
      </c>
      <c r="G32" s="32">
        <f>'FACTOR PRESTACIONAL'!AE29</f>
        <v>84986.756472602749</v>
      </c>
      <c r="H32" s="33">
        <f t="shared" si="0"/>
        <v>264874.25647260272</v>
      </c>
    </row>
    <row r="33" spans="2:8" x14ac:dyDescent="0.3">
      <c r="B33" s="29" t="str">
        <f>'FACTOR PRESTACIONAL'!AF5</f>
        <v>OFICIAL CARPINTERO</v>
      </c>
      <c r="C33" s="32">
        <f>'FACTOR PRESTACIONAL'!AF8</f>
        <v>3851991.0000000005</v>
      </c>
      <c r="D33" s="41">
        <f>'FACTOR PRESTACIONAL'!AF30</f>
        <v>1.475786277866866</v>
      </c>
      <c r="E33" s="32">
        <f>'FACTOR PRESTACIONAL'!AF27</f>
        <v>5684715.4602666674</v>
      </c>
      <c r="F33" s="32">
        <f>'FACTOR PRESTACIONAL'!AF28</f>
        <v>158301.00000000003</v>
      </c>
      <c r="G33" s="32">
        <f>'FACTOR PRESTACIONAL'!AF29</f>
        <v>75317.443572602759</v>
      </c>
      <c r="H33" s="33">
        <f t="shared" si="0"/>
        <v>233618.44357260279</v>
      </c>
    </row>
    <row r="35" spans="2:8" ht="30" customHeight="1" x14ac:dyDescent="0.3">
      <c r="B35" s="106" t="s">
        <v>1092</v>
      </c>
      <c r="C35" s="101"/>
      <c r="D35" s="101"/>
      <c r="E35" s="101"/>
      <c r="F35" s="101"/>
      <c r="G35" s="101"/>
      <c r="H35" s="101"/>
    </row>
  </sheetData>
  <mergeCells count="2">
    <mergeCell ref="B1:H1"/>
    <mergeCell ref="B35:H35"/>
  </mergeCells>
  <pageMargins left="0.4" right="0.4" top="0.5" bottom="0.5" header="0.5" footer="0.5"/>
  <pageSetup fitToHeight="0"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F64"/>
  <sheetViews>
    <sheetView zoomScaleNormal="100" workbookViewId="0">
      <pane xSplit="1" ySplit="6" topLeftCell="B7" activePane="bottomRight" state="frozen"/>
      <selection pane="topRight" activeCell="B1" sqref="B1"/>
      <selection pane="bottomLeft" activeCell="A7" sqref="A7"/>
      <selection pane="bottomRight" activeCell="D8" sqref="D8"/>
    </sheetView>
  </sheetViews>
  <sheetFormatPr baseColWidth="10" defaultColWidth="8.6640625" defaultRowHeight="14.4" x14ac:dyDescent="0.3"/>
  <cols>
    <col min="1" max="1" width="44" customWidth="1"/>
    <col min="2" max="32" width="16" customWidth="1"/>
  </cols>
  <sheetData>
    <row r="1" spans="1:32" ht="15" customHeight="1" x14ac:dyDescent="0.3">
      <c r="A1" s="141" t="s">
        <v>0</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3"/>
    </row>
    <row r="2" spans="1:32" ht="15" customHeight="1" x14ac:dyDescent="0.3">
      <c r="A2" s="145" t="s">
        <v>1093</v>
      </c>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3"/>
    </row>
    <row r="3" spans="1:32" x14ac:dyDescent="0.3">
      <c r="A3" s="148" t="str">
        <f>'Datos Iniciales'!$B$8</f>
        <v>OBRA PÚBLICA PARA LA EJECUCIÓN DE DIFERENTES MEJORAMIENTOS DE VIVIENDA EN EL CASCO URBANO Y RURAL DEL MUNICIPIO DE MACEO - ANTIOQUIA</v>
      </c>
      <c r="B3" s="142"/>
      <c r="C3" s="142"/>
      <c r="D3" s="142"/>
      <c r="E3" s="142"/>
      <c r="F3" s="142"/>
      <c r="G3" s="142"/>
      <c r="H3" s="142"/>
      <c r="I3" s="142"/>
      <c r="J3" s="142"/>
      <c r="K3" s="142"/>
      <c r="L3" s="142"/>
      <c r="M3" s="142"/>
      <c r="N3" s="142"/>
      <c r="O3" s="142"/>
      <c r="P3" s="142"/>
      <c r="Q3" s="142"/>
      <c r="R3" s="142"/>
      <c r="S3" s="142"/>
      <c r="T3" s="142"/>
      <c r="U3" s="142"/>
      <c r="V3" s="142"/>
      <c r="W3" s="142"/>
      <c r="X3" s="142"/>
      <c r="Y3" s="142"/>
      <c r="Z3" s="142"/>
      <c r="AA3" s="142"/>
      <c r="AB3" s="142"/>
      <c r="AC3" s="142"/>
      <c r="AD3" s="142"/>
      <c r="AE3" s="142"/>
      <c r="AF3" s="143"/>
    </row>
    <row r="4" spans="1:32" ht="15" customHeight="1" x14ac:dyDescent="0.3">
      <c r="A4" s="147" t="s">
        <v>1094</v>
      </c>
      <c r="B4" s="142"/>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3"/>
    </row>
    <row r="5" spans="1:32" ht="18" customHeight="1" x14ac:dyDescent="0.3">
      <c r="A5" s="1" t="s">
        <v>1095</v>
      </c>
      <c r="B5" s="8" t="s">
        <v>1096</v>
      </c>
      <c r="C5" s="8" t="s">
        <v>1097</v>
      </c>
      <c r="D5" s="8" t="s">
        <v>1098</v>
      </c>
      <c r="E5" s="8" t="s">
        <v>1099</v>
      </c>
      <c r="F5" s="8" t="s">
        <v>1100</v>
      </c>
      <c r="G5" s="8" t="s">
        <v>1101</v>
      </c>
      <c r="H5" s="8" t="s">
        <v>1102</v>
      </c>
      <c r="I5" s="8" t="s">
        <v>1103</v>
      </c>
      <c r="J5" s="8" t="s">
        <v>1104</v>
      </c>
      <c r="K5" s="8" t="s">
        <v>1105</v>
      </c>
      <c r="L5" s="8" t="s">
        <v>1106</v>
      </c>
      <c r="M5" s="8" t="s">
        <v>1107</v>
      </c>
      <c r="N5" s="8" t="s">
        <v>1108</v>
      </c>
      <c r="O5" s="8" t="s">
        <v>1109</v>
      </c>
      <c r="P5" s="8" t="s">
        <v>1110</v>
      </c>
      <c r="Q5" s="8" t="s">
        <v>1111</v>
      </c>
      <c r="R5" s="8" t="s">
        <v>1112</v>
      </c>
      <c r="S5" s="8" t="s">
        <v>1113</v>
      </c>
      <c r="T5" s="8" t="s">
        <v>1114</v>
      </c>
      <c r="U5" s="8" t="s">
        <v>1115</v>
      </c>
      <c r="V5" s="8" t="s">
        <v>1116</v>
      </c>
      <c r="W5" s="8" t="s">
        <v>540</v>
      </c>
      <c r="X5" s="8" t="s">
        <v>504</v>
      </c>
      <c r="Y5" s="8" t="s">
        <v>595</v>
      </c>
      <c r="Z5" s="8" t="s">
        <v>409</v>
      </c>
      <c r="AA5" s="8" t="s">
        <v>1117</v>
      </c>
      <c r="AB5" s="8" t="s">
        <v>1118</v>
      </c>
      <c r="AC5" s="8" t="s">
        <v>1119</v>
      </c>
      <c r="AD5" s="8" t="s">
        <v>616</v>
      </c>
      <c r="AE5" s="8" t="s">
        <v>1120</v>
      </c>
      <c r="AF5" s="8" t="s">
        <v>594</v>
      </c>
    </row>
    <row r="6" spans="1:32" ht="18" customHeight="1" x14ac:dyDescent="0.3">
      <c r="A6" s="1" t="s">
        <v>1121</v>
      </c>
      <c r="B6" s="8" t="s">
        <v>1122</v>
      </c>
      <c r="C6" s="8" t="s">
        <v>1122</v>
      </c>
      <c r="D6" s="8" t="s">
        <v>1122</v>
      </c>
      <c r="E6" s="8" t="s">
        <v>1122</v>
      </c>
      <c r="F6" s="8" t="s">
        <v>1122</v>
      </c>
      <c r="G6" s="8" t="s">
        <v>1122</v>
      </c>
      <c r="H6" s="8" t="s">
        <v>1122</v>
      </c>
      <c r="I6" s="8" t="s">
        <v>1122</v>
      </c>
      <c r="J6" s="8" t="s">
        <v>1122</v>
      </c>
      <c r="K6" s="8" t="s">
        <v>1122</v>
      </c>
      <c r="L6" s="8" t="s">
        <v>1122</v>
      </c>
      <c r="M6" s="8" t="s">
        <v>1122</v>
      </c>
      <c r="N6" s="8" t="s">
        <v>1122</v>
      </c>
      <c r="O6" s="8" t="s">
        <v>1122</v>
      </c>
      <c r="P6" s="8" t="s">
        <v>1122</v>
      </c>
      <c r="Q6" s="8" t="s">
        <v>1122</v>
      </c>
      <c r="R6" s="8" t="s">
        <v>1122</v>
      </c>
      <c r="S6" s="8" t="s">
        <v>1122</v>
      </c>
      <c r="T6" s="8" t="s">
        <v>1123</v>
      </c>
      <c r="U6" s="8" t="s">
        <v>1123</v>
      </c>
      <c r="V6" s="8" t="s">
        <v>1123</v>
      </c>
      <c r="W6" s="8" t="s">
        <v>1123</v>
      </c>
      <c r="X6" s="8" t="s">
        <v>1123</v>
      </c>
      <c r="Y6" s="8" t="s">
        <v>1123</v>
      </c>
      <c r="Z6" s="8" t="s">
        <v>1123</v>
      </c>
      <c r="AA6" s="8" t="s">
        <v>1123</v>
      </c>
      <c r="AB6" s="8" t="s">
        <v>1123</v>
      </c>
      <c r="AC6" s="8" t="s">
        <v>1123</v>
      </c>
      <c r="AD6" s="8" t="s">
        <v>1123</v>
      </c>
      <c r="AE6" s="8" t="s">
        <v>1123</v>
      </c>
      <c r="AF6" s="8" t="s">
        <v>1123</v>
      </c>
    </row>
    <row r="7" spans="1:32" ht="18" customHeight="1" x14ac:dyDescent="0.3">
      <c r="A7" s="10" t="s">
        <v>1124</v>
      </c>
      <c r="B7" s="2">
        <v>6.5</v>
      </c>
      <c r="C7" s="2">
        <v>6.5</v>
      </c>
      <c r="D7" s="2">
        <v>3.5</v>
      </c>
      <c r="E7" s="2">
        <v>3.5</v>
      </c>
      <c r="F7" s="2">
        <v>3.5</v>
      </c>
      <c r="G7" s="2">
        <v>3.5</v>
      </c>
      <c r="H7" s="2">
        <v>3</v>
      </c>
      <c r="I7" s="2">
        <v>1.6</v>
      </c>
      <c r="J7" s="2">
        <v>1</v>
      </c>
      <c r="K7" s="2">
        <v>1</v>
      </c>
      <c r="L7" s="2">
        <v>1</v>
      </c>
      <c r="M7" s="2">
        <v>1</v>
      </c>
      <c r="N7" s="2">
        <v>5</v>
      </c>
      <c r="O7" s="2">
        <v>2.2999999999999998</v>
      </c>
      <c r="P7" s="2">
        <v>4.8</v>
      </c>
      <c r="Q7" s="2">
        <v>2.35</v>
      </c>
      <c r="R7" s="2">
        <v>1.35</v>
      </c>
      <c r="S7" s="2">
        <v>1.4</v>
      </c>
      <c r="T7" s="2">
        <v>3</v>
      </c>
      <c r="U7" s="2">
        <v>1.6</v>
      </c>
      <c r="V7" s="2">
        <v>1</v>
      </c>
      <c r="W7" s="2">
        <v>2.5</v>
      </c>
      <c r="X7" s="2">
        <v>2</v>
      </c>
      <c r="Y7" s="2">
        <v>1</v>
      </c>
      <c r="Z7" s="2">
        <v>2</v>
      </c>
      <c r="AA7" s="2">
        <v>1.85</v>
      </c>
      <c r="AB7" s="2">
        <v>1.3</v>
      </c>
      <c r="AC7" s="2">
        <v>2</v>
      </c>
      <c r="AD7" s="2">
        <v>2</v>
      </c>
      <c r="AE7" s="2">
        <v>2.5</v>
      </c>
      <c r="AF7" s="2">
        <v>2.2000000000000002</v>
      </c>
    </row>
    <row r="8" spans="1:32" ht="18" customHeight="1" x14ac:dyDescent="0.3">
      <c r="A8" s="10" t="s">
        <v>1125</v>
      </c>
      <c r="B8" s="79">
        <f>B7*'Datos Iniciales'!$B$14</f>
        <v>11380882.5</v>
      </c>
      <c r="C8" s="79">
        <f>C7*'Datos Iniciales'!$B$14</f>
        <v>11380882.5</v>
      </c>
      <c r="D8" s="79">
        <f>D7*'Datos Iniciales'!$B$14</f>
        <v>6128167.5</v>
      </c>
      <c r="E8" s="79">
        <f>E7*'Datos Iniciales'!$B$14</f>
        <v>6128167.5</v>
      </c>
      <c r="F8" s="79">
        <f>F7*'Datos Iniciales'!$B$14</f>
        <v>6128167.5</v>
      </c>
      <c r="G8" s="79">
        <f>G7*'Datos Iniciales'!$B$14</f>
        <v>6128167.5</v>
      </c>
      <c r="H8" s="79">
        <f>H7*'Datos Iniciales'!$B$14</f>
        <v>5252715</v>
      </c>
      <c r="I8" s="79">
        <f>I7*'Datos Iniciales'!$B$14</f>
        <v>2801448</v>
      </c>
      <c r="J8" s="79">
        <f>J7*'Datos Iniciales'!$B$14</f>
        <v>1750905</v>
      </c>
      <c r="K8" s="79">
        <f>K7*'Datos Iniciales'!$B$14</f>
        <v>1750905</v>
      </c>
      <c r="L8" s="79">
        <f>L7*'Datos Iniciales'!$B$14</f>
        <v>1750905</v>
      </c>
      <c r="M8" s="79">
        <f>M7*'Datos Iniciales'!$B$14</f>
        <v>1750905</v>
      </c>
      <c r="N8" s="79">
        <f>N7*'Datos Iniciales'!$B$14</f>
        <v>8754525</v>
      </c>
      <c r="O8" s="79">
        <f>O7*'Datos Iniciales'!$B$14</f>
        <v>4027081.4999999995</v>
      </c>
      <c r="P8" s="79">
        <f>P7*'Datos Iniciales'!$B$14</f>
        <v>8404344</v>
      </c>
      <c r="Q8" s="79">
        <f>Q7*'Datos Iniciales'!$B$14</f>
        <v>4114626.75</v>
      </c>
      <c r="R8" s="79">
        <f>R7*'Datos Iniciales'!$B$14</f>
        <v>2363721.75</v>
      </c>
      <c r="S8" s="79">
        <f>S7*'Datos Iniciales'!$B$14</f>
        <v>2451267</v>
      </c>
      <c r="T8" s="79">
        <f>T7*'Datos Iniciales'!$B$14</f>
        <v>5252715</v>
      </c>
      <c r="U8" s="79">
        <f>U7*'Datos Iniciales'!$B$14</f>
        <v>2801448</v>
      </c>
      <c r="V8" s="79">
        <f>V7*'Datos Iniciales'!$B$14</f>
        <v>1750905</v>
      </c>
      <c r="W8" s="79">
        <f>W7*'Datos Iniciales'!$B$14</f>
        <v>4377262.5</v>
      </c>
      <c r="X8" s="79">
        <f>X7*'Datos Iniciales'!$B$14</f>
        <v>3501810</v>
      </c>
      <c r="Y8" s="79">
        <f>Y7*'Datos Iniciales'!$B$14</f>
        <v>1750905</v>
      </c>
      <c r="Z8" s="79">
        <f>Z7*'Datos Iniciales'!$B$14</f>
        <v>3501810</v>
      </c>
      <c r="AA8" s="79">
        <f>AA7*'Datos Iniciales'!$B$14</f>
        <v>3239174.25</v>
      </c>
      <c r="AB8" s="79">
        <f>AB7*'Datos Iniciales'!$B$14</f>
        <v>2276176.5</v>
      </c>
      <c r="AC8" s="79">
        <f>AC7*'Datos Iniciales'!$B$14</f>
        <v>3501810</v>
      </c>
      <c r="AD8" s="79">
        <f>AD7*'Datos Iniciales'!$B$14</f>
        <v>3501810</v>
      </c>
      <c r="AE8" s="79">
        <f>AE7*'Datos Iniciales'!$B$14</f>
        <v>4377262.5</v>
      </c>
      <c r="AF8" s="79">
        <f>AF7*'Datos Iniciales'!$B$14</f>
        <v>3851991.0000000005</v>
      </c>
    </row>
    <row r="9" spans="1:32" ht="18" customHeight="1" x14ac:dyDescent="0.3">
      <c r="A9" s="10" t="s">
        <v>1126</v>
      </c>
      <c r="B9" s="79">
        <f>IF(B7&lt;=2,'Datos Iniciales'!$B$15,0)</f>
        <v>0</v>
      </c>
      <c r="C9" s="79">
        <f>IF(C7&lt;=2,'Datos Iniciales'!$B$15,0)</f>
        <v>0</v>
      </c>
      <c r="D9" s="79">
        <f>IF(D7&lt;=2,'Datos Iniciales'!$B$15,0)</f>
        <v>0</v>
      </c>
      <c r="E9" s="79">
        <f>IF(E7&lt;=2,'Datos Iniciales'!$B$15,0)</f>
        <v>0</v>
      </c>
      <c r="F9" s="79">
        <f>IF(F7&lt;=2,'Datos Iniciales'!$B$15,0)</f>
        <v>0</v>
      </c>
      <c r="G9" s="79">
        <f>IF(G7&lt;=2,'Datos Iniciales'!$B$15,0)</f>
        <v>0</v>
      </c>
      <c r="H9" s="79">
        <f>IF(H7&lt;=2,'Datos Iniciales'!$B$15,0)</f>
        <v>0</v>
      </c>
      <c r="I9" s="79">
        <f>IF(I7&lt;=2,'Datos Iniciales'!$B$15,0)</f>
        <v>249095</v>
      </c>
      <c r="J9" s="79">
        <f>IF(J7&lt;=2,'Datos Iniciales'!$B$15,0)</f>
        <v>249095</v>
      </c>
      <c r="K9" s="79">
        <f>IF(K7&lt;=2,'Datos Iniciales'!$B$15,0)</f>
        <v>249095</v>
      </c>
      <c r="L9" s="79">
        <f>IF(L7&lt;=2,'Datos Iniciales'!$B$15,0)</f>
        <v>249095</v>
      </c>
      <c r="M9" s="79">
        <f>IF(M7&lt;=2,'Datos Iniciales'!$B$15,0)</f>
        <v>249095</v>
      </c>
      <c r="N9" s="79">
        <f>IF(N7&lt;=2,'Datos Iniciales'!$B$15,0)</f>
        <v>0</v>
      </c>
      <c r="O9" s="79">
        <f>IF(O7&lt;=2,'Datos Iniciales'!$B$15,0)</f>
        <v>0</v>
      </c>
      <c r="P9" s="79">
        <f>IF(P7&lt;=2,'Datos Iniciales'!$B$15,0)</f>
        <v>0</v>
      </c>
      <c r="Q9" s="79">
        <f>IF(Q7&lt;=2,'Datos Iniciales'!$B$15,0)</f>
        <v>0</v>
      </c>
      <c r="R9" s="79">
        <f>IF(R7&lt;=2,'Datos Iniciales'!$B$15,0)</f>
        <v>249095</v>
      </c>
      <c r="S9" s="79">
        <f>IF(S7&lt;=2,'Datos Iniciales'!$B$15,0)</f>
        <v>249095</v>
      </c>
      <c r="T9" s="79">
        <f>IF(T7&lt;=2,'Datos Iniciales'!$B$15,0)</f>
        <v>0</v>
      </c>
      <c r="U9" s="79">
        <f>IF(U7&lt;=2,'Datos Iniciales'!$B$15,0)</f>
        <v>249095</v>
      </c>
      <c r="V9" s="79">
        <f>IF(V7&lt;=2,'Datos Iniciales'!$B$15,0)</f>
        <v>249095</v>
      </c>
      <c r="W9" s="79">
        <f>IF(W7&lt;=2,'Datos Iniciales'!$B$15,0)</f>
        <v>0</v>
      </c>
      <c r="X9" s="79">
        <f>IF(X7&lt;=2,'Datos Iniciales'!$B$15,0)</f>
        <v>249095</v>
      </c>
      <c r="Y9" s="79">
        <f>IF(Y7&lt;=2,'Datos Iniciales'!$B$15,0)</f>
        <v>249095</v>
      </c>
      <c r="Z9" s="79">
        <f>IF(Z7&lt;=2,'Datos Iniciales'!$B$15,0)</f>
        <v>249095</v>
      </c>
      <c r="AA9" s="79">
        <f>IF(AA7&lt;=2,'Datos Iniciales'!$B$15,0)</f>
        <v>249095</v>
      </c>
      <c r="AB9" s="79">
        <f>IF(AB7&lt;=2,'Datos Iniciales'!$B$15,0)</f>
        <v>249095</v>
      </c>
      <c r="AC9" s="79">
        <f>IF(AC7&lt;=2,'Datos Iniciales'!$B$15,0)</f>
        <v>249095</v>
      </c>
      <c r="AD9" s="79">
        <f>IF(AD7&lt;=2,'Datos Iniciales'!$B$15,0)</f>
        <v>249095</v>
      </c>
      <c r="AE9" s="79">
        <f>IF(AE7&lt;=2,'Datos Iniciales'!$B$15,0)</f>
        <v>0</v>
      </c>
      <c r="AF9" s="79">
        <f>IF(AF7&lt;=2,'Datos Iniciales'!$B$15,0)</f>
        <v>0</v>
      </c>
    </row>
    <row r="10" spans="1:32" ht="30" customHeight="1" x14ac:dyDescent="0.3">
      <c r="A10" s="10" t="s">
        <v>1127</v>
      </c>
      <c r="B10" s="79">
        <f t="shared" ref="B10:AF10" si="0">B8*12</f>
        <v>136570590</v>
      </c>
      <c r="C10" s="79">
        <f t="shared" si="0"/>
        <v>136570590</v>
      </c>
      <c r="D10" s="79">
        <f t="shared" si="0"/>
        <v>73538010</v>
      </c>
      <c r="E10" s="79">
        <f t="shared" si="0"/>
        <v>73538010</v>
      </c>
      <c r="F10" s="79">
        <f t="shared" si="0"/>
        <v>73538010</v>
      </c>
      <c r="G10" s="79">
        <f t="shared" si="0"/>
        <v>73538010</v>
      </c>
      <c r="H10" s="79">
        <f t="shared" si="0"/>
        <v>63032580</v>
      </c>
      <c r="I10" s="79">
        <f t="shared" si="0"/>
        <v>33617376</v>
      </c>
      <c r="J10" s="79">
        <f t="shared" si="0"/>
        <v>21010860</v>
      </c>
      <c r="K10" s="79">
        <f t="shared" si="0"/>
        <v>21010860</v>
      </c>
      <c r="L10" s="79">
        <f t="shared" si="0"/>
        <v>21010860</v>
      </c>
      <c r="M10" s="79">
        <f t="shared" si="0"/>
        <v>21010860</v>
      </c>
      <c r="N10" s="79">
        <f t="shared" si="0"/>
        <v>105054300</v>
      </c>
      <c r="O10" s="79">
        <f t="shared" si="0"/>
        <v>48324977.999999993</v>
      </c>
      <c r="P10" s="79">
        <f t="shared" si="0"/>
        <v>100852128</v>
      </c>
      <c r="Q10" s="79">
        <f t="shared" si="0"/>
        <v>49375521</v>
      </c>
      <c r="R10" s="79">
        <f t="shared" si="0"/>
        <v>28364661</v>
      </c>
      <c r="S10" s="79">
        <f t="shared" si="0"/>
        <v>29415204</v>
      </c>
      <c r="T10" s="79">
        <f t="shared" si="0"/>
        <v>63032580</v>
      </c>
      <c r="U10" s="79">
        <f t="shared" si="0"/>
        <v>33617376</v>
      </c>
      <c r="V10" s="79">
        <f t="shared" si="0"/>
        <v>21010860</v>
      </c>
      <c r="W10" s="79">
        <f t="shared" si="0"/>
        <v>52527150</v>
      </c>
      <c r="X10" s="79">
        <f t="shared" si="0"/>
        <v>42021720</v>
      </c>
      <c r="Y10" s="79">
        <f t="shared" si="0"/>
        <v>21010860</v>
      </c>
      <c r="Z10" s="79">
        <f t="shared" si="0"/>
        <v>42021720</v>
      </c>
      <c r="AA10" s="79">
        <f t="shared" si="0"/>
        <v>38870091</v>
      </c>
      <c r="AB10" s="79">
        <f t="shared" si="0"/>
        <v>27314118</v>
      </c>
      <c r="AC10" s="79">
        <f t="shared" si="0"/>
        <v>42021720</v>
      </c>
      <c r="AD10" s="79">
        <f t="shared" si="0"/>
        <v>42021720</v>
      </c>
      <c r="AE10" s="79">
        <f t="shared" si="0"/>
        <v>52527150</v>
      </c>
      <c r="AF10" s="79">
        <f t="shared" si="0"/>
        <v>46223892.000000007</v>
      </c>
    </row>
    <row r="11" spans="1:32" ht="30" customHeight="1" x14ac:dyDescent="0.3">
      <c r="A11" s="10" t="s">
        <v>1128</v>
      </c>
      <c r="B11" s="79">
        <f t="shared" ref="B11:AF11" si="1">B9*12</f>
        <v>0</v>
      </c>
      <c r="C11" s="79">
        <f t="shared" si="1"/>
        <v>0</v>
      </c>
      <c r="D11" s="79">
        <f t="shared" si="1"/>
        <v>0</v>
      </c>
      <c r="E11" s="79">
        <f t="shared" si="1"/>
        <v>0</v>
      </c>
      <c r="F11" s="79">
        <f t="shared" si="1"/>
        <v>0</v>
      </c>
      <c r="G11" s="79">
        <f t="shared" si="1"/>
        <v>0</v>
      </c>
      <c r="H11" s="79">
        <f t="shared" si="1"/>
        <v>0</v>
      </c>
      <c r="I11" s="79">
        <f t="shared" si="1"/>
        <v>2989140</v>
      </c>
      <c r="J11" s="79">
        <f t="shared" si="1"/>
        <v>2989140</v>
      </c>
      <c r="K11" s="79">
        <f t="shared" si="1"/>
        <v>2989140</v>
      </c>
      <c r="L11" s="79">
        <f t="shared" si="1"/>
        <v>2989140</v>
      </c>
      <c r="M11" s="79">
        <f t="shared" si="1"/>
        <v>2989140</v>
      </c>
      <c r="N11" s="79">
        <f t="shared" si="1"/>
        <v>0</v>
      </c>
      <c r="O11" s="79">
        <f t="shared" si="1"/>
        <v>0</v>
      </c>
      <c r="P11" s="79">
        <f t="shared" si="1"/>
        <v>0</v>
      </c>
      <c r="Q11" s="79">
        <f t="shared" si="1"/>
        <v>0</v>
      </c>
      <c r="R11" s="79">
        <f t="shared" si="1"/>
        <v>2989140</v>
      </c>
      <c r="S11" s="79">
        <f t="shared" si="1"/>
        <v>2989140</v>
      </c>
      <c r="T11" s="79">
        <f t="shared" si="1"/>
        <v>0</v>
      </c>
      <c r="U11" s="79">
        <f t="shared" si="1"/>
        <v>2989140</v>
      </c>
      <c r="V11" s="79">
        <f t="shared" si="1"/>
        <v>2989140</v>
      </c>
      <c r="W11" s="79">
        <f t="shared" si="1"/>
        <v>0</v>
      </c>
      <c r="X11" s="79">
        <f t="shared" si="1"/>
        <v>2989140</v>
      </c>
      <c r="Y11" s="79">
        <f t="shared" si="1"/>
        <v>2989140</v>
      </c>
      <c r="Z11" s="79">
        <f t="shared" si="1"/>
        <v>2989140</v>
      </c>
      <c r="AA11" s="79">
        <f t="shared" si="1"/>
        <v>2989140</v>
      </c>
      <c r="AB11" s="79">
        <f t="shared" si="1"/>
        <v>2989140</v>
      </c>
      <c r="AC11" s="79">
        <f t="shared" si="1"/>
        <v>2989140</v>
      </c>
      <c r="AD11" s="79">
        <f t="shared" si="1"/>
        <v>2989140</v>
      </c>
      <c r="AE11" s="79">
        <f t="shared" si="1"/>
        <v>0</v>
      </c>
      <c r="AF11" s="79">
        <f t="shared" si="1"/>
        <v>0</v>
      </c>
    </row>
    <row r="12" spans="1:32" ht="30" customHeight="1" x14ac:dyDescent="0.3">
      <c r="A12" s="10" t="s">
        <v>1129</v>
      </c>
      <c r="B12" s="79">
        <f t="shared" ref="B12:AF12" si="2">(B8+B9)</f>
        <v>11380882.5</v>
      </c>
      <c r="C12" s="79">
        <f t="shared" si="2"/>
        <v>11380882.5</v>
      </c>
      <c r="D12" s="79">
        <f t="shared" si="2"/>
        <v>6128167.5</v>
      </c>
      <c r="E12" s="79">
        <f t="shared" si="2"/>
        <v>6128167.5</v>
      </c>
      <c r="F12" s="79">
        <f t="shared" si="2"/>
        <v>6128167.5</v>
      </c>
      <c r="G12" s="79">
        <f t="shared" si="2"/>
        <v>6128167.5</v>
      </c>
      <c r="H12" s="79">
        <f t="shared" si="2"/>
        <v>5252715</v>
      </c>
      <c r="I12" s="79">
        <f t="shared" si="2"/>
        <v>3050543</v>
      </c>
      <c r="J12" s="79">
        <f t="shared" si="2"/>
        <v>2000000</v>
      </c>
      <c r="K12" s="79">
        <f t="shared" si="2"/>
        <v>2000000</v>
      </c>
      <c r="L12" s="79">
        <f t="shared" si="2"/>
        <v>2000000</v>
      </c>
      <c r="M12" s="79">
        <f t="shared" si="2"/>
        <v>2000000</v>
      </c>
      <c r="N12" s="79">
        <f t="shared" si="2"/>
        <v>8754525</v>
      </c>
      <c r="O12" s="79">
        <f t="shared" si="2"/>
        <v>4027081.4999999995</v>
      </c>
      <c r="P12" s="79">
        <f t="shared" si="2"/>
        <v>8404344</v>
      </c>
      <c r="Q12" s="79">
        <f t="shared" si="2"/>
        <v>4114626.75</v>
      </c>
      <c r="R12" s="79">
        <f t="shared" si="2"/>
        <v>2612816.75</v>
      </c>
      <c r="S12" s="79">
        <f t="shared" si="2"/>
        <v>2700362</v>
      </c>
      <c r="T12" s="79">
        <f t="shared" si="2"/>
        <v>5252715</v>
      </c>
      <c r="U12" s="79">
        <f t="shared" si="2"/>
        <v>3050543</v>
      </c>
      <c r="V12" s="79">
        <f t="shared" si="2"/>
        <v>2000000</v>
      </c>
      <c r="W12" s="79">
        <f t="shared" si="2"/>
        <v>4377262.5</v>
      </c>
      <c r="X12" s="79">
        <f t="shared" si="2"/>
        <v>3750905</v>
      </c>
      <c r="Y12" s="79">
        <f t="shared" si="2"/>
        <v>2000000</v>
      </c>
      <c r="Z12" s="79">
        <f t="shared" si="2"/>
        <v>3750905</v>
      </c>
      <c r="AA12" s="79">
        <f t="shared" si="2"/>
        <v>3488269.25</v>
      </c>
      <c r="AB12" s="79">
        <f t="shared" si="2"/>
        <v>2525271.5</v>
      </c>
      <c r="AC12" s="79">
        <f t="shared" si="2"/>
        <v>3750905</v>
      </c>
      <c r="AD12" s="79">
        <f t="shared" si="2"/>
        <v>3750905</v>
      </c>
      <c r="AE12" s="79">
        <f t="shared" si="2"/>
        <v>4377262.5</v>
      </c>
      <c r="AF12" s="79">
        <f t="shared" si="2"/>
        <v>3851991.0000000005</v>
      </c>
    </row>
    <row r="13" spans="1:32" ht="30" customHeight="1" x14ac:dyDescent="0.3">
      <c r="A13" s="10" t="s">
        <v>1130</v>
      </c>
      <c r="B13" s="79">
        <f t="shared" ref="B13:AF13" si="3">B12*0.12</f>
        <v>1365705.9</v>
      </c>
      <c r="C13" s="79">
        <f t="shared" si="3"/>
        <v>1365705.9</v>
      </c>
      <c r="D13" s="79">
        <f t="shared" si="3"/>
        <v>735380.1</v>
      </c>
      <c r="E13" s="79">
        <f t="shared" si="3"/>
        <v>735380.1</v>
      </c>
      <c r="F13" s="79">
        <f t="shared" si="3"/>
        <v>735380.1</v>
      </c>
      <c r="G13" s="79">
        <f t="shared" si="3"/>
        <v>735380.1</v>
      </c>
      <c r="H13" s="79">
        <f t="shared" si="3"/>
        <v>630325.79999999993</v>
      </c>
      <c r="I13" s="79">
        <f t="shared" si="3"/>
        <v>366065.16</v>
      </c>
      <c r="J13" s="79">
        <f t="shared" si="3"/>
        <v>240000</v>
      </c>
      <c r="K13" s="79">
        <f t="shared" si="3"/>
        <v>240000</v>
      </c>
      <c r="L13" s="79">
        <f t="shared" si="3"/>
        <v>240000</v>
      </c>
      <c r="M13" s="79">
        <f t="shared" si="3"/>
        <v>240000</v>
      </c>
      <c r="N13" s="79">
        <f t="shared" si="3"/>
        <v>1050543</v>
      </c>
      <c r="O13" s="79">
        <f t="shared" si="3"/>
        <v>483249.77999999991</v>
      </c>
      <c r="P13" s="79">
        <f t="shared" si="3"/>
        <v>1008521.2799999999</v>
      </c>
      <c r="Q13" s="79">
        <f t="shared" si="3"/>
        <v>493755.20999999996</v>
      </c>
      <c r="R13" s="79">
        <f t="shared" si="3"/>
        <v>313538.01</v>
      </c>
      <c r="S13" s="79">
        <f t="shared" si="3"/>
        <v>324043.44</v>
      </c>
      <c r="T13" s="79">
        <f t="shared" si="3"/>
        <v>630325.79999999993</v>
      </c>
      <c r="U13" s="79">
        <f t="shared" si="3"/>
        <v>366065.16</v>
      </c>
      <c r="V13" s="79">
        <f t="shared" si="3"/>
        <v>240000</v>
      </c>
      <c r="W13" s="79">
        <f t="shared" si="3"/>
        <v>525271.5</v>
      </c>
      <c r="X13" s="79">
        <f t="shared" si="3"/>
        <v>450108.6</v>
      </c>
      <c r="Y13" s="79">
        <f t="shared" si="3"/>
        <v>240000</v>
      </c>
      <c r="Z13" s="79">
        <f t="shared" si="3"/>
        <v>450108.6</v>
      </c>
      <c r="AA13" s="79">
        <f t="shared" si="3"/>
        <v>418592.31</v>
      </c>
      <c r="AB13" s="79">
        <f t="shared" si="3"/>
        <v>303032.58</v>
      </c>
      <c r="AC13" s="79">
        <f t="shared" si="3"/>
        <v>450108.6</v>
      </c>
      <c r="AD13" s="79">
        <f t="shared" si="3"/>
        <v>450108.6</v>
      </c>
      <c r="AE13" s="79">
        <f t="shared" si="3"/>
        <v>525271.5</v>
      </c>
      <c r="AF13" s="79">
        <f t="shared" si="3"/>
        <v>462238.92000000004</v>
      </c>
    </row>
    <row r="14" spans="1:32" ht="30" customHeight="1" x14ac:dyDescent="0.3">
      <c r="A14" s="10" t="s">
        <v>1131</v>
      </c>
      <c r="B14" s="79">
        <f t="shared" ref="B14:AF14" si="4">B8*0.5</f>
        <v>5690441.25</v>
      </c>
      <c r="C14" s="79">
        <f t="shared" si="4"/>
        <v>5690441.25</v>
      </c>
      <c r="D14" s="79">
        <f t="shared" si="4"/>
        <v>3064083.75</v>
      </c>
      <c r="E14" s="79">
        <f t="shared" si="4"/>
        <v>3064083.75</v>
      </c>
      <c r="F14" s="79">
        <f t="shared" si="4"/>
        <v>3064083.75</v>
      </c>
      <c r="G14" s="79">
        <f t="shared" si="4"/>
        <v>3064083.75</v>
      </c>
      <c r="H14" s="79">
        <f t="shared" si="4"/>
        <v>2626357.5</v>
      </c>
      <c r="I14" s="79">
        <f t="shared" si="4"/>
        <v>1400724</v>
      </c>
      <c r="J14" s="79">
        <f t="shared" si="4"/>
        <v>875452.5</v>
      </c>
      <c r="K14" s="79">
        <f t="shared" si="4"/>
        <v>875452.5</v>
      </c>
      <c r="L14" s="79">
        <f t="shared" si="4"/>
        <v>875452.5</v>
      </c>
      <c r="M14" s="79">
        <f t="shared" si="4"/>
        <v>875452.5</v>
      </c>
      <c r="N14" s="79">
        <f t="shared" si="4"/>
        <v>4377262.5</v>
      </c>
      <c r="O14" s="79">
        <f t="shared" si="4"/>
        <v>2013540.7499999998</v>
      </c>
      <c r="P14" s="79">
        <f t="shared" si="4"/>
        <v>4202172</v>
      </c>
      <c r="Q14" s="79">
        <f t="shared" si="4"/>
        <v>2057313.375</v>
      </c>
      <c r="R14" s="79">
        <f t="shared" si="4"/>
        <v>1181860.875</v>
      </c>
      <c r="S14" s="79">
        <f t="shared" si="4"/>
        <v>1225633.5</v>
      </c>
      <c r="T14" s="79">
        <f t="shared" si="4"/>
        <v>2626357.5</v>
      </c>
      <c r="U14" s="79">
        <f t="shared" si="4"/>
        <v>1400724</v>
      </c>
      <c r="V14" s="79">
        <f t="shared" si="4"/>
        <v>875452.5</v>
      </c>
      <c r="W14" s="79">
        <f t="shared" si="4"/>
        <v>2188631.25</v>
      </c>
      <c r="X14" s="79">
        <f t="shared" si="4"/>
        <v>1750905</v>
      </c>
      <c r="Y14" s="79">
        <f t="shared" si="4"/>
        <v>875452.5</v>
      </c>
      <c r="Z14" s="79">
        <f t="shared" si="4"/>
        <v>1750905</v>
      </c>
      <c r="AA14" s="79">
        <f t="shared" si="4"/>
        <v>1619587.125</v>
      </c>
      <c r="AB14" s="79">
        <f t="shared" si="4"/>
        <v>1138088.25</v>
      </c>
      <c r="AC14" s="79">
        <f t="shared" si="4"/>
        <v>1750905</v>
      </c>
      <c r="AD14" s="79">
        <f t="shared" si="4"/>
        <v>1750905</v>
      </c>
      <c r="AE14" s="79">
        <f t="shared" si="4"/>
        <v>2188631.25</v>
      </c>
      <c r="AF14" s="79">
        <f t="shared" si="4"/>
        <v>1925995.5000000002</v>
      </c>
    </row>
    <row r="15" spans="1:32" ht="30" customHeight="1" x14ac:dyDescent="0.3">
      <c r="A15" s="10" t="s">
        <v>1132</v>
      </c>
      <c r="B15" s="79">
        <f t="shared" ref="B15:AF15" si="5">B8+B9</f>
        <v>11380882.5</v>
      </c>
      <c r="C15" s="79">
        <f t="shared" si="5"/>
        <v>11380882.5</v>
      </c>
      <c r="D15" s="79">
        <f t="shared" si="5"/>
        <v>6128167.5</v>
      </c>
      <c r="E15" s="79">
        <f t="shared" si="5"/>
        <v>6128167.5</v>
      </c>
      <c r="F15" s="79">
        <f t="shared" si="5"/>
        <v>6128167.5</v>
      </c>
      <c r="G15" s="79">
        <f t="shared" si="5"/>
        <v>6128167.5</v>
      </c>
      <c r="H15" s="79">
        <f t="shared" si="5"/>
        <v>5252715</v>
      </c>
      <c r="I15" s="79">
        <f t="shared" si="5"/>
        <v>3050543</v>
      </c>
      <c r="J15" s="79">
        <f t="shared" si="5"/>
        <v>2000000</v>
      </c>
      <c r="K15" s="79">
        <f t="shared" si="5"/>
        <v>2000000</v>
      </c>
      <c r="L15" s="79">
        <f t="shared" si="5"/>
        <v>2000000</v>
      </c>
      <c r="M15" s="79">
        <f t="shared" si="5"/>
        <v>2000000</v>
      </c>
      <c r="N15" s="79">
        <f t="shared" si="5"/>
        <v>8754525</v>
      </c>
      <c r="O15" s="79">
        <f t="shared" si="5"/>
        <v>4027081.4999999995</v>
      </c>
      <c r="P15" s="79">
        <f t="shared" si="5"/>
        <v>8404344</v>
      </c>
      <c r="Q15" s="79">
        <f t="shared" si="5"/>
        <v>4114626.75</v>
      </c>
      <c r="R15" s="79">
        <f t="shared" si="5"/>
        <v>2612816.75</v>
      </c>
      <c r="S15" s="79">
        <f t="shared" si="5"/>
        <v>2700362</v>
      </c>
      <c r="T15" s="79">
        <f t="shared" si="5"/>
        <v>5252715</v>
      </c>
      <c r="U15" s="79">
        <f t="shared" si="5"/>
        <v>3050543</v>
      </c>
      <c r="V15" s="79">
        <f t="shared" si="5"/>
        <v>2000000</v>
      </c>
      <c r="W15" s="79">
        <f t="shared" si="5"/>
        <v>4377262.5</v>
      </c>
      <c r="X15" s="79">
        <f t="shared" si="5"/>
        <v>3750905</v>
      </c>
      <c r="Y15" s="79">
        <f t="shared" si="5"/>
        <v>2000000</v>
      </c>
      <c r="Z15" s="79">
        <f t="shared" si="5"/>
        <v>3750905</v>
      </c>
      <c r="AA15" s="79">
        <f t="shared" si="5"/>
        <v>3488269.25</v>
      </c>
      <c r="AB15" s="79">
        <f t="shared" si="5"/>
        <v>2525271.5</v>
      </c>
      <c r="AC15" s="79">
        <f t="shared" si="5"/>
        <v>3750905</v>
      </c>
      <c r="AD15" s="79">
        <f t="shared" si="5"/>
        <v>3750905</v>
      </c>
      <c r="AE15" s="79">
        <f t="shared" si="5"/>
        <v>4377262.5</v>
      </c>
      <c r="AF15" s="79">
        <f t="shared" si="5"/>
        <v>3851991.0000000005</v>
      </c>
    </row>
    <row r="16" spans="1:32" ht="30" customHeight="1" x14ac:dyDescent="0.3">
      <c r="A16" s="10" t="s">
        <v>1133</v>
      </c>
      <c r="B16" s="79">
        <f>'Datos Iniciales'!$B$14*12/40</f>
        <v>525271.5</v>
      </c>
      <c r="C16" s="79">
        <f>'Datos Iniciales'!$B$14*12/40</f>
        <v>525271.5</v>
      </c>
      <c r="D16" s="79">
        <f>'Datos Iniciales'!$B$14*12/40</f>
        <v>525271.5</v>
      </c>
      <c r="E16" s="79">
        <f>'Datos Iniciales'!$B$14*12/40</f>
        <v>525271.5</v>
      </c>
      <c r="F16" s="79">
        <f>'Datos Iniciales'!$B$14*12/40</f>
        <v>525271.5</v>
      </c>
      <c r="G16" s="79">
        <f>'Datos Iniciales'!$B$14*12/40</f>
        <v>525271.5</v>
      </c>
      <c r="H16" s="79">
        <f>'Datos Iniciales'!$B$14*12/40</f>
        <v>525271.5</v>
      </c>
      <c r="I16" s="79">
        <f>'Datos Iniciales'!$B$14*12/40</f>
        <v>525271.5</v>
      </c>
      <c r="J16" s="79">
        <f>'Datos Iniciales'!$B$14*12/40</f>
        <v>525271.5</v>
      </c>
      <c r="K16" s="79">
        <f>'Datos Iniciales'!$B$14*12/40</f>
        <v>525271.5</v>
      </c>
      <c r="L16" s="79">
        <f>'Datos Iniciales'!$B$14*12/40</f>
        <v>525271.5</v>
      </c>
      <c r="M16" s="79">
        <f>'Datos Iniciales'!$B$14*12/40</f>
        <v>525271.5</v>
      </c>
      <c r="N16" s="79">
        <f>'Datos Iniciales'!$B$14*12/40</f>
        <v>525271.5</v>
      </c>
      <c r="O16" s="79">
        <f>'Datos Iniciales'!$B$14*12/40</f>
        <v>525271.5</v>
      </c>
      <c r="P16" s="79">
        <f>'Datos Iniciales'!$B$14*12/40</f>
        <v>525271.5</v>
      </c>
      <c r="Q16" s="79">
        <f>'Datos Iniciales'!$B$14*12/40</f>
        <v>525271.5</v>
      </c>
      <c r="R16" s="79">
        <f>'Datos Iniciales'!$B$14*12/40</f>
        <v>525271.5</v>
      </c>
      <c r="S16" s="79">
        <f>'Datos Iniciales'!$B$14*12/40</f>
        <v>525271.5</v>
      </c>
      <c r="T16" s="79">
        <f>'Datos Iniciales'!$B$14*12/40</f>
        <v>525271.5</v>
      </c>
      <c r="U16" s="79">
        <f>'Datos Iniciales'!$B$14*12/40</f>
        <v>525271.5</v>
      </c>
      <c r="V16" s="79">
        <f>'Datos Iniciales'!$B$14*12/40</f>
        <v>525271.5</v>
      </c>
      <c r="W16" s="79">
        <f>'Datos Iniciales'!$B$14*12/40</f>
        <v>525271.5</v>
      </c>
      <c r="X16" s="79">
        <f>'Datos Iniciales'!$B$14*12/40</f>
        <v>525271.5</v>
      </c>
      <c r="Y16" s="79">
        <f>'Datos Iniciales'!$B$14*12/40</f>
        <v>525271.5</v>
      </c>
      <c r="Z16" s="79">
        <f>'Datos Iniciales'!$B$14*12/40</f>
        <v>525271.5</v>
      </c>
      <c r="AA16" s="79">
        <f>'Datos Iniciales'!$B$14*12/40</f>
        <v>525271.5</v>
      </c>
      <c r="AB16" s="79">
        <f>'Datos Iniciales'!$B$14*12/40</f>
        <v>525271.5</v>
      </c>
      <c r="AC16" s="79">
        <f>'Datos Iniciales'!$B$14*12/40</f>
        <v>525271.5</v>
      </c>
      <c r="AD16" s="79">
        <f>'Datos Iniciales'!$B$14*12/40</f>
        <v>525271.5</v>
      </c>
      <c r="AE16" s="79">
        <f>'Datos Iniciales'!$B$14*12/40</f>
        <v>525271.5</v>
      </c>
      <c r="AF16" s="79">
        <f>'Datos Iniciales'!$B$14*12/40</f>
        <v>525271.5</v>
      </c>
    </row>
    <row r="17" spans="1:32" ht="30" customHeight="1" x14ac:dyDescent="0.3">
      <c r="A17" s="10" t="s">
        <v>1134</v>
      </c>
      <c r="B17" s="79">
        <f>IF(AND('Datos Iniciales'!$B$16="SI",B7&lt;10),0,B10*0.085)</f>
        <v>0</v>
      </c>
      <c r="C17" s="79">
        <f>IF(AND('Datos Iniciales'!$B$16="SI",C7&lt;10),0,C10*0.085)</f>
        <v>0</v>
      </c>
      <c r="D17" s="79">
        <f>IF(AND('Datos Iniciales'!$B$16="SI",D7&lt;10),0,D10*0.085)</f>
        <v>0</v>
      </c>
      <c r="E17" s="79">
        <f>IF(AND('Datos Iniciales'!$B$16="SI",E7&lt;10),0,E10*0.085)</f>
        <v>0</v>
      </c>
      <c r="F17" s="79">
        <f>IF(AND('Datos Iniciales'!$B$16="SI",F7&lt;10),0,F10*0.085)</f>
        <v>0</v>
      </c>
      <c r="G17" s="79">
        <f>IF(AND('Datos Iniciales'!$B$16="SI",G7&lt;10),0,G10*0.085)</f>
        <v>0</v>
      </c>
      <c r="H17" s="79">
        <f>IF(AND('Datos Iniciales'!$B$16="SI",H7&lt;10),0,H10*0.085)</f>
        <v>0</v>
      </c>
      <c r="I17" s="79">
        <f>IF(AND('Datos Iniciales'!$B$16="SI",I7&lt;10),0,I10*0.085)</f>
        <v>0</v>
      </c>
      <c r="J17" s="79">
        <f>IF(AND('Datos Iniciales'!$B$16="SI",J7&lt;10),0,J10*0.085)</f>
        <v>0</v>
      </c>
      <c r="K17" s="79">
        <f>IF(AND('Datos Iniciales'!$B$16="SI",K7&lt;10),0,K10*0.085)</f>
        <v>0</v>
      </c>
      <c r="L17" s="79">
        <f>IF(AND('Datos Iniciales'!$B$16="SI",L7&lt;10),0,L10*0.085)</f>
        <v>0</v>
      </c>
      <c r="M17" s="79">
        <f>IF(AND('Datos Iniciales'!$B$16="SI",M7&lt;10),0,M10*0.085)</f>
        <v>0</v>
      </c>
      <c r="N17" s="79">
        <f>IF(AND('Datos Iniciales'!$B$16="SI",N7&lt;10),0,N10*0.085)</f>
        <v>0</v>
      </c>
      <c r="O17" s="79">
        <f>IF(AND('Datos Iniciales'!$B$16="SI",O7&lt;10),0,O10*0.085)</f>
        <v>0</v>
      </c>
      <c r="P17" s="79">
        <f>IF(AND('Datos Iniciales'!$B$16="SI",P7&lt;10),0,P10*0.085)</f>
        <v>0</v>
      </c>
      <c r="Q17" s="79">
        <f>IF(AND('Datos Iniciales'!$B$16="SI",Q7&lt;10),0,Q10*0.085)</f>
        <v>0</v>
      </c>
      <c r="R17" s="79">
        <f>IF(AND('Datos Iniciales'!$B$16="SI",R7&lt;10),0,R10*0.085)</f>
        <v>0</v>
      </c>
      <c r="S17" s="79">
        <f>IF(AND('Datos Iniciales'!$B$16="SI",S7&lt;10),0,S10*0.085)</f>
        <v>0</v>
      </c>
      <c r="T17" s="79">
        <f>IF(AND('Datos Iniciales'!$B$16="SI",T7&lt;10),0,T10*0.085)</f>
        <v>0</v>
      </c>
      <c r="U17" s="79">
        <f>IF(AND('Datos Iniciales'!$B$16="SI",U7&lt;10),0,U10*0.085)</f>
        <v>0</v>
      </c>
      <c r="V17" s="79">
        <f>IF(AND('Datos Iniciales'!$B$16="SI",V7&lt;10),0,V10*0.085)</f>
        <v>0</v>
      </c>
      <c r="W17" s="79">
        <f>IF(AND('Datos Iniciales'!$B$16="SI",W7&lt;10),0,W10*0.085)</f>
        <v>0</v>
      </c>
      <c r="X17" s="79">
        <f>IF(AND('Datos Iniciales'!$B$16="SI",X7&lt;10),0,X10*0.085)</f>
        <v>0</v>
      </c>
      <c r="Y17" s="79">
        <f>IF(AND('Datos Iniciales'!$B$16="SI",Y7&lt;10),0,Y10*0.085)</f>
        <v>0</v>
      </c>
      <c r="Z17" s="79">
        <f>IF(AND('Datos Iniciales'!$B$16="SI",Z7&lt;10),0,Z10*0.085)</f>
        <v>0</v>
      </c>
      <c r="AA17" s="79">
        <f>IF(AND('Datos Iniciales'!$B$16="SI",AA7&lt;10),0,AA10*0.085)</f>
        <v>0</v>
      </c>
      <c r="AB17" s="79">
        <f>IF(AND('Datos Iniciales'!$B$16="SI",AB7&lt;10),0,AB10*0.085)</f>
        <v>0</v>
      </c>
      <c r="AC17" s="79">
        <f>IF(AND('Datos Iniciales'!$B$16="SI",AC7&lt;10),0,AC10*0.085)</f>
        <v>0</v>
      </c>
      <c r="AD17" s="79">
        <f>IF(AND('Datos Iniciales'!$B$16="SI",AD7&lt;10),0,AD10*0.085)</f>
        <v>0</v>
      </c>
      <c r="AE17" s="79">
        <f>IF(AND('Datos Iniciales'!$B$16="SI",AE7&lt;10),0,AE10*0.085)</f>
        <v>0</v>
      </c>
      <c r="AF17" s="79">
        <f>IF(AND('Datos Iniciales'!$B$16="SI",AF7&lt;10),0,AF10*0.085)</f>
        <v>0</v>
      </c>
    </row>
    <row r="18" spans="1:32" ht="30" customHeight="1" x14ac:dyDescent="0.3">
      <c r="A18" s="10" t="s">
        <v>1135</v>
      </c>
      <c r="B18" s="79">
        <f t="shared" ref="B18:AF18" si="6">B10*0.12</f>
        <v>16388470.799999999</v>
      </c>
      <c r="C18" s="79">
        <f t="shared" si="6"/>
        <v>16388470.799999999</v>
      </c>
      <c r="D18" s="79">
        <f t="shared" si="6"/>
        <v>8824561.1999999993</v>
      </c>
      <c r="E18" s="79">
        <f t="shared" si="6"/>
        <v>8824561.1999999993</v>
      </c>
      <c r="F18" s="79">
        <f t="shared" si="6"/>
        <v>8824561.1999999993</v>
      </c>
      <c r="G18" s="79">
        <f t="shared" si="6"/>
        <v>8824561.1999999993</v>
      </c>
      <c r="H18" s="79">
        <f t="shared" si="6"/>
        <v>7563909.5999999996</v>
      </c>
      <c r="I18" s="79">
        <f t="shared" si="6"/>
        <v>4034085.1199999996</v>
      </c>
      <c r="J18" s="79">
        <f t="shared" si="6"/>
        <v>2521303.1999999997</v>
      </c>
      <c r="K18" s="79">
        <f t="shared" si="6"/>
        <v>2521303.1999999997</v>
      </c>
      <c r="L18" s="79">
        <f t="shared" si="6"/>
        <v>2521303.1999999997</v>
      </c>
      <c r="M18" s="79">
        <f t="shared" si="6"/>
        <v>2521303.1999999997</v>
      </c>
      <c r="N18" s="79">
        <f t="shared" si="6"/>
        <v>12606516</v>
      </c>
      <c r="O18" s="79">
        <f t="shared" si="6"/>
        <v>5798997.3599999985</v>
      </c>
      <c r="P18" s="79">
        <f t="shared" si="6"/>
        <v>12102255.359999999</v>
      </c>
      <c r="Q18" s="79">
        <f t="shared" si="6"/>
        <v>5925062.5199999996</v>
      </c>
      <c r="R18" s="79">
        <f t="shared" si="6"/>
        <v>3403759.32</v>
      </c>
      <c r="S18" s="79">
        <f t="shared" si="6"/>
        <v>3529824.48</v>
      </c>
      <c r="T18" s="79">
        <f t="shared" si="6"/>
        <v>7563909.5999999996</v>
      </c>
      <c r="U18" s="79">
        <f t="shared" si="6"/>
        <v>4034085.1199999996</v>
      </c>
      <c r="V18" s="79">
        <f t="shared" si="6"/>
        <v>2521303.1999999997</v>
      </c>
      <c r="W18" s="79">
        <f t="shared" si="6"/>
        <v>6303258</v>
      </c>
      <c r="X18" s="79">
        <f t="shared" si="6"/>
        <v>5042606.3999999994</v>
      </c>
      <c r="Y18" s="79">
        <f t="shared" si="6"/>
        <v>2521303.1999999997</v>
      </c>
      <c r="Z18" s="79">
        <f t="shared" si="6"/>
        <v>5042606.3999999994</v>
      </c>
      <c r="AA18" s="79">
        <f t="shared" si="6"/>
        <v>4664410.92</v>
      </c>
      <c r="AB18" s="79">
        <f t="shared" si="6"/>
        <v>3277694.1599999997</v>
      </c>
      <c r="AC18" s="79">
        <f t="shared" si="6"/>
        <v>5042606.3999999994</v>
      </c>
      <c r="AD18" s="79">
        <f t="shared" si="6"/>
        <v>5042606.3999999994</v>
      </c>
      <c r="AE18" s="79">
        <f t="shared" si="6"/>
        <v>6303258</v>
      </c>
      <c r="AF18" s="79">
        <f t="shared" si="6"/>
        <v>5546867.040000001</v>
      </c>
    </row>
    <row r="19" spans="1:32" ht="30" customHeight="1" x14ac:dyDescent="0.3">
      <c r="A19" s="10" t="s">
        <v>1136</v>
      </c>
      <c r="B19" s="79">
        <f>B10*'Datos Iniciales'!$B$19</f>
        <v>9505313.0639999993</v>
      </c>
      <c r="C19" s="79">
        <f>C10*'Datos Iniciales'!$B$19</f>
        <v>9505313.0639999993</v>
      </c>
      <c r="D19" s="79">
        <f>D10*'Datos Iniciales'!$B$19</f>
        <v>5118245.4959999993</v>
      </c>
      <c r="E19" s="79">
        <f>E10*'Datos Iniciales'!$B$19</f>
        <v>5118245.4959999993</v>
      </c>
      <c r="F19" s="79">
        <f>F10*'Datos Iniciales'!$B$19</f>
        <v>5118245.4959999993</v>
      </c>
      <c r="G19" s="79">
        <f>G10*'Datos Iniciales'!$B$19</f>
        <v>5118245.4959999993</v>
      </c>
      <c r="H19" s="79">
        <f>H10*'Datos Iniciales'!$B$19</f>
        <v>4387067.568</v>
      </c>
      <c r="I19" s="79">
        <f>I10*'Datos Iniciales'!$B$19</f>
        <v>2339769.3695999999</v>
      </c>
      <c r="J19" s="79">
        <f>J10*'Datos Iniciales'!$B$19</f>
        <v>1462355.8559999999</v>
      </c>
      <c r="K19" s="79">
        <f>K10*'Datos Iniciales'!$B$19</f>
        <v>1462355.8559999999</v>
      </c>
      <c r="L19" s="79">
        <f>L10*'Datos Iniciales'!$B$19</f>
        <v>1462355.8559999999</v>
      </c>
      <c r="M19" s="79">
        <f>M10*'Datos Iniciales'!$B$19</f>
        <v>1462355.8559999999</v>
      </c>
      <c r="N19" s="79">
        <f>N10*'Datos Iniciales'!$B$19</f>
        <v>7311779.2799999993</v>
      </c>
      <c r="O19" s="79">
        <f>O10*'Datos Iniciales'!$B$19</f>
        <v>3363418.4687999994</v>
      </c>
      <c r="P19" s="79">
        <f>P10*'Datos Iniciales'!$B$19</f>
        <v>7019308.1087999996</v>
      </c>
      <c r="Q19" s="79">
        <f>Q10*'Datos Iniciales'!$B$19</f>
        <v>3436536.2615999999</v>
      </c>
      <c r="R19" s="79">
        <f>R10*'Datos Iniciales'!$B$19</f>
        <v>1974180.4055999999</v>
      </c>
      <c r="S19" s="79">
        <f>S10*'Datos Iniciales'!$B$19</f>
        <v>2047298.1983999999</v>
      </c>
      <c r="T19" s="79">
        <f>T10*'Datos Iniciales'!$B$19</f>
        <v>4387067.568</v>
      </c>
      <c r="U19" s="79">
        <f>U10*'Datos Iniciales'!$B$19</f>
        <v>2339769.3695999999</v>
      </c>
      <c r="V19" s="79">
        <f>V10*'Datos Iniciales'!$B$19</f>
        <v>1462355.8559999999</v>
      </c>
      <c r="W19" s="79">
        <f>W10*'Datos Iniciales'!$B$19</f>
        <v>3655889.6399999997</v>
      </c>
      <c r="X19" s="79">
        <f>X10*'Datos Iniciales'!$B$19</f>
        <v>2924711.7119999998</v>
      </c>
      <c r="Y19" s="79">
        <f>Y10*'Datos Iniciales'!$B$19</f>
        <v>1462355.8559999999</v>
      </c>
      <c r="Z19" s="79">
        <f>Z10*'Datos Iniciales'!$B$19</f>
        <v>2924711.7119999998</v>
      </c>
      <c r="AA19" s="79">
        <f>AA10*'Datos Iniciales'!$B$19</f>
        <v>2705358.3336</v>
      </c>
      <c r="AB19" s="79">
        <f>AB10*'Datos Iniciales'!$B$19</f>
        <v>1901062.6127999998</v>
      </c>
      <c r="AC19" s="79">
        <f>AC10*'Datos Iniciales'!$B$19</f>
        <v>2924711.7119999998</v>
      </c>
      <c r="AD19" s="79">
        <f>AD10*'Datos Iniciales'!$B$19</f>
        <v>2924711.7119999998</v>
      </c>
      <c r="AE19" s="79">
        <f>AE10*'Datos Iniciales'!$B$19</f>
        <v>3655889.6399999997</v>
      </c>
      <c r="AF19" s="79">
        <f>AF10*'Datos Iniciales'!$B$19</f>
        <v>3217182.8832000005</v>
      </c>
    </row>
    <row r="20" spans="1:32" ht="30" customHeight="1" x14ac:dyDescent="0.3">
      <c r="A20" s="10" t="s">
        <v>1137</v>
      </c>
      <c r="B20" s="79">
        <f t="shared" ref="B20:AF20" si="7">B10*0.04</f>
        <v>5462823.6000000006</v>
      </c>
      <c r="C20" s="79">
        <f t="shared" si="7"/>
        <v>5462823.6000000006</v>
      </c>
      <c r="D20" s="79">
        <f t="shared" si="7"/>
        <v>2941520.4</v>
      </c>
      <c r="E20" s="79">
        <f t="shared" si="7"/>
        <v>2941520.4</v>
      </c>
      <c r="F20" s="79">
        <f t="shared" si="7"/>
        <v>2941520.4</v>
      </c>
      <c r="G20" s="79">
        <f t="shared" si="7"/>
        <v>2941520.4</v>
      </c>
      <c r="H20" s="79">
        <f t="shared" si="7"/>
        <v>2521303.2000000002</v>
      </c>
      <c r="I20" s="79">
        <f t="shared" si="7"/>
        <v>1344695.04</v>
      </c>
      <c r="J20" s="79">
        <f t="shared" si="7"/>
        <v>840434.4</v>
      </c>
      <c r="K20" s="79">
        <f t="shared" si="7"/>
        <v>840434.4</v>
      </c>
      <c r="L20" s="79">
        <f t="shared" si="7"/>
        <v>840434.4</v>
      </c>
      <c r="M20" s="79">
        <f t="shared" si="7"/>
        <v>840434.4</v>
      </c>
      <c r="N20" s="79">
        <f t="shared" si="7"/>
        <v>4202172</v>
      </c>
      <c r="O20" s="79">
        <f t="shared" si="7"/>
        <v>1932999.1199999996</v>
      </c>
      <c r="P20" s="79">
        <f t="shared" si="7"/>
        <v>4034085.12</v>
      </c>
      <c r="Q20" s="79">
        <f t="shared" si="7"/>
        <v>1975020.84</v>
      </c>
      <c r="R20" s="79">
        <f t="shared" si="7"/>
        <v>1134586.44</v>
      </c>
      <c r="S20" s="79">
        <f t="shared" si="7"/>
        <v>1176608.1599999999</v>
      </c>
      <c r="T20" s="79">
        <f t="shared" si="7"/>
        <v>2521303.2000000002</v>
      </c>
      <c r="U20" s="79">
        <f t="shared" si="7"/>
        <v>1344695.04</v>
      </c>
      <c r="V20" s="79">
        <f t="shared" si="7"/>
        <v>840434.4</v>
      </c>
      <c r="W20" s="79">
        <f t="shared" si="7"/>
        <v>2101086</v>
      </c>
      <c r="X20" s="79">
        <f t="shared" si="7"/>
        <v>1680868.8</v>
      </c>
      <c r="Y20" s="79">
        <f t="shared" si="7"/>
        <v>840434.4</v>
      </c>
      <c r="Z20" s="79">
        <f t="shared" si="7"/>
        <v>1680868.8</v>
      </c>
      <c r="AA20" s="79">
        <f t="shared" si="7"/>
        <v>1554803.6400000001</v>
      </c>
      <c r="AB20" s="79">
        <f t="shared" si="7"/>
        <v>1092564.72</v>
      </c>
      <c r="AC20" s="79">
        <f t="shared" si="7"/>
        <v>1680868.8</v>
      </c>
      <c r="AD20" s="79">
        <f t="shared" si="7"/>
        <v>1680868.8</v>
      </c>
      <c r="AE20" s="79">
        <f t="shared" si="7"/>
        <v>2101086</v>
      </c>
      <c r="AF20" s="79">
        <f t="shared" si="7"/>
        <v>1848955.6800000004</v>
      </c>
    </row>
    <row r="21" spans="1:32" ht="30" customHeight="1" x14ac:dyDescent="0.3">
      <c r="A21" s="10" t="s">
        <v>1138</v>
      </c>
      <c r="B21" s="79">
        <f>IF(AND('Datos Iniciales'!$B$16="SI",B7&lt;10),0,B10*0.02)</f>
        <v>0</v>
      </c>
      <c r="C21" s="79">
        <f>IF(AND('Datos Iniciales'!$B$16="SI",C7&lt;10),0,C10*0.02)</f>
        <v>0</v>
      </c>
      <c r="D21" s="79">
        <f>IF(AND('Datos Iniciales'!$B$16="SI",D7&lt;10),0,D10*0.02)</f>
        <v>0</v>
      </c>
      <c r="E21" s="79">
        <f>IF(AND('Datos Iniciales'!$B$16="SI",E7&lt;10),0,E10*0.02)</f>
        <v>0</v>
      </c>
      <c r="F21" s="79">
        <f>IF(AND('Datos Iniciales'!$B$16="SI",F7&lt;10),0,F10*0.02)</f>
        <v>0</v>
      </c>
      <c r="G21" s="79">
        <f>IF(AND('Datos Iniciales'!$B$16="SI",G7&lt;10),0,G10*0.02)</f>
        <v>0</v>
      </c>
      <c r="H21" s="79">
        <f>IF(AND('Datos Iniciales'!$B$16="SI",H7&lt;10),0,H10*0.02)</f>
        <v>0</v>
      </c>
      <c r="I21" s="79">
        <f>IF(AND('Datos Iniciales'!$B$16="SI",I7&lt;10),0,I10*0.02)</f>
        <v>0</v>
      </c>
      <c r="J21" s="79">
        <f>IF(AND('Datos Iniciales'!$B$16="SI",J7&lt;10),0,J10*0.02)</f>
        <v>0</v>
      </c>
      <c r="K21" s="79">
        <f>IF(AND('Datos Iniciales'!$B$16="SI",K7&lt;10),0,K10*0.02)</f>
        <v>0</v>
      </c>
      <c r="L21" s="79">
        <f>IF(AND('Datos Iniciales'!$B$16="SI",L7&lt;10),0,L10*0.02)</f>
        <v>0</v>
      </c>
      <c r="M21" s="79">
        <f>IF(AND('Datos Iniciales'!$B$16="SI",M7&lt;10),0,M10*0.02)</f>
        <v>0</v>
      </c>
      <c r="N21" s="79">
        <f>IF(AND('Datos Iniciales'!$B$16="SI",N7&lt;10),0,N10*0.02)</f>
        <v>0</v>
      </c>
      <c r="O21" s="79">
        <f>IF(AND('Datos Iniciales'!$B$16="SI",O7&lt;10),0,O10*0.02)</f>
        <v>0</v>
      </c>
      <c r="P21" s="79">
        <f>IF(AND('Datos Iniciales'!$B$16="SI",P7&lt;10),0,P10*0.02)</f>
        <v>0</v>
      </c>
      <c r="Q21" s="79">
        <f>IF(AND('Datos Iniciales'!$B$16="SI",Q7&lt;10),0,Q10*0.02)</f>
        <v>0</v>
      </c>
      <c r="R21" s="79">
        <f>IF(AND('Datos Iniciales'!$B$16="SI",R7&lt;10),0,R10*0.02)</f>
        <v>0</v>
      </c>
      <c r="S21" s="79">
        <f>IF(AND('Datos Iniciales'!$B$16="SI",S7&lt;10),0,S10*0.02)</f>
        <v>0</v>
      </c>
      <c r="T21" s="79">
        <f>IF(AND('Datos Iniciales'!$B$16="SI",T7&lt;10),0,T10*0.02)</f>
        <v>0</v>
      </c>
      <c r="U21" s="79">
        <f>IF(AND('Datos Iniciales'!$B$16="SI",U7&lt;10),0,U10*0.02)</f>
        <v>0</v>
      </c>
      <c r="V21" s="79">
        <f>IF(AND('Datos Iniciales'!$B$16="SI",V7&lt;10),0,V10*0.02)</f>
        <v>0</v>
      </c>
      <c r="W21" s="79">
        <f>IF(AND('Datos Iniciales'!$B$16="SI",W7&lt;10),0,W10*0.02)</f>
        <v>0</v>
      </c>
      <c r="X21" s="79">
        <f>IF(AND('Datos Iniciales'!$B$16="SI",X7&lt;10),0,X10*0.02)</f>
        <v>0</v>
      </c>
      <c r="Y21" s="79">
        <f>IF(AND('Datos Iniciales'!$B$16="SI",Y7&lt;10),0,Y10*0.02)</f>
        <v>0</v>
      </c>
      <c r="Z21" s="79">
        <f>IF(AND('Datos Iniciales'!$B$16="SI",Z7&lt;10),0,Z10*0.02)</f>
        <v>0</v>
      </c>
      <c r="AA21" s="79">
        <f>IF(AND('Datos Iniciales'!$B$16="SI",AA7&lt;10),0,AA10*0.02)</f>
        <v>0</v>
      </c>
      <c r="AB21" s="79">
        <f>IF(AND('Datos Iniciales'!$B$16="SI",AB7&lt;10),0,AB10*0.02)</f>
        <v>0</v>
      </c>
      <c r="AC21" s="79">
        <f>IF(AND('Datos Iniciales'!$B$16="SI",AC7&lt;10),0,AC10*0.02)</f>
        <v>0</v>
      </c>
      <c r="AD21" s="79">
        <f>IF(AND('Datos Iniciales'!$B$16="SI",AD7&lt;10),0,AD10*0.02)</f>
        <v>0</v>
      </c>
      <c r="AE21" s="79">
        <f>IF(AND('Datos Iniciales'!$B$16="SI",AE7&lt;10),0,AE10*0.02)</f>
        <v>0</v>
      </c>
      <c r="AF21" s="79">
        <f>IF(AND('Datos Iniciales'!$B$16="SI",AF7&lt;10),0,AF10*0.02)</f>
        <v>0</v>
      </c>
    </row>
    <row r="22" spans="1:32" ht="30" customHeight="1" x14ac:dyDescent="0.3">
      <c r="A22" s="10" t="s">
        <v>1139</v>
      </c>
      <c r="B22" s="79">
        <f>IF(AND('Datos Iniciales'!$B$16="SI",B7&lt;10),0,B10*0.03)</f>
        <v>0</v>
      </c>
      <c r="C22" s="79">
        <f>IF(AND('Datos Iniciales'!$B$16="SI",C7&lt;10),0,C10*0.03)</f>
        <v>0</v>
      </c>
      <c r="D22" s="79">
        <f>IF(AND('Datos Iniciales'!$B$16="SI",D7&lt;10),0,D10*0.03)</f>
        <v>0</v>
      </c>
      <c r="E22" s="79">
        <f>IF(AND('Datos Iniciales'!$B$16="SI",E7&lt;10),0,E10*0.03)</f>
        <v>0</v>
      </c>
      <c r="F22" s="79">
        <f>IF(AND('Datos Iniciales'!$B$16="SI",F7&lt;10),0,F10*0.03)</f>
        <v>0</v>
      </c>
      <c r="G22" s="79">
        <f>IF(AND('Datos Iniciales'!$B$16="SI",G7&lt;10),0,G10*0.03)</f>
        <v>0</v>
      </c>
      <c r="H22" s="79">
        <f>IF(AND('Datos Iniciales'!$B$16="SI",H7&lt;10),0,H10*0.03)</f>
        <v>0</v>
      </c>
      <c r="I22" s="79">
        <f>IF(AND('Datos Iniciales'!$B$16="SI",I7&lt;10),0,I10*0.03)</f>
        <v>0</v>
      </c>
      <c r="J22" s="79">
        <f>IF(AND('Datos Iniciales'!$B$16="SI",J7&lt;10),0,J10*0.03)</f>
        <v>0</v>
      </c>
      <c r="K22" s="79">
        <f>IF(AND('Datos Iniciales'!$B$16="SI",K7&lt;10),0,K10*0.03)</f>
        <v>0</v>
      </c>
      <c r="L22" s="79">
        <f>IF(AND('Datos Iniciales'!$B$16="SI",L7&lt;10),0,L10*0.03)</f>
        <v>0</v>
      </c>
      <c r="M22" s="79">
        <f>IF(AND('Datos Iniciales'!$B$16="SI",M7&lt;10),0,M10*0.03)</f>
        <v>0</v>
      </c>
      <c r="N22" s="79">
        <f>IF(AND('Datos Iniciales'!$B$16="SI",N7&lt;10),0,N10*0.03)</f>
        <v>0</v>
      </c>
      <c r="O22" s="79">
        <f>IF(AND('Datos Iniciales'!$B$16="SI",O7&lt;10),0,O10*0.03)</f>
        <v>0</v>
      </c>
      <c r="P22" s="79">
        <f>IF(AND('Datos Iniciales'!$B$16="SI",P7&lt;10),0,P10*0.03)</f>
        <v>0</v>
      </c>
      <c r="Q22" s="79">
        <f>IF(AND('Datos Iniciales'!$B$16="SI",Q7&lt;10),0,Q10*0.03)</f>
        <v>0</v>
      </c>
      <c r="R22" s="79">
        <f>IF(AND('Datos Iniciales'!$B$16="SI",R7&lt;10),0,R10*0.03)</f>
        <v>0</v>
      </c>
      <c r="S22" s="79">
        <f>IF(AND('Datos Iniciales'!$B$16="SI",S7&lt;10),0,S10*0.03)</f>
        <v>0</v>
      </c>
      <c r="T22" s="79">
        <f>IF(AND('Datos Iniciales'!$B$16="SI",T7&lt;10),0,T10*0.03)</f>
        <v>0</v>
      </c>
      <c r="U22" s="79">
        <f>IF(AND('Datos Iniciales'!$B$16="SI",U7&lt;10),0,U10*0.03)</f>
        <v>0</v>
      </c>
      <c r="V22" s="79">
        <f>IF(AND('Datos Iniciales'!$B$16="SI",V7&lt;10),0,V10*0.03)</f>
        <v>0</v>
      </c>
      <c r="W22" s="79">
        <f>IF(AND('Datos Iniciales'!$B$16="SI",W7&lt;10),0,W10*0.03)</f>
        <v>0</v>
      </c>
      <c r="X22" s="79">
        <f>IF(AND('Datos Iniciales'!$B$16="SI",X7&lt;10),0,X10*0.03)</f>
        <v>0</v>
      </c>
      <c r="Y22" s="79">
        <f>IF(AND('Datos Iniciales'!$B$16="SI",Y7&lt;10),0,Y10*0.03)</f>
        <v>0</v>
      </c>
      <c r="Z22" s="79">
        <f>IF(AND('Datos Iniciales'!$B$16="SI",Z7&lt;10),0,Z10*0.03)</f>
        <v>0</v>
      </c>
      <c r="AA22" s="79">
        <f>IF(AND('Datos Iniciales'!$B$16="SI",AA7&lt;10),0,AA10*0.03)</f>
        <v>0</v>
      </c>
      <c r="AB22" s="79">
        <f>IF(AND('Datos Iniciales'!$B$16="SI",AB7&lt;10),0,AB10*0.03)</f>
        <v>0</v>
      </c>
      <c r="AC22" s="79">
        <f>IF(AND('Datos Iniciales'!$B$16="SI",AC7&lt;10),0,AC10*0.03)</f>
        <v>0</v>
      </c>
      <c r="AD22" s="79">
        <f>IF(AND('Datos Iniciales'!$B$16="SI",AD7&lt;10),0,AD10*0.03)</f>
        <v>0</v>
      </c>
      <c r="AE22" s="79">
        <f>IF(AND('Datos Iniciales'!$B$16="SI",AE7&lt;10),0,AE10*0.03)</f>
        <v>0</v>
      </c>
      <c r="AF22" s="79">
        <f>IF(AND('Datos Iniciales'!$B$16="SI",AF7&lt;10),0,AF10*0.03)</f>
        <v>0</v>
      </c>
    </row>
    <row r="23" spans="1:32" ht="30" customHeight="1" x14ac:dyDescent="0.3">
      <c r="A23" s="10" t="s">
        <v>1140</v>
      </c>
      <c r="B23" s="80">
        <v>100000</v>
      </c>
      <c r="C23" s="80">
        <v>100000</v>
      </c>
      <c r="D23" s="80">
        <v>100000</v>
      </c>
      <c r="E23" s="80">
        <v>100000</v>
      </c>
      <c r="F23" s="80">
        <v>100000</v>
      </c>
      <c r="G23" s="80">
        <v>100000</v>
      </c>
      <c r="H23" s="80">
        <v>100000</v>
      </c>
      <c r="I23" s="80">
        <v>100000</v>
      </c>
      <c r="J23" s="80">
        <v>100000</v>
      </c>
      <c r="K23" s="80">
        <v>100000</v>
      </c>
      <c r="L23" s="80">
        <v>100000</v>
      </c>
      <c r="M23" s="80">
        <v>100000</v>
      </c>
      <c r="N23" s="80">
        <v>100000</v>
      </c>
      <c r="O23" s="80">
        <v>100000</v>
      </c>
      <c r="P23" s="80">
        <v>100000</v>
      </c>
      <c r="Q23" s="80">
        <v>100000</v>
      </c>
      <c r="R23" s="80">
        <v>100000</v>
      </c>
      <c r="S23" s="80">
        <v>100000</v>
      </c>
      <c r="T23" s="80">
        <v>100000</v>
      </c>
      <c r="U23" s="80">
        <v>100000</v>
      </c>
      <c r="V23" s="80">
        <v>100000</v>
      </c>
      <c r="W23" s="80">
        <v>100000</v>
      </c>
      <c r="X23" s="80">
        <v>100000</v>
      </c>
      <c r="Y23" s="80">
        <v>100000</v>
      </c>
      <c r="Z23" s="80">
        <v>100000</v>
      </c>
      <c r="AA23" s="80">
        <v>100000</v>
      </c>
      <c r="AB23" s="80">
        <v>100000</v>
      </c>
      <c r="AC23" s="80">
        <v>100000</v>
      </c>
      <c r="AD23" s="80">
        <v>100000</v>
      </c>
      <c r="AE23" s="80">
        <v>100000</v>
      </c>
      <c r="AF23" s="80">
        <v>100000</v>
      </c>
    </row>
    <row r="24" spans="1:32" ht="30" customHeight="1" x14ac:dyDescent="0.3">
      <c r="A24" s="10" t="s">
        <v>1141</v>
      </c>
      <c r="B24" s="80">
        <f t="shared" ref="B24:AF24" si="8">IF(B7&lt;=2,$C$49,0)</f>
        <v>0</v>
      </c>
      <c r="C24" s="80">
        <f t="shared" si="8"/>
        <v>0</v>
      </c>
      <c r="D24" s="80">
        <f t="shared" si="8"/>
        <v>0</v>
      </c>
      <c r="E24" s="80">
        <f t="shared" si="8"/>
        <v>0</v>
      </c>
      <c r="F24" s="80">
        <f t="shared" si="8"/>
        <v>0</v>
      </c>
      <c r="G24" s="80">
        <f t="shared" si="8"/>
        <v>0</v>
      </c>
      <c r="H24" s="80">
        <f t="shared" si="8"/>
        <v>0</v>
      </c>
      <c r="I24" s="80">
        <f t="shared" si="8"/>
        <v>390000</v>
      </c>
      <c r="J24" s="80">
        <f t="shared" si="8"/>
        <v>390000</v>
      </c>
      <c r="K24" s="80">
        <f t="shared" si="8"/>
        <v>390000</v>
      </c>
      <c r="L24" s="80">
        <f t="shared" si="8"/>
        <v>390000</v>
      </c>
      <c r="M24" s="80">
        <f t="shared" si="8"/>
        <v>390000</v>
      </c>
      <c r="N24" s="80">
        <f t="shared" si="8"/>
        <v>0</v>
      </c>
      <c r="O24" s="80">
        <f t="shared" si="8"/>
        <v>0</v>
      </c>
      <c r="P24" s="80">
        <f t="shared" si="8"/>
        <v>0</v>
      </c>
      <c r="Q24" s="80">
        <f t="shared" si="8"/>
        <v>0</v>
      </c>
      <c r="R24" s="80">
        <f t="shared" si="8"/>
        <v>390000</v>
      </c>
      <c r="S24" s="80">
        <f t="shared" si="8"/>
        <v>390000</v>
      </c>
      <c r="T24" s="80">
        <f t="shared" si="8"/>
        <v>0</v>
      </c>
      <c r="U24" s="80">
        <f t="shared" si="8"/>
        <v>390000</v>
      </c>
      <c r="V24" s="80">
        <f t="shared" si="8"/>
        <v>390000</v>
      </c>
      <c r="W24" s="80">
        <f t="shared" si="8"/>
        <v>0</v>
      </c>
      <c r="X24" s="80">
        <f t="shared" si="8"/>
        <v>390000</v>
      </c>
      <c r="Y24" s="80">
        <f t="shared" si="8"/>
        <v>390000</v>
      </c>
      <c r="Z24" s="80">
        <f t="shared" si="8"/>
        <v>390000</v>
      </c>
      <c r="AA24" s="80">
        <f t="shared" si="8"/>
        <v>390000</v>
      </c>
      <c r="AB24" s="80">
        <f t="shared" si="8"/>
        <v>390000</v>
      </c>
      <c r="AC24" s="80">
        <f t="shared" si="8"/>
        <v>390000</v>
      </c>
      <c r="AD24" s="80">
        <f t="shared" si="8"/>
        <v>390000</v>
      </c>
      <c r="AE24" s="80">
        <f t="shared" si="8"/>
        <v>0</v>
      </c>
      <c r="AF24" s="80">
        <f t="shared" si="8"/>
        <v>0</v>
      </c>
    </row>
    <row r="25" spans="1:32" ht="30" customHeight="1" x14ac:dyDescent="0.3">
      <c r="A25" s="10" t="s">
        <v>1142</v>
      </c>
      <c r="B25" s="80">
        <v>390500</v>
      </c>
      <c r="C25" s="80">
        <v>390500</v>
      </c>
      <c r="D25" s="80">
        <v>390500</v>
      </c>
      <c r="E25" s="80">
        <v>390500</v>
      </c>
      <c r="F25" s="80">
        <v>390500</v>
      </c>
      <c r="G25" s="80">
        <v>390500</v>
      </c>
      <c r="H25" s="80">
        <v>390500</v>
      </c>
      <c r="I25" s="80">
        <v>390500</v>
      </c>
      <c r="J25" s="80">
        <v>390500</v>
      </c>
      <c r="K25" s="80">
        <v>390500</v>
      </c>
      <c r="L25" s="80">
        <v>390500</v>
      </c>
      <c r="M25" s="80">
        <v>390500</v>
      </c>
      <c r="N25" s="80">
        <v>390500</v>
      </c>
      <c r="O25" s="80">
        <v>390500</v>
      </c>
      <c r="P25" s="80">
        <v>390500</v>
      </c>
      <c r="Q25" s="80">
        <v>390500</v>
      </c>
      <c r="R25" s="80">
        <v>390500</v>
      </c>
      <c r="S25" s="80">
        <v>390500</v>
      </c>
      <c r="T25" s="80">
        <v>662200</v>
      </c>
      <c r="U25" s="80">
        <v>662200</v>
      </c>
      <c r="V25" s="80">
        <v>662200</v>
      </c>
      <c r="W25" s="80">
        <v>662200</v>
      </c>
      <c r="X25" s="80">
        <v>662200</v>
      </c>
      <c r="Y25" s="80">
        <v>662200</v>
      </c>
      <c r="Z25" s="80">
        <v>662200</v>
      </c>
      <c r="AA25" s="80">
        <v>662200</v>
      </c>
      <c r="AB25" s="80">
        <v>662200</v>
      </c>
      <c r="AC25" s="80">
        <v>662200</v>
      </c>
      <c r="AD25" s="80">
        <v>662200</v>
      </c>
      <c r="AE25" s="80">
        <v>662200</v>
      </c>
      <c r="AF25" s="80">
        <v>662200</v>
      </c>
    </row>
    <row r="26" spans="1:32" ht="30" customHeight="1" x14ac:dyDescent="0.3">
      <c r="A26" s="1" t="s">
        <v>1143</v>
      </c>
      <c r="B26" s="81">
        <f t="shared" ref="B26:AF26" si="9">SUM(B10:B25)</f>
        <v>198760881.11400002</v>
      </c>
      <c r="C26" s="81">
        <f t="shared" si="9"/>
        <v>198760881.11400002</v>
      </c>
      <c r="D26" s="81">
        <f t="shared" si="9"/>
        <v>107493907.44600001</v>
      </c>
      <c r="E26" s="81">
        <f t="shared" si="9"/>
        <v>107493907.44600001</v>
      </c>
      <c r="F26" s="81">
        <f t="shared" si="9"/>
        <v>107493907.44600001</v>
      </c>
      <c r="G26" s="81">
        <f t="shared" si="9"/>
        <v>107493907.44600001</v>
      </c>
      <c r="H26" s="81">
        <f t="shared" si="9"/>
        <v>92282745.167999998</v>
      </c>
      <c r="I26" s="81">
        <f t="shared" si="9"/>
        <v>53598712.189599991</v>
      </c>
      <c r="J26" s="81">
        <f t="shared" si="9"/>
        <v>35345317.456</v>
      </c>
      <c r="K26" s="81">
        <f t="shared" si="9"/>
        <v>35345317.456</v>
      </c>
      <c r="L26" s="81">
        <f t="shared" si="9"/>
        <v>35345317.456</v>
      </c>
      <c r="M26" s="81">
        <f t="shared" si="9"/>
        <v>35345317.456</v>
      </c>
      <c r="N26" s="81">
        <f t="shared" si="9"/>
        <v>153127394.28</v>
      </c>
      <c r="O26" s="81">
        <f t="shared" si="9"/>
        <v>70987117.978799999</v>
      </c>
      <c r="P26" s="81">
        <f t="shared" si="9"/>
        <v>147042929.36879998</v>
      </c>
      <c r="Q26" s="81">
        <f t="shared" si="9"/>
        <v>72508234.20660001</v>
      </c>
      <c r="R26" s="81">
        <f t="shared" si="9"/>
        <v>45993131.050599992</v>
      </c>
      <c r="S26" s="81">
        <f t="shared" si="9"/>
        <v>47514247.278399989</v>
      </c>
      <c r="T26" s="81">
        <f t="shared" si="9"/>
        <v>92554445.167999998</v>
      </c>
      <c r="U26" s="81">
        <f t="shared" si="9"/>
        <v>53870412.189599991</v>
      </c>
      <c r="V26" s="81">
        <f t="shared" si="9"/>
        <v>35617017.456</v>
      </c>
      <c r="W26" s="81">
        <f t="shared" si="9"/>
        <v>77343282.890000001</v>
      </c>
      <c r="X26" s="81">
        <f t="shared" si="9"/>
        <v>66039342.011999995</v>
      </c>
      <c r="Y26" s="81">
        <f t="shared" si="9"/>
        <v>35617017.456</v>
      </c>
      <c r="Z26" s="81">
        <f t="shared" si="9"/>
        <v>66039342.011999995</v>
      </c>
      <c r="AA26" s="81">
        <f t="shared" si="9"/>
        <v>61475993.328600004</v>
      </c>
      <c r="AB26" s="81">
        <f t="shared" si="9"/>
        <v>44743714.822799996</v>
      </c>
      <c r="AC26" s="81">
        <f t="shared" si="9"/>
        <v>66039342.011999995</v>
      </c>
      <c r="AD26" s="81">
        <f t="shared" si="9"/>
        <v>66039342.011999995</v>
      </c>
      <c r="AE26" s="81">
        <f t="shared" si="9"/>
        <v>77343282.890000001</v>
      </c>
      <c r="AF26" s="81">
        <f t="shared" si="9"/>
        <v>68216585.523200005</v>
      </c>
    </row>
    <row r="27" spans="1:32" ht="30" customHeight="1" x14ac:dyDescent="0.3">
      <c r="A27" s="1" t="s">
        <v>1089</v>
      </c>
      <c r="B27" s="81">
        <f t="shared" ref="B27:AF27" si="10">B26/12</f>
        <v>16563406.759500002</v>
      </c>
      <c r="C27" s="81">
        <f t="shared" si="10"/>
        <v>16563406.759500002</v>
      </c>
      <c r="D27" s="81">
        <f t="shared" si="10"/>
        <v>8957825.6205000002</v>
      </c>
      <c r="E27" s="81">
        <f t="shared" si="10"/>
        <v>8957825.6205000002</v>
      </c>
      <c r="F27" s="81">
        <f t="shared" si="10"/>
        <v>8957825.6205000002</v>
      </c>
      <c r="G27" s="81">
        <f t="shared" si="10"/>
        <v>8957825.6205000002</v>
      </c>
      <c r="H27" s="81">
        <f t="shared" si="10"/>
        <v>7690228.7639999995</v>
      </c>
      <c r="I27" s="81">
        <f t="shared" si="10"/>
        <v>4466559.3491333323</v>
      </c>
      <c r="J27" s="81">
        <f t="shared" si="10"/>
        <v>2945443.1213333332</v>
      </c>
      <c r="K27" s="81">
        <f t="shared" si="10"/>
        <v>2945443.1213333332</v>
      </c>
      <c r="L27" s="81">
        <f t="shared" si="10"/>
        <v>2945443.1213333332</v>
      </c>
      <c r="M27" s="81">
        <f t="shared" si="10"/>
        <v>2945443.1213333332</v>
      </c>
      <c r="N27" s="81">
        <f t="shared" si="10"/>
        <v>12760616.189999999</v>
      </c>
      <c r="O27" s="81">
        <f t="shared" si="10"/>
        <v>5915593.1649000002</v>
      </c>
      <c r="P27" s="81">
        <f t="shared" si="10"/>
        <v>12253577.447399998</v>
      </c>
      <c r="Q27" s="81">
        <f t="shared" si="10"/>
        <v>6042352.8505500006</v>
      </c>
      <c r="R27" s="81">
        <f t="shared" si="10"/>
        <v>3832760.9208833328</v>
      </c>
      <c r="S27" s="81">
        <f t="shared" si="10"/>
        <v>3959520.6065333323</v>
      </c>
      <c r="T27" s="81">
        <f t="shared" si="10"/>
        <v>7712870.4306666665</v>
      </c>
      <c r="U27" s="81">
        <f t="shared" si="10"/>
        <v>4489201.0157999992</v>
      </c>
      <c r="V27" s="81">
        <f t="shared" si="10"/>
        <v>2968084.7880000002</v>
      </c>
      <c r="W27" s="81">
        <f t="shared" si="10"/>
        <v>6445273.5741666667</v>
      </c>
      <c r="X27" s="81">
        <f t="shared" si="10"/>
        <v>5503278.5009999992</v>
      </c>
      <c r="Y27" s="81">
        <f t="shared" si="10"/>
        <v>2968084.7880000002</v>
      </c>
      <c r="Z27" s="81">
        <f t="shared" si="10"/>
        <v>5503278.5009999992</v>
      </c>
      <c r="AA27" s="81">
        <f t="shared" si="10"/>
        <v>5122999.44405</v>
      </c>
      <c r="AB27" s="81">
        <f t="shared" si="10"/>
        <v>3728642.9018999995</v>
      </c>
      <c r="AC27" s="81">
        <f t="shared" si="10"/>
        <v>5503278.5009999992</v>
      </c>
      <c r="AD27" s="81">
        <f t="shared" si="10"/>
        <v>5503278.5009999992</v>
      </c>
      <c r="AE27" s="81">
        <f t="shared" si="10"/>
        <v>6445273.5741666667</v>
      </c>
      <c r="AF27" s="81">
        <f t="shared" si="10"/>
        <v>5684715.4602666674</v>
      </c>
    </row>
    <row r="28" spans="1:32" ht="30" customHeight="1" x14ac:dyDescent="0.3">
      <c r="A28" s="10" t="s">
        <v>1144</v>
      </c>
      <c r="B28" s="79">
        <f>B8/('Datos Iniciales'!$B$30/12)</f>
        <v>467707.5</v>
      </c>
      <c r="C28" s="79">
        <f>C8/('Datos Iniciales'!$B$30/12)</f>
        <v>467707.5</v>
      </c>
      <c r="D28" s="79">
        <f>D8/('Datos Iniciales'!$B$30/12)</f>
        <v>251842.5</v>
      </c>
      <c r="E28" s="79">
        <f>E8/('Datos Iniciales'!$B$30/12)</f>
        <v>251842.5</v>
      </c>
      <c r="F28" s="79">
        <f>F8/('Datos Iniciales'!$B$30/12)</f>
        <v>251842.5</v>
      </c>
      <c r="G28" s="79">
        <f>G8/('Datos Iniciales'!$B$30/12)</f>
        <v>251842.5</v>
      </c>
      <c r="H28" s="79">
        <f>H8/('Datos Iniciales'!$B$30/12)</f>
        <v>215865</v>
      </c>
      <c r="I28" s="79">
        <f>I8/('Datos Iniciales'!$B$30/12)</f>
        <v>115128</v>
      </c>
      <c r="J28" s="79">
        <f>J8/('Datos Iniciales'!$B$30/12)</f>
        <v>71955</v>
      </c>
      <c r="K28" s="79">
        <f>K8/('Datos Iniciales'!$B$30/12)</f>
        <v>71955</v>
      </c>
      <c r="L28" s="79">
        <f>L8/('Datos Iniciales'!$B$30/12)</f>
        <v>71955</v>
      </c>
      <c r="M28" s="79">
        <f>M8/('Datos Iniciales'!$B$30/12)</f>
        <v>71955</v>
      </c>
      <c r="N28" s="79">
        <f>N8/('Datos Iniciales'!$B$30/12)</f>
        <v>359775</v>
      </c>
      <c r="O28" s="79">
        <f>O8/('Datos Iniciales'!$B$30/12)</f>
        <v>165496.5</v>
      </c>
      <c r="P28" s="79">
        <f>P8/('Datos Iniciales'!$B$30/12)</f>
        <v>345384</v>
      </c>
      <c r="Q28" s="79">
        <f>Q8/('Datos Iniciales'!$B$30/12)</f>
        <v>169094.25</v>
      </c>
      <c r="R28" s="79">
        <f>R8/('Datos Iniciales'!$B$30/12)</f>
        <v>97139.25</v>
      </c>
      <c r="S28" s="79">
        <f>S8/('Datos Iniciales'!$B$30/12)</f>
        <v>100737</v>
      </c>
      <c r="T28" s="79">
        <f>T8/('Datos Iniciales'!$B$30/12)</f>
        <v>215865</v>
      </c>
      <c r="U28" s="79">
        <f>U8/('Datos Iniciales'!$B$30/12)</f>
        <v>115128</v>
      </c>
      <c r="V28" s="79">
        <f>V8/('Datos Iniciales'!$B$30/12)</f>
        <v>71955</v>
      </c>
      <c r="W28" s="79">
        <f>W8/('Datos Iniciales'!$B$30/12)</f>
        <v>179887.5</v>
      </c>
      <c r="X28" s="79">
        <f>X8/('Datos Iniciales'!$B$30/12)</f>
        <v>143910</v>
      </c>
      <c r="Y28" s="79">
        <f>Y8/('Datos Iniciales'!$B$30/12)</f>
        <v>71955</v>
      </c>
      <c r="Z28" s="79">
        <f>Z8/('Datos Iniciales'!$B$30/12)</f>
        <v>143910</v>
      </c>
      <c r="AA28" s="79">
        <f>AA8/('Datos Iniciales'!$B$30/12)</f>
        <v>133116.75</v>
      </c>
      <c r="AB28" s="79">
        <f>AB8/('Datos Iniciales'!$B$30/12)</f>
        <v>93541.5</v>
      </c>
      <c r="AC28" s="79">
        <f>AC8/('Datos Iniciales'!$B$30/12)</f>
        <v>143910</v>
      </c>
      <c r="AD28" s="79">
        <f>AD8/('Datos Iniciales'!$B$30/12)</f>
        <v>143910</v>
      </c>
      <c r="AE28" s="79">
        <f>AE8/('Datos Iniciales'!$B$30/12)</f>
        <v>179887.5</v>
      </c>
      <c r="AF28" s="79">
        <f>AF8/('Datos Iniciales'!$B$30/12)</f>
        <v>158301.00000000003</v>
      </c>
    </row>
    <row r="29" spans="1:32" ht="30" customHeight="1" x14ac:dyDescent="0.3">
      <c r="A29" s="10" t="s">
        <v>1145</v>
      </c>
      <c r="B29" s="79">
        <f>(B27-B8)/('Datos Iniciales'!$B$30/12)</f>
        <v>212980.44902054805</v>
      </c>
      <c r="C29" s="79">
        <f>(C27-C8)/('Datos Iniciales'!$B$30/12)</f>
        <v>212980.44902054805</v>
      </c>
      <c r="D29" s="79">
        <f>(D27-D8)/('Datos Iniciales'!$B$30/12)</f>
        <v>116287.32002054795</v>
      </c>
      <c r="E29" s="79">
        <f>(E27-E8)/('Datos Iniciales'!$B$30/12)</f>
        <v>116287.32002054795</v>
      </c>
      <c r="F29" s="79">
        <f>(F27-F8)/('Datos Iniciales'!$B$30/12)</f>
        <v>116287.32002054795</v>
      </c>
      <c r="G29" s="79">
        <f>(G27-G8)/('Datos Iniciales'!$B$30/12)</f>
        <v>116287.32002054795</v>
      </c>
      <c r="H29" s="79">
        <f>(H27-H8)/('Datos Iniciales'!$B$30/12)</f>
        <v>100171.79852054793</v>
      </c>
      <c r="I29" s="79">
        <f>(I27-I8)/('Datos Iniciales'!$B$30/12)</f>
        <v>68429.233526027354</v>
      </c>
      <c r="J29" s="79">
        <f>(J27-J8)/('Datos Iniciales'!$B$30/12)</f>
        <v>49090.607726027396</v>
      </c>
      <c r="K29" s="79">
        <f>(K27-K8)/('Datos Iniciales'!$B$30/12)</f>
        <v>49090.607726027396</v>
      </c>
      <c r="L29" s="79">
        <f>(L27-L8)/('Datos Iniciales'!$B$30/12)</f>
        <v>49090.607726027396</v>
      </c>
      <c r="M29" s="79">
        <f>(M27-M8)/('Datos Iniciales'!$B$30/12)</f>
        <v>49090.607726027396</v>
      </c>
      <c r="N29" s="79">
        <f>(N27-N8)/('Datos Iniciales'!$B$30/12)</f>
        <v>164633.88452054793</v>
      </c>
      <c r="O29" s="79">
        <f>(O27-O8)/('Datos Iniciales'!$B$30/12)</f>
        <v>77610.068420547977</v>
      </c>
      <c r="P29" s="79">
        <f>(P27-P8)/('Datos Iniciales'!$B$30/12)</f>
        <v>158187.67592054789</v>
      </c>
      <c r="Q29" s="79">
        <f>(Q27-Q8)/('Datos Iniciales'!$B$30/12)</f>
        <v>79221.620570547966</v>
      </c>
      <c r="R29" s="79">
        <f>(R27-R8)/('Datos Iniciales'!$B$30/12)</f>
        <v>60371.472776027382</v>
      </c>
      <c r="S29" s="79">
        <f>(S27-S8)/('Datos Iniciales'!$B$30/12)</f>
        <v>61983.024926027356</v>
      </c>
      <c r="T29" s="79">
        <f>(T27-T8)/('Datos Iniciales'!$B$30/12)</f>
        <v>101102.27797260274</v>
      </c>
      <c r="U29" s="79">
        <f>(U27-U8)/('Datos Iniciales'!$B$30/12)</f>
        <v>69359.712978082171</v>
      </c>
      <c r="V29" s="79">
        <f>(V27-V8)/('Datos Iniciales'!$B$30/12)</f>
        <v>50021.087178082198</v>
      </c>
      <c r="W29" s="79">
        <f>(W27-W8)/('Datos Iniciales'!$B$30/12)</f>
        <v>84986.756472602749</v>
      </c>
      <c r="X29" s="79">
        <f>(X27-X8)/('Datos Iniciales'!$B$30/12)</f>
        <v>82252.130178082167</v>
      </c>
      <c r="Y29" s="79">
        <f>(Y27-Y8)/('Datos Iniciales'!$B$30/12)</f>
        <v>50021.087178082198</v>
      </c>
      <c r="Z29" s="79">
        <f>(Z27-Z8)/('Datos Iniciales'!$B$30/12)</f>
        <v>82252.130178082167</v>
      </c>
      <c r="AA29" s="79">
        <f>(AA27-AA8)/('Datos Iniciales'!$B$30/12)</f>
        <v>77417.473728082201</v>
      </c>
      <c r="AB29" s="79">
        <f>(AB27-AB8)/('Datos Iniciales'!$B$30/12)</f>
        <v>59690.400078082173</v>
      </c>
      <c r="AC29" s="79">
        <f>(AC27-AC8)/('Datos Iniciales'!$B$30/12)</f>
        <v>82252.130178082167</v>
      </c>
      <c r="AD29" s="79">
        <f>(AD27-AD8)/('Datos Iniciales'!$B$30/12)</f>
        <v>82252.130178082167</v>
      </c>
      <c r="AE29" s="79">
        <f>(AE27-AE8)/('Datos Iniciales'!$B$30/12)</f>
        <v>84986.756472602749</v>
      </c>
      <c r="AF29" s="79">
        <f>(AF27-AF8)/('Datos Iniciales'!$B$30/12)</f>
        <v>75317.443572602759</v>
      </c>
    </row>
    <row r="30" spans="1:32" ht="30" customHeight="1" x14ac:dyDescent="0.3">
      <c r="A30" s="1" t="s">
        <v>335</v>
      </c>
      <c r="B30" s="82">
        <f t="shared" ref="B30:AF30" si="11">B27/B8</f>
        <v>1.4553710364288537</v>
      </c>
      <c r="C30" s="82">
        <f t="shared" si="11"/>
        <v>1.4553710364288537</v>
      </c>
      <c r="D30" s="82">
        <f t="shared" si="11"/>
        <v>1.4617462105107277</v>
      </c>
      <c r="E30" s="82">
        <f t="shared" si="11"/>
        <v>1.4617462105107277</v>
      </c>
      <c r="F30" s="82">
        <f t="shared" si="11"/>
        <v>1.4617462105107277</v>
      </c>
      <c r="G30" s="82">
        <f t="shared" si="11"/>
        <v>1.4617462105107277</v>
      </c>
      <c r="H30" s="82">
        <f t="shared" si="11"/>
        <v>1.46404835670696</v>
      </c>
      <c r="I30" s="82">
        <f t="shared" si="11"/>
        <v>1.5943752477766255</v>
      </c>
      <c r="J30" s="82">
        <f t="shared" si="11"/>
        <v>1.6822403964426016</v>
      </c>
      <c r="K30" s="82">
        <f t="shared" si="11"/>
        <v>1.6822403964426016</v>
      </c>
      <c r="L30" s="82">
        <f t="shared" si="11"/>
        <v>1.6822403964426016</v>
      </c>
      <c r="M30" s="82">
        <f t="shared" si="11"/>
        <v>1.6822403964426016</v>
      </c>
      <c r="N30" s="82">
        <f t="shared" si="11"/>
        <v>1.4576023473575093</v>
      </c>
      <c r="O30" s="82">
        <f t="shared" si="11"/>
        <v>1.4689529290380641</v>
      </c>
      <c r="P30" s="82">
        <f t="shared" si="11"/>
        <v>1.4580052229418499</v>
      </c>
      <c r="Q30" s="82">
        <f t="shared" si="11"/>
        <v>1.468505703597538</v>
      </c>
      <c r="R30" s="82">
        <f t="shared" si="11"/>
        <v>1.62149412082168</v>
      </c>
      <c r="S30" s="82">
        <f t="shared" si="11"/>
        <v>1.6152955212685245</v>
      </c>
      <c r="T30" s="82">
        <f t="shared" si="11"/>
        <v>1.4683588259912572</v>
      </c>
      <c r="U30" s="82">
        <f t="shared" si="11"/>
        <v>1.6024573776846829</v>
      </c>
      <c r="V30" s="82">
        <f t="shared" si="11"/>
        <v>1.6951718042954931</v>
      </c>
      <c r="W30" s="82">
        <f t="shared" si="11"/>
        <v>1.472443924522842</v>
      </c>
      <c r="X30" s="82">
        <f t="shared" si="11"/>
        <v>1.571552568814413</v>
      </c>
      <c r="Y30" s="82">
        <f t="shared" si="11"/>
        <v>1.6951718042954931</v>
      </c>
      <c r="Z30" s="82">
        <f t="shared" si="11"/>
        <v>1.571552568814413</v>
      </c>
      <c r="AA30" s="82">
        <f t="shared" si="11"/>
        <v>1.5815757500696359</v>
      </c>
      <c r="AB30" s="82">
        <f t="shared" si="11"/>
        <v>1.6381167725349943</v>
      </c>
      <c r="AC30" s="82">
        <f t="shared" si="11"/>
        <v>1.571552568814413</v>
      </c>
      <c r="AD30" s="82">
        <f t="shared" si="11"/>
        <v>1.571552568814413</v>
      </c>
      <c r="AE30" s="82">
        <f t="shared" si="11"/>
        <v>1.472443924522842</v>
      </c>
      <c r="AF30" s="82">
        <f t="shared" si="11"/>
        <v>1.475786277866866</v>
      </c>
    </row>
    <row r="32" spans="1:32" ht="15" customHeight="1" x14ac:dyDescent="0.3">
      <c r="A32" s="146" t="s">
        <v>1146</v>
      </c>
      <c r="B32" s="142"/>
      <c r="C32" s="142"/>
      <c r="D32" s="142"/>
      <c r="E32" s="142"/>
      <c r="F32" s="142"/>
      <c r="G32" s="142"/>
      <c r="H32" s="143"/>
    </row>
    <row r="33" spans="1:8" x14ac:dyDescent="0.3">
      <c r="A33" s="10" t="s">
        <v>1147</v>
      </c>
      <c r="B33" s="3">
        <v>365</v>
      </c>
      <c r="C33" s="144"/>
      <c r="D33" s="142"/>
      <c r="E33" s="142"/>
      <c r="F33" s="142"/>
      <c r="G33" s="142"/>
      <c r="H33" s="143"/>
    </row>
    <row r="34" spans="1:8" x14ac:dyDescent="0.3">
      <c r="A34" s="10" t="s">
        <v>1148</v>
      </c>
      <c r="B34" s="3">
        <v>52</v>
      </c>
      <c r="C34" s="144"/>
      <c r="D34" s="142"/>
      <c r="E34" s="142"/>
      <c r="F34" s="142"/>
      <c r="G34" s="142"/>
      <c r="H34" s="143"/>
    </row>
    <row r="35" spans="1:8" x14ac:dyDescent="0.3">
      <c r="A35" s="10" t="s">
        <v>1149</v>
      </c>
      <c r="B35" s="3">
        <v>18</v>
      </c>
      <c r="C35" s="144"/>
      <c r="D35" s="142"/>
      <c r="E35" s="142"/>
      <c r="F35" s="142"/>
      <c r="G35" s="142"/>
      <c r="H35" s="143"/>
    </row>
    <row r="36" spans="1:8" x14ac:dyDescent="0.3">
      <c r="A36" s="10" t="s">
        <v>1150</v>
      </c>
      <c r="B36" s="3">
        <v>3</v>
      </c>
      <c r="C36" s="144"/>
      <c r="D36" s="142"/>
      <c r="E36" s="142"/>
      <c r="F36" s="142"/>
      <c r="G36" s="142"/>
      <c r="H36" s="143"/>
    </row>
    <row r="37" spans="1:8" ht="15" customHeight="1" x14ac:dyDescent="0.3">
      <c r="A37" s="10" t="s">
        <v>1151</v>
      </c>
      <c r="B37" s="3">
        <f>B33-B34-B35-B36</f>
        <v>292</v>
      </c>
      <c r="C37" s="144" t="s">
        <v>1152</v>
      </c>
      <c r="D37" s="142"/>
      <c r="E37" s="142"/>
      <c r="F37" s="142"/>
      <c r="G37" s="142"/>
      <c r="H37" s="143"/>
    </row>
    <row r="38" spans="1:8" ht="15" customHeight="1" x14ac:dyDescent="0.3">
      <c r="A38" s="10" t="s">
        <v>1153</v>
      </c>
      <c r="B38" s="3">
        <f>B37/12</f>
        <v>24.333333333333332</v>
      </c>
      <c r="C38" s="144" t="s">
        <v>1154</v>
      </c>
      <c r="D38" s="142"/>
      <c r="E38" s="142"/>
      <c r="F38" s="142"/>
      <c r="G38" s="142"/>
      <c r="H38" s="143"/>
    </row>
    <row r="40" spans="1:8" ht="60" customHeight="1" x14ac:dyDescent="0.3">
      <c r="A40" s="144" t="s">
        <v>1155</v>
      </c>
      <c r="B40" s="142"/>
      <c r="C40" s="142"/>
      <c r="D40" s="142"/>
      <c r="E40" s="142"/>
      <c r="F40" s="142"/>
      <c r="G40" s="142"/>
      <c r="H40" s="143"/>
    </row>
    <row r="42" spans="1:8" ht="15" customHeight="1" x14ac:dyDescent="0.3">
      <c r="A42" s="146" t="s">
        <v>1156</v>
      </c>
      <c r="B42" s="142"/>
      <c r="C42" s="142"/>
      <c r="D42" s="143"/>
    </row>
    <row r="43" spans="1:8" x14ac:dyDescent="0.3">
      <c r="A43" s="6" t="s">
        <v>94</v>
      </c>
      <c r="B43" s="6" t="s">
        <v>383</v>
      </c>
      <c r="C43" s="6" t="s">
        <v>1157</v>
      </c>
      <c r="D43" s="6" t="s">
        <v>1158</v>
      </c>
    </row>
    <row r="44" spans="1:8" ht="26.4" customHeight="1" x14ac:dyDescent="0.3">
      <c r="A44" s="7" t="s">
        <v>1159</v>
      </c>
      <c r="B44" s="4" t="s">
        <v>1160</v>
      </c>
      <c r="C44" s="83">
        <v>60000</v>
      </c>
      <c r="D44" s="7" t="s">
        <v>1161</v>
      </c>
    </row>
    <row r="45" spans="1:8" ht="26.4" customHeight="1" x14ac:dyDescent="0.3">
      <c r="A45" s="7" t="s">
        <v>1162</v>
      </c>
      <c r="B45" s="4" t="s">
        <v>383</v>
      </c>
      <c r="C45" s="83">
        <v>35000</v>
      </c>
      <c r="D45" s="7" t="s">
        <v>1163</v>
      </c>
    </row>
    <row r="46" spans="1:8" ht="26.4" customHeight="1" x14ac:dyDescent="0.3">
      <c r="A46" s="7" t="s">
        <v>1164</v>
      </c>
      <c r="B46" s="4" t="s">
        <v>383</v>
      </c>
      <c r="C46" s="83">
        <v>35000</v>
      </c>
      <c r="D46" s="7" t="s">
        <v>1165</v>
      </c>
    </row>
    <row r="47" spans="1:8" x14ac:dyDescent="0.3">
      <c r="A47" s="9" t="s">
        <v>1166</v>
      </c>
      <c r="C47" s="84">
        <f>SUM(C44:C46)</f>
        <v>130000</v>
      </c>
    </row>
    <row r="48" spans="1:8" x14ac:dyDescent="0.3">
      <c r="A48" s="9" t="s">
        <v>1167</v>
      </c>
      <c r="C48" s="4">
        <v>3</v>
      </c>
    </row>
    <row r="49" spans="1:5" x14ac:dyDescent="0.3">
      <c r="A49" s="9" t="s">
        <v>1143</v>
      </c>
      <c r="C49" s="84">
        <f>C47*C48</f>
        <v>390000</v>
      </c>
    </row>
    <row r="51" spans="1:5" ht="15" customHeight="1" x14ac:dyDescent="0.3">
      <c r="A51" s="146" t="s">
        <v>1168</v>
      </c>
      <c r="B51" s="142"/>
      <c r="C51" s="142"/>
      <c r="D51" s="142"/>
      <c r="E51" s="143"/>
    </row>
    <row r="52" spans="1:5" x14ac:dyDescent="0.3">
      <c r="A52" s="6" t="s">
        <v>94</v>
      </c>
      <c r="B52" s="6" t="s">
        <v>383</v>
      </c>
      <c r="C52" s="6" t="s">
        <v>1169</v>
      </c>
      <c r="D52" s="6" t="s">
        <v>1170</v>
      </c>
      <c r="E52" s="6" t="s">
        <v>1171</v>
      </c>
    </row>
    <row r="53" spans="1:5" x14ac:dyDescent="0.3">
      <c r="A53" s="7" t="s">
        <v>1172</v>
      </c>
      <c r="B53" s="4" t="s">
        <v>399</v>
      </c>
      <c r="C53" s="5">
        <v>1</v>
      </c>
      <c r="D53" s="83">
        <v>13000</v>
      </c>
      <c r="E53" s="85">
        <f t="shared" ref="E53:E63" si="12">C53*D53</f>
        <v>13000</v>
      </c>
    </row>
    <row r="54" spans="1:5" x14ac:dyDescent="0.3">
      <c r="A54" s="7" t="s">
        <v>1173</v>
      </c>
      <c r="B54" s="4" t="s">
        <v>399</v>
      </c>
      <c r="C54" s="5">
        <v>2</v>
      </c>
      <c r="D54" s="83">
        <v>9000</v>
      </c>
      <c r="E54" s="85">
        <f t="shared" si="12"/>
        <v>18000</v>
      </c>
    </row>
    <row r="55" spans="1:5" x14ac:dyDescent="0.3">
      <c r="A55" s="7" t="s">
        <v>1174</v>
      </c>
      <c r="B55" s="4" t="s">
        <v>1160</v>
      </c>
      <c r="C55" s="5">
        <v>5.2</v>
      </c>
      <c r="D55" s="83">
        <v>14000</v>
      </c>
      <c r="E55" s="85">
        <f t="shared" si="12"/>
        <v>72800</v>
      </c>
    </row>
    <row r="56" spans="1:5" x14ac:dyDescent="0.3">
      <c r="A56" s="7" t="s">
        <v>1175</v>
      </c>
      <c r="B56" s="4" t="s">
        <v>1160</v>
      </c>
      <c r="C56" s="5">
        <v>26</v>
      </c>
      <c r="D56" s="83">
        <v>5000</v>
      </c>
      <c r="E56" s="85">
        <f t="shared" si="12"/>
        <v>130000</v>
      </c>
    </row>
    <row r="57" spans="1:5" x14ac:dyDescent="0.3">
      <c r="A57" s="7" t="s">
        <v>1176</v>
      </c>
      <c r="B57" s="4" t="s">
        <v>1160</v>
      </c>
      <c r="C57" s="5">
        <v>1.3</v>
      </c>
      <c r="D57" s="83">
        <v>41000</v>
      </c>
      <c r="E57" s="85">
        <f t="shared" si="12"/>
        <v>53300</v>
      </c>
    </row>
    <row r="58" spans="1:5" x14ac:dyDescent="0.3">
      <c r="A58" s="7" t="s">
        <v>1177</v>
      </c>
      <c r="B58" s="4" t="s">
        <v>399</v>
      </c>
      <c r="C58" s="5">
        <v>4</v>
      </c>
      <c r="D58" s="83">
        <v>23000</v>
      </c>
      <c r="E58" s="85">
        <f t="shared" si="12"/>
        <v>92000</v>
      </c>
    </row>
    <row r="59" spans="1:5" x14ac:dyDescent="0.3">
      <c r="A59" s="7" t="s">
        <v>1178</v>
      </c>
      <c r="B59" s="4" t="s">
        <v>399</v>
      </c>
      <c r="C59" s="5">
        <v>0.6</v>
      </c>
      <c r="D59" s="83">
        <v>25000</v>
      </c>
      <c r="E59" s="85">
        <f t="shared" si="12"/>
        <v>15000</v>
      </c>
    </row>
    <row r="60" spans="1:5" x14ac:dyDescent="0.3">
      <c r="A60" s="7" t="s">
        <v>1179</v>
      </c>
      <c r="B60" s="4" t="s">
        <v>399</v>
      </c>
      <c r="C60" s="5">
        <v>10.4</v>
      </c>
      <c r="D60" s="83">
        <v>5000</v>
      </c>
      <c r="E60" s="85">
        <f t="shared" si="12"/>
        <v>52000</v>
      </c>
    </row>
    <row r="61" spans="1:5" x14ac:dyDescent="0.3">
      <c r="A61" s="7" t="s">
        <v>1180</v>
      </c>
      <c r="B61" s="4" t="s">
        <v>399</v>
      </c>
      <c r="C61" s="5">
        <v>52</v>
      </c>
      <c r="D61" s="83">
        <v>2400</v>
      </c>
      <c r="E61" s="85">
        <f t="shared" si="12"/>
        <v>124800</v>
      </c>
    </row>
    <row r="62" spans="1:5" x14ac:dyDescent="0.3">
      <c r="A62" s="7" t="s">
        <v>1181</v>
      </c>
      <c r="B62" s="4" t="s">
        <v>399</v>
      </c>
      <c r="C62" s="5">
        <v>1.2</v>
      </c>
      <c r="D62" s="83">
        <v>24000</v>
      </c>
      <c r="E62" s="85">
        <f t="shared" si="12"/>
        <v>28800</v>
      </c>
    </row>
    <row r="63" spans="1:5" x14ac:dyDescent="0.3">
      <c r="A63" s="7" t="s">
        <v>1182</v>
      </c>
      <c r="B63" s="4" t="s">
        <v>399</v>
      </c>
      <c r="C63" s="5">
        <v>0.25</v>
      </c>
      <c r="D63" s="83">
        <v>250000</v>
      </c>
      <c r="E63" s="85">
        <f t="shared" si="12"/>
        <v>62500</v>
      </c>
    </row>
    <row r="64" spans="1:5" ht="22.8" customHeight="1" x14ac:dyDescent="0.3">
      <c r="A64" s="9" t="s">
        <v>1183</v>
      </c>
      <c r="E64" s="84">
        <f>SUM(E53:E63)</f>
        <v>662200</v>
      </c>
    </row>
  </sheetData>
  <mergeCells count="14">
    <mergeCell ref="A1:AF1"/>
    <mergeCell ref="C37:H37"/>
    <mergeCell ref="A2:AF2"/>
    <mergeCell ref="A51:E51"/>
    <mergeCell ref="A4:AF4"/>
    <mergeCell ref="C35:H35"/>
    <mergeCell ref="A3:AF3"/>
    <mergeCell ref="C34:H34"/>
    <mergeCell ref="A32:H32"/>
    <mergeCell ref="A42:D42"/>
    <mergeCell ref="A40:H40"/>
    <mergeCell ref="C33:H33"/>
    <mergeCell ref="C38:H38"/>
    <mergeCell ref="C36:H36"/>
  </mergeCells>
  <pageMargins left="0.4" right="0.4" top="0.5" bottom="0.5" header="0.511811023622047" footer="0.511811023622047"/>
  <pageSetup fitToHeight="0" orientation="landscape"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H17"/>
  <sheetViews>
    <sheetView showGridLines="0" workbookViewId="0">
      <selection sqref="A1:H1"/>
    </sheetView>
  </sheetViews>
  <sheetFormatPr baseColWidth="10" defaultColWidth="8.88671875" defaultRowHeight="14.4" x14ac:dyDescent="0.3"/>
  <cols>
    <col min="1" max="1" width="44" customWidth="1"/>
    <col min="2" max="2" width="18" customWidth="1"/>
    <col min="3" max="3" width="14" customWidth="1"/>
    <col min="4" max="4" width="20" customWidth="1"/>
    <col min="5" max="6" width="16" customWidth="1"/>
    <col min="7" max="7" width="18" customWidth="1"/>
    <col min="8" max="8" width="44" customWidth="1"/>
  </cols>
  <sheetData>
    <row r="1" spans="1:8" x14ac:dyDescent="0.3">
      <c r="A1" s="123" t="s">
        <v>0</v>
      </c>
      <c r="B1" s="123"/>
      <c r="C1" s="123"/>
      <c r="D1" s="123"/>
      <c r="E1" s="123"/>
      <c r="F1" s="123"/>
      <c r="G1" s="123"/>
      <c r="H1" s="123"/>
    </row>
    <row r="2" spans="1:8" x14ac:dyDescent="0.3">
      <c r="A2" s="123" t="s">
        <v>1</v>
      </c>
      <c r="B2" s="123"/>
      <c r="C2" s="123"/>
      <c r="D2" s="123"/>
      <c r="E2" s="123"/>
      <c r="F2" s="123"/>
      <c r="G2" s="123"/>
      <c r="H2" s="123"/>
    </row>
    <row r="3" spans="1:8" x14ac:dyDescent="0.3">
      <c r="A3" s="123" t="str">
        <f>'Datos Iniciales'!$B$8</f>
        <v>OBRA PÚBLICA PARA LA EJECUCIÓN DE DIFERENTES MEJORAMIENTOS DE VIVIENDA EN EL CASCO URBANO Y RURAL DEL MUNICIPIO DE MACEO - ANTIOQUIA</v>
      </c>
      <c r="B3" s="123"/>
      <c r="C3" s="123"/>
      <c r="D3" s="123"/>
      <c r="E3" s="123"/>
      <c r="F3" s="123"/>
      <c r="G3" s="123"/>
      <c r="H3" s="123"/>
    </row>
    <row r="4" spans="1:8" x14ac:dyDescent="0.3">
      <c r="A4" s="112" t="s">
        <v>1184</v>
      </c>
      <c r="B4" s="112"/>
      <c r="C4" s="112"/>
      <c r="D4" s="112"/>
      <c r="E4" s="112"/>
      <c r="F4" s="112"/>
      <c r="G4" s="112"/>
      <c r="H4" s="112"/>
    </row>
    <row r="5" spans="1:8" ht="22.8" x14ac:dyDescent="0.3">
      <c r="A5" s="13" t="s">
        <v>407</v>
      </c>
      <c r="B5" s="13" t="s">
        <v>1088</v>
      </c>
      <c r="C5" s="13" t="s">
        <v>335</v>
      </c>
      <c r="D5" s="13" t="s">
        <v>1089</v>
      </c>
      <c r="E5" s="13" t="s">
        <v>1185</v>
      </c>
      <c r="F5" s="13" t="s">
        <v>1186</v>
      </c>
      <c r="G5" s="13" t="s">
        <v>408</v>
      </c>
      <c r="H5" s="13" t="s">
        <v>1187</v>
      </c>
    </row>
    <row r="6" spans="1:8" x14ac:dyDescent="0.3">
      <c r="A6" s="29" t="str">
        <f>'MANO DE OBRA'!B3</f>
        <v>DIRECTOR DE OBRA</v>
      </c>
      <c r="B6" s="32">
        <f>'MANO DE OBRA'!C3</f>
        <v>11380882.5</v>
      </c>
      <c r="C6" s="41">
        <f>'MANO DE OBRA'!D3</f>
        <v>1.4553710364288537</v>
      </c>
      <c r="D6" s="32">
        <f>'MANO DE OBRA'!E3</f>
        <v>16563406.759500002</v>
      </c>
      <c r="E6" s="32">
        <f>'MANO DE OBRA'!F3</f>
        <v>467707.5</v>
      </c>
      <c r="F6" s="32">
        <f>'MANO DE OBRA'!G3</f>
        <v>212980.44902054805</v>
      </c>
      <c r="G6" s="32">
        <f>'MANO DE OBRA'!H3</f>
        <v>680687.94902054803</v>
      </c>
      <c r="H6" s="16" t="s">
        <v>1188</v>
      </c>
    </row>
    <row r="7" spans="1:8" x14ac:dyDescent="0.3">
      <c r="A7" s="29" t="str">
        <f>'MANO DE OBRA'!B5</f>
        <v>RESIDENTE DE OBRA</v>
      </c>
      <c r="B7" s="32">
        <f>'MANO DE OBRA'!C5</f>
        <v>6128167.5</v>
      </c>
      <c r="C7" s="41">
        <f>'MANO DE OBRA'!D5</f>
        <v>1.4617462105107277</v>
      </c>
      <c r="D7" s="32">
        <f>'MANO DE OBRA'!E5</f>
        <v>8957825.6205000002</v>
      </c>
      <c r="E7" s="32">
        <f>'MANO DE OBRA'!F5</f>
        <v>251842.5</v>
      </c>
      <c r="F7" s="32">
        <f>'MANO DE OBRA'!G5</f>
        <v>116287.32002054795</v>
      </c>
      <c r="G7" s="32">
        <f>'MANO DE OBRA'!H5</f>
        <v>368129.82002054795</v>
      </c>
      <c r="H7" s="16" t="s">
        <v>1188</v>
      </c>
    </row>
    <row r="8" spans="1:8" x14ac:dyDescent="0.3">
      <c r="A8" s="29" t="str">
        <f>'MANO DE OBRA'!B10</f>
        <v>PROFESIONAL SST</v>
      </c>
      <c r="B8" s="32">
        <f>'MANO DE OBRA'!C10</f>
        <v>2801448</v>
      </c>
      <c r="C8" s="41">
        <f>'MANO DE OBRA'!D10</f>
        <v>1.5943752477766255</v>
      </c>
      <c r="D8" s="32">
        <f>'MANO DE OBRA'!E10</f>
        <v>4466559.3491333323</v>
      </c>
      <c r="E8" s="32">
        <f>'MANO DE OBRA'!F10</f>
        <v>115128</v>
      </c>
      <c r="F8" s="32">
        <f>'MANO DE OBRA'!G10</f>
        <v>68429.233526027354</v>
      </c>
      <c r="G8" s="32">
        <f>'MANO DE OBRA'!H10</f>
        <v>183557.23352602735</v>
      </c>
      <c r="H8" s="16" t="s">
        <v>1189</v>
      </c>
    </row>
    <row r="9" spans="1:8" x14ac:dyDescent="0.3">
      <c r="A9" s="29" t="str">
        <f>'MANO DE OBRA'!B8</f>
        <v>RESIDENTE SOCIAL</v>
      </c>
      <c r="B9" s="32">
        <f>'MANO DE OBRA'!C8</f>
        <v>6128167.5</v>
      </c>
      <c r="C9" s="41">
        <f>'MANO DE OBRA'!D8</f>
        <v>1.4617462105107277</v>
      </c>
      <c r="D9" s="32">
        <f>'MANO DE OBRA'!E8</f>
        <v>8957825.6205000002</v>
      </c>
      <c r="E9" s="32">
        <f>'MANO DE OBRA'!F8</f>
        <v>251842.5</v>
      </c>
      <c r="F9" s="32">
        <f>'MANO DE OBRA'!G8</f>
        <v>116287.32002054795</v>
      </c>
      <c r="G9" s="32">
        <f>'MANO DE OBRA'!H8</f>
        <v>368129.82002054795</v>
      </c>
      <c r="H9" s="16" t="s">
        <v>1190</v>
      </c>
    </row>
    <row r="10" spans="1:8" x14ac:dyDescent="0.3">
      <c r="A10" s="29" t="str">
        <f>'MANO DE OBRA'!B21</f>
        <v xml:space="preserve">MAESTRO DE OBRA </v>
      </c>
      <c r="B10" s="32">
        <f>'MANO DE OBRA'!C21</f>
        <v>5252715</v>
      </c>
      <c r="C10" s="41">
        <f>'MANO DE OBRA'!D21</f>
        <v>1.4683588259912572</v>
      </c>
      <c r="D10" s="32">
        <f>'MANO DE OBRA'!E21</f>
        <v>7712870.4306666665</v>
      </c>
      <c r="E10" s="32">
        <f>'MANO DE OBRA'!F21</f>
        <v>215865</v>
      </c>
      <c r="F10" s="32">
        <f>'MANO DE OBRA'!G21</f>
        <v>101102.27797260274</v>
      </c>
      <c r="G10" s="32">
        <f>'MANO DE OBRA'!H21</f>
        <v>316967.27797260275</v>
      </c>
      <c r="H10" s="16" t="s">
        <v>1191</v>
      </c>
    </row>
    <row r="11" spans="1:8" x14ac:dyDescent="0.3">
      <c r="A11" s="29" t="str">
        <f>'MANO DE OBRA'!B27</f>
        <v>OFICIAL OBRA CIVIL</v>
      </c>
      <c r="B11" s="32">
        <f>'MANO DE OBRA'!C27</f>
        <v>3501810</v>
      </c>
      <c r="C11" s="41">
        <f>'MANO DE OBRA'!D27</f>
        <v>1.571552568814413</v>
      </c>
      <c r="D11" s="32">
        <f>'MANO DE OBRA'!E27</f>
        <v>5503278.5009999992</v>
      </c>
      <c r="E11" s="32">
        <f>'MANO DE OBRA'!F27</f>
        <v>143910</v>
      </c>
      <c r="F11" s="32">
        <f>'MANO DE OBRA'!G27</f>
        <v>82252.130178082167</v>
      </c>
      <c r="G11" s="32">
        <f>'MANO DE OBRA'!H27</f>
        <v>226162.13017808215</v>
      </c>
      <c r="H11" s="16" t="s">
        <v>1192</v>
      </c>
    </row>
    <row r="12" spans="1:8" x14ac:dyDescent="0.3">
      <c r="A12" s="29" t="str">
        <f>'MANO DE OBRA'!B23</f>
        <v xml:space="preserve">AYUDANTE RASO  </v>
      </c>
      <c r="B12" s="32">
        <f>'MANO DE OBRA'!C23</f>
        <v>1750905</v>
      </c>
      <c r="C12" s="41">
        <f>'MANO DE OBRA'!D23</f>
        <v>1.6951718042954931</v>
      </c>
      <c r="D12" s="32">
        <f>'MANO DE OBRA'!E23</f>
        <v>2968084.7880000002</v>
      </c>
      <c r="E12" s="32">
        <f>'MANO DE OBRA'!F23</f>
        <v>71955</v>
      </c>
      <c r="F12" s="32">
        <f>'MANO DE OBRA'!G23</f>
        <v>50021.087178082198</v>
      </c>
      <c r="G12" s="32">
        <f>'MANO DE OBRA'!H23</f>
        <v>121976.08717808221</v>
      </c>
      <c r="H12" s="16" t="s">
        <v>1193</v>
      </c>
    </row>
    <row r="13" spans="1:8" x14ac:dyDescent="0.3">
      <c r="A13" s="29" t="str">
        <f>'MANO DE OBRA'!B24</f>
        <v>OFICIAL ELECTRICISTA</v>
      </c>
      <c r="B13" s="32">
        <f>'MANO DE OBRA'!C24</f>
        <v>4377262.5</v>
      </c>
      <c r="C13" s="41">
        <f>'MANO DE OBRA'!D24</f>
        <v>1.472443924522842</v>
      </c>
      <c r="D13" s="32">
        <f>'MANO DE OBRA'!E24</f>
        <v>6445273.5741666667</v>
      </c>
      <c r="E13" s="32">
        <f>'MANO DE OBRA'!F24</f>
        <v>179887.5</v>
      </c>
      <c r="F13" s="32">
        <f>'MANO DE OBRA'!G24</f>
        <v>84986.756472602749</v>
      </c>
      <c r="G13" s="32">
        <f>'MANO DE OBRA'!H24</f>
        <v>264874.25647260272</v>
      </c>
      <c r="H13" s="16" t="s">
        <v>1194</v>
      </c>
    </row>
    <row r="14" spans="1:8" x14ac:dyDescent="0.3">
      <c r="A14" s="29" t="str">
        <f>'MANO DE OBRA'!B25</f>
        <v>OFICIAL PINTOR</v>
      </c>
      <c r="B14" s="32">
        <f>'MANO DE OBRA'!C25</f>
        <v>3501810</v>
      </c>
      <c r="C14" s="41">
        <f>'MANO DE OBRA'!D25</f>
        <v>1.571552568814413</v>
      </c>
      <c r="D14" s="32">
        <f>'MANO DE OBRA'!E25</f>
        <v>5503278.5009999992</v>
      </c>
      <c r="E14" s="32">
        <f>'MANO DE OBRA'!F25</f>
        <v>143910</v>
      </c>
      <c r="F14" s="32">
        <f>'MANO DE OBRA'!G25</f>
        <v>82252.130178082167</v>
      </c>
      <c r="G14" s="32">
        <f>'MANO DE OBRA'!H25</f>
        <v>226162.13017808215</v>
      </c>
      <c r="H14" s="16" t="s">
        <v>1195</v>
      </c>
    </row>
    <row r="15" spans="1:8" x14ac:dyDescent="0.3">
      <c r="A15" s="29" t="str">
        <f>'MANO DE OBRA'!B31</f>
        <v>OFICIAL HIDROSANITARIO (PLOMERO)</v>
      </c>
      <c r="B15" s="32">
        <f>'MANO DE OBRA'!C31</f>
        <v>3501810</v>
      </c>
      <c r="C15" s="41">
        <f>'MANO DE OBRA'!D31</f>
        <v>1.571552568814413</v>
      </c>
      <c r="D15" s="32">
        <f>'MANO DE OBRA'!E31</f>
        <v>5503278.5009999992</v>
      </c>
      <c r="E15" s="32">
        <f>'MANO DE OBRA'!F31</f>
        <v>143910</v>
      </c>
      <c r="F15" s="32">
        <f>'MANO DE OBRA'!G31</f>
        <v>82252.130178082167</v>
      </c>
      <c r="G15" s="32">
        <f>'MANO DE OBRA'!H31</f>
        <v>226162.13017808215</v>
      </c>
      <c r="H15" s="16" t="s">
        <v>1196</v>
      </c>
    </row>
    <row r="16" spans="1:8" x14ac:dyDescent="0.3">
      <c r="A16" s="29" t="str">
        <f>'MANO DE OBRA'!B33</f>
        <v>OFICIAL CARPINTERO</v>
      </c>
      <c r="B16" s="32">
        <f>'MANO DE OBRA'!C33</f>
        <v>3851991.0000000005</v>
      </c>
      <c r="C16" s="41">
        <f>'MANO DE OBRA'!D33</f>
        <v>1.475786277866866</v>
      </c>
      <c r="D16" s="32">
        <f>'MANO DE OBRA'!E33</f>
        <v>5684715.4602666674</v>
      </c>
      <c r="E16" s="32">
        <f>'MANO DE OBRA'!F33</f>
        <v>158301.00000000003</v>
      </c>
      <c r="F16" s="32">
        <f>'MANO DE OBRA'!G33</f>
        <v>75317.443572602759</v>
      </c>
      <c r="G16" s="32">
        <f>'MANO DE OBRA'!H33</f>
        <v>233618.44357260279</v>
      </c>
      <c r="H16" s="16" t="s">
        <v>1197</v>
      </c>
    </row>
    <row r="17" spans="1:8" x14ac:dyDescent="0.3">
      <c r="A17" s="29" t="str">
        <f>'MANO DE OBRA'!B26</f>
        <v>AYUDANTE CARPINTERO</v>
      </c>
      <c r="B17" s="32">
        <f>'MANO DE OBRA'!C26</f>
        <v>1750905</v>
      </c>
      <c r="C17" s="41">
        <f>'MANO DE OBRA'!D26</f>
        <v>1.6951718042954931</v>
      </c>
      <c r="D17" s="32">
        <f>'MANO DE OBRA'!E26</f>
        <v>2968084.7880000002</v>
      </c>
      <c r="E17" s="32">
        <f>'MANO DE OBRA'!F26</f>
        <v>71955</v>
      </c>
      <c r="F17" s="32">
        <f>'MANO DE OBRA'!G26</f>
        <v>50021.087178082198</v>
      </c>
      <c r="G17" s="32">
        <f>'MANO DE OBRA'!H26</f>
        <v>121976.08717808221</v>
      </c>
      <c r="H17" s="16" t="s">
        <v>1197</v>
      </c>
    </row>
  </sheetData>
  <mergeCells count="4">
    <mergeCell ref="A4:H4"/>
    <mergeCell ref="A3:H3"/>
    <mergeCell ref="A2:H2"/>
    <mergeCell ref="A1:H1"/>
  </mergeCells>
  <pageMargins left="0.4" right="0.4" top="0.5" bottom="0.5" header="0.5" footer="0.5"/>
  <pageSetup fitToHeight="0"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B1:T27"/>
  <sheetViews>
    <sheetView showGridLines="0" workbookViewId="0">
      <pane xSplit="2" ySplit="6" topLeftCell="C7" activePane="bottomRight" state="frozen"/>
      <selection pane="topRight"/>
      <selection pane="bottomLeft"/>
      <selection pane="bottomRight"/>
    </sheetView>
  </sheetViews>
  <sheetFormatPr baseColWidth="10" defaultColWidth="8.88671875" defaultRowHeight="14.4" x14ac:dyDescent="0.3"/>
  <cols>
    <col min="1" max="1" width="2" customWidth="1"/>
    <col min="2" max="2" width="58" customWidth="1"/>
    <col min="3" max="3" width="20" customWidth="1"/>
    <col min="4" max="7" width="16" customWidth="1"/>
    <col min="8" max="20" width="6.44140625" customWidth="1"/>
  </cols>
  <sheetData>
    <row r="1" spans="2:20" x14ac:dyDescent="0.3">
      <c r="B1" s="111" t="s">
        <v>1198</v>
      </c>
      <c r="C1" s="111"/>
      <c r="D1" s="111"/>
      <c r="E1" s="111"/>
      <c r="F1" s="111"/>
      <c r="G1" s="111"/>
      <c r="H1" s="111"/>
      <c r="I1" s="111"/>
      <c r="J1" s="111"/>
      <c r="K1" s="111"/>
      <c r="L1" s="111"/>
      <c r="M1" s="111"/>
      <c r="N1" s="111"/>
      <c r="O1" s="111"/>
      <c r="P1" s="111"/>
      <c r="Q1" s="111"/>
      <c r="R1" s="111"/>
      <c r="S1" s="111"/>
      <c r="T1" s="111"/>
    </row>
    <row r="2" spans="2:20" x14ac:dyDescent="0.3">
      <c r="B2" s="123" t="str">
        <f>'Datos Iniciales'!$B$8</f>
        <v>OBRA PÚBLICA PARA LA EJECUCIÓN DE DIFERENTES MEJORAMIENTOS DE VIVIENDA EN EL CASCO URBANO Y RURAL DEL MUNICIPIO DE MACEO - ANTIOQUIA</v>
      </c>
      <c r="C2" s="123"/>
      <c r="D2" s="123"/>
      <c r="E2" s="123"/>
      <c r="F2" s="123"/>
      <c r="G2" s="123"/>
      <c r="H2" s="123"/>
      <c r="I2" s="123"/>
      <c r="J2" s="123"/>
      <c r="K2" s="123"/>
      <c r="L2" s="123"/>
      <c r="M2" s="123"/>
      <c r="N2" s="123"/>
      <c r="O2" s="123"/>
      <c r="P2" s="123"/>
      <c r="Q2" s="123"/>
      <c r="R2" s="123"/>
      <c r="S2" s="123"/>
      <c r="T2" s="123"/>
    </row>
    <row r="3" spans="2:20" x14ac:dyDescent="0.3">
      <c r="B3" s="14" t="s">
        <v>1199</v>
      </c>
      <c r="C3" s="86">
        <v>46343</v>
      </c>
      <c r="D3" s="14" t="s">
        <v>1200</v>
      </c>
      <c r="E3" s="17">
        <f>'Datos Iniciales'!$B$20*30</f>
        <v>90</v>
      </c>
    </row>
    <row r="5" spans="2:20" x14ac:dyDescent="0.3">
      <c r="B5" s="112" t="s">
        <v>1201</v>
      </c>
      <c r="C5" s="112" t="s">
        <v>1202</v>
      </c>
      <c r="D5" s="112" t="s">
        <v>1203</v>
      </c>
      <c r="E5" s="112" t="s">
        <v>1204</v>
      </c>
      <c r="F5" s="112" t="s">
        <v>1205</v>
      </c>
      <c r="G5" s="112" t="s">
        <v>1206</v>
      </c>
      <c r="H5" s="87">
        <v>1</v>
      </c>
      <c r="I5" s="87">
        <v>2</v>
      </c>
      <c r="J5" s="87">
        <v>3</v>
      </c>
      <c r="K5" s="87">
        <v>4</v>
      </c>
      <c r="L5" s="87">
        <v>5</v>
      </c>
      <c r="M5" s="87">
        <v>6</v>
      </c>
      <c r="N5" s="87">
        <v>7</v>
      </c>
      <c r="O5" s="87">
        <v>8</v>
      </c>
      <c r="P5" s="87">
        <v>9</v>
      </c>
      <c r="Q5" s="87">
        <v>10</v>
      </c>
      <c r="R5" s="87">
        <v>11</v>
      </c>
      <c r="S5" s="87">
        <v>12</v>
      </c>
      <c r="T5" s="87">
        <v>13</v>
      </c>
    </row>
    <row r="6" spans="2:20" x14ac:dyDescent="0.3">
      <c r="B6" s="112"/>
      <c r="C6" s="112"/>
      <c r="D6" s="112"/>
      <c r="E6" s="112"/>
      <c r="F6" s="112"/>
      <c r="G6" s="112"/>
      <c r="H6" s="88">
        <f t="shared" ref="H6:T6" si="0">$C$3+7*(H5-1)</f>
        <v>46343</v>
      </c>
      <c r="I6" s="88">
        <f t="shared" si="0"/>
        <v>46350</v>
      </c>
      <c r="J6" s="88">
        <f t="shared" si="0"/>
        <v>46357</v>
      </c>
      <c r="K6" s="88">
        <f t="shared" si="0"/>
        <v>46364</v>
      </c>
      <c r="L6" s="88">
        <f t="shared" si="0"/>
        <v>46371</v>
      </c>
      <c r="M6" s="88">
        <f t="shared" si="0"/>
        <v>46378</v>
      </c>
      <c r="N6" s="88">
        <f t="shared" si="0"/>
        <v>46385</v>
      </c>
      <c r="O6" s="88">
        <f t="shared" si="0"/>
        <v>46392</v>
      </c>
      <c r="P6" s="88">
        <f t="shared" si="0"/>
        <v>46399</v>
      </c>
      <c r="Q6" s="88">
        <f t="shared" si="0"/>
        <v>46406</v>
      </c>
      <c r="R6" s="88">
        <f t="shared" si="0"/>
        <v>46413</v>
      </c>
      <c r="S6" s="88">
        <f t="shared" si="0"/>
        <v>46420</v>
      </c>
      <c r="T6" s="88">
        <f t="shared" si="0"/>
        <v>46427</v>
      </c>
    </row>
    <row r="7" spans="2:20" ht="24" customHeight="1" x14ac:dyDescent="0.3">
      <c r="B7" s="16" t="s">
        <v>1207</v>
      </c>
      <c r="C7" s="30" t="s">
        <v>1208</v>
      </c>
      <c r="D7" s="15">
        <v>1</v>
      </c>
      <c r="E7" s="15">
        <v>12</v>
      </c>
      <c r="F7" s="89">
        <f t="shared" ref="F7:F13" si="1">$C$3+D7-1</f>
        <v>46343</v>
      </c>
      <c r="G7" s="89">
        <f t="shared" ref="G7:G13" si="2">$C$3+D7+E7-2</f>
        <v>46354</v>
      </c>
      <c r="H7" s="30">
        <f t="shared" ref="H7:T13" si="3">IF(AND($D7&lt;=7*H$5,$D7+$E7-1&gt;=7*(H$5-1)+1),1,"")</f>
        <v>1</v>
      </c>
      <c r="I7" s="30">
        <f t="shared" si="3"/>
        <v>1</v>
      </c>
      <c r="J7" s="30" t="str">
        <f t="shared" si="3"/>
        <v/>
      </c>
      <c r="K7" s="30" t="str">
        <f t="shared" si="3"/>
        <v/>
      </c>
      <c r="L7" s="30" t="str">
        <f t="shared" si="3"/>
        <v/>
      </c>
      <c r="M7" s="30" t="str">
        <f t="shared" si="3"/>
        <v/>
      </c>
      <c r="N7" s="30" t="str">
        <f t="shared" si="3"/>
        <v/>
      </c>
      <c r="O7" s="30" t="str">
        <f t="shared" si="3"/>
        <v/>
      </c>
      <c r="P7" s="30" t="str">
        <f t="shared" si="3"/>
        <v/>
      </c>
      <c r="Q7" s="30" t="str">
        <f t="shared" si="3"/>
        <v/>
      </c>
      <c r="R7" s="30" t="str">
        <f t="shared" si="3"/>
        <v/>
      </c>
      <c r="S7" s="30" t="str">
        <f t="shared" si="3"/>
        <v/>
      </c>
      <c r="T7" s="30" t="str">
        <f t="shared" si="3"/>
        <v/>
      </c>
    </row>
    <row r="8" spans="2:20" ht="24" customHeight="1" x14ac:dyDescent="0.3">
      <c r="B8" s="16" t="s">
        <v>1209</v>
      </c>
      <c r="C8" s="30" t="s">
        <v>1210</v>
      </c>
      <c r="D8" s="15">
        <v>6</v>
      </c>
      <c r="E8" s="15">
        <v>45</v>
      </c>
      <c r="F8" s="89">
        <f t="shared" si="1"/>
        <v>46348</v>
      </c>
      <c r="G8" s="89">
        <f t="shared" si="2"/>
        <v>46392</v>
      </c>
      <c r="H8" s="30">
        <f t="shared" si="3"/>
        <v>1</v>
      </c>
      <c r="I8" s="30">
        <f t="shared" si="3"/>
        <v>1</v>
      </c>
      <c r="J8" s="30">
        <f t="shared" si="3"/>
        <v>1</v>
      </c>
      <c r="K8" s="30">
        <f t="shared" si="3"/>
        <v>1</v>
      </c>
      <c r="L8" s="30">
        <f t="shared" si="3"/>
        <v>1</v>
      </c>
      <c r="M8" s="30">
        <f t="shared" si="3"/>
        <v>1</v>
      </c>
      <c r="N8" s="30">
        <f t="shared" si="3"/>
        <v>1</v>
      </c>
      <c r="O8" s="30">
        <f t="shared" si="3"/>
        <v>1</v>
      </c>
      <c r="P8" s="30" t="str">
        <f t="shared" si="3"/>
        <v/>
      </c>
      <c r="Q8" s="30" t="str">
        <f t="shared" si="3"/>
        <v/>
      </c>
      <c r="R8" s="30" t="str">
        <f t="shared" si="3"/>
        <v/>
      </c>
      <c r="S8" s="30" t="str">
        <f t="shared" si="3"/>
        <v/>
      </c>
      <c r="T8" s="30" t="str">
        <f t="shared" si="3"/>
        <v/>
      </c>
    </row>
    <row r="9" spans="2:20" ht="24" customHeight="1" x14ac:dyDescent="0.3">
      <c r="B9" s="16" t="s">
        <v>1211</v>
      </c>
      <c r="C9" s="30" t="s">
        <v>1212</v>
      </c>
      <c r="D9" s="15">
        <v>10</v>
      </c>
      <c r="E9" s="15">
        <v>70</v>
      </c>
      <c r="F9" s="89">
        <f t="shared" si="1"/>
        <v>46352</v>
      </c>
      <c r="G9" s="89">
        <f t="shared" si="2"/>
        <v>46421</v>
      </c>
      <c r="H9" s="30" t="str">
        <f t="shared" si="3"/>
        <v/>
      </c>
      <c r="I9" s="30">
        <f t="shared" si="3"/>
        <v>1</v>
      </c>
      <c r="J9" s="30">
        <f t="shared" si="3"/>
        <v>1</v>
      </c>
      <c r="K9" s="30">
        <f t="shared" si="3"/>
        <v>1</v>
      </c>
      <c r="L9" s="30">
        <f t="shared" si="3"/>
        <v>1</v>
      </c>
      <c r="M9" s="30">
        <f t="shared" si="3"/>
        <v>1</v>
      </c>
      <c r="N9" s="30">
        <f t="shared" si="3"/>
        <v>1</v>
      </c>
      <c r="O9" s="30">
        <f t="shared" si="3"/>
        <v>1</v>
      </c>
      <c r="P9" s="30">
        <f t="shared" si="3"/>
        <v>1</v>
      </c>
      <c r="Q9" s="30">
        <f t="shared" si="3"/>
        <v>1</v>
      </c>
      <c r="R9" s="30">
        <f t="shared" si="3"/>
        <v>1</v>
      </c>
      <c r="S9" s="30">
        <f t="shared" si="3"/>
        <v>1</v>
      </c>
      <c r="T9" s="30" t="str">
        <f t="shared" si="3"/>
        <v/>
      </c>
    </row>
    <row r="10" spans="2:20" ht="24" customHeight="1" x14ac:dyDescent="0.3">
      <c r="B10" s="16" t="s">
        <v>1213</v>
      </c>
      <c r="C10" s="30" t="s">
        <v>1214</v>
      </c>
      <c r="D10" s="15">
        <v>10</v>
      </c>
      <c r="E10" s="15">
        <v>70</v>
      </c>
      <c r="F10" s="89">
        <f t="shared" si="1"/>
        <v>46352</v>
      </c>
      <c r="G10" s="89">
        <f t="shared" si="2"/>
        <v>46421</v>
      </c>
      <c r="H10" s="30" t="str">
        <f t="shared" si="3"/>
        <v/>
      </c>
      <c r="I10" s="30">
        <f t="shared" si="3"/>
        <v>1</v>
      </c>
      <c r="J10" s="30">
        <f t="shared" si="3"/>
        <v>1</v>
      </c>
      <c r="K10" s="30">
        <f t="shared" si="3"/>
        <v>1</v>
      </c>
      <c r="L10" s="30">
        <f t="shared" si="3"/>
        <v>1</v>
      </c>
      <c r="M10" s="30">
        <f t="shared" si="3"/>
        <v>1</v>
      </c>
      <c r="N10" s="30">
        <f t="shared" si="3"/>
        <v>1</v>
      </c>
      <c r="O10" s="30">
        <f t="shared" si="3"/>
        <v>1</v>
      </c>
      <c r="P10" s="30">
        <f t="shared" si="3"/>
        <v>1</v>
      </c>
      <c r="Q10" s="30">
        <f t="shared" si="3"/>
        <v>1</v>
      </c>
      <c r="R10" s="30">
        <f t="shared" si="3"/>
        <v>1</v>
      </c>
      <c r="S10" s="30">
        <f t="shared" si="3"/>
        <v>1</v>
      </c>
      <c r="T10" s="30" t="str">
        <f t="shared" si="3"/>
        <v/>
      </c>
    </row>
    <row r="11" spans="2:20" ht="24" customHeight="1" x14ac:dyDescent="0.3">
      <c r="B11" s="16" t="s">
        <v>1215</v>
      </c>
      <c r="C11" s="30" t="s">
        <v>1216</v>
      </c>
      <c r="D11" s="15">
        <v>6</v>
      </c>
      <c r="E11" s="15">
        <v>80</v>
      </c>
      <c r="F11" s="89">
        <f t="shared" si="1"/>
        <v>46348</v>
      </c>
      <c r="G11" s="89">
        <f t="shared" si="2"/>
        <v>46427</v>
      </c>
      <c r="H11" s="30">
        <f t="shared" si="3"/>
        <v>1</v>
      </c>
      <c r="I11" s="30">
        <f t="shared" si="3"/>
        <v>1</v>
      </c>
      <c r="J11" s="30">
        <f t="shared" si="3"/>
        <v>1</v>
      </c>
      <c r="K11" s="30">
        <f t="shared" si="3"/>
        <v>1</v>
      </c>
      <c r="L11" s="30">
        <f t="shared" si="3"/>
        <v>1</v>
      </c>
      <c r="M11" s="30">
        <f t="shared" si="3"/>
        <v>1</v>
      </c>
      <c r="N11" s="30">
        <f t="shared" si="3"/>
        <v>1</v>
      </c>
      <c r="O11" s="30">
        <f t="shared" si="3"/>
        <v>1</v>
      </c>
      <c r="P11" s="30">
        <f t="shared" si="3"/>
        <v>1</v>
      </c>
      <c r="Q11" s="30">
        <f t="shared" si="3"/>
        <v>1</v>
      </c>
      <c r="R11" s="30">
        <f t="shared" si="3"/>
        <v>1</v>
      </c>
      <c r="S11" s="30">
        <f t="shared" si="3"/>
        <v>1</v>
      </c>
      <c r="T11" s="30">
        <f t="shared" si="3"/>
        <v>1</v>
      </c>
    </row>
    <row r="12" spans="2:20" ht="24" customHeight="1" x14ac:dyDescent="0.3">
      <c r="B12" s="16" t="s">
        <v>1217</v>
      </c>
      <c r="C12" s="30" t="s">
        <v>1218</v>
      </c>
      <c r="D12" s="15">
        <v>25</v>
      </c>
      <c r="E12" s="15">
        <v>35</v>
      </c>
      <c r="F12" s="89">
        <f t="shared" si="1"/>
        <v>46367</v>
      </c>
      <c r="G12" s="89">
        <f t="shared" si="2"/>
        <v>46401</v>
      </c>
      <c r="H12" s="30" t="str">
        <f t="shared" si="3"/>
        <v/>
      </c>
      <c r="I12" s="30" t="str">
        <f t="shared" si="3"/>
        <v/>
      </c>
      <c r="J12" s="30" t="str">
        <f t="shared" si="3"/>
        <v/>
      </c>
      <c r="K12" s="30">
        <f t="shared" si="3"/>
        <v>1</v>
      </c>
      <c r="L12" s="30">
        <f t="shared" si="3"/>
        <v>1</v>
      </c>
      <c r="M12" s="30">
        <f t="shared" si="3"/>
        <v>1</v>
      </c>
      <c r="N12" s="30">
        <f t="shared" si="3"/>
        <v>1</v>
      </c>
      <c r="O12" s="30">
        <f t="shared" si="3"/>
        <v>1</v>
      </c>
      <c r="P12" s="30">
        <f t="shared" si="3"/>
        <v>1</v>
      </c>
      <c r="Q12" s="30" t="str">
        <f t="shared" si="3"/>
        <v/>
      </c>
      <c r="R12" s="30" t="str">
        <f t="shared" si="3"/>
        <v/>
      </c>
      <c r="S12" s="30" t="str">
        <f t="shared" si="3"/>
        <v/>
      </c>
      <c r="T12" s="30" t="str">
        <f t="shared" si="3"/>
        <v/>
      </c>
    </row>
    <row r="13" spans="2:20" ht="24" customHeight="1" x14ac:dyDescent="0.3">
      <c r="B13" s="16" t="s">
        <v>1219</v>
      </c>
      <c r="C13" s="30" t="s">
        <v>1220</v>
      </c>
      <c r="D13" s="15">
        <v>82</v>
      </c>
      <c r="E13" s="15">
        <v>9</v>
      </c>
      <c r="F13" s="89">
        <f t="shared" si="1"/>
        <v>46424</v>
      </c>
      <c r="G13" s="89">
        <f t="shared" si="2"/>
        <v>46432</v>
      </c>
      <c r="H13" s="30" t="str">
        <f t="shared" si="3"/>
        <v/>
      </c>
      <c r="I13" s="30" t="str">
        <f t="shared" si="3"/>
        <v/>
      </c>
      <c r="J13" s="30" t="str">
        <f t="shared" si="3"/>
        <v/>
      </c>
      <c r="K13" s="30" t="str">
        <f t="shared" si="3"/>
        <v/>
      </c>
      <c r="L13" s="30" t="str">
        <f t="shared" si="3"/>
        <v/>
      </c>
      <c r="M13" s="30" t="str">
        <f t="shared" si="3"/>
        <v/>
      </c>
      <c r="N13" s="30" t="str">
        <f t="shared" si="3"/>
        <v/>
      </c>
      <c r="O13" s="30" t="str">
        <f t="shared" si="3"/>
        <v/>
      </c>
      <c r="P13" s="30" t="str">
        <f t="shared" si="3"/>
        <v/>
      </c>
      <c r="Q13" s="30" t="str">
        <f t="shared" si="3"/>
        <v/>
      </c>
      <c r="R13" s="30" t="str">
        <f t="shared" si="3"/>
        <v/>
      </c>
      <c r="S13" s="30">
        <f t="shared" si="3"/>
        <v>1</v>
      </c>
      <c r="T13" s="30">
        <f t="shared" si="3"/>
        <v>1</v>
      </c>
    </row>
    <row r="14" spans="2:20" x14ac:dyDescent="0.3">
      <c r="B14" s="14" t="s">
        <v>1221</v>
      </c>
      <c r="E14" s="90">
        <f>(MAX(D7+E7,D8+E8,D9+E9,D10+E10,D11+E11,D12+E12,D13+E13)-1)/30</f>
        <v>3</v>
      </c>
      <c r="F14" s="150" t="str">
        <f>IF(ROUND(E14,2)&lt;&gt;'Datos Iniciales'!$B$20,"VERIFICAR: el plazo del cronograma debe coincidir con Datos Iniciales","OK: coincide con el plazo de Datos Iniciales")</f>
        <v>OK: coincide con el plazo de Datos Iniciales</v>
      </c>
      <c r="G14" s="150"/>
      <c r="H14" s="150"/>
      <c r="I14" s="150"/>
      <c r="J14" s="150"/>
      <c r="K14" s="150"/>
      <c r="L14" s="150"/>
      <c r="M14" s="150"/>
      <c r="N14" s="150"/>
      <c r="O14" s="150"/>
      <c r="P14" s="150"/>
      <c r="Q14" s="150"/>
      <c r="R14" s="150"/>
      <c r="S14" s="150"/>
      <c r="T14" s="150"/>
    </row>
    <row r="15" spans="2:20" x14ac:dyDescent="0.3">
      <c r="B15" s="149" t="str">
        <f>IF(MAX(G7:G13)&gt;DATE(2026,12,31),"ALERTA: con esta fecha de inicio la obra termina el "&amp;DAY(MAX(G7:G13))&amp;"/"&amp;MONTH(MAX(G7:G13))&amp;"/"&amp;YEAR(MAX(G7:G13))&amp;", después del cierre de la vigencia 2026: prever reserva presupuestal o vigencia futura.","OK: la obra termina dentro de la vigencia 2026.")</f>
        <v>ALERTA: con esta fecha de inicio la obra termina el 14/2/2027, después del cierre de la vigencia 2026: prever reserva presupuestal o vigencia futura.</v>
      </c>
      <c r="C15" s="149"/>
      <c r="D15" s="149"/>
      <c r="E15" s="149"/>
      <c r="F15" s="149"/>
      <c r="G15" s="149"/>
      <c r="H15" s="149"/>
      <c r="I15" s="149"/>
      <c r="J15" s="149"/>
      <c r="K15" s="149"/>
      <c r="L15" s="149"/>
      <c r="M15" s="149"/>
      <c r="N15" s="149"/>
      <c r="O15" s="149"/>
      <c r="P15" s="149"/>
      <c r="Q15" s="149"/>
      <c r="R15" s="149"/>
      <c r="S15" s="149"/>
      <c r="T15" s="149"/>
    </row>
    <row r="17" spans="2:20" x14ac:dyDescent="0.3">
      <c r="B17" s="112" t="s">
        <v>1222</v>
      </c>
      <c r="C17" s="112"/>
      <c r="D17" s="112"/>
      <c r="E17" s="112"/>
      <c r="F17" s="112"/>
      <c r="G17" s="112"/>
    </row>
    <row r="18" spans="2:20" x14ac:dyDescent="0.3">
      <c r="B18" s="13" t="s">
        <v>70</v>
      </c>
      <c r="C18" s="13" t="s">
        <v>75</v>
      </c>
      <c r="D18" s="13" t="s">
        <v>1223</v>
      </c>
      <c r="E18" s="13" t="s">
        <v>1224</v>
      </c>
      <c r="F18" s="13" t="s">
        <v>1225</v>
      </c>
      <c r="G18" s="13" t="s">
        <v>1226</v>
      </c>
    </row>
    <row r="19" spans="2:20" x14ac:dyDescent="0.3">
      <c r="B19" s="16" t="s">
        <v>1227</v>
      </c>
      <c r="C19" s="32">
        <f>RESUMEN!$H$7</f>
        <v>51098957</v>
      </c>
      <c r="D19" s="32">
        <f>C19*MAX(0,MIN($D$9+$E$9-1,30)-MAX($D$9,1)+1)/$E$9</f>
        <v>15329687.1</v>
      </c>
      <c r="E19" s="32">
        <f>C19*MAX(0,MIN($D$9+$E$9-1,60)-MAX($D$9,31)+1)/$E$9</f>
        <v>21899553</v>
      </c>
      <c r="F19" s="32">
        <f>C19*MAX(0,MIN($D$9+$E$9-1,90)-MAX($D$9,61)+1)/$E$9</f>
        <v>13869716.9</v>
      </c>
      <c r="G19" s="91">
        <f>C19-SUM(D19:F19)</f>
        <v>0</v>
      </c>
    </row>
    <row r="20" spans="2:20" x14ac:dyDescent="0.3">
      <c r="B20" s="16" t="s">
        <v>1228</v>
      </c>
      <c r="C20" s="32">
        <f>RESUMEN!$H$8</f>
        <v>62962991.380000003</v>
      </c>
      <c r="D20" s="32">
        <f>C20*MAX(0,MIN($D$10+$E$10-1,30)-MAX($D$10,1)+1)/$E$10</f>
        <v>18888897.414000001</v>
      </c>
      <c r="E20" s="32">
        <f>C20*MAX(0,MIN($D$10+$E$10-1,60)-MAX($D$10,31)+1)/$E$10</f>
        <v>26984139.162857145</v>
      </c>
      <c r="F20" s="32">
        <f>C20*MAX(0,MIN($D$10+$E$10-1,90)-MAX($D$10,61)+1)/$E$10</f>
        <v>17089954.803142857</v>
      </c>
      <c r="G20" s="91">
        <f>C20-SUM(D20:F20)</f>
        <v>0</v>
      </c>
    </row>
    <row r="21" spans="2:20" x14ac:dyDescent="0.3">
      <c r="B21" s="16" t="s">
        <v>1229</v>
      </c>
      <c r="C21" s="32">
        <f>RESUMEN!$H$9</f>
        <v>69660570</v>
      </c>
      <c r="D21" s="32">
        <f>C21*MAX(0,MIN($D$8+$E$8-1,30)-MAX($D$8,1)+1)/$E$8</f>
        <v>38700316.666666664</v>
      </c>
      <c r="E21" s="32">
        <f>C21*MAX(0,MIN($D$8+$E$8-1,60)-MAX($D$8,31)+1)/$E$8</f>
        <v>30960253.333333332</v>
      </c>
      <c r="F21" s="32">
        <f>C21*MAX(0,MIN($D$8+$E$8-1,90)-MAX($D$8,61)+1)/$E$8</f>
        <v>0</v>
      </c>
      <c r="G21" s="91">
        <f>C21-SUM(D21:F21)</f>
        <v>0</v>
      </c>
    </row>
    <row r="22" spans="2:20" x14ac:dyDescent="0.3">
      <c r="B22" s="16" t="s">
        <v>1230</v>
      </c>
      <c r="C22" s="32">
        <f>RESUMEN!$H$10</f>
        <v>55819009.18</v>
      </c>
      <c r="D22" s="32">
        <f>C22*MAX(0,MIN($D$11+$E$11-1,30)-MAX($D$11,1)+1)/$E$11</f>
        <v>17443440.368749999</v>
      </c>
      <c r="E22" s="32">
        <f>C22*MAX(0,MIN($D$11+$E$11-1,60)-MAX($D$11,31)+1)/$E$11</f>
        <v>20932128.442500003</v>
      </c>
      <c r="F22" s="32">
        <f>C22*MAX(0,MIN($D$11+$E$11-1,90)-MAX($D$11,61)+1)/$E$11</f>
        <v>17443440.368749999</v>
      </c>
      <c r="G22" s="91">
        <f>C22-SUM(D22:F22)</f>
        <v>0</v>
      </c>
    </row>
    <row r="23" spans="2:20" x14ac:dyDescent="0.3">
      <c r="B23" s="16" t="s">
        <v>1231</v>
      </c>
      <c r="C23" s="32">
        <f>RESUMEN!$H$11</f>
        <v>14676402.259999998</v>
      </c>
      <c r="D23" s="32">
        <f>C23*MAX(0,MIN($D$12+$E$12-1,30)-MAX($D$12,1)+1)/$E$12</f>
        <v>2515954.6731428569</v>
      </c>
      <c r="E23" s="32">
        <f>C23*MAX(0,MIN($D$12+$E$12-1,60)-MAX($D$12,31)+1)/$E$12</f>
        <v>12160447.586857142</v>
      </c>
      <c r="F23" s="32">
        <f>C23*MAX(0,MIN($D$12+$E$12-1,90)-MAX($D$12,61)+1)/$E$12</f>
        <v>0</v>
      </c>
      <c r="G23" s="91">
        <f>C23-SUM(D23:F23)</f>
        <v>0</v>
      </c>
    </row>
    <row r="24" spans="2:20" x14ac:dyDescent="0.3">
      <c r="B24" s="61" t="s">
        <v>83</v>
      </c>
      <c r="C24" s="35">
        <f>SUM(C19:C23)</f>
        <v>254217929.81999999</v>
      </c>
      <c r="D24" s="35">
        <f>SUM(D19:D23)</f>
        <v>92878296.222559512</v>
      </c>
      <c r="E24" s="35">
        <f>SUM(E19:E23)</f>
        <v>112936521.52554762</v>
      </c>
      <c r="F24" s="35">
        <f>SUM(F19:F23)</f>
        <v>48403112.071892858</v>
      </c>
      <c r="G24" s="35">
        <f>SUM(G19:G23)</f>
        <v>0</v>
      </c>
    </row>
    <row r="25" spans="2:20" x14ac:dyDescent="0.3">
      <c r="B25" s="14" t="s">
        <v>1232</v>
      </c>
      <c r="D25" s="60">
        <f>IF($C$24&gt;0,D24/$C$24,0)</f>
        <v>0.36534911714654572</v>
      </c>
      <c r="E25" s="60">
        <f>IF($C$24&gt;0,E24/$C$24,0)</f>
        <v>0.44425081112694442</v>
      </c>
      <c r="F25" s="60">
        <f>IF($C$24&gt;0,F24/$C$24,0)</f>
        <v>0.19040007172650988</v>
      </c>
    </row>
    <row r="27" spans="2:20" ht="36" customHeight="1" x14ac:dyDescent="0.3">
      <c r="B27" s="106" t="s">
        <v>1233</v>
      </c>
      <c r="C27" s="101"/>
      <c r="D27" s="101"/>
      <c r="E27" s="101"/>
      <c r="F27" s="101"/>
      <c r="G27" s="101"/>
      <c r="H27" s="101"/>
      <c r="I27" s="101"/>
      <c r="J27" s="101"/>
      <c r="K27" s="101"/>
      <c r="L27" s="101"/>
      <c r="M27" s="101"/>
      <c r="N27" s="101"/>
      <c r="O27" s="101"/>
      <c r="P27" s="101"/>
      <c r="Q27" s="101"/>
      <c r="R27" s="101"/>
      <c r="S27" s="101"/>
      <c r="T27" s="101"/>
    </row>
  </sheetData>
  <mergeCells count="12">
    <mergeCell ref="B1:T1"/>
    <mergeCell ref="B27:T27"/>
    <mergeCell ref="C5:C6"/>
    <mergeCell ref="F5:F6"/>
    <mergeCell ref="B5:B6"/>
    <mergeCell ref="B15:T15"/>
    <mergeCell ref="D5:D6"/>
    <mergeCell ref="G5:G6"/>
    <mergeCell ref="E5:E6"/>
    <mergeCell ref="B2:T2"/>
    <mergeCell ref="B17:G17"/>
    <mergeCell ref="F14:T14"/>
  </mergeCells>
  <conditionalFormatting sqref="H7:T13">
    <cfRule type="expression" dxfId="0" priority="1">
      <formula>H7=1</formula>
    </cfRule>
  </conditionalFormatting>
  <pageMargins left="0.4" right="0.4" top="0.5" bottom="0.5" header="0.5" footer="0.5"/>
  <pageSetup fitToHeight="0"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1:H72"/>
  <sheetViews>
    <sheetView showGridLines="0" workbookViewId="0">
      <pane ySplit="9" topLeftCell="A10" activePane="bottomLeft" state="frozen"/>
      <selection pane="bottomLeft" activeCell="D6" sqref="D6:H6"/>
    </sheetView>
  </sheetViews>
  <sheetFormatPr baseColWidth="10" defaultColWidth="8.88671875" defaultRowHeight="14.4" x14ac:dyDescent="0.3"/>
  <cols>
    <col min="1" max="1" width="2" customWidth="1"/>
    <col min="2" max="2" width="9" customWidth="1"/>
    <col min="3" max="3" width="40" customWidth="1"/>
    <col min="4" max="4" width="7" customWidth="1"/>
    <col min="5" max="5" width="52" customWidth="1"/>
    <col min="6" max="6" width="48" customWidth="1"/>
    <col min="7" max="7" width="34" customWidth="1"/>
    <col min="8" max="8" width="18" customWidth="1"/>
  </cols>
  <sheetData>
    <row r="1" spans="2:8" x14ac:dyDescent="0.3">
      <c r="B1" s="111" t="s">
        <v>1234</v>
      </c>
      <c r="C1" s="111"/>
      <c r="D1" s="111"/>
      <c r="E1" s="111"/>
      <c r="F1" s="111"/>
      <c r="G1" s="111"/>
      <c r="H1" s="111"/>
    </row>
    <row r="2" spans="2:8" x14ac:dyDescent="0.3">
      <c r="B2" s="123" t="str">
        <f>'Datos Iniciales'!$B$8</f>
        <v>OBRA PÚBLICA PARA LA EJECUCIÓN DE DIFERENTES MEJORAMIENTOS DE VIVIENDA EN EL CASCO URBANO Y RURAL DEL MUNICIPIO DE MACEO - ANTIOQUIA</v>
      </c>
      <c r="C2" s="123"/>
      <c r="D2" s="123"/>
      <c r="E2" s="123"/>
      <c r="F2" s="123"/>
      <c r="G2" s="123"/>
      <c r="H2" s="123"/>
    </row>
    <row r="4" spans="2:8" ht="33" customHeight="1" x14ac:dyDescent="0.3">
      <c r="B4" s="151" t="s">
        <v>1235</v>
      </c>
      <c r="C4" s="151"/>
      <c r="D4" s="134" t="s">
        <v>1236</v>
      </c>
      <c r="E4" s="134"/>
      <c r="F4" s="134"/>
      <c r="G4" s="134"/>
      <c r="H4" s="134"/>
    </row>
    <row r="5" spans="2:8" ht="24" customHeight="1" x14ac:dyDescent="0.3">
      <c r="B5" s="151" t="s">
        <v>1237</v>
      </c>
      <c r="C5" s="151"/>
      <c r="D5" s="134" t="s">
        <v>1238</v>
      </c>
      <c r="E5" s="134"/>
      <c r="F5" s="134"/>
      <c r="G5" s="134"/>
      <c r="H5" s="134"/>
    </row>
    <row r="6" spans="2:8" ht="24" customHeight="1" x14ac:dyDescent="0.3">
      <c r="B6" s="151" t="s">
        <v>1239</v>
      </c>
      <c r="C6" s="151"/>
      <c r="D6" s="134" t="s">
        <v>1240</v>
      </c>
      <c r="E6" s="134"/>
      <c r="F6" s="134"/>
      <c r="G6" s="134"/>
      <c r="H6" s="134"/>
    </row>
    <row r="7" spans="2:8" ht="24" customHeight="1" x14ac:dyDescent="0.3">
      <c r="B7" s="151" t="s">
        <v>1241</v>
      </c>
      <c r="C7" s="151"/>
      <c r="D7" s="134" t="s">
        <v>1242</v>
      </c>
      <c r="E7" s="134"/>
      <c r="F7" s="134"/>
      <c r="G7" s="134"/>
      <c r="H7" s="134"/>
    </row>
    <row r="9" spans="2:8" x14ac:dyDescent="0.3">
      <c r="B9" s="13" t="s">
        <v>382</v>
      </c>
      <c r="C9" s="13" t="s">
        <v>1201</v>
      </c>
      <c r="D9" s="13" t="s">
        <v>95</v>
      </c>
      <c r="E9" s="13" t="s">
        <v>1243</v>
      </c>
      <c r="F9" s="13" t="s">
        <v>1244</v>
      </c>
      <c r="G9" s="13" t="s">
        <v>1245</v>
      </c>
      <c r="H9" s="13" t="s">
        <v>1246</v>
      </c>
    </row>
    <row r="10" spans="2:8" ht="31.5" customHeight="1" x14ac:dyDescent="0.3">
      <c r="B10" s="63" t="s">
        <v>386</v>
      </c>
      <c r="C10" s="75" t="s">
        <v>699</v>
      </c>
      <c r="D10" s="17" t="s">
        <v>101</v>
      </c>
      <c r="E10" s="16" t="s">
        <v>1247</v>
      </c>
      <c r="F10" s="16" t="s">
        <v>1248</v>
      </c>
      <c r="G10" s="16" t="s">
        <v>1249</v>
      </c>
      <c r="H10" s="30" t="s">
        <v>1250</v>
      </c>
    </row>
    <row r="11" spans="2:8" ht="31.5" customHeight="1" x14ac:dyDescent="0.3">
      <c r="B11" s="63" t="s">
        <v>415</v>
      </c>
      <c r="C11" s="75" t="s">
        <v>702</v>
      </c>
      <c r="D11" s="17" t="s">
        <v>104</v>
      </c>
      <c r="E11" s="16" t="s">
        <v>1251</v>
      </c>
      <c r="F11" s="16" t="s">
        <v>1252</v>
      </c>
      <c r="G11" s="16" t="s">
        <v>1253</v>
      </c>
      <c r="H11" s="30" t="s">
        <v>1254</v>
      </c>
    </row>
    <row r="12" spans="2:8" ht="31.5" customHeight="1" x14ac:dyDescent="0.3">
      <c r="B12" s="63" t="s">
        <v>418</v>
      </c>
      <c r="C12" s="75" t="s">
        <v>836</v>
      </c>
      <c r="D12" s="17" t="s">
        <v>104</v>
      </c>
      <c r="E12" s="16" t="s">
        <v>1255</v>
      </c>
      <c r="F12" s="16" t="s">
        <v>1256</v>
      </c>
      <c r="G12" s="16" t="s">
        <v>1257</v>
      </c>
      <c r="H12" s="30" t="s">
        <v>1258</v>
      </c>
    </row>
    <row r="13" spans="2:8" ht="31.5" customHeight="1" x14ac:dyDescent="0.3">
      <c r="B13" s="63" t="s">
        <v>426</v>
      </c>
      <c r="C13" s="75" t="s">
        <v>891</v>
      </c>
      <c r="D13" s="17" t="s">
        <v>277</v>
      </c>
      <c r="E13" s="16" t="s">
        <v>1259</v>
      </c>
      <c r="F13" s="16" t="s">
        <v>1260</v>
      </c>
      <c r="G13" s="16" t="s">
        <v>1261</v>
      </c>
      <c r="H13" s="30" t="s">
        <v>275</v>
      </c>
    </row>
    <row r="14" spans="2:8" ht="52.5" customHeight="1" x14ac:dyDescent="0.3">
      <c r="B14" s="63" t="s">
        <v>432</v>
      </c>
      <c r="C14" s="75" t="s">
        <v>818</v>
      </c>
      <c r="D14" s="17" t="s">
        <v>104</v>
      </c>
      <c r="E14" s="16" t="s">
        <v>1262</v>
      </c>
      <c r="F14" s="16" t="s">
        <v>1263</v>
      </c>
      <c r="G14" s="16" t="s">
        <v>1264</v>
      </c>
      <c r="H14" s="30" t="s">
        <v>211</v>
      </c>
    </row>
    <row r="15" spans="2:8" ht="52.5" customHeight="1" x14ac:dyDescent="0.3">
      <c r="B15" s="63" t="s">
        <v>437</v>
      </c>
      <c r="C15" s="75" t="s">
        <v>704</v>
      </c>
      <c r="D15" s="17" t="s">
        <v>107</v>
      </c>
      <c r="E15" s="16" t="s">
        <v>1265</v>
      </c>
      <c r="F15" s="16" t="s">
        <v>1263</v>
      </c>
      <c r="G15" s="16" t="s">
        <v>1266</v>
      </c>
      <c r="H15" s="30" t="s">
        <v>1267</v>
      </c>
    </row>
    <row r="16" spans="2:8" ht="52.5" customHeight="1" x14ac:dyDescent="0.3">
      <c r="B16" s="63" t="s">
        <v>444</v>
      </c>
      <c r="C16" s="75" t="s">
        <v>839</v>
      </c>
      <c r="D16" s="17" t="s">
        <v>107</v>
      </c>
      <c r="E16" s="16" t="s">
        <v>1268</v>
      </c>
      <c r="F16" s="16" t="s">
        <v>1263</v>
      </c>
      <c r="G16" s="16" t="s">
        <v>1266</v>
      </c>
      <c r="H16" s="30" t="s">
        <v>228</v>
      </c>
    </row>
    <row r="17" spans="2:8" ht="52.5" customHeight="1" x14ac:dyDescent="0.3">
      <c r="B17" s="63" t="s">
        <v>447</v>
      </c>
      <c r="C17" s="75" t="s">
        <v>845</v>
      </c>
      <c r="D17" s="17" t="s">
        <v>107</v>
      </c>
      <c r="E17" s="16" t="s">
        <v>1269</v>
      </c>
      <c r="F17" s="16" t="s">
        <v>1263</v>
      </c>
      <c r="G17" s="16" t="s">
        <v>1266</v>
      </c>
      <c r="H17" s="30" t="s">
        <v>232</v>
      </c>
    </row>
    <row r="18" spans="2:8" ht="52.5" customHeight="1" x14ac:dyDescent="0.3">
      <c r="B18" s="63" t="s">
        <v>451</v>
      </c>
      <c r="C18" s="75" t="s">
        <v>842</v>
      </c>
      <c r="D18" s="17" t="s">
        <v>107</v>
      </c>
      <c r="E18" s="16" t="s">
        <v>1270</v>
      </c>
      <c r="F18" s="16" t="s">
        <v>1271</v>
      </c>
      <c r="G18" s="16" t="s">
        <v>1272</v>
      </c>
      <c r="H18" s="30" t="s">
        <v>230</v>
      </c>
    </row>
    <row r="19" spans="2:8" ht="52.5" customHeight="1" x14ac:dyDescent="0.3">
      <c r="B19" s="63" t="s">
        <v>453</v>
      </c>
      <c r="C19" s="75" t="s">
        <v>712</v>
      </c>
      <c r="D19" s="17" t="s">
        <v>107</v>
      </c>
      <c r="E19" s="16" t="s">
        <v>1273</v>
      </c>
      <c r="F19" s="16" t="s">
        <v>1263</v>
      </c>
      <c r="G19" s="16" t="s">
        <v>1274</v>
      </c>
      <c r="H19" s="30" t="s">
        <v>1275</v>
      </c>
    </row>
    <row r="20" spans="2:8" ht="52.5" customHeight="1" x14ac:dyDescent="0.3">
      <c r="B20" s="63" t="s">
        <v>456</v>
      </c>
      <c r="C20" s="75" t="s">
        <v>718</v>
      </c>
      <c r="D20" s="17" t="s">
        <v>107</v>
      </c>
      <c r="E20" s="16" t="s">
        <v>1276</v>
      </c>
      <c r="F20" s="16" t="s">
        <v>1263</v>
      </c>
      <c r="G20" s="16" t="s">
        <v>1277</v>
      </c>
      <c r="H20" s="30" t="s">
        <v>1278</v>
      </c>
    </row>
    <row r="21" spans="2:8" ht="52.5" customHeight="1" x14ac:dyDescent="0.3">
      <c r="B21" s="63" t="s">
        <v>458</v>
      </c>
      <c r="C21" s="75" t="s">
        <v>719</v>
      </c>
      <c r="D21" s="17" t="s">
        <v>107</v>
      </c>
      <c r="E21" s="16" t="s">
        <v>1279</v>
      </c>
      <c r="F21" s="16" t="s">
        <v>1263</v>
      </c>
      <c r="G21" s="16" t="s">
        <v>1277</v>
      </c>
      <c r="H21" s="30" t="s">
        <v>1280</v>
      </c>
    </row>
    <row r="22" spans="2:8" ht="52.5" customHeight="1" x14ac:dyDescent="0.3">
      <c r="B22" s="63" t="s">
        <v>461</v>
      </c>
      <c r="C22" s="75" t="s">
        <v>895</v>
      </c>
      <c r="D22" s="17" t="s">
        <v>137</v>
      </c>
      <c r="E22" s="16" t="s">
        <v>1281</v>
      </c>
      <c r="F22" s="16" t="s">
        <v>1263</v>
      </c>
      <c r="G22" s="16" t="s">
        <v>1282</v>
      </c>
      <c r="H22" s="30" t="s">
        <v>280</v>
      </c>
    </row>
    <row r="23" spans="2:8" ht="52.5" customHeight="1" x14ac:dyDescent="0.3">
      <c r="B23" s="63" t="s">
        <v>468</v>
      </c>
      <c r="C23" s="75" t="s">
        <v>821</v>
      </c>
      <c r="D23" s="17" t="s">
        <v>104</v>
      </c>
      <c r="E23" s="16" t="s">
        <v>1283</v>
      </c>
      <c r="F23" s="16" t="s">
        <v>1263</v>
      </c>
      <c r="G23" s="16" t="s">
        <v>1284</v>
      </c>
      <c r="H23" s="30" t="s">
        <v>213</v>
      </c>
    </row>
    <row r="24" spans="2:8" ht="52.5" customHeight="1" x14ac:dyDescent="0.3">
      <c r="B24" s="63" t="s">
        <v>471</v>
      </c>
      <c r="C24" s="75" t="s">
        <v>824</v>
      </c>
      <c r="D24" s="17" t="s">
        <v>104</v>
      </c>
      <c r="E24" s="16" t="s">
        <v>1285</v>
      </c>
      <c r="F24" s="16" t="s">
        <v>1263</v>
      </c>
      <c r="G24" s="16" t="s">
        <v>1286</v>
      </c>
      <c r="H24" s="30" t="s">
        <v>215</v>
      </c>
    </row>
    <row r="25" spans="2:8" ht="31.5" customHeight="1" x14ac:dyDescent="0.3">
      <c r="B25" s="63" t="s">
        <v>475</v>
      </c>
      <c r="C25" s="75" t="s">
        <v>710</v>
      </c>
      <c r="D25" s="17" t="s">
        <v>112</v>
      </c>
      <c r="E25" s="16" t="s">
        <v>1287</v>
      </c>
      <c r="F25" s="16" t="s">
        <v>1288</v>
      </c>
      <c r="G25" s="16" t="s">
        <v>1289</v>
      </c>
      <c r="H25" s="30" t="s">
        <v>1290</v>
      </c>
    </row>
    <row r="26" spans="2:8" ht="52.5" customHeight="1" x14ac:dyDescent="0.3">
      <c r="B26" s="63" t="s">
        <v>478</v>
      </c>
      <c r="C26" s="75" t="s">
        <v>707</v>
      </c>
      <c r="D26" s="17" t="s">
        <v>101</v>
      </c>
      <c r="E26" s="16" t="s">
        <v>1291</v>
      </c>
      <c r="F26" s="16" t="s">
        <v>1263</v>
      </c>
      <c r="G26" s="16" t="s">
        <v>1292</v>
      </c>
      <c r="H26" s="30" t="s">
        <v>1293</v>
      </c>
    </row>
    <row r="27" spans="2:8" ht="63" customHeight="1" x14ac:dyDescent="0.3">
      <c r="B27" s="63" t="s">
        <v>484</v>
      </c>
      <c r="C27" s="75" t="s">
        <v>846</v>
      </c>
      <c r="D27" s="17" t="s">
        <v>101</v>
      </c>
      <c r="E27" s="16" t="s">
        <v>1294</v>
      </c>
      <c r="F27" s="16" t="s">
        <v>1295</v>
      </c>
      <c r="G27" s="16" t="s">
        <v>1296</v>
      </c>
      <c r="H27" s="30" t="s">
        <v>234</v>
      </c>
    </row>
    <row r="28" spans="2:8" ht="31.5" customHeight="1" x14ac:dyDescent="0.3">
      <c r="B28" s="63" t="s">
        <v>492</v>
      </c>
      <c r="C28" s="75" t="s">
        <v>715</v>
      </c>
      <c r="D28" s="17" t="s">
        <v>101</v>
      </c>
      <c r="E28" s="16" t="s">
        <v>1297</v>
      </c>
      <c r="F28" s="16" t="s">
        <v>1298</v>
      </c>
      <c r="G28" s="16" t="s">
        <v>1299</v>
      </c>
      <c r="H28" s="30" t="s">
        <v>1300</v>
      </c>
    </row>
    <row r="29" spans="2:8" ht="30" customHeight="1" x14ac:dyDescent="0.3">
      <c r="B29" s="63" t="s">
        <v>497</v>
      </c>
      <c r="C29" s="75" t="s">
        <v>742</v>
      </c>
      <c r="D29" s="17" t="s">
        <v>101</v>
      </c>
      <c r="E29" s="16" t="s">
        <v>1301</v>
      </c>
      <c r="F29" s="16" t="s">
        <v>1302</v>
      </c>
      <c r="G29" s="16" t="s">
        <v>1303</v>
      </c>
      <c r="H29" s="30" t="s">
        <v>1304</v>
      </c>
    </row>
    <row r="30" spans="2:8" ht="30" customHeight="1" x14ac:dyDescent="0.3">
      <c r="B30" s="63" t="s">
        <v>500</v>
      </c>
      <c r="C30" s="75" t="s">
        <v>745</v>
      </c>
      <c r="D30" s="17" t="s">
        <v>101</v>
      </c>
      <c r="E30" s="16" t="s">
        <v>1305</v>
      </c>
      <c r="F30" s="16" t="s">
        <v>1306</v>
      </c>
      <c r="G30" s="16" t="s">
        <v>1307</v>
      </c>
      <c r="H30" s="30" t="s">
        <v>1308</v>
      </c>
    </row>
    <row r="31" spans="2:8" ht="30" customHeight="1" x14ac:dyDescent="0.3">
      <c r="B31" s="63" t="s">
        <v>505</v>
      </c>
      <c r="C31" s="75" t="s">
        <v>747</v>
      </c>
      <c r="D31" s="17" t="s">
        <v>101</v>
      </c>
      <c r="E31" s="16" t="s">
        <v>1309</v>
      </c>
      <c r="F31" s="16" t="s">
        <v>1310</v>
      </c>
      <c r="G31" s="16" t="s">
        <v>1307</v>
      </c>
      <c r="H31" s="30" t="s">
        <v>1311</v>
      </c>
    </row>
    <row r="32" spans="2:8" ht="30" customHeight="1" x14ac:dyDescent="0.3">
      <c r="B32" s="63" t="s">
        <v>509</v>
      </c>
      <c r="C32" s="75" t="s">
        <v>906</v>
      </c>
      <c r="D32" s="17" t="s">
        <v>101</v>
      </c>
      <c r="E32" s="16" t="s">
        <v>1312</v>
      </c>
      <c r="F32" s="16" t="s">
        <v>1313</v>
      </c>
      <c r="G32" s="16" t="s">
        <v>1307</v>
      </c>
      <c r="H32" s="30" t="s">
        <v>289</v>
      </c>
    </row>
    <row r="33" spans="2:8" ht="30" customHeight="1" x14ac:dyDescent="0.3">
      <c r="B33" s="63" t="s">
        <v>512</v>
      </c>
      <c r="C33" s="75" t="s">
        <v>902</v>
      </c>
      <c r="D33" s="17" t="s">
        <v>101</v>
      </c>
      <c r="E33" s="16" t="s">
        <v>1314</v>
      </c>
      <c r="F33" s="16" t="s">
        <v>1315</v>
      </c>
      <c r="G33" s="16" t="s">
        <v>1316</v>
      </c>
      <c r="H33" s="30" t="s">
        <v>286</v>
      </c>
    </row>
    <row r="34" spans="2:8" ht="31.5" customHeight="1" x14ac:dyDescent="0.3">
      <c r="B34" s="63" t="s">
        <v>516</v>
      </c>
      <c r="C34" s="75" t="s">
        <v>748</v>
      </c>
      <c r="D34" s="17" t="s">
        <v>101</v>
      </c>
      <c r="E34" s="16" t="s">
        <v>1317</v>
      </c>
      <c r="F34" s="16" t="s">
        <v>1318</v>
      </c>
      <c r="G34" s="16" t="s">
        <v>1319</v>
      </c>
      <c r="H34" s="30" t="s">
        <v>148</v>
      </c>
    </row>
    <row r="35" spans="2:8" ht="30" customHeight="1" x14ac:dyDescent="0.3">
      <c r="B35" s="63" t="s">
        <v>524</v>
      </c>
      <c r="C35" s="75" t="s">
        <v>798</v>
      </c>
      <c r="D35" s="17" t="s">
        <v>101</v>
      </c>
      <c r="E35" s="16" t="s">
        <v>1320</v>
      </c>
      <c r="F35" s="16" t="s">
        <v>1321</v>
      </c>
      <c r="G35" s="16" t="s">
        <v>1319</v>
      </c>
      <c r="H35" s="30" t="s">
        <v>1322</v>
      </c>
    </row>
    <row r="36" spans="2:8" ht="30" customHeight="1" x14ac:dyDescent="0.3">
      <c r="B36" s="63" t="s">
        <v>529</v>
      </c>
      <c r="C36" s="75" t="s">
        <v>800</v>
      </c>
      <c r="D36" s="17" t="s">
        <v>101</v>
      </c>
      <c r="E36" s="16" t="s">
        <v>1323</v>
      </c>
      <c r="F36" s="16" t="s">
        <v>1324</v>
      </c>
      <c r="G36" s="16" t="s">
        <v>1319</v>
      </c>
      <c r="H36" s="30" t="s">
        <v>1325</v>
      </c>
    </row>
    <row r="37" spans="2:8" ht="30" customHeight="1" x14ac:dyDescent="0.3">
      <c r="B37" s="63" t="s">
        <v>535</v>
      </c>
      <c r="C37" s="75" t="s">
        <v>739</v>
      </c>
      <c r="D37" s="17" t="s">
        <v>137</v>
      </c>
      <c r="E37" s="16" t="s">
        <v>1326</v>
      </c>
      <c r="F37" s="16" t="s">
        <v>1327</v>
      </c>
      <c r="G37" s="16" t="s">
        <v>1328</v>
      </c>
      <c r="H37" s="30" t="s">
        <v>1329</v>
      </c>
    </row>
    <row r="38" spans="2:8" ht="30" customHeight="1" x14ac:dyDescent="0.3">
      <c r="B38" s="63" t="s">
        <v>541</v>
      </c>
      <c r="C38" s="75" t="s">
        <v>793</v>
      </c>
      <c r="D38" s="17" t="s">
        <v>137</v>
      </c>
      <c r="E38" s="16" t="s">
        <v>1330</v>
      </c>
      <c r="F38" s="16" t="s">
        <v>1331</v>
      </c>
      <c r="G38" s="16" t="s">
        <v>1328</v>
      </c>
      <c r="H38" s="30" t="s">
        <v>1332</v>
      </c>
    </row>
    <row r="39" spans="2:8" ht="30" customHeight="1" x14ac:dyDescent="0.3">
      <c r="B39" s="63" t="s">
        <v>544</v>
      </c>
      <c r="C39" s="75" t="s">
        <v>795</v>
      </c>
      <c r="D39" s="17" t="s">
        <v>137</v>
      </c>
      <c r="E39" s="16" t="s">
        <v>1333</v>
      </c>
      <c r="F39" s="16" t="s">
        <v>1334</v>
      </c>
      <c r="G39" s="16" t="s">
        <v>1328</v>
      </c>
      <c r="H39" s="30" t="s">
        <v>1335</v>
      </c>
    </row>
    <row r="40" spans="2:8" ht="30" customHeight="1" x14ac:dyDescent="0.3">
      <c r="B40" s="63" t="s">
        <v>547</v>
      </c>
      <c r="C40" s="75" t="s">
        <v>740</v>
      </c>
      <c r="D40" s="17" t="s">
        <v>137</v>
      </c>
      <c r="E40" s="16" t="s">
        <v>1336</v>
      </c>
      <c r="F40" s="16" t="s">
        <v>1337</v>
      </c>
      <c r="G40" s="16" t="s">
        <v>1328</v>
      </c>
      <c r="H40" s="30" t="s">
        <v>138</v>
      </c>
    </row>
    <row r="41" spans="2:8" ht="30" customHeight="1" x14ac:dyDescent="0.3">
      <c r="B41" s="63" t="s">
        <v>550</v>
      </c>
      <c r="C41" s="75" t="s">
        <v>741</v>
      </c>
      <c r="D41" s="17" t="s">
        <v>137</v>
      </c>
      <c r="E41" s="16" t="s">
        <v>1338</v>
      </c>
      <c r="F41" s="16" t="s">
        <v>1339</v>
      </c>
      <c r="G41" s="16" t="s">
        <v>1328</v>
      </c>
      <c r="H41" s="30" t="s">
        <v>1340</v>
      </c>
    </row>
    <row r="42" spans="2:8" ht="30" customHeight="1" x14ac:dyDescent="0.3">
      <c r="B42" s="63" t="s">
        <v>556</v>
      </c>
      <c r="C42" s="75" t="s">
        <v>735</v>
      </c>
      <c r="D42" s="17" t="s">
        <v>107</v>
      </c>
      <c r="E42" s="16" t="s">
        <v>1341</v>
      </c>
      <c r="F42" s="16" t="s">
        <v>1342</v>
      </c>
      <c r="G42" s="16" t="s">
        <v>1343</v>
      </c>
      <c r="H42" s="30" t="s">
        <v>1344</v>
      </c>
    </row>
    <row r="43" spans="2:8" ht="30" customHeight="1" x14ac:dyDescent="0.3">
      <c r="B43" s="63" t="s">
        <v>560</v>
      </c>
      <c r="C43" s="75" t="s">
        <v>737</v>
      </c>
      <c r="D43" s="17" t="s">
        <v>107</v>
      </c>
      <c r="E43" s="16" t="s">
        <v>1345</v>
      </c>
      <c r="F43" s="16" t="s">
        <v>1346</v>
      </c>
      <c r="G43" s="16" t="s">
        <v>1347</v>
      </c>
      <c r="H43" s="30" t="s">
        <v>1348</v>
      </c>
    </row>
    <row r="44" spans="2:8" ht="30" customHeight="1" x14ac:dyDescent="0.3">
      <c r="B44" s="63" t="s">
        <v>563</v>
      </c>
      <c r="C44" s="75" t="s">
        <v>751</v>
      </c>
      <c r="D44" s="17" t="s">
        <v>137</v>
      </c>
      <c r="E44" s="16" t="s">
        <v>1349</v>
      </c>
      <c r="F44" s="16" t="s">
        <v>1350</v>
      </c>
      <c r="G44" s="16" t="s">
        <v>1351</v>
      </c>
      <c r="H44" s="30" t="s">
        <v>1352</v>
      </c>
    </row>
    <row r="45" spans="2:8" ht="30" customHeight="1" x14ac:dyDescent="0.3">
      <c r="B45" s="63" t="s">
        <v>568</v>
      </c>
      <c r="C45" s="75" t="s">
        <v>884</v>
      </c>
      <c r="D45" s="17" t="s">
        <v>137</v>
      </c>
      <c r="E45" s="16" t="s">
        <v>1349</v>
      </c>
      <c r="F45" s="16" t="s">
        <v>1350</v>
      </c>
      <c r="G45" s="16" t="s">
        <v>1351</v>
      </c>
      <c r="H45" s="30" t="s">
        <v>270</v>
      </c>
    </row>
    <row r="46" spans="2:8" ht="30" customHeight="1" x14ac:dyDescent="0.3">
      <c r="B46" s="63" t="s">
        <v>573</v>
      </c>
      <c r="C46" s="75" t="s">
        <v>753</v>
      </c>
      <c r="D46" s="17" t="s">
        <v>101</v>
      </c>
      <c r="E46" s="16" t="s">
        <v>1353</v>
      </c>
      <c r="F46" s="16" t="s">
        <v>1354</v>
      </c>
      <c r="G46" s="16" t="s">
        <v>1355</v>
      </c>
      <c r="H46" s="30" t="s">
        <v>1356</v>
      </c>
    </row>
    <row r="47" spans="2:8" ht="30" customHeight="1" x14ac:dyDescent="0.3">
      <c r="B47" s="63" t="s">
        <v>577</v>
      </c>
      <c r="C47" s="75" t="s">
        <v>756</v>
      </c>
      <c r="D47" s="17" t="s">
        <v>101</v>
      </c>
      <c r="E47" s="16" t="s">
        <v>1357</v>
      </c>
      <c r="F47" s="16" t="s">
        <v>1358</v>
      </c>
      <c r="G47" s="16" t="s">
        <v>1359</v>
      </c>
      <c r="H47" s="30" t="s">
        <v>1360</v>
      </c>
    </row>
    <row r="48" spans="2:8" ht="31.5" customHeight="1" x14ac:dyDescent="0.3">
      <c r="B48" s="63" t="s">
        <v>581</v>
      </c>
      <c r="C48" s="75" t="s">
        <v>727</v>
      </c>
      <c r="D48" s="17" t="s">
        <v>101</v>
      </c>
      <c r="E48" s="16" t="s">
        <v>1361</v>
      </c>
      <c r="F48" s="16" t="s">
        <v>1362</v>
      </c>
      <c r="G48" s="16" t="s">
        <v>1363</v>
      </c>
      <c r="H48" s="30" t="s">
        <v>1364</v>
      </c>
    </row>
    <row r="49" spans="2:8" ht="30" customHeight="1" x14ac:dyDescent="0.3">
      <c r="B49" s="63" t="s">
        <v>587</v>
      </c>
      <c r="C49" s="75" t="s">
        <v>724</v>
      </c>
      <c r="D49" s="17" t="s">
        <v>107</v>
      </c>
      <c r="E49" s="16" t="s">
        <v>1365</v>
      </c>
      <c r="F49" s="16" t="s">
        <v>1366</v>
      </c>
      <c r="G49" s="16" t="s">
        <v>1343</v>
      </c>
      <c r="H49" s="30" t="s">
        <v>1367</v>
      </c>
    </row>
    <row r="50" spans="2:8" ht="30" customHeight="1" x14ac:dyDescent="0.3">
      <c r="B50" s="63" t="s">
        <v>596</v>
      </c>
      <c r="C50" s="75" t="s">
        <v>722</v>
      </c>
      <c r="D50" s="17" t="s">
        <v>107</v>
      </c>
      <c r="E50" s="16" t="s">
        <v>1368</v>
      </c>
      <c r="F50" s="16" t="s">
        <v>1369</v>
      </c>
      <c r="G50" s="16" t="s">
        <v>1343</v>
      </c>
      <c r="H50" s="30" t="s">
        <v>1370</v>
      </c>
    </row>
    <row r="51" spans="2:8" ht="30" customHeight="1" x14ac:dyDescent="0.3">
      <c r="B51" s="63" t="s">
        <v>600</v>
      </c>
      <c r="C51" s="75" t="s">
        <v>856</v>
      </c>
      <c r="D51" s="17" t="s">
        <v>107</v>
      </c>
      <c r="E51" s="16" t="s">
        <v>1371</v>
      </c>
      <c r="F51" s="16" t="s">
        <v>1369</v>
      </c>
      <c r="G51" s="16" t="s">
        <v>1343</v>
      </c>
      <c r="H51" s="30" t="s">
        <v>241</v>
      </c>
    </row>
    <row r="52" spans="2:8" ht="30" customHeight="1" x14ac:dyDescent="0.3">
      <c r="B52" s="63" t="s">
        <v>604</v>
      </c>
      <c r="C52" s="75" t="s">
        <v>730</v>
      </c>
      <c r="D52" s="17" t="s">
        <v>107</v>
      </c>
      <c r="E52" s="16" t="s">
        <v>1372</v>
      </c>
      <c r="F52" s="16" t="s">
        <v>1373</v>
      </c>
      <c r="G52" s="16" t="s">
        <v>1343</v>
      </c>
      <c r="H52" s="30" t="s">
        <v>1374</v>
      </c>
    </row>
    <row r="53" spans="2:8" ht="30" customHeight="1" x14ac:dyDescent="0.3">
      <c r="B53" s="63" t="s">
        <v>612</v>
      </c>
      <c r="C53" s="75" t="s">
        <v>733</v>
      </c>
      <c r="D53" s="17" t="s">
        <v>107</v>
      </c>
      <c r="E53" s="16" t="s">
        <v>1375</v>
      </c>
      <c r="F53" s="16" t="s">
        <v>1376</v>
      </c>
      <c r="G53" s="16" t="s">
        <v>1343</v>
      </c>
      <c r="H53" s="30" t="s">
        <v>1377</v>
      </c>
    </row>
    <row r="54" spans="2:8" ht="30" customHeight="1" x14ac:dyDescent="0.3">
      <c r="B54" s="63" t="s">
        <v>617</v>
      </c>
      <c r="C54" s="75" t="s">
        <v>778</v>
      </c>
      <c r="D54" s="17" t="s">
        <v>137</v>
      </c>
      <c r="E54" s="16" t="s">
        <v>1378</v>
      </c>
      <c r="F54" s="16" t="s">
        <v>1379</v>
      </c>
      <c r="G54" s="16" t="s">
        <v>1380</v>
      </c>
      <c r="H54" s="30" t="s">
        <v>1381</v>
      </c>
    </row>
    <row r="55" spans="2:8" ht="30" customHeight="1" x14ac:dyDescent="0.3">
      <c r="B55" s="63" t="s">
        <v>622</v>
      </c>
      <c r="C55" s="75" t="s">
        <v>776</v>
      </c>
      <c r="D55" s="17" t="s">
        <v>107</v>
      </c>
      <c r="E55" s="16" t="s">
        <v>1382</v>
      </c>
      <c r="F55" s="16" t="s">
        <v>1383</v>
      </c>
      <c r="G55" s="16" t="s">
        <v>1384</v>
      </c>
      <c r="H55" s="30" t="s">
        <v>1385</v>
      </c>
    </row>
    <row r="56" spans="2:8" ht="30" customHeight="1" x14ac:dyDescent="0.3">
      <c r="B56" s="63" t="s">
        <v>624</v>
      </c>
      <c r="C56" s="75" t="s">
        <v>780</v>
      </c>
      <c r="D56" s="17" t="s">
        <v>137</v>
      </c>
      <c r="E56" s="16" t="s">
        <v>1386</v>
      </c>
      <c r="F56" s="16" t="s">
        <v>1387</v>
      </c>
      <c r="G56" s="16" t="s">
        <v>1328</v>
      </c>
      <c r="H56" s="30" t="s">
        <v>1388</v>
      </c>
    </row>
    <row r="57" spans="2:8" ht="30" customHeight="1" x14ac:dyDescent="0.3">
      <c r="B57" s="63" t="s">
        <v>627</v>
      </c>
      <c r="C57" s="75" t="s">
        <v>782</v>
      </c>
      <c r="D57" s="17" t="s">
        <v>137</v>
      </c>
      <c r="E57" s="16" t="s">
        <v>1389</v>
      </c>
      <c r="F57" s="16" t="s">
        <v>1390</v>
      </c>
      <c r="G57" s="16" t="s">
        <v>1380</v>
      </c>
      <c r="H57" s="30" t="s">
        <v>1391</v>
      </c>
    </row>
    <row r="58" spans="2:8" ht="30" customHeight="1" x14ac:dyDescent="0.3">
      <c r="B58" s="63" t="s">
        <v>632</v>
      </c>
      <c r="C58" s="75" t="s">
        <v>784</v>
      </c>
      <c r="D58" s="17" t="s">
        <v>137</v>
      </c>
      <c r="E58" s="16" t="s">
        <v>1392</v>
      </c>
      <c r="F58" s="16" t="s">
        <v>1390</v>
      </c>
      <c r="G58" s="16" t="s">
        <v>1380</v>
      </c>
      <c r="H58" s="30" t="s">
        <v>1393</v>
      </c>
    </row>
    <row r="59" spans="2:8" ht="30" customHeight="1" x14ac:dyDescent="0.3">
      <c r="B59" s="63" t="s">
        <v>636</v>
      </c>
      <c r="C59" s="75" t="s">
        <v>786</v>
      </c>
      <c r="D59" s="17" t="s">
        <v>107</v>
      </c>
      <c r="E59" s="16" t="s">
        <v>1394</v>
      </c>
      <c r="F59" s="16" t="s">
        <v>1395</v>
      </c>
      <c r="G59" s="16" t="s">
        <v>1384</v>
      </c>
      <c r="H59" s="30" t="s">
        <v>1396</v>
      </c>
    </row>
    <row r="60" spans="2:8" ht="31.5" customHeight="1" x14ac:dyDescent="0.3">
      <c r="B60" s="63" t="s">
        <v>638</v>
      </c>
      <c r="C60" s="75" t="s">
        <v>788</v>
      </c>
      <c r="D60" s="17" t="s">
        <v>107</v>
      </c>
      <c r="E60" s="16" t="s">
        <v>1397</v>
      </c>
      <c r="F60" s="16" t="s">
        <v>1395</v>
      </c>
      <c r="G60" s="16" t="s">
        <v>1398</v>
      </c>
      <c r="H60" s="30" t="s">
        <v>1399</v>
      </c>
    </row>
    <row r="61" spans="2:8" ht="42" customHeight="1" x14ac:dyDescent="0.3">
      <c r="B61" s="63" t="s">
        <v>642</v>
      </c>
      <c r="C61" s="75" t="s">
        <v>791</v>
      </c>
      <c r="D61" s="17" t="s">
        <v>137</v>
      </c>
      <c r="E61" s="16" t="s">
        <v>1400</v>
      </c>
      <c r="F61" s="16" t="s">
        <v>1401</v>
      </c>
      <c r="G61" s="16" t="s">
        <v>1402</v>
      </c>
      <c r="H61" s="30" t="s">
        <v>1403</v>
      </c>
    </row>
    <row r="62" spans="2:8" ht="30" customHeight="1" x14ac:dyDescent="0.3">
      <c r="B62" s="63" t="s">
        <v>648</v>
      </c>
      <c r="C62" s="75" t="s">
        <v>806</v>
      </c>
      <c r="D62" s="17" t="s">
        <v>137</v>
      </c>
      <c r="E62" s="16" t="s">
        <v>1404</v>
      </c>
      <c r="F62" s="16" t="s">
        <v>1405</v>
      </c>
      <c r="G62" s="16" t="s">
        <v>1406</v>
      </c>
      <c r="H62" s="30" t="s">
        <v>1407</v>
      </c>
    </row>
    <row r="63" spans="2:8" ht="30" customHeight="1" x14ac:dyDescent="0.3">
      <c r="B63" s="63" t="s">
        <v>654</v>
      </c>
      <c r="C63" s="75" t="s">
        <v>808</v>
      </c>
      <c r="D63" s="17" t="s">
        <v>137</v>
      </c>
      <c r="E63" s="16" t="s">
        <v>1408</v>
      </c>
      <c r="F63" s="16" t="s">
        <v>1409</v>
      </c>
      <c r="G63" s="16" t="s">
        <v>1351</v>
      </c>
      <c r="H63" s="30" t="s">
        <v>1410</v>
      </c>
    </row>
    <row r="64" spans="2:8" ht="30" customHeight="1" x14ac:dyDescent="0.3">
      <c r="B64" s="63" t="s">
        <v>657</v>
      </c>
      <c r="C64" s="75" t="s">
        <v>810</v>
      </c>
      <c r="D64" s="17" t="s">
        <v>137</v>
      </c>
      <c r="E64" s="16" t="s">
        <v>1411</v>
      </c>
      <c r="F64" s="16" t="s">
        <v>1412</v>
      </c>
      <c r="G64" s="16" t="s">
        <v>1413</v>
      </c>
      <c r="H64" s="30" t="s">
        <v>1414</v>
      </c>
    </row>
    <row r="65" spans="2:8" ht="30" customHeight="1" x14ac:dyDescent="0.3">
      <c r="B65" s="63" t="s">
        <v>660</v>
      </c>
      <c r="C65" s="75" t="s">
        <v>867</v>
      </c>
      <c r="D65" s="17" t="s">
        <v>137</v>
      </c>
      <c r="E65" s="16" t="s">
        <v>1415</v>
      </c>
      <c r="F65" s="16" t="s">
        <v>1416</v>
      </c>
      <c r="G65" s="16" t="s">
        <v>1413</v>
      </c>
      <c r="H65" s="30" t="s">
        <v>250</v>
      </c>
    </row>
    <row r="66" spans="2:8" ht="30" customHeight="1" x14ac:dyDescent="0.3">
      <c r="B66" s="63" t="s">
        <v>663</v>
      </c>
      <c r="C66" s="75" t="s">
        <v>882</v>
      </c>
      <c r="D66" s="17" t="s">
        <v>137</v>
      </c>
      <c r="E66" s="16" t="s">
        <v>1417</v>
      </c>
      <c r="F66" s="16" t="s">
        <v>1418</v>
      </c>
      <c r="G66" s="16" t="s">
        <v>1351</v>
      </c>
      <c r="H66" s="30" t="s">
        <v>268</v>
      </c>
    </row>
    <row r="67" spans="2:8" ht="30" customHeight="1" x14ac:dyDescent="0.3">
      <c r="B67" s="63" t="s">
        <v>669</v>
      </c>
      <c r="C67" s="75" t="s">
        <v>833</v>
      </c>
      <c r="D67" s="17" t="s">
        <v>104</v>
      </c>
      <c r="E67" s="16" t="s">
        <v>1419</v>
      </c>
      <c r="F67" s="16" t="s">
        <v>1420</v>
      </c>
      <c r="G67" s="16" t="s">
        <v>1421</v>
      </c>
      <c r="H67" s="30" t="s">
        <v>222</v>
      </c>
    </row>
    <row r="68" spans="2:8" ht="30" customHeight="1" x14ac:dyDescent="0.3">
      <c r="B68" s="63" t="s">
        <v>674</v>
      </c>
      <c r="C68" s="75" t="s">
        <v>830</v>
      </c>
      <c r="D68" s="17" t="s">
        <v>104</v>
      </c>
      <c r="E68" s="16" t="s">
        <v>1422</v>
      </c>
      <c r="F68" s="16" t="s">
        <v>1423</v>
      </c>
      <c r="G68" s="16" t="s">
        <v>1424</v>
      </c>
      <c r="H68" s="30" t="s">
        <v>220</v>
      </c>
    </row>
    <row r="69" spans="2:8" ht="30" customHeight="1" x14ac:dyDescent="0.3">
      <c r="B69" s="63" t="s">
        <v>678</v>
      </c>
      <c r="C69" s="75" t="s">
        <v>827</v>
      </c>
      <c r="D69" s="17" t="s">
        <v>137</v>
      </c>
      <c r="E69" s="16" t="s">
        <v>1425</v>
      </c>
      <c r="F69" s="16" t="s">
        <v>1426</v>
      </c>
      <c r="G69" s="16" t="s">
        <v>1413</v>
      </c>
      <c r="H69" s="30" t="s">
        <v>218</v>
      </c>
    </row>
    <row r="70" spans="2:8" ht="30" customHeight="1" x14ac:dyDescent="0.3">
      <c r="B70" s="63" t="s">
        <v>680</v>
      </c>
      <c r="C70" s="75" t="s">
        <v>900</v>
      </c>
      <c r="D70" s="17" t="s">
        <v>101</v>
      </c>
      <c r="E70" s="16" t="s">
        <v>1427</v>
      </c>
      <c r="F70" s="16" t="s">
        <v>1428</v>
      </c>
      <c r="G70" s="16" t="s">
        <v>1429</v>
      </c>
      <c r="H70" s="30" t="s">
        <v>284</v>
      </c>
    </row>
    <row r="71" spans="2:8" ht="31.5" customHeight="1" x14ac:dyDescent="0.3">
      <c r="B71" s="63" t="s">
        <v>687</v>
      </c>
      <c r="C71" s="75" t="s">
        <v>908</v>
      </c>
      <c r="D71" s="17" t="s">
        <v>137</v>
      </c>
      <c r="E71" s="16" t="s">
        <v>1430</v>
      </c>
      <c r="F71" s="16" t="s">
        <v>1431</v>
      </c>
      <c r="G71" s="16" t="s">
        <v>1432</v>
      </c>
      <c r="H71" s="30" t="s">
        <v>291</v>
      </c>
    </row>
    <row r="72" spans="2:8" ht="30" customHeight="1" x14ac:dyDescent="0.3">
      <c r="B72" s="63" t="s">
        <v>692</v>
      </c>
      <c r="C72" s="75" t="s">
        <v>911</v>
      </c>
      <c r="D72" s="17" t="s">
        <v>107</v>
      </c>
      <c r="E72" s="16" t="s">
        <v>1433</v>
      </c>
      <c r="F72" s="16" t="s">
        <v>1434</v>
      </c>
      <c r="G72" s="16" t="s">
        <v>1435</v>
      </c>
      <c r="H72" s="30" t="s">
        <v>293</v>
      </c>
    </row>
  </sheetData>
  <mergeCells count="10">
    <mergeCell ref="B6:C6"/>
    <mergeCell ref="D7:H7"/>
    <mergeCell ref="D6:H6"/>
    <mergeCell ref="B7:C7"/>
    <mergeCell ref="B1:H1"/>
    <mergeCell ref="B5:C5"/>
    <mergeCell ref="D5:H5"/>
    <mergeCell ref="B2:H2"/>
    <mergeCell ref="D4:H4"/>
    <mergeCell ref="B4:C4"/>
  </mergeCells>
  <pageMargins left="0.4" right="0.4" top="0.5" bottom="0.5" header="0.5" footer="0.5"/>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5</vt:i4>
      </vt:variant>
    </vt:vector>
  </HeadingPairs>
  <TitlesOfParts>
    <vt:vector size="23" baseType="lpstr">
      <vt:lpstr>Datos Iniciales</vt:lpstr>
      <vt:lpstr>RESUMEN</vt:lpstr>
      <vt:lpstr>PRESUPUESTO</vt:lpstr>
      <vt:lpstr>BENEFICIARIOS</vt:lpstr>
      <vt:lpstr>AU</vt:lpstr>
      <vt:lpstr>LEGALIZACION DE OBRA</vt:lpstr>
      <vt:lpstr>APUS</vt:lpstr>
      <vt:lpstr>MEMORIAS DE CALCULO</vt:lpstr>
      <vt:lpstr>CONCRETOS Y MORTEROS</vt:lpstr>
      <vt:lpstr>INSUMOS</vt:lpstr>
      <vt:lpstr>MATERIAL</vt:lpstr>
      <vt:lpstr>EQUIPOS</vt:lpstr>
      <vt:lpstr>TRANSPORTE</vt:lpstr>
      <vt:lpstr>MANO DE OBRA</vt:lpstr>
      <vt:lpstr>FACTOR PRESTACIONAL</vt:lpstr>
      <vt:lpstr>INSUMOS MANO DE OBRA</vt:lpstr>
      <vt:lpstr>CRONOGRAMA</vt:lpstr>
      <vt:lpstr>ESPECIFICACIONES TECNICAS</vt:lpstr>
      <vt:lpstr>APUS!Área_de_impresión</vt:lpstr>
      <vt:lpstr>PRESUPUESTO!Área_de_impresión</vt:lpstr>
      <vt:lpstr>RESUMEN!Área_de_impresión</vt:lpstr>
      <vt:lpstr>'MEMORIAS DE CALCULO'!Títulos_a_imprimir</vt:lpstr>
      <vt:lpstr>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Amado Ruiz Chavarrìa</cp:lastModifiedBy>
  <cp:revision>0</cp:revision>
  <cp:lastPrinted>2026-10-10T15:54:56Z</cp:lastPrinted>
  <dcterms:created xsi:type="dcterms:W3CDTF">2026-09-29T15:15:43Z</dcterms:created>
  <dcterms:modified xsi:type="dcterms:W3CDTF">2026-10-20T18:56:08Z</dcterms:modified>
  <dc:language>en-US</dc:language>
</cp:coreProperties>
</file>