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https://gobiernobogota-my.sharepoint.com/personal/maria_motta_gobiernobogota_gov_co/Documents/ALCB 2025/ALCB 2026/FORMULACION 2026/LICITACION PUBLICA/MEMORIA PAZ Y RECO/"/>
    </mc:Choice>
  </mc:AlternateContent>
  <xr:revisionPtr revIDLastSave="0" documentId="8_{1D3C4F68-B6FB-4CC9-B85A-CD0E54A00618}" xr6:coauthVersionLast="47" xr6:coauthVersionMax="47" xr10:uidLastSave="{00000000-0000-0000-0000-000000000000}"/>
  <bookViews>
    <workbookView xWindow="-110" yWindow="-110" windowWidth="19420" windowHeight="10300" xr2:uid="{00000000-000D-0000-FFFF-FFFF00000000}"/>
  </bookViews>
  <sheets>
    <sheet name="ESTUDIO DE MERCADO" sheetId="1" r:id="rId1"/>
    <sheet name="BOLSA DIFUSION Y COMUNICACIÓN " sheetId="8" r:id="rId2"/>
    <sheet name="BOLSA DE ESPACIOS" sheetId="7" r:id="rId3"/>
    <sheet name="BOLSA PAPELERIA" sheetId="4" r:id="rId4"/>
    <sheet name="BOLSA DE ELEMENTOS ARMONIZACIÓN" sheetId="5" r:id="rId5"/>
  </sheets>
  <externalReferences>
    <externalReference r:id="rId6"/>
    <externalReference r:id="rId7"/>
    <externalReference r:id="rId8"/>
  </externalReferences>
  <definedNames>
    <definedName name="_xlnm._FilterDatabase" localSheetId="4" hidden="1">'BOLSA DE ELEMENTOS ARMONIZACIÓN'!$A$4:$BF$24</definedName>
    <definedName name="_xlnm._FilterDatabase" localSheetId="2" hidden="1">'BOLSA DE ESPACIOS'!$A$4:$Y$4</definedName>
    <definedName name="_xlnm._FilterDatabase" localSheetId="3" hidden="1">'BOLSA PAPELERIA'!$A$5:$E$109</definedName>
    <definedName name="_xlnm._FilterDatabase" localSheetId="0" hidden="1">'ESTUDIO DE MERCADO'!$A$6:$DK$295</definedName>
    <definedName name="_Hlk204073012" localSheetId="0">'ESTUDIO DE MERCADO'!#REF!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O10" i="1" l="1"/>
  <c r="CP10" i="1" s="1"/>
  <c r="CQ11" i="1"/>
  <c r="CO11" i="1" s="1"/>
  <c r="CP11" i="1" s="1"/>
  <c r="CQ14" i="1"/>
  <c r="CO14" i="1" s="1"/>
  <c r="CP14" i="1" s="1"/>
  <c r="CQ15" i="1"/>
  <c r="CO15" i="1" s="1"/>
  <c r="CP15" i="1" s="1"/>
  <c r="CQ16" i="1"/>
  <c r="CO16" i="1" s="1"/>
  <c r="CP16" i="1" s="1"/>
  <c r="CQ17" i="1"/>
  <c r="CO17" i="1" s="1"/>
  <c r="CP17" i="1" s="1"/>
  <c r="CQ18" i="1"/>
  <c r="CO18" i="1" s="1"/>
  <c r="CP18" i="1" s="1"/>
  <c r="CO106" i="1"/>
  <c r="CP106" i="1"/>
  <c r="CO151" i="1"/>
  <c r="CP151" i="1" s="1"/>
  <c r="CQ151" i="1" s="1"/>
  <c r="CQ207" i="1"/>
  <c r="CO207" i="1" s="1"/>
  <c r="CP207" i="1" s="1"/>
  <c r="CQ208" i="1"/>
  <c r="CO208" i="1" s="1"/>
  <c r="CP208" i="1" s="1"/>
  <c r="CO250" i="1"/>
  <c r="CP250" i="1" s="1"/>
  <c r="Q107" i="1"/>
  <c r="O107" i="1"/>
  <c r="M107" i="1"/>
  <c r="O264" i="1"/>
  <c r="O260" i="1"/>
  <c r="O204" i="1"/>
  <c r="O153" i="1"/>
  <c r="Q138" i="1"/>
  <c r="O138" i="1"/>
  <c r="M138" i="1"/>
  <c r="M28" i="8"/>
  <c r="K28" i="8"/>
  <c r="J28" i="8"/>
  <c r="I28" i="8"/>
  <c r="H28" i="8"/>
  <c r="G28" i="8"/>
  <c r="F28" i="8"/>
  <c r="U27" i="8"/>
  <c r="T27" i="8"/>
  <c r="R27" i="8"/>
  <c r="S27" i="8" s="1"/>
  <c r="U26" i="8"/>
  <c r="T26" i="8"/>
  <c r="R26" i="8" s="1"/>
  <c r="S26" i="8" s="1"/>
  <c r="U25" i="8"/>
  <c r="T25" i="8"/>
  <c r="R25" i="8"/>
  <c r="S25" i="8" s="1"/>
  <c r="U24" i="8"/>
  <c r="T24" i="8"/>
  <c r="R24" i="8"/>
  <c r="S24" i="8" s="1"/>
  <c r="U23" i="8"/>
  <c r="T23" i="8"/>
  <c r="S23" i="8"/>
  <c r="R23" i="8"/>
  <c r="U22" i="8"/>
  <c r="T22" i="8"/>
  <c r="R22" i="8"/>
  <c r="S22" i="8" s="1"/>
  <c r="U21" i="8"/>
  <c r="T21" i="8"/>
  <c r="R21" i="8"/>
  <c r="S21" i="8" s="1"/>
  <c r="U20" i="8"/>
  <c r="T20" i="8"/>
  <c r="S20" i="8"/>
  <c r="R20" i="8"/>
  <c r="U19" i="8"/>
  <c r="T19" i="8"/>
  <c r="R19" i="8"/>
  <c r="S19" i="8" s="1"/>
  <c r="U18" i="8"/>
  <c r="T18" i="8"/>
  <c r="R18" i="8"/>
  <c r="S18" i="8" s="1"/>
  <c r="U17" i="8"/>
  <c r="T17" i="8"/>
  <c r="S17" i="8"/>
  <c r="R17" i="8"/>
  <c r="P16" i="8"/>
  <c r="Q16" i="8" s="1"/>
  <c r="T16" i="8" s="1"/>
  <c r="O16" i="8"/>
  <c r="N16" i="8"/>
  <c r="Q15" i="8"/>
  <c r="T15" i="8" s="1"/>
  <c r="P15" i="8"/>
  <c r="O15" i="8"/>
  <c r="N15" i="8"/>
  <c r="P14" i="8"/>
  <c r="Q14" i="8" s="1"/>
  <c r="T14" i="8" s="1"/>
  <c r="O14" i="8"/>
  <c r="N14" i="8"/>
  <c r="P13" i="8"/>
  <c r="Q13" i="8" s="1"/>
  <c r="T13" i="8" s="1"/>
  <c r="O13" i="8"/>
  <c r="N13" i="8"/>
  <c r="Q12" i="8"/>
  <c r="T12" i="8" s="1"/>
  <c r="P12" i="8"/>
  <c r="O12" i="8"/>
  <c r="N12" i="8"/>
  <c r="P11" i="8"/>
  <c r="Q11" i="8" s="1"/>
  <c r="T11" i="8" s="1"/>
  <c r="O11" i="8"/>
  <c r="N11" i="8"/>
  <c r="P10" i="8"/>
  <c r="Q10" i="8" s="1"/>
  <c r="T10" i="8" s="1"/>
  <c r="O10" i="8"/>
  <c r="N10" i="8"/>
  <c r="Q9" i="8"/>
  <c r="T9" i="8" s="1"/>
  <c r="P9" i="8"/>
  <c r="O9" i="8"/>
  <c r="N9" i="8"/>
  <c r="P8" i="8"/>
  <c r="Q8" i="8" s="1"/>
  <c r="T8" i="8" s="1"/>
  <c r="O8" i="8"/>
  <c r="N8" i="8"/>
  <c r="P7" i="8"/>
  <c r="Q7" i="8" s="1"/>
  <c r="T7" i="8" s="1"/>
  <c r="O7" i="8"/>
  <c r="N7" i="8"/>
  <c r="P6" i="8"/>
  <c r="Q6" i="8" s="1"/>
  <c r="T6" i="8" s="1"/>
  <c r="O6" i="8"/>
  <c r="N6" i="8"/>
  <c r="CL107" i="1" l="1"/>
  <c r="CM107" i="1"/>
  <c r="CK107" i="1"/>
  <c r="CM138" i="1"/>
  <c r="CK138" i="1"/>
  <c r="CL138" i="1"/>
  <c r="U15" i="8"/>
  <c r="R15" i="8"/>
  <c r="S15" i="8" s="1"/>
  <c r="U12" i="8"/>
  <c r="R12" i="8"/>
  <c r="S12" i="8" s="1"/>
  <c r="U9" i="8"/>
  <c r="R9" i="8"/>
  <c r="S9" i="8" s="1"/>
  <c r="U13" i="8"/>
  <c r="R13" i="8"/>
  <c r="S13" i="8" s="1"/>
  <c r="R8" i="8"/>
  <c r="S8" i="8" s="1"/>
  <c r="U8" i="8"/>
  <c r="U16" i="8"/>
  <c r="R16" i="8"/>
  <c r="S16" i="8" s="1"/>
  <c r="U6" i="8"/>
  <c r="R6" i="8"/>
  <c r="S6" i="8" s="1"/>
  <c r="R11" i="8"/>
  <c r="S11" i="8" s="1"/>
  <c r="U11" i="8"/>
  <c r="U10" i="8"/>
  <c r="R10" i="8"/>
  <c r="S10" i="8" s="1"/>
  <c r="R14" i="8"/>
  <c r="S14" i="8" s="1"/>
  <c r="U14" i="8"/>
  <c r="U7" i="8"/>
  <c r="R7" i="8"/>
  <c r="S7" i="8" s="1"/>
  <c r="CN107" i="1" l="1"/>
  <c r="CQ107" i="1" s="1"/>
  <c r="CP107" i="1" s="1"/>
  <c r="CO107" i="1" s="1"/>
  <c r="CN138" i="1"/>
  <c r="CQ138" i="1" s="1"/>
  <c r="CO138" i="1" s="1"/>
  <c r="CP138" i="1" s="1"/>
  <c r="U28" i="8"/>
  <c r="CR150" i="1" l="1"/>
  <c r="O263" i="1"/>
  <c r="Q165" i="1"/>
  <c r="Q164" i="1"/>
  <c r="Q120" i="1"/>
  <c r="Q119" i="1"/>
  <c r="O163" i="1"/>
  <c r="O164" i="1"/>
  <c r="O165" i="1"/>
  <c r="O201" i="1"/>
  <c r="O225" i="1"/>
  <c r="O227" i="1"/>
  <c r="O228" i="1"/>
  <c r="O240" i="1"/>
  <c r="O116" i="1"/>
  <c r="O114" i="1"/>
  <c r="O96" i="1"/>
  <c r="O85" i="1"/>
  <c r="O83" i="1"/>
  <c r="O77" i="1"/>
  <c r="O120" i="1"/>
  <c r="O125" i="1"/>
  <c r="O149" i="1"/>
  <c r="Q20" i="1"/>
  <c r="O20" i="1"/>
  <c r="M20" i="1"/>
  <c r="M130" i="1"/>
  <c r="M129" i="1"/>
  <c r="Q211" i="1"/>
  <c r="Q191" i="1"/>
  <c r="Q158" i="1"/>
  <c r="Q141" i="1"/>
  <c r="Q140" i="1"/>
  <c r="Q139" i="1"/>
  <c r="O211" i="1"/>
  <c r="O191" i="1"/>
  <c r="O158" i="1"/>
  <c r="O141" i="1"/>
  <c r="O140" i="1"/>
  <c r="O139" i="1"/>
  <c r="M211" i="1"/>
  <c r="M191" i="1"/>
  <c r="M158" i="1"/>
  <c r="M141" i="1"/>
  <c r="M140" i="1"/>
  <c r="M139" i="1"/>
  <c r="M21" i="1"/>
  <c r="Q21" i="1"/>
  <c r="O21" i="1"/>
  <c r="Q209" i="1"/>
  <c r="Q190" i="1"/>
  <c r="Q144" i="1"/>
  <c r="Q143" i="1"/>
  <c r="O209" i="1"/>
  <c r="O190" i="1"/>
  <c r="O144" i="1"/>
  <c r="O143" i="1"/>
  <c r="M209" i="1"/>
  <c r="M190" i="1"/>
  <c r="M144" i="1"/>
  <c r="M143" i="1"/>
  <c r="Q130" i="1"/>
  <c r="O130" i="1"/>
  <c r="Q129" i="1"/>
  <c r="O129" i="1"/>
  <c r="Q19" i="1"/>
  <c r="O19" i="1"/>
  <c r="M19" i="1"/>
  <c r="CK20" i="1" l="1"/>
  <c r="CM190" i="1"/>
  <c r="CL190" i="1"/>
  <c r="CK190" i="1"/>
  <c r="CM144" i="1"/>
  <c r="CK19" i="1"/>
  <c r="CM129" i="1"/>
  <c r="CM20" i="1"/>
  <c r="CL130" i="1"/>
  <c r="CK209" i="1"/>
  <c r="CM130" i="1"/>
  <c r="CL209" i="1"/>
  <c r="CM209" i="1"/>
  <c r="CM143" i="1"/>
  <c r="CM140" i="1"/>
  <c r="CK144" i="1"/>
  <c r="CL144" i="1"/>
  <c r="CK129" i="1"/>
  <c r="CL129" i="1"/>
  <c r="CK143" i="1"/>
  <c r="CK141" i="1"/>
  <c r="CL143" i="1"/>
  <c r="CK130" i="1"/>
  <c r="CM139" i="1"/>
  <c r="CL20" i="1"/>
  <c r="CM141" i="1"/>
  <c r="CL139" i="1"/>
  <c r="CK158" i="1"/>
  <c r="CL191" i="1"/>
  <c r="CL158" i="1"/>
  <c r="CM211" i="1"/>
  <c r="CL140" i="1"/>
  <c r="CM158" i="1"/>
  <c r="CM191" i="1"/>
  <c r="CK140" i="1"/>
  <c r="CK191" i="1"/>
  <c r="CL141" i="1"/>
  <c r="CK211" i="1"/>
  <c r="CK21" i="1"/>
  <c r="CK139" i="1"/>
  <c r="CL211" i="1"/>
  <c r="CM21" i="1"/>
  <c r="CL21" i="1"/>
  <c r="CL19" i="1"/>
  <c r="CM19" i="1"/>
  <c r="CN190" i="1" l="1"/>
  <c r="CQ190" i="1" s="1"/>
  <c r="CO190" i="1" s="1"/>
  <c r="CP190" i="1" s="1"/>
  <c r="CN144" i="1"/>
  <c r="CQ144" i="1" s="1"/>
  <c r="CO144" i="1" s="1"/>
  <c r="CP144" i="1" s="1"/>
  <c r="CN209" i="1"/>
  <c r="CQ209" i="1" s="1"/>
  <c r="CO209" i="1" s="1"/>
  <c r="CP209" i="1" s="1"/>
  <c r="CN130" i="1"/>
  <c r="CQ130" i="1" s="1"/>
  <c r="CO130" i="1" s="1"/>
  <c r="CP130" i="1" s="1"/>
  <c r="CN129" i="1"/>
  <c r="CQ129" i="1" s="1"/>
  <c r="CO129" i="1" s="1"/>
  <c r="CP129" i="1" s="1"/>
  <c r="CN20" i="1"/>
  <c r="CQ20" i="1" s="1"/>
  <c r="CN143" i="1"/>
  <c r="CQ143" i="1" s="1"/>
  <c r="CO143" i="1" s="1"/>
  <c r="CP143" i="1" s="1"/>
  <c r="CN140" i="1"/>
  <c r="CQ140" i="1" s="1"/>
  <c r="CO140" i="1" s="1"/>
  <c r="CN139" i="1"/>
  <c r="CQ139" i="1" s="1"/>
  <c r="CO139" i="1" s="1"/>
  <c r="CN158" i="1"/>
  <c r="CQ158" i="1" s="1"/>
  <c r="CO158" i="1" s="1"/>
  <c r="CN141" i="1"/>
  <c r="CQ141" i="1" s="1"/>
  <c r="CO141" i="1" s="1"/>
  <c r="CN191" i="1"/>
  <c r="CQ191" i="1" s="1"/>
  <c r="CO191" i="1" s="1"/>
  <c r="CN211" i="1"/>
  <c r="CQ211" i="1" s="1"/>
  <c r="CO211" i="1" s="1"/>
  <c r="CN19" i="1"/>
  <c r="CQ19" i="1" s="1"/>
  <c r="CO19" i="1" s="1"/>
  <c r="CP19" i="1" s="1"/>
  <c r="CN21" i="1"/>
  <c r="CQ21" i="1" s="1"/>
  <c r="CO21" i="1" s="1"/>
  <c r="CP20" i="1" l="1"/>
  <c r="CO20" i="1" s="1"/>
  <c r="Q210" i="1"/>
  <c r="Q136" i="1"/>
  <c r="O210" i="1"/>
  <c r="O136" i="1"/>
  <c r="M210" i="1"/>
  <c r="M136" i="1"/>
  <c r="CM210" i="1" l="1"/>
  <c r="CL210" i="1"/>
  <c r="CK210" i="1"/>
  <c r="CL136" i="1"/>
  <c r="CM136" i="1"/>
  <c r="CK136" i="1"/>
  <c r="CN210" i="1" l="1"/>
  <c r="CQ210" i="1" s="1"/>
  <c r="CO210" i="1" s="1"/>
  <c r="CP210" i="1" s="1"/>
  <c r="CN136" i="1"/>
  <c r="CQ136" i="1" s="1"/>
  <c r="CO136" i="1" s="1"/>
  <c r="CP136" i="1" s="1"/>
  <c r="I8" i="7"/>
  <c r="G8" i="7"/>
  <c r="S8" i="7" s="1"/>
  <c r="S7" i="7"/>
  <c r="K7" i="7"/>
  <c r="I7" i="7"/>
  <c r="G7" i="7"/>
  <c r="R7" i="7" s="1"/>
  <c r="K6" i="7"/>
  <c r="I6" i="7"/>
  <c r="G6" i="7"/>
  <c r="K5" i="7"/>
  <c r="I5" i="7"/>
  <c r="G5" i="7"/>
  <c r="S6" i="7" l="1"/>
  <c r="R5" i="7"/>
  <c r="T7" i="7"/>
  <c r="U7" i="7" s="1"/>
  <c r="X7" i="7" s="1"/>
  <c r="V7" i="7" s="1"/>
  <c r="W7" i="7" s="1"/>
  <c r="T8" i="7"/>
  <c r="U8" i="7" s="1"/>
  <c r="X8" i="7" s="1"/>
  <c r="V8" i="7" s="1"/>
  <c r="W8" i="7" s="1"/>
  <c r="R8" i="7"/>
  <c r="T6" i="7"/>
  <c r="U6" i="7" s="1"/>
  <c r="X6" i="7" s="1"/>
  <c r="V6" i="7" s="1"/>
  <c r="W6" i="7" s="1"/>
  <c r="S5" i="7"/>
  <c r="T5" i="7"/>
  <c r="U5" i="7" s="1"/>
  <c r="X5" i="7" s="1"/>
  <c r="R6" i="7"/>
  <c r="V5" i="7" l="1"/>
  <c r="W5" i="7" s="1"/>
  <c r="X9" i="7"/>
  <c r="V9" i="7" s="1"/>
  <c r="W9" i="7" s="1"/>
  <c r="BC18" i="5"/>
  <c r="BE24" i="5"/>
  <c r="AV23" i="5"/>
  <c r="AW23" i="5" s="1"/>
  <c r="AX23" i="5" s="1"/>
  <c r="AS23" i="5"/>
  <c r="AT23" i="5" s="1"/>
  <c r="AU23" i="5" s="1"/>
  <c r="AP22" i="5"/>
  <c r="AQ22" i="5" s="1"/>
  <c r="AR22" i="5" s="1"/>
  <c r="AM21" i="5"/>
  <c r="AN21" i="5" s="1"/>
  <c r="AO21" i="5" s="1"/>
  <c r="AJ22" i="5"/>
  <c r="AK22" i="5" s="1"/>
  <c r="AL22" i="5" s="1"/>
  <c r="AJ21" i="5"/>
  <c r="AK21" i="5" s="1"/>
  <c r="AL21" i="5" s="1"/>
  <c r="AG20" i="5"/>
  <c r="AH20" i="5" s="1"/>
  <c r="AI20" i="5" s="1"/>
  <c r="AD20" i="5"/>
  <c r="AE20" i="5" s="1"/>
  <c r="AF20" i="5" s="1"/>
  <c r="AD19" i="5"/>
  <c r="AE19" i="5" s="1"/>
  <c r="AF19" i="5" s="1"/>
  <c r="AA19" i="5"/>
  <c r="AB19" i="5" s="1"/>
  <c r="AC19" i="5" s="1"/>
  <c r="V17" i="5"/>
  <c r="S17" i="5"/>
  <c r="BA21" i="5" l="1"/>
  <c r="AZ19" i="5"/>
  <c r="AY23" i="5"/>
  <c r="AY22" i="5"/>
  <c r="BA22" i="5"/>
  <c r="BA23" i="5"/>
  <c r="AZ23" i="5"/>
  <c r="AY19" i="5"/>
  <c r="AY20" i="5"/>
  <c r="AZ21" i="5"/>
  <c r="BB21" i="5" s="1"/>
  <c r="AY21" i="5"/>
  <c r="BA20" i="5"/>
  <c r="AZ20" i="5"/>
  <c r="BA19" i="5"/>
  <c r="BB19" i="5" s="1"/>
  <c r="BE19" i="5" s="1"/>
  <c r="AZ22" i="5"/>
  <c r="BB22" i="5" l="1"/>
  <c r="BE22" i="5" s="1"/>
  <c r="BC22" i="5" s="1"/>
  <c r="BD22" i="5" s="1"/>
  <c r="BE21" i="5"/>
  <c r="BC21" i="5" s="1"/>
  <c r="BD21" i="5" s="1"/>
  <c r="BB23" i="5"/>
  <c r="BE23" i="5" s="1"/>
  <c r="BC23" i="5" s="1"/>
  <c r="BD23" i="5" s="1"/>
  <c r="BC19" i="5"/>
  <c r="BD19" i="5" s="1"/>
  <c r="BB20" i="5"/>
  <c r="BE20" i="5" s="1"/>
  <c r="BC20" i="5" l="1"/>
  <c r="BD20" i="5" s="1"/>
  <c r="I5" i="5"/>
  <c r="L6" i="5"/>
  <c r="N6" i="5"/>
  <c r="G7" i="5"/>
  <c r="G8" i="5"/>
  <c r="G9" i="5"/>
  <c r="I9" i="5"/>
  <c r="G10" i="5"/>
  <c r="I11" i="5"/>
  <c r="R11" i="5"/>
  <c r="G12" i="5"/>
  <c r="G13" i="5"/>
  <c r="I13" i="5"/>
  <c r="R13" i="5"/>
  <c r="G14" i="5"/>
  <c r="G15" i="5"/>
  <c r="G16" i="5"/>
  <c r="T17" i="5"/>
  <c r="U17" i="5" s="1"/>
  <c r="W17" i="5"/>
  <c r="X17" i="5" s="1"/>
  <c r="Z17" i="5"/>
  <c r="I18" i="5"/>
  <c r="AZ10" i="5" l="1"/>
  <c r="BA10" i="5"/>
  <c r="AY10" i="5"/>
  <c r="BA8" i="5"/>
  <c r="AY8" i="5"/>
  <c r="AZ8" i="5"/>
  <c r="AY9" i="5"/>
  <c r="AZ9" i="5"/>
  <c r="BA9" i="5"/>
  <c r="BA16" i="5"/>
  <c r="AY16" i="5"/>
  <c r="AZ16" i="5"/>
  <c r="AY7" i="5"/>
  <c r="AZ7" i="5"/>
  <c r="BA7" i="5"/>
  <c r="AZ6" i="5"/>
  <c r="AY6" i="5"/>
  <c r="BA6" i="5"/>
  <c r="BB6" i="5" s="1"/>
  <c r="BE6" i="5" s="1"/>
  <c r="AY13" i="5"/>
  <c r="AZ13" i="5"/>
  <c r="BA13" i="5"/>
  <c r="BA14" i="5"/>
  <c r="AY14" i="5"/>
  <c r="AZ14" i="5"/>
  <c r="BA5" i="5"/>
  <c r="AZ5" i="5"/>
  <c r="AY5" i="5"/>
  <c r="BA17" i="5"/>
  <c r="AY17" i="5"/>
  <c r="AZ17" i="5"/>
  <c r="AY18" i="5"/>
  <c r="BA18" i="5"/>
  <c r="AZ18" i="5"/>
  <c r="AY15" i="5"/>
  <c r="AZ15" i="5"/>
  <c r="BA15" i="5"/>
  <c r="AZ12" i="5"/>
  <c r="AY12" i="5"/>
  <c r="BA12" i="5"/>
  <c r="AZ11" i="5"/>
  <c r="AY11" i="5"/>
  <c r="BA11" i="5"/>
  <c r="A10" i="1"/>
  <c r="A11" i="1" s="1"/>
  <c r="A12" i="1" s="1"/>
  <c r="A14" i="1" s="1"/>
  <c r="A15" i="1" s="1"/>
  <c r="A16" i="1" s="1"/>
  <c r="A17" i="1" s="1"/>
  <c r="A18" i="1" s="1"/>
  <c r="A19" i="1" s="1"/>
  <c r="A20" i="1" s="1"/>
  <c r="CH198" i="1"/>
  <c r="CI198" i="1" s="1"/>
  <c r="CE198" i="1"/>
  <c r="CF198" i="1" s="1"/>
  <c r="CK22" i="1"/>
  <c r="CK23" i="1"/>
  <c r="CK24" i="1"/>
  <c r="CK25" i="1"/>
  <c r="CK26" i="1"/>
  <c r="CK27" i="1"/>
  <c r="CK28" i="1"/>
  <c r="CK29" i="1"/>
  <c r="CK30" i="1"/>
  <c r="CK31" i="1"/>
  <c r="CK32" i="1"/>
  <c r="CK33" i="1"/>
  <c r="CK34" i="1"/>
  <c r="CK35" i="1"/>
  <c r="CK36" i="1"/>
  <c r="CK37" i="1"/>
  <c r="CK38" i="1"/>
  <c r="CK39" i="1"/>
  <c r="CK40" i="1"/>
  <c r="CK41" i="1"/>
  <c r="CK42" i="1"/>
  <c r="CK43" i="1"/>
  <c r="CK44" i="1"/>
  <c r="CK45" i="1"/>
  <c r="CK46" i="1"/>
  <c r="CK47" i="1"/>
  <c r="CK48" i="1"/>
  <c r="CK49" i="1"/>
  <c r="CK50" i="1"/>
  <c r="CK51" i="1"/>
  <c r="CK52" i="1"/>
  <c r="CK53" i="1"/>
  <c r="CK54" i="1"/>
  <c r="CK55" i="1"/>
  <c r="CK56" i="1"/>
  <c r="CK57" i="1"/>
  <c r="CK58" i="1"/>
  <c r="CK59" i="1"/>
  <c r="CK60" i="1"/>
  <c r="CK61" i="1"/>
  <c r="CK62" i="1"/>
  <c r="CK63" i="1"/>
  <c r="CK64" i="1"/>
  <c r="CK65" i="1"/>
  <c r="CK66" i="1"/>
  <c r="CK67" i="1"/>
  <c r="CK68" i="1"/>
  <c r="CK69" i="1"/>
  <c r="CK70" i="1"/>
  <c r="CK71" i="1"/>
  <c r="CK72" i="1"/>
  <c r="CK73" i="1"/>
  <c r="CK74" i="1"/>
  <c r="CK75" i="1"/>
  <c r="CK76" i="1"/>
  <c r="CK77" i="1"/>
  <c r="CK78" i="1"/>
  <c r="CK79" i="1"/>
  <c r="CK80" i="1"/>
  <c r="CK81" i="1"/>
  <c r="CK84" i="1"/>
  <c r="CK85" i="1"/>
  <c r="CK86" i="1"/>
  <c r="CK87" i="1"/>
  <c r="CK88" i="1"/>
  <c r="CK89" i="1"/>
  <c r="CK90" i="1"/>
  <c r="CK92" i="1"/>
  <c r="CK93" i="1"/>
  <c r="CK94" i="1"/>
  <c r="CK95" i="1"/>
  <c r="CK96" i="1"/>
  <c r="CK97" i="1"/>
  <c r="CK98" i="1"/>
  <c r="CK99" i="1"/>
  <c r="CK100" i="1"/>
  <c r="CK102" i="1"/>
  <c r="CK103" i="1"/>
  <c r="CK108" i="1"/>
  <c r="CK109" i="1"/>
  <c r="CK110" i="1"/>
  <c r="CK111" i="1"/>
  <c r="CK112" i="1"/>
  <c r="CK113" i="1"/>
  <c r="CK114" i="1"/>
  <c r="CK115" i="1"/>
  <c r="CK116" i="1"/>
  <c r="CK117" i="1"/>
  <c r="CK118" i="1"/>
  <c r="CK119" i="1"/>
  <c r="CK120" i="1"/>
  <c r="CK122" i="1"/>
  <c r="CK123" i="1"/>
  <c r="CK125" i="1"/>
  <c r="CK126" i="1"/>
  <c r="CK131" i="1"/>
  <c r="CK132" i="1"/>
  <c r="CK133" i="1"/>
  <c r="CK134" i="1"/>
  <c r="CK135" i="1"/>
  <c r="CK137" i="1"/>
  <c r="CK142" i="1"/>
  <c r="CK145" i="1"/>
  <c r="CK146" i="1"/>
  <c r="CK147" i="1"/>
  <c r="CK148" i="1"/>
  <c r="CK149" i="1"/>
  <c r="CK152" i="1"/>
  <c r="CK153" i="1"/>
  <c r="CK155" i="1"/>
  <c r="CK157" i="1"/>
  <c r="CK160" i="1"/>
  <c r="CK161" i="1"/>
  <c r="CK162" i="1"/>
  <c r="CK163" i="1"/>
  <c r="CK164" i="1"/>
  <c r="CK165" i="1"/>
  <c r="CK166" i="1"/>
  <c r="CK167" i="1"/>
  <c r="CK168" i="1"/>
  <c r="CK169" i="1"/>
  <c r="CK170" i="1"/>
  <c r="CK171" i="1"/>
  <c r="CK172" i="1"/>
  <c r="CK174" i="1"/>
  <c r="CK176" i="1"/>
  <c r="CK177" i="1"/>
  <c r="CK178" i="1"/>
  <c r="CK179" i="1"/>
  <c r="CK180" i="1"/>
  <c r="CK181" i="1"/>
  <c r="CK182" i="1"/>
  <c r="CK183" i="1"/>
  <c r="CK184" i="1"/>
  <c r="CK185" i="1"/>
  <c r="CK186" i="1"/>
  <c r="CK189" i="1"/>
  <c r="CK192" i="1"/>
  <c r="CK193" i="1"/>
  <c r="CK194" i="1"/>
  <c r="CK195" i="1"/>
  <c r="CK196" i="1"/>
  <c r="CK197" i="1"/>
  <c r="CK199" i="1"/>
  <c r="CK201" i="1"/>
  <c r="CK202" i="1"/>
  <c r="CK203" i="1"/>
  <c r="CK204" i="1"/>
  <c r="CK212" i="1"/>
  <c r="CK213" i="1"/>
  <c r="CK214" i="1"/>
  <c r="CK215" i="1"/>
  <c r="CK216" i="1"/>
  <c r="CK217" i="1"/>
  <c r="CK218" i="1"/>
  <c r="CK219" i="1"/>
  <c r="CK220" i="1"/>
  <c r="CK221" i="1"/>
  <c r="CK222" i="1"/>
  <c r="CK223" i="1"/>
  <c r="CK224" i="1"/>
  <c r="CK225" i="1"/>
  <c r="CK226" i="1"/>
  <c r="CK227" i="1"/>
  <c r="CK228" i="1"/>
  <c r="CK229" i="1"/>
  <c r="CK230" i="1"/>
  <c r="CK231" i="1"/>
  <c r="CK232" i="1"/>
  <c r="CK233" i="1"/>
  <c r="CK234" i="1"/>
  <c r="CK236" i="1"/>
  <c r="CK237" i="1"/>
  <c r="CK238" i="1"/>
  <c r="CK239" i="1"/>
  <c r="CK240" i="1"/>
  <c r="CK241" i="1"/>
  <c r="CK242" i="1"/>
  <c r="CK243" i="1"/>
  <c r="CK244" i="1"/>
  <c r="CK246" i="1"/>
  <c r="CK247" i="1"/>
  <c r="CK251" i="1"/>
  <c r="CK252" i="1"/>
  <c r="CK253" i="1"/>
  <c r="CK254" i="1"/>
  <c r="CK255" i="1"/>
  <c r="CK257" i="1"/>
  <c r="CK258" i="1"/>
  <c r="CK259" i="1"/>
  <c r="CK260" i="1"/>
  <c r="CK261" i="1"/>
  <c r="CK263" i="1"/>
  <c r="CK264" i="1"/>
  <c r="CK265" i="1"/>
  <c r="CR175" i="1"/>
  <c r="CR158" i="1"/>
  <c r="CR154" i="1"/>
  <c r="CD262" i="1"/>
  <c r="CB262" i="1"/>
  <c r="CD124" i="1"/>
  <c r="CB124" i="1"/>
  <c r="CK124" i="1" l="1"/>
  <c r="A21" i="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BB14" i="5"/>
  <c r="BE14" i="5" s="1"/>
  <c r="BB5" i="5"/>
  <c r="BE5" i="5" s="1"/>
  <c r="BB16" i="5"/>
  <c r="BE16" i="5" s="1"/>
  <c r="BC16" i="5" s="1"/>
  <c r="BD16" i="5" s="1"/>
  <c r="BB8" i="5"/>
  <c r="BE8" i="5" s="1"/>
  <c r="BB13" i="5"/>
  <c r="BE13" i="5" s="1"/>
  <c r="BC13" i="5" s="1"/>
  <c r="BB18" i="5"/>
  <c r="BE18" i="5" s="1"/>
  <c r="BB9" i="5"/>
  <c r="BE9" i="5" s="1"/>
  <c r="BC14" i="5"/>
  <c r="BD14" i="5" s="1"/>
  <c r="BC6" i="5"/>
  <c r="BB7" i="5"/>
  <c r="BE7" i="5" s="1"/>
  <c r="BB10" i="5"/>
  <c r="BE10" i="5" s="1"/>
  <c r="BB17" i="5"/>
  <c r="BE17" i="5" s="1"/>
  <c r="BB15" i="5"/>
  <c r="BE15" i="5" s="1"/>
  <c r="BC15" i="5" s="1"/>
  <c r="BB12" i="5"/>
  <c r="BE12" i="5" s="1"/>
  <c r="BC12" i="5" s="1"/>
  <c r="BB11" i="5"/>
  <c r="BE11" i="5" s="1"/>
  <c r="BC11" i="5" s="1"/>
  <c r="CK262" i="1"/>
  <c r="CJ198" i="1"/>
  <c r="CG198" i="1"/>
  <c r="CM124" i="1"/>
  <c r="CM262" i="1"/>
  <c r="CL124" i="1"/>
  <c r="CL262" i="1"/>
  <c r="A87" i="1" l="1"/>
  <c r="A88" i="1" s="1"/>
  <c r="A89" i="1" s="1"/>
  <c r="A90" i="1" s="1"/>
  <c r="A91" i="1" s="1"/>
  <c r="A92" i="1" s="1"/>
  <c r="A93" i="1" s="1"/>
  <c r="A94" i="1" s="1"/>
  <c r="A95" i="1" s="1"/>
  <c r="A96" i="1" s="1"/>
  <c r="A97" i="1" s="1"/>
  <c r="A98" i="1" s="1"/>
  <c r="A99" i="1" s="1"/>
  <c r="A100" i="1" s="1"/>
  <c r="BC8" i="5"/>
  <c r="BC7" i="5"/>
  <c r="BC5" i="5"/>
  <c r="BC9" i="5"/>
  <c r="BC10" i="5"/>
  <c r="BD10" i="5" s="1"/>
  <c r="BC17" i="5"/>
  <c r="BD17" i="5" s="1"/>
  <c r="CM198" i="1"/>
  <c r="CK198" i="1"/>
  <c r="CL198" i="1"/>
  <c r="CN262" i="1"/>
  <c r="CQ262" i="1" s="1"/>
  <c r="CO262" i="1" s="1"/>
  <c r="A101" i="1" l="1"/>
  <c r="A102" i="1" s="1"/>
  <c r="A103" i="1" s="1"/>
  <c r="A106" i="1" s="1"/>
  <c r="A107" i="1" s="1"/>
  <c r="A108" i="1" s="1"/>
  <c r="A109" i="1" s="1"/>
  <c r="A110" i="1" s="1"/>
  <c r="A111" i="1" s="1"/>
  <c r="A112" i="1" s="1"/>
  <c r="A113" i="1" s="1"/>
  <c r="A114" i="1" s="1"/>
  <c r="A115" i="1" s="1"/>
  <c r="A116" i="1" s="1"/>
  <c r="A117" i="1" s="1"/>
  <c r="A118" i="1" s="1"/>
  <c r="A119" i="1" s="1"/>
  <c r="A120" i="1" s="1"/>
  <c r="A121" i="1" s="1"/>
  <c r="CR121" i="1"/>
  <c r="A122" i="1" l="1"/>
  <c r="A123" i="1" s="1"/>
  <c r="A124" i="1" s="1"/>
  <c r="A125" i="1" s="1"/>
  <c r="A126"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CR82" i="1"/>
  <c r="G9" i="1"/>
  <c r="CQ9" i="1" s="1"/>
  <c r="CO9" i="1" l="1"/>
  <c r="CP9" i="1" s="1"/>
  <c r="A157" i="1"/>
  <c r="A158" i="1" s="1"/>
  <c r="A159" i="1" s="1"/>
  <c r="CR208" i="1"/>
  <c r="A160" i="1" l="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9" i="1" s="1"/>
  <c r="A190" i="1" s="1"/>
  <c r="A191" i="1" s="1"/>
  <c r="CM70" i="1"/>
  <c r="CL70" i="1"/>
  <c r="CR10" i="1"/>
  <c r="CM247" i="1"/>
  <c r="CL247" i="1"/>
  <c r="CM246" i="1"/>
  <c r="CL246" i="1"/>
  <c r="BY245" i="1"/>
  <c r="CM244" i="1"/>
  <c r="CL244" i="1"/>
  <c r="CM243" i="1"/>
  <c r="CL243" i="1"/>
  <c r="CM242" i="1"/>
  <c r="CL242" i="1"/>
  <c r="CM241" i="1"/>
  <c r="CL241" i="1"/>
  <c r="CM240" i="1"/>
  <c r="CL240" i="1"/>
  <c r="CM239" i="1"/>
  <c r="CL239" i="1"/>
  <c r="CM238" i="1"/>
  <c r="CL238" i="1"/>
  <c r="CM237" i="1"/>
  <c r="CL237" i="1"/>
  <c r="CM236" i="1"/>
  <c r="CL236" i="1"/>
  <c r="AX235" i="1"/>
  <c r="CK235" i="1" s="1"/>
  <c r="AW235" i="1"/>
  <c r="CM234" i="1"/>
  <c r="CL234" i="1"/>
  <c r="CM233" i="1"/>
  <c r="CL233" i="1"/>
  <c r="CM232" i="1"/>
  <c r="CL232" i="1"/>
  <c r="CM231" i="1"/>
  <c r="CL231" i="1"/>
  <c r="CM230" i="1"/>
  <c r="CL230" i="1"/>
  <c r="CM229" i="1"/>
  <c r="CL229" i="1"/>
  <c r="A192" i="1" l="1"/>
  <c r="A193" i="1" s="1"/>
  <c r="A194" i="1" s="1"/>
  <c r="A195" i="1" s="1"/>
  <c r="A196" i="1" s="1"/>
  <c r="A197" i="1" s="1"/>
  <c r="CM245" i="1"/>
  <c r="CK245" i="1"/>
  <c r="CN70" i="1"/>
  <c r="CN231" i="1"/>
  <c r="CN242" i="1"/>
  <c r="CQ242" i="1" s="1"/>
  <c r="CO242" i="1" s="1"/>
  <c r="CP242" i="1" s="1"/>
  <c r="CN239" i="1"/>
  <c r="CN243" i="1"/>
  <c r="CN229" i="1"/>
  <c r="CQ229" i="1" s="1"/>
  <c r="CO229" i="1" s="1"/>
  <c r="CP229" i="1" s="1"/>
  <c r="CN246" i="1"/>
  <c r="CN230" i="1"/>
  <c r="CN247" i="1"/>
  <c r="CN241" i="1"/>
  <c r="CN240" i="1"/>
  <c r="CQ240" i="1" s="1"/>
  <c r="CO240" i="1" s="1"/>
  <c r="CP240" i="1" s="1"/>
  <c r="CN233" i="1"/>
  <c r="CN236" i="1"/>
  <c r="CN234" i="1"/>
  <c r="CN237" i="1"/>
  <c r="CN244" i="1"/>
  <c r="CN232" i="1"/>
  <c r="CQ232" i="1" s="1"/>
  <c r="CO232" i="1" s="1"/>
  <c r="CP232" i="1" s="1"/>
  <c r="CN238" i="1"/>
  <c r="CQ238" i="1" s="1"/>
  <c r="CO238" i="1" s="1"/>
  <c r="CP238" i="1" s="1"/>
  <c r="CL235" i="1"/>
  <c r="CM235" i="1"/>
  <c r="CR209" i="1"/>
  <c r="CL245" i="1"/>
  <c r="CR250" i="1"/>
  <c r="BY159" i="1"/>
  <c r="M8" i="4"/>
  <c r="BT8" i="4" s="1"/>
  <c r="M9" i="4"/>
  <c r="BS9" i="4" s="1"/>
  <c r="M10" i="4"/>
  <c r="BS10" i="4" s="1"/>
  <c r="BS11" i="4"/>
  <c r="BT11" i="4"/>
  <c r="BU11" i="4"/>
  <c r="P12" i="4"/>
  <c r="R12" i="4"/>
  <c r="T12" i="4"/>
  <c r="J13" i="4"/>
  <c r="M13" i="4"/>
  <c r="BS14" i="4"/>
  <c r="BT14" i="4"/>
  <c r="BU14" i="4"/>
  <c r="BS15" i="4"/>
  <c r="BT15" i="4"/>
  <c r="BU15" i="4"/>
  <c r="BS16" i="4"/>
  <c r="BT16" i="4"/>
  <c r="BU16" i="4"/>
  <c r="J17" i="4"/>
  <c r="BS17" i="4" s="1"/>
  <c r="J18" i="4"/>
  <c r="BU18" i="4" s="1"/>
  <c r="J19" i="4"/>
  <c r="BS19" i="4" s="1"/>
  <c r="P20" i="4"/>
  <c r="R20" i="4"/>
  <c r="T20" i="4"/>
  <c r="P21" i="4"/>
  <c r="R21" i="4"/>
  <c r="J22" i="4"/>
  <c r="BS22" i="4" s="1"/>
  <c r="P23" i="4"/>
  <c r="R23" i="4"/>
  <c r="R24" i="4"/>
  <c r="T24" i="4"/>
  <c r="J25" i="4"/>
  <c r="M25" i="4"/>
  <c r="BS26" i="4"/>
  <c r="BY26" i="4" s="1"/>
  <c r="BT26" i="4"/>
  <c r="BU26" i="4"/>
  <c r="M27" i="4"/>
  <c r="BU27" i="4" s="1"/>
  <c r="J28" i="4"/>
  <c r="BS28" i="4" s="1"/>
  <c r="BS29" i="4"/>
  <c r="BT29" i="4"/>
  <c r="BU29" i="4"/>
  <c r="P30" i="4"/>
  <c r="R30" i="4"/>
  <c r="J31" i="4"/>
  <c r="G32" i="4"/>
  <c r="M32" i="4"/>
  <c r="G33" i="4"/>
  <c r="M33" i="4"/>
  <c r="G34" i="4"/>
  <c r="M34" i="4"/>
  <c r="G35" i="4"/>
  <c r="M35" i="4"/>
  <c r="G36" i="4"/>
  <c r="M36" i="4"/>
  <c r="G37" i="4"/>
  <c r="M37" i="4"/>
  <c r="G38" i="4"/>
  <c r="M38" i="4"/>
  <c r="G39" i="4"/>
  <c r="M39" i="4"/>
  <c r="G40" i="4"/>
  <c r="M40" i="4"/>
  <c r="G41" i="4"/>
  <c r="M41" i="4"/>
  <c r="G42" i="4"/>
  <c r="M42" i="4"/>
  <c r="G43" i="4"/>
  <c r="M43" i="4"/>
  <c r="G44" i="4"/>
  <c r="M44" i="4"/>
  <c r="G45" i="4"/>
  <c r="M45" i="4"/>
  <c r="BS46" i="4"/>
  <c r="BT46" i="4"/>
  <c r="BU46" i="4"/>
  <c r="BS47" i="4"/>
  <c r="BT47" i="4"/>
  <c r="BU47" i="4"/>
  <c r="BS48" i="4"/>
  <c r="BT48" i="4"/>
  <c r="BU48" i="4"/>
  <c r="BS49" i="4"/>
  <c r="BT49" i="4"/>
  <c r="BU49" i="4"/>
  <c r="P50" i="4"/>
  <c r="R50" i="4"/>
  <c r="T50" i="4"/>
  <c r="M51" i="4"/>
  <c r="M52" i="4"/>
  <c r="BU52" i="4" s="1"/>
  <c r="V53" i="4"/>
  <c r="X53" i="4"/>
  <c r="BS53" i="4"/>
  <c r="M54" i="4"/>
  <c r="BU54" i="4" s="1"/>
  <c r="J55" i="4"/>
  <c r="BS55" i="4" s="1"/>
  <c r="J56" i="4"/>
  <c r="M56" i="4"/>
  <c r="J57" i="4"/>
  <c r="BS57" i="4" s="1"/>
  <c r="J58" i="4"/>
  <c r="BS58" i="4" s="1"/>
  <c r="M59" i="4"/>
  <c r="BS59" i="4" s="1"/>
  <c r="BS60" i="4"/>
  <c r="BT60" i="4"/>
  <c r="BU60" i="4"/>
  <c r="J61" i="4"/>
  <c r="BT61" i="4" s="1"/>
  <c r="BS62" i="4"/>
  <c r="BT62" i="4"/>
  <c r="BU62" i="4"/>
  <c r="BS63" i="4"/>
  <c r="BT63" i="4"/>
  <c r="BU63" i="4"/>
  <c r="J64" i="4"/>
  <c r="M64" i="4"/>
  <c r="BS65" i="4"/>
  <c r="BT65" i="4"/>
  <c r="BU65" i="4"/>
  <c r="BS66" i="4"/>
  <c r="BT66" i="4"/>
  <c r="BU66" i="4"/>
  <c r="M67" i="4"/>
  <c r="BS67" i="4" s="1"/>
  <c r="J68" i="4"/>
  <c r="BT68" i="4" s="1"/>
  <c r="J69" i="4"/>
  <c r="R70" i="4"/>
  <c r="T70" i="4"/>
  <c r="BS71" i="4"/>
  <c r="BT71" i="4"/>
  <c r="BU71" i="4"/>
  <c r="BS72" i="4"/>
  <c r="BT72" i="4"/>
  <c r="BU72" i="4"/>
  <c r="BS73" i="4"/>
  <c r="BT73" i="4"/>
  <c r="BU73" i="4"/>
  <c r="Z74" i="4"/>
  <c r="AA74" i="4" s="1"/>
  <c r="AC74" i="4"/>
  <c r="AD74" i="4" s="1"/>
  <c r="AF74" i="4"/>
  <c r="AG74" i="4" s="1"/>
  <c r="BM75" i="4"/>
  <c r="BO75" i="4"/>
  <c r="BQ75" i="4"/>
  <c r="BR75" i="4" s="1"/>
  <c r="P76" i="4"/>
  <c r="R76" i="4"/>
  <c r="T76" i="4"/>
  <c r="BS77" i="4"/>
  <c r="BT77" i="4"/>
  <c r="BU77" i="4"/>
  <c r="BS78" i="4"/>
  <c r="BT78" i="4"/>
  <c r="BU78" i="4"/>
  <c r="BS79" i="4"/>
  <c r="BT79" i="4"/>
  <c r="BU79" i="4"/>
  <c r="P80" i="4"/>
  <c r="R80" i="4"/>
  <c r="T80" i="4"/>
  <c r="J81" i="4"/>
  <c r="BS81" i="4" s="1"/>
  <c r="R82" i="4"/>
  <c r="T82" i="4"/>
  <c r="J83" i="4"/>
  <c r="BS83" i="4" s="1"/>
  <c r="BS84" i="4"/>
  <c r="BT84" i="4"/>
  <c r="BU84" i="4"/>
  <c r="J85" i="4"/>
  <c r="BS85" i="4" s="1"/>
  <c r="BS86" i="4"/>
  <c r="BT86" i="4"/>
  <c r="BU86" i="4"/>
  <c r="J87" i="4"/>
  <c r="BU87" i="4" s="1"/>
  <c r="BS88" i="4"/>
  <c r="BT88" i="4"/>
  <c r="BU88" i="4"/>
  <c r="J89" i="4"/>
  <c r="BS89" i="4" s="1"/>
  <c r="BS90" i="4"/>
  <c r="BT90" i="4"/>
  <c r="BU90" i="4"/>
  <c r="AF91" i="4"/>
  <c r="AG91" i="4" s="1"/>
  <c r="Z92" i="4"/>
  <c r="AA92" i="4" s="1"/>
  <c r="BS92" i="4" s="1"/>
  <c r="BS93" i="4"/>
  <c r="BT93" i="4"/>
  <c r="BU93" i="4"/>
  <c r="J94" i="4"/>
  <c r="BT94" i="4" s="1"/>
  <c r="R95" i="4"/>
  <c r="T95" i="4"/>
  <c r="J96" i="4"/>
  <c r="BS96" i="4" s="1"/>
  <c r="BS97" i="4"/>
  <c r="BT97" i="4"/>
  <c r="BU97" i="4"/>
  <c r="AH98" i="4"/>
  <c r="AI98" i="4" s="1"/>
  <c r="AJ98" i="4" s="1"/>
  <c r="J99" i="4"/>
  <c r="AK100" i="4"/>
  <c r="AL100" i="4" s="1"/>
  <c r="AM100" i="4" s="1"/>
  <c r="AN101" i="4"/>
  <c r="AO101" i="4" s="1"/>
  <c r="AP101" i="4" s="1"/>
  <c r="AQ101" i="4"/>
  <c r="AR101" i="4" s="1"/>
  <c r="AS101" i="4" s="1"/>
  <c r="BS102" i="4"/>
  <c r="BT102" i="4"/>
  <c r="BU102" i="4"/>
  <c r="BS103" i="4"/>
  <c r="BT103" i="4"/>
  <c r="BU103" i="4"/>
  <c r="BS104" i="4"/>
  <c r="BT104" i="4"/>
  <c r="BU104" i="4"/>
  <c r="AT105" i="4"/>
  <c r="AU105" i="4" s="1"/>
  <c r="AV105" i="4" s="1"/>
  <c r="AW105" i="4"/>
  <c r="AX105" i="4" s="1"/>
  <c r="AY105" i="4" s="1"/>
  <c r="AZ106" i="4"/>
  <c r="BA106" i="4" s="1"/>
  <c r="BB106" i="4" s="1"/>
  <c r="M107" i="4"/>
  <c r="BC107" i="4"/>
  <c r="BD107" i="4" s="1"/>
  <c r="BE107" i="4" s="1"/>
  <c r="BF107" i="4"/>
  <c r="BG107" i="4" s="1"/>
  <c r="BH107" i="4" s="1"/>
  <c r="BS108" i="4"/>
  <c r="BT108" i="4"/>
  <c r="BU108" i="4"/>
  <c r="CR106" i="1"/>
  <c r="AX91" i="1"/>
  <c r="CK91" i="1" s="1"/>
  <c r="AW91" i="1"/>
  <c r="BY101" i="1"/>
  <c r="CQ243" i="1" l="1"/>
  <c r="CO243" i="1" s="1"/>
  <c r="CP243" i="1" s="1"/>
  <c r="CQ233" i="1"/>
  <c r="CO233" i="1" s="1"/>
  <c r="CP233" i="1" s="1"/>
  <c r="CQ239" i="1"/>
  <c r="CO239" i="1" s="1"/>
  <c r="CP239" i="1" s="1"/>
  <c r="CQ247" i="1"/>
  <c r="CO247" i="1" s="1"/>
  <c r="CP247" i="1" s="1"/>
  <c r="CQ70" i="1"/>
  <c r="CO70" i="1" s="1"/>
  <c r="CP70" i="1" s="1"/>
  <c r="CQ244" i="1"/>
  <c r="CO244" i="1" s="1"/>
  <c r="CP244" i="1" s="1"/>
  <c r="CQ230" i="1"/>
  <c r="CO230" i="1" s="1"/>
  <c r="CP230" i="1" s="1"/>
  <c r="CQ236" i="1"/>
  <c r="CO236" i="1" s="1"/>
  <c r="CP236" i="1" s="1"/>
  <c r="CQ241" i="1"/>
  <c r="CO241" i="1" s="1"/>
  <c r="CP241" i="1" s="1"/>
  <c r="CQ237" i="1"/>
  <c r="CO237" i="1" s="1"/>
  <c r="CP237" i="1" s="1"/>
  <c r="CQ246" i="1"/>
  <c r="CO246" i="1" s="1"/>
  <c r="CP246" i="1" s="1"/>
  <c r="CQ231" i="1"/>
  <c r="CO231" i="1" s="1"/>
  <c r="CP231" i="1" s="1"/>
  <c r="CQ234" i="1"/>
  <c r="CO234" i="1" s="1"/>
  <c r="CP234" i="1" s="1"/>
  <c r="A198" i="1"/>
  <c r="A199" i="1" s="1"/>
  <c r="A200" i="1" s="1"/>
  <c r="A201" i="1" s="1"/>
  <c r="A202" i="1" s="1"/>
  <c r="A203" i="1" s="1"/>
  <c r="A204"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CN245" i="1"/>
  <c r="CR242" i="1"/>
  <c r="CL159" i="1"/>
  <c r="CK159" i="1"/>
  <c r="CM101" i="1"/>
  <c r="CK101" i="1"/>
  <c r="BS8" i="4"/>
  <c r="BS38" i="4"/>
  <c r="BT44" i="4"/>
  <c r="CR211" i="1"/>
  <c r="BS45" i="4"/>
  <c r="BV60" i="4"/>
  <c r="BY60" i="4" s="1"/>
  <c r="BW60" i="4" s="1"/>
  <c r="BX60" i="4" s="1"/>
  <c r="BV16" i="4"/>
  <c r="BY16" i="4" s="1"/>
  <c r="BW16" i="4" s="1"/>
  <c r="BX16" i="4" s="1"/>
  <c r="BT59" i="4"/>
  <c r="BU89" i="4"/>
  <c r="BS95" i="4"/>
  <c r="BT54" i="4"/>
  <c r="BV54" i="4" s="1"/>
  <c r="BS54" i="4"/>
  <c r="BU9" i="4"/>
  <c r="BV77" i="4"/>
  <c r="BY77" i="4" s="1"/>
  <c r="BT24" i="4"/>
  <c r="BU83" i="4"/>
  <c r="BS70" i="4"/>
  <c r="BT83" i="4"/>
  <c r="BV78" i="4"/>
  <c r="BY78" i="4" s="1"/>
  <c r="BV84" i="4"/>
  <c r="BY84" i="4" s="1"/>
  <c r="BW84" i="4" s="1"/>
  <c r="BX84" i="4" s="1"/>
  <c r="BT37" i="4"/>
  <c r="BS94" i="4"/>
  <c r="BV49" i="4"/>
  <c r="BY49" i="4" s="1"/>
  <c r="BW49" i="4" s="1"/>
  <c r="BX49" i="4" s="1"/>
  <c r="BU59" i="4"/>
  <c r="BU91" i="4"/>
  <c r="BS91" i="4"/>
  <c r="BT91" i="4"/>
  <c r="BV88" i="4"/>
  <c r="BY88" i="4" s="1"/>
  <c r="BW88" i="4" s="1"/>
  <c r="BX88" i="4" s="1"/>
  <c r="BS61" i="4"/>
  <c r="BS13" i="4"/>
  <c r="BS24" i="4"/>
  <c r="BT45" i="4"/>
  <c r="BU34" i="4"/>
  <c r="BS101" i="4"/>
  <c r="BV26" i="4"/>
  <c r="BU37" i="4"/>
  <c r="BT20" i="4"/>
  <c r="BV104" i="4"/>
  <c r="BY104" i="4" s="1"/>
  <c r="BW104" i="4" s="1"/>
  <c r="BX104" i="4" s="1"/>
  <c r="BU57" i="4"/>
  <c r="BS68" i="4"/>
  <c r="BS41" i="4"/>
  <c r="BT18" i="4"/>
  <c r="BV18" i="4" s="1"/>
  <c r="BY18" i="4" s="1"/>
  <c r="BS12" i="4"/>
  <c r="BU58" i="4"/>
  <c r="BS44" i="4"/>
  <c r="BV71" i="4"/>
  <c r="BY71" i="4" s="1"/>
  <c r="BT58" i="4"/>
  <c r="BT38" i="4"/>
  <c r="BS33" i="4"/>
  <c r="BS32" i="4"/>
  <c r="BU94" i="4"/>
  <c r="BV94" i="4" s="1"/>
  <c r="BY94" i="4" s="1"/>
  <c r="BV90" i="4"/>
  <c r="BY90" i="4" s="1"/>
  <c r="BW90" i="4" s="1"/>
  <c r="BX90" i="4" s="1"/>
  <c r="BT56" i="4"/>
  <c r="BV46" i="4"/>
  <c r="BY46" i="4" s="1"/>
  <c r="BU19" i="4"/>
  <c r="BV47" i="4"/>
  <c r="BY47" i="4" s="1"/>
  <c r="BU40" i="4"/>
  <c r="BT34" i="4"/>
  <c r="BT36" i="4"/>
  <c r="BV103" i="4"/>
  <c r="BY103" i="4" s="1"/>
  <c r="BW103" i="4" s="1"/>
  <c r="BX103" i="4" s="1"/>
  <c r="BU24" i="4"/>
  <c r="BV15" i="4"/>
  <c r="BY15" i="4" s="1"/>
  <c r="BT28" i="4"/>
  <c r="BT57" i="4"/>
  <c r="BU45" i="4"/>
  <c r="BT41" i="4"/>
  <c r="BS37" i="4"/>
  <c r="BU32" i="4"/>
  <c r="BS23" i="4"/>
  <c r="BS18" i="4"/>
  <c r="BT9" i="4"/>
  <c r="BT89" i="4"/>
  <c r="BT80" i="4"/>
  <c r="BU68" i="4"/>
  <c r="BV68" i="4" s="1"/>
  <c r="BY68" i="4" s="1"/>
  <c r="BU64" i="4"/>
  <c r="BT52" i="4"/>
  <c r="BV52" i="4" s="1"/>
  <c r="BU44" i="4"/>
  <c r="BT40" i="4"/>
  <c r="BT32" i="4"/>
  <c r="BV102" i="4"/>
  <c r="BY102" i="4" s="1"/>
  <c r="BW102" i="4" s="1"/>
  <c r="BX102" i="4" s="1"/>
  <c r="BT92" i="4"/>
  <c r="BV79" i="4"/>
  <c r="BY79" i="4" s="1"/>
  <c r="BW79" i="4" s="1"/>
  <c r="BX79" i="4" s="1"/>
  <c r="BS52" i="4"/>
  <c r="BS40" i="4"/>
  <c r="BS36" i="4"/>
  <c r="BT22" i="4"/>
  <c r="BU17" i="4"/>
  <c r="BT87" i="4"/>
  <c r="BV87" i="4" s="1"/>
  <c r="BY87" i="4" s="1"/>
  <c r="BV66" i="4"/>
  <c r="BY66" i="4" s="1"/>
  <c r="BT27" i="4"/>
  <c r="BV27" i="4" s="1"/>
  <c r="BU10" i="4"/>
  <c r="BS50" i="4"/>
  <c r="BV97" i="4"/>
  <c r="BY97" i="4" s="1"/>
  <c r="BW97" i="4" s="1"/>
  <c r="BX97" i="4" s="1"/>
  <c r="BS87" i="4"/>
  <c r="BT53" i="4"/>
  <c r="BS27" i="4"/>
  <c r="BY27" i="4" s="1"/>
  <c r="BV14" i="4"/>
  <c r="BY14" i="4" s="1"/>
  <c r="BT10" i="4"/>
  <c r="BV108" i="4"/>
  <c r="BY108" i="4" s="1"/>
  <c r="BU105" i="4"/>
  <c r="BV86" i="4"/>
  <c r="BY86" i="4" s="1"/>
  <c r="BW86" i="4" s="1"/>
  <c r="BX86" i="4" s="1"/>
  <c r="BU23" i="4"/>
  <c r="BS20" i="4"/>
  <c r="BT17" i="4"/>
  <c r="BU92" i="4"/>
  <c r="BV65" i="4"/>
  <c r="BY65" i="4" s="1"/>
  <c r="BW65" i="4" s="1"/>
  <c r="BX65" i="4" s="1"/>
  <c r="BV62" i="4"/>
  <c r="BY62" i="4" s="1"/>
  <c r="BV48" i="4"/>
  <c r="BY48" i="4" s="1"/>
  <c r="BW48" i="4" s="1"/>
  <c r="BX48" i="4" s="1"/>
  <c r="BS30" i="4"/>
  <c r="BT23" i="4"/>
  <c r="BU13" i="4"/>
  <c r="BU33" i="4"/>
  <c r="BU80" i="4"/>
  <c r="BT33" i="4"/>
  <c r="BV29" i="4"/>
  <c r="BY29" i="4" s="1"/>
  <c r="BW29" i="4" s="1"/>
  <c r="BX29" i="4" s="1"/>
  <c r="BT19" i="4"/>
  <c r="BU61" i="4"/>
  <c r="BV61" i="4" s="1"/>
  <c r="BY61" i="4" s="1"/>
  <c r="BU41" i="4"/>
  <c r="BU36" i="4"/>
  <c r="BU8" i="4"/>
  <c r="BV8" i="4" s="1"/>
  <c r="BY8" i="4" s="1"/>
  <c r="BT67" i="4"/>
  <c r="BS25" i="4"/>
  <c r="BU22" i="4"/>
  <c r="CR210" i="1"/>
  <c r="CR240" i="1"/>
  <c r="CN235" i="1"/>
  <c r="CR229" i="1"/>
  <c r="CR238" i="1"/>
  <c r="CR239" i="1"/>
  <c r="CR234" i="1"/>
  <c r="CR232" i="1"/>
  <c r="CL101" i="1"/>
  <c r="CM159" i="1"/>
  <c r="BS31" i="4"/>
  <c r="BT31" i="4"/>
  <c r="BU31" i="4"/>
  <c r="BT76" i="4"/>
  <c r="BS76" i="4"/>
  <c r="BU76" i="4"/>
  <c r="BT75" i="4"/>
  <c r="BS75" i="4"/>
  <c r="BT105" i="4"/>
  <c r="BT107" i="4"/>
  <c r="BS105" i="4"/>
  <c r="BT85" i="4"/>
  <c r="BU85" i="4"/>
  <c r="BT70" i="4"/>
  <c r="BU70" i="4"/>
  <c r="BT98" i="4"/>
  <c r="BS98" i="4"/>
  <c r="BU98" i="4"/>
  <c r="BS82" i="4"/>
  <c r="BU82" i="4"/>
  <c r="BT82" i="4"/>
  <c r="BS106" i="4"/>
  <c r="BT106" i="4"/>
  <c r="BU106" i="4"/>
  <c r="BT95" i="4"/>
  <c r="BS100" i="4"/>
  <c r="BT100" i="4"/>
  <c r="BU100" i="4"/>
  <c r="BS99" i="4"/>
  <c r="BT99" i="4"/>
  <c r="BU99" i="4"/>
  <c r="BS51" i="4"/>
  <c r="BT51" i="4"/>
  <c r="BU51" i="4"/>
  <c r="BT101" i="4"/>
  <c r="BU101" i="4"/>
  <c r="BT96" i="4"/>
  <c r="BU96" i="4"/>
  <c r="BV93" i="4"/>
  <c r="BY93" i="4" s="1"/>
  <c r="BS69" i="4"/>
  <c r="BT69" i="4"/>
  <c r="BU69" i="4"/>
  <c r="BV11" i="4"/>
  <c r="BY11" i="4" s="1"/>
  <c r="BS64" i="4"/>
  <c r="BT64" i="4"/>
  <c r="BS80" i="4"/>
  <c r="BS74" i="4"/>
  <c r="BS43" i="4"/>
  <c r="BT43" i="4"/>
  <c r="BU43" i="4"/>
  <c r="BU38" i="4"/>
  <c r="BS34" i="4"/>
  <c r="BT12" i="4"/>
  <c r="BU42" i="4"/>
  <c r="BS56" i="4"/>
  <c r="BU56" i="4"/>
  <c r="BU107" i="4"/>
  <c r="BV72" i="4"/>
  <c r="BY72" i="4" s="1"/>
  <c r="BU28" i="4"/>
  <c r="BU20" i="4"/>
  <c r="BU75" i="4"/>
  <c r="BT30" i="4"/>
  <c r="BU30" i="4"/>
  <c r="BS39" i="4"/>
  <c r="BT39" i="4"/>
  <c r="BU39" i="4"/>
  <c r="BS107" i="4"/>
  <c r="BU95" i="4"/>
  <c r="BT81" i="4"/>
  <c r="BU81" i="4"/>
  <c r="BU74" i="4"/>
  <c r="BV63" i="4"/>
  <c r="BY63" i="4" s="1"/>
  <c r="BU53" i="4"/>
  <c r="BT42" i="4"/>
  <c r="BT25" i="4"/>
  <c r="BU25" i="4"/>
  <c r="BU12" i="4"/>
  <c r="BT74" i="4"/>
  <c r="BV73" i="4"/>
  <c r="BY73" i="4" s="1"/>
  <c r="BT55" i="4"/>
  <c r="BU55" i="4"/>
  <c r="BT50" i="4"/>
  <c r="BU50" i="4"/>
  <c r="BS42" i="4"/>
  <c r="BS35" i="4"/>
  <c r="BT35" i="4"/>
  <c r="BU35" i="4"/>
  <c r="BS21" i="4"/>
  <c r="BT21" i="4"/>
  <c r="BU21" i="4"/>
  <c r="BU67" i="4"/>
  <c r="BT13" i="4"/>
  <c r="CR237" i="1" l="1"/>
  <c r="CR230" i="1"/>
  <c r="CR247" i="1"/>
  <c r="CR246" i="1"/>
  <c r="CQ245" i="1"/>
  <c r="CO245" i="1" s="1"/>
  <c r="CP245" i="1" s="1"/>
  <c r="CR236" i="1"/>
  <c r="CR244" i="1"/>
  <c r="CR233" i="1"/>
  <c r="CQ235" i="1"/>
  <c r="CO235" i="1" s="1"/>
  <c r="CP235" i="1" s="1"/>
  <c r="CR231" i="1"/>
  <c r="CR70" i="1"/>
  <c r="CR241" i="1"/>
  <c r="CR243" i="1"/>
  <c r="A244" i="1"/>
  <c r="A245" i="1" s="1"/>
  <c r="A246" i="1" s="1"/>
  <c r="A247" i="1" s="1"/>
  <c r="A250" i="1" s="1"/>
  <c r="A251" i="1" s="1"/>
  <c r="A252" i="1" s="1"/>
  <c r="A253" i="1" s="1"/>
  <c r="A254" i="1" s="1"/>
  <c r="A255" i="1" s="1"/>
  <c r="A256" i="1" s="1"/>
  <c r="A257" i="1" s="1"/>
  <c r="A258" i="1" s="1"/>
  <c r="A259" i="1" s="1"/>
  <c r="A260" i="1" s="1"/>
  <c r="A261" i="1" s="1"/>
  <c r="A262" i="1" s="1"/>
  <c r="A263" i="1" s="1"/>
  <c r="A264" i="1" s="1"/>
  <c r="A265" i="1" s="1"/>
  <c r="CN159" i="1"/>
  <c r="BV44" i="4"/>
  <c r="BY44" i="4" s="1"/>
  <c r="BW44" i="4" s="1"/>
  <c r="BX44" i="4" s="1"/>
  <c r="BV59" i="4"/>
  <c r="BY59" i="4" s="1"/>
  <c r="BW59" i="4" s="1"/>
  <c r="BX59" i="4" s="1"/>
  <c r="BY54" i="4"/>
  <c r="BW54" i="4" s="1"/>
  <c r="BX54" i="4" s="1"/>
  <c r="BV89" i="4"/>
  <c r="BY89" i="4" s="1"/>
  <c r="BV83" i="4"/>
  <c r="BY83" i="4" s="1"/>
  <c r="BW83" i="4" s="1"/>
  <c r="BX83" i="4" s="1"/>
  <c r="BV57" i="4"/>
  <c r="BY57" i="4" s="1"/>
  <c r="BW57" i="4" s="1"/>
  <c r="BX57" i="4" s="1"/>
  <c r="BV10" i="4"/>
  <c r="BY10" i="4" s="1"/>
  <c r="BV34" i="4"/>
  <c r="BY34" i="4" s="1"/>
  <c r="BW14" i="4"/>
  <c r="BX14" i="4" s="1"/>
  <c r="BW78" i="4"/>
  <c r="BX78" i="4" s="1"/>
  <c r="BV35" i="4"/>
  <c r="BY35" i="4" s="1"/>
  <c r="BV24" i="4"/>
  <c r="BY24" i="4" s="1"/>
  <c r="BW24" i="4" s="1"/>
  <c r="BX24" i="4" s="1"/>
  <c r="BV9" i="4"/>
  <c r="BY9" i="4" s="1"/>
  <c r="BV37" i="4"/>
  <c r="BY37" i="4" s="1"/>
  <c r="BW37" i="4" s="1"/>
  <c r="BX37" i="4" s="1"/>
  <c r="BV58" i="4"/>
  <c r="BY58" i="4" s="1"/>
  <c r="BV30" i="4"/>
  <c r="BY30" i="4" s="1"/>
  <c r="BW30" i="4" s="1"/>
  <c r="BX30" i="4" s="1"/>
  <c r="BW47" i="4"/>
  <c r="BX47" i="4" s="1"/>
  <c r="BV99" i="4"/>
  <c r="BY99" i="4" s="1"/>
  <c r="BV45" i="4"/>
  <c r="BY45" i="4" s="1"/>
  <c r="BW45" i="4" s="1"/>
  <c r="BX45" i="4" s="1"/>
  <c r="BW61" i="4"/>
  <c r="BX61" i="4" s="1"/>
  <c r="BV38" i="4"/>
  <c r="BY38" i="4" s="1"/>
  <c r="BW38" i="4" s="1"/>
  <c r="BX38" i="4" s="1"/>
  <c r="BV43" i="4"/>
  <c r="BY43" i="4" s="1"/>
  <c r="BV20" i="4"/>
  <c r="BY20" i="4" s="1"/>
  <c r="BW20" i="4" s="1"/>
  <c r="BX20" i="4" s="1"/>
  <c r="BV91" i="4"/>
  <c r="BY91" i="4" s="1"/>
  <c r="BW91" i="4" s="1"/>
  <c r="BX91" i="4" s="1"/>
  <c r="BW18" i="4"/>
  <c r="BX18" i="4" s="1"/>
  <c r="BW46" i="4"/>
  <c r="BX46" i="4" s="1"/>
  <c r="BV64" i="4"/>
  <c r="BY64" i="4" s="1"/>
  <c r="BV53" i="4"/>
  <c r="BY53" i="4" s="1"/>
  <c r="BW53" i="4" s="1"/>
  <c r="BX53" i="4" s="1"/>
  <c r="BW94" i="4"/>
  <c r="BX94" i="4" s="1"/>
  <c r="BW15" i="4"/>
  <c r="BX15" i="4" s="1"/>
  <c r="BV56" i="4"/>
  <c r="BY56" i="4" s="1"/>
  <c r="BW56" i="4" s="1"/>
  <c r="BX56" i="4" s="1"/>
  <c r="BV22" i="4"/>
  <c r="BY22" i="4" s="1"/>
  <c r="BW22" i="4" s="1"/>
  <c r="BX22" i="4" s="1"/>
  <c r="BV28" i="4"/>
  <c r="BY28" i="4" s="1"/>
  <c r="BW28" i="4" s="1"/>
  <c r="BX28" i="4" s="1"/>
  <c r="BV50" i="4"/>
  <c r="BY50" i="4" s="1"/>
  <c r="BV69" i="4"/>
  <c r="BY69" i="4" s="1"/>
  <c r="BV85" i="4"/>
  <c r="BY85" i="4" s="1"/>
  <c r="BV19" i="4"/>
  <c r="BY19" i="4" s="1"/>
  <c r="BW19" i="4" s="1"/>
  <c r="BX19" i="4" s="1"/>
  <c r="BV17" i="4"/>
  <c r="BY17" i="4" s="1"/>
  <c r="BV100" i="4"/>
  <c r="BY100" i="4" s="1"/>
  <c r="BV80" i="4"/>
  <c r="BY80" i="4" s="1"/>
  <c r="BW71" i="4"/>
  <c r="BX71" i="4" s="1"/>
  <c r="BV36" i="4"/>
  <c r="BY36" i="4" s="1"/>
  <c r="BV92" i="4"/>
  <c r="BY92" i="4" s="1"/>
  <c r="BV107" i="4"/>
  <c r="BY107" i="4" s="1"/>
  <c r="BV105" i="4"/>
  <c r="BY105" i="4" s="1"/>
  <c r="BV23" i="4"/>
  <c r="BY23" i="4" s="1"/>
  <c r="BW23" i="4" s="1"/>
  <c r="BX23" i="4" s="1"/>
  <c r="BV41" i="4"/>
  <c r="BY41" i="4" s="1"/>
  <c r="BW41" i="4" s="1"/>
  <c r="BX41" i="4" s="1"/>
  <c r="BV98" i="4"/>
  <c r="BY98" i="4" s="1"/>
  <c r="BW98" i="4" s="1"/>
  <c r="BX98" i="4" s="1"/>
  <c r="BV76" i="4"/>
  <c r="BY76" i="4" s="1"/>
  <c r="BW68" i="4"/>
  <c r="BX68" i="4" s="1"/>
  <c r="BV32" i="4"/>
  <c r="BY32" i="4" s="1"/>
  <c r="BV40" i="4"/>
  <c r="BY40" i="4" s="1"/>
  <c r="BW87" i="4"/>
  <c r="BX87" i="4" s="1"/>
  <c r="BW66" i="4"/>
  <c r="BX66" i="4" s="1"/>
  <c r="BW62" i="4"/>
  <c r="BX62" i="4" s="1"/>
  <c r="BW108" i="4"/>
  <c r="BX108" i="4" s="1"/>
  <c r="BV13" i="4"/>
  <c r="BY13" i="4" s="1"/>
  <c r="BV55" i="4"/>
  <c r="BY55" i="4" s="1"/>
  <c r="BW55" i="4" s="1"/>
  <c r="BX55" i="4" s="1"/>
  <c r="BV96" i="4"/>
  <c r="BY96" i="4" s="1"/>
  <c r="BW96" i="4" s="1"/>
  <c r="BX96" i="4" s="1"/>
  <c r="BV67" i="4"/>
  <c r="BY67" i="4" s="1"/>
  <c r="BV95" i="4"/>
  <c r="BY95" i="4" s="1"/>
  <c r="BW95" i="4" s="1"/>
  <c r="BX95" i="4" s="1"/>
  <c r="BW8" i="4"/>
  <c r="BX8" i="4" s="1"/>
  <c r="BV25" i="4"/>
  <c r="BY25" i="4" s="1"/>
  <c r="BV33" i="4"/>
  <c r="BY33" i="4" s="1"/>
  <c r="CR138" i="1"/>
  <c r="BW73" i="4"/>
  <c r="BX73" i="4" s="1"/>
  <c r="BV74" i="4"/>
  <c r="BY74" i="4" s="1"/>
  <c r="BV12" i="4"/>
  <c r="BY12" i="4" s="1"/>
  <c r="BV81" i="4"/>
  <c r="BY81" i="4" s="1"/>
  <c r="BW93" i="4"/>
  <c r="BX93" i="4" s="1"/>
  <c r="BV51" i="4"/>
  <c r="BV106" i="4"/>
  <c r="BY106" i="4" s="1"/>
  <c r="BW63" i="4"/>
  <c r="BX63" i="4" s="1"/>
  <c r="BW89" i="4"/>
  <c r="BX89" i="4" s="1"/>
  <c r="BW77" i="4"/>
  <c r="BX77" i="4" s="1"/>
  <c r="BW11" i="4"/>
  <c r="BX11" i="4" s="1"/>
  <c r="BV21" i="4"/>
  <c r="BY21" i="4" s="1"/>
  <c r="BV101" i="4"/>
  <c r="BY101" i="4" s="1"/>
  <c r="BV82" i="4"/>
  <c r="BY82" i="4" s="1"/>
  <c r="BV39" i="4"/>
  <c r="BY39" i="4" s="1"/>
  <c r="BV75" i="4"/>
  <c r="BY75" i="4" s="1"/>
  <c r="BW72" i="4"/>
  <c r="BX72" i="4" s="1"/>
  <c r="BV42" i="4"/>
  <c r="BY42" i="4" s="1"/>
  <c r="BV70" i="4"/>
  <c r="BY70" i="4" s="1"/>
  <c r="BV31" i="4"/>
  <c r="BY31" i="4" s="1"/>
  <c r="CR245" i="1" l="1"/>
  <c r="CR235" i="1"/>
  <c r="CQ159" i="1"/>
  <c r="CO159" i="1" s="1"/>
  <c r="CP159" i="1" s="1"/>
  <c r="BW10" i="4"/>
  <c r="BX10" i="4" s="1"/>
  <c r="BW34" i="4"/>
  <c r="BX34" i="4" s="1"/>
  <c r="BW35" i="4"/>
  <c r="BX35" i="4" s="1"/>
  <c r="BW50" i="4"/>
  <c r="BX50" i="4" s="1"/>
  <c r="BW9" i="4"/>
  <c r="BX9" i="4" s="1"/>
  <c r="BW99" i="4"/>
  <c r="BX99" i="4" s="1"/>
  <c r="BW58" i="4"/>
  <c r="BX58" i="4" s="1"/>
  <c r="BW85" i="4"/>
  <c r="BX85" i="4" s="1"/>
  <c r="BW43" i="4"/>
  <c r="BX43" i="4" s="1"/>
  <c r="BW107" i="4"/>
  <c r="BX107" i="4" s="1"/>
  <c r="BW64" i="4"/>
  <c r="BX64" i="4" s="1"/>
  <c r="BW13" i="4"/>
  <c r="BX13" i="4" s="1"/>
  <c r="BW67" i="4"/>
  <c r="BX67" i="4" s="1"/>
  <c r="BW17" i="4"/>
  <c r="BX17" i="4" s="1"/>
  <c r="BW92" i="4"/>
  <c r="BX92" i="4" s="1"/>
  <c r="BW76" i="4"/>
  <c r="BX76" i="4" s="1"/>
  <c r="BW100" i="4"/>
  <c r="BX100" i="4" s="1"/>
  <c r="BW36" i="4"/>
  <c r="BX36" i="4" s="1"/>
  <c r="BW40" i="4"/>
  <c r="BX40" i="4" s="1"/>
  <c r="BW32" i="4"/>
  <c r="BX32" i="4" s="1"/>
  <c r="BY109" i="4"/>
  <c r="BW25" i="4"/>
  <c r="BX25" i="4" s="1"/>
  <c r="BW33" i="4"/>
  <c r="BX33" i="4" s="1"/>
  <c r="BW39" i="4"/>
  <c r="BX39" i="4" s="1"/>
  <c r="BW21" i="4"/>
  <c r="BX21" i="4" s="1"/>
  <c r="BW70" i="4"/>
  <c r="BX70" i="4" s="1"/>
  <c r="BW12" i="4"/>
  <c r="BW31" i="4"/>
  <c r="BX31" i="4" s="1"/>
  <c r="BW42" i="4"/>
  <c r="BX42" i="4" s="1"/>
  <c r="BW101" i="4"/>
  <c r="BX101" i="4" s="1"/>
  <c r="BW74" i="4"/>
  <c r="BX74" i="4" s="1"/>
  <c r="BW69" i="4"/>
  <c r="BX69" i="4" s="1"/>
  <c r="BW105" i="4"/>
  <c r="BX105" i="4" s="1"/>
  <c r="BW80" i="4"/>
  <c r="BX80" i="4" s="1"/>
  <c r="BW75" i="4"/>
  <c r="BX75" i="4" s="1"/>
  <c r="BW82" i="4"/>
  <c r="BX82" i="4" s="1"/>
  <c r="BW106" i="4"/>
  <c r="BX106" i="4" s="1"/>
  <c r="BW81" i="4"/>
  <c r="BX81" i="4" s="1"/>
  <c r="CR159" i="1" l="1"/>
  <c r="BX12" i="4"/>
  <c r="CM252" i="1" l="1"/>
  <c r="CL252" i="1"/>
  <c r="CR151" i="1"/>
  <c r="CL119" i="1"/>
  <c r="CM119" i="1"/>
  <c r="CL120" i="1"/>
  <c r="CM120" i="1"/>
  <c r="CN252" i="1" l="1"/>
  <c r="CN120" i="1"/>
  <c r="CQ120" i="1" s="1"/>
  <c r="CO120" i="1" s="1"/>
  <c r="CP120" i="1" s="1"/>
  <c r="CN119" i="1"/>
  <c r="CQ119" i="1" l="1"/>
  <c r="CO119" i="1" s="1"/>
  <c r="CP119" i="1" s="1"/>
  <c r="CQ252" i="1"/>
  <c r="CO252" i="1" s="1"/>
  <c r="CP252" i="1" s="1"/>
  <c r="CR120" i="1"/>
  <c r="CR252" i="1" l="1"/>
  <c r="CR119" i="1"/>
  <c r="CL28" i="1"/>
  <c r="CM28" i="1"/>
  <c r="CL265" i="1"/>
  <c r="CM265" i="1"/>
  <c r="CL264" i="1"/>
  <c r="CM264" i="1"/>
  <c r="CL263" i="1"/>
  <c r="CM263" i="1"/>
  <c r="CL261" i="1"/>
  <c r="CM261" i="1"/>
  <c r="CL260" i="1"/>
  <c r="CM260" i="1"/>
  <c r="CL257" i="1"/>
  <c r="CM257" i="1"/>
  <c r="CL258" i="1"/>
  <c r="CM258" i="1"/>
  <c r="CL259" i="1"/>
  <c r="CM259" i="1"/>
  <c r="CL199" i="1"/>
  <c r="CM199" i="1"/>
  <c r="CL201" i="1"/>
  <c r="CM201" i="1"/>
  <c r="CL202" i="1"/>
  <c r="CM202" i="1"/>
  <c r="CL203" i="1"/>
  <c r="CM203" i="1"/>
  <c r="CL204" i="1"/>
  <c r="CM204" i="1"/>
  <c r="CL212" i="1"/>
  <c r="CM212" i="1"/>
  <c r="CL213" i="1"/>
  <c r="CM213" i="1"/>
  <c r="CL214" i="1"/>
  <c r="CM214" i="1"/>
  <c r="CL215" i="1"/>
  <c r="CM215" i="1"/>
  <c r="CL216" i="1"/>
  <c r="CM216" i="1"/>
  <c r="CL217" i="1"/>
  <c r="CM217" i="1"/>
  <c r="CL218" i="1"/>
  <c r="CM218" i="1"/>
  <c r="CL219" i="1"/>
  <c r="CM219" i="1"/>
  <c r="CL220" i="1"/>
  <c r="CM220" i="1"/>
  <c r="CL221" i="1"/>
  <c r="CM221" i="1"/>
  <c r="CL222" i="1"/>
  <c r="CM222" i="1"/>
  <c r="CL223" i="1"/>
  <c r="CM223" i="1"/>
  <c r="CL224" i="1"/>
  <c r="CM224" i="1"/>
  <c r="CL225" i="1"/>
  <c r="CM225" i="1"/>
  <c r="CL226" i="1"/>
  <c r="CM226" i="1"/>
  <c r="CL227" i="1"/>
  <c r="CM227" i="1"/>
  <c r="CL228" i="1"/>
  <c r="CM228" i="1"/>
  <c r="CL251" i="1"/>
  <c r="CM251" i="1"/>
  <c r="CL253" i="1"/>
  <c r="CM253" i="1"/>
  <c r="CL254" i="1"/>
  <c r="CM254" i="1"/>
  <c r="CL255" i="1"/>
  <c r="CM255" i="1"/>
  <c r="CL197" i="1"/>
  <c r="CM197" i="1"/>
  <c r="CL195" i="1"/>
  <c r="CM195" i="1"/>
  <c r="CL196" i="1"/>
  <c r="CM196" i="1"/>
  <c r="CL194" i="1"/>
  <c r="CM194" i="1"/>
  <c r="CL193" i="1"/>
  <c r="CM193" i="1"/>
  <c r="CL192" i="1"/>
  <c r="CM192" i="1"/>
  <c r="CL189" i="1"/>
  <c r="CM189" i="1"/>
  <c r="CL186" i="1"/>
  <c r="CM186" i="1"/>
  <c r="CL185" i="1"/>
  <c r="CM185" i="1"/>
  <c r="CL184" i="1"/>
  <c r="CM184" i="1"/>
  <c r="CL183" i="1"/>
  <c r="CM183" i="1"/>
  <c r="CL182" i="1"/>
  <c r="CM182" i="1"/>
  <c r="CL181" i="1"/>
  <c r="CM181" i="1"/>
  <c r="CL180" i="1"/>
  <c r="CM180" i="1"/>
  <c r="CL179" i="1"/>
  <c r="CM179" i="1"/>
  <c r="CL178" i="1"/>
  <c r="CM178" i="1"/>
  <c r="CL177" i="1"/>
  <c r="CM177" i="1"/>
  <c r="CL176" i="1"/>
  <c r="CM176" i="1"/>
  <c r="CL174" i="1"/>
  <c r="CM174" i="1"/>
  <c r="CL171" i="1"/>
  <c r="CM171" i="1"/>
  <c r="CL172" i="1"/>
  <c r="CM172" i="1"/>
  <c r="CL170" i="1"/>
  <c r="CM170" i="1"/>
  <c r="CL169" i="1"/>
  <c r="CM169" i="1"/>
  <c r="CL168" i="1"/>
  <c r="CM168" i="1"/>
  <c r="CL167" i="1"/>
  <c r="CM167" i="1"/>
  <c r="CL166" i="1"/>
  <c r="CM166" i="1"/>
  <c r="CL165" i="1"/>
  <c r="CM165" i="1"/>
  <c r="CL164" i="1"/>
  <c r="CM164" i="1"/>
  <c r="CL163" i="1"/>
  <c r="CM163" i="1"/>
  <c r="CL162" i="1"/>
  <c r="CM162" i="1"/>
  <c r="CL160" i="1"/>
  <c r="CM160" i="1"/>
  <c r="CL161" i="1"/>
  <c r="CM161" i="1"/>
  <c r="CL157" i="1"/>
  <c r="CM157" i="1"/>
  <c r="CL155" i="1"/>
  <c r="CM155" i="1"/>
  <c r="CL152" i="1"/>
  <c r="CM152" i="1"/>
  <c r="CL153" i="1"/>
  <c r="CM153" i="1"/>
  <c r="CL149" i="1"/>
  <c r="CM149" i="1"/>
  <c r="CL148" i="1"/>
  <c r="CM148" i="1"/>
  <c r="CL147" i="1"/>
  <c r="CM147" i="1"/>
  <c r="CL146" i="1"/>
  <c r="CM146" i="1"/>
  <c r="CL145" i="1"/>
  <c r="CM145" i="1"/>
  <c r="CL142" i="1"/>
  <c r="CM142" i="1"/>
  <c r="CL137" i="1"/>
  <c r="CM137" i="1"/>
  <c r="CL135" i="1"/>
  <c r="CM135" i="1"/>
  <c r="CL134" i="1"/>
  <c r="CM134" i="1"/>
  <c r="CL131" i="1"/>
  <c r="CM131" i="1"/>
  <c r="CL132" i="1"/>
  <c r="CM132" i="1"/>
  <c r="CL133" i="1"/>
  <c r="CM133" i="1"/>
  <c r="CL126" i="1"/>
  <c r="CM126" i="1"/>
  <c r="CL125" i="1"/>
  <c r="CM125" i="1"/>
  <c r="CL123" i="1"/>
  <c r="CM123" i="1"/>
  <c r="CM122" i="1"/>
  <c r="CL122" i="1"/>
  <c r="CL118" i="1"/>
  <c r="CM118" i="1"/>
  <c r="CL117" i="1"/>
  <c r="CM117" i="1"/>
  <c r="CL116" i="1"/>
  <c r="CM116" i="1"/>
  <c r="CL115" i="1"/>
  <c r="CM115" i="1"/>
  <c r="CL114" i="1"/>
  <c r="CM114" i="1"/>
  <c r="CL109" i="1"/>
  <c r="CM109" i="1"/>
  <c r="CL110" i="1"/>
  <c r="CM110" i="1"/>
  <c r="CL111" i="1"/>
  <c r="CM111" i="1"/>
  <c r="CL112" i="1"/>
  <c r="CM112" i="1"/>
  <c r="CL113" i="1"/>
  <c r="CM113" i="1"/>
  <c r="CL108" i="1"/>
  <c r="CM108" i="1"/>
  <c r="CL102" i="1"/>
  <c r="CM102" i="1"/>
  <c r="CL103" i="1"/>
  <c r="CM103" i="1"/>
  <c r="CM100" i="1"/>
  <c r="CL100" i="1"/>
  <c r="CL97" i="1"/>
  <c r="CM97" i="1"/>
  <c r="CL98" i="1"/>
  <c r="CM98" i="1"/>
  <c r="CL99" i="1"/>
  <c r="CM99" i="1"/>
  <c r="CL92" i="1"/>
  <c r="CM92" i="1"/>
  <c r="CL93" i="1"/>
  <c r="CM93" i="1"/>
  <c r="CL94" i="1"/>
  <c r="CM94" i="1"/>
  <c r="CL95" i="1"/>
  <c r="CM95" i="1"/>
  <c r="CL96" i="1"/>
  <c r="CM96" i="1"/>
  <c r="CL85" i="1"/>
  <c r="CM85" i="1"/>
  <c r="CL86" i="1"/>
  <c r="CM86" i="1"/>
  <c r="CL87" i="1"/>
  <c r="CM87" i="1"/>
  <c r="CL88" i="1"/>
  <c r="CM88" i="1"/>
  <c r="CL89" i="1"/>
  <c r="CM89" i="1"/>
  <c r="CL90" i="1"/>
  <c r="CM90" i="1"/>
  <c r="CL91" i="1"/>
  <c r="CM91" i="1"/>
  <c r="CL84" i="1"/>
  <c r="CM84" i="1"/>
  <c r="CL69" i="1"/>
  <c r="CM69" i="1"/>
  <c r="CL71" i="1"/>
  <c r="CM71" i="1"/>
  <c r="CL72" i="1"/>
  <c r="CM72" i="1"/>
  <c r="CL73" i="1"/>
  <c r="CM73" i="1"/>
  <c r="CL74" i="1"/>
  <c r="CM74" i="1"/>
  <c r="CL75" i="1"/>
  <c r="CM75" i="1"/>
  <c r="CL76" i="1"/>
  <c r="CM76" i="1"/>
  <c r="CL77" i="1"/>
  <c r="CM77" i="1"/>
  <c r="CL78" i="1"/>
  <c r="CM78" i="1"/>
  <c r="CL79" i="1"/>
  <c r="CM79" i="1"/>
  <c r="CL80" i="1"/>
  <c r="CM80" i="1"/>
  <c r="CL81" i="1"/>
  <c r="CM81" i="1"/>
  <c r="CL68" i="1"/>
  <c r="CM68" i="1"/>
  <c r="CL67" i="1"/>
  <c r="CM67" i="1"/>
  <c r="CL66" i="1"/>
  <c r="CM66" i="1"/>
  <c r="CL63" i="1"/>
  <c r="CM63" i="1"/>
  <c r="CL64" i="1"/>
  <c r="CM64" i="1"/>
  <c r="CL65" i="1"/>
  <c r="CM65" i="1"/>
  <c r="CL58" i="1"/>
  <c r="CM58" i="1"/>
  <c r="CL59" i="1"/>
  <c r="CM59" i="1"/>
  <c r="CL60" i="1"/>
  <c r="CM60" i="1"/>
  <c r="CL61" i="1"/>
  <c r="CM61" i="1"/>
  <c r="CL62" i="1"/>
  <c r="CM62" i="1"/>
  <c r="CL57" i="1"/>
  <c r="CM57" i="1"/>
  <c r="CL45" i="1"/>
  <c r="CM45" i="1"/>
  <c r="CL46" i="1"/>
  <c r="CM46" i="1"/>
  <c r="CL47" i="1"/>
  <c r="CM47" i="1"/>
  <c r="CL48" i="1"/>
  <c r="CM48" i="1"/>
  <c r="CL49" i="1"/>
  <c r="CM49" i="1"/>
  <c r="CL50" i="1"/>
  <c r="CM50" i="1"/>
  <c r="CL51" i="1"/>
  <c r="CM51" i="1"/>
  <c r="CL52" i="1"/>
  <c r="CM52" i="1"/>
  <c r="CL53" i="1"/>
  <c r="CM53" i="1"/>
  <c r="CL54" i="1"/>
  <c r="CM54" i="1"/>
  <c r="CL55" i="1"/>
  <c r="CM55" i="1"/>
  <c r="CL56" i="1"/>
  <c r="CM56" i="1"/>
  <c r="CL40" i="1"/>
  <c r="CM40" i="1"/>
  <c r="CL41" i="1"/>
  <c r="CM41" i="1"/>
  <c r="CL42" i="1"/>
  <c r="CM42" i="1"/>
  <c r="CL43" i="1"/>
  <c r="CM43" i="1"/>
  <c r="CL44" i="1"/>
  <c r="CM44" i="1"/>
  <c r="CL24" i="1"/>
  <c r="CM24" i="1"/>
  <c r="CL25" i="1"/>
  <c r="CM25" i="1"/>
  <c r="CL26" i="1"/>
  <c r="CM26" i="1"/>
  <c r="CL27" i="1"/>
  <c r="CM27" i="1"/>
  <c r="CL29" i="1"/>
  <c r="CM29" i="1"/>
  <c r="CL30" i="1"/>
  <c r="CM30" i="1"/>
  <c r="CL31" i="1"/>
  <c r="CM31" i="1"/>
  <c r="CL32" i="1"/>
  <c r="CM32" i="1"/>
  <c r="CL33" i="1"/>
  <c r="CM33" i="1"/>
  <c r="CL34" i="1"/>
  <c r="CM34" i="1"/>
  <c r="CL35" i="1"/>
  <c r="CM35" i="1"/>
  <c r="CL36" i="1"/>
  <c r="CM36" i="1"/>
  <c r="CL37" i="1"/>
  <c r="CM37" i="1"/>
  <c r="CL38" i="1"/>
  <c r="CM38" i="1"/>
  <c r="CL39" i="1"/>
  <c r="CM39" i="1"/>
  <c r="CL23" i="1"/>
  <c r="CM23" i="1"/>
  <c r="CL22" i="1"/>
  <c r="CM22" i="1"/>
  <c r="CN28" i="1" l="1"/>
  <c r="CQ28" i="1" s="1"/>
  <c r="CO28" i="1" s="1"/>
  <c r="CP28" i="1" s="1"/>
  <c r="CN27" i="1"/>
  <c r="CQ27" i="1" s="1"/>
  <c r="CO27" i="1" s="1"/>
  <c r="CP27" i="1" s="1"/>
  <c r="CN254" i="1"/>
  <c r="CN92" i="1"/>
  <c r="CQ92" i="1" s="1"/>
  <c r="CO92" i="1" s="1"/>
  <c r="CP92" i="1" s="1"/>
  <c r="CN41" i="1"/>
  <c r="CQ41" i="1" s="1"/>
  <c r="CO41" i="1" s="1"/>
  <c r="CP41" i="1" s="1"/>
  <c r="CN50" i="1"/>
  <c r="CQ50" i="1" s="1"/>
  <c r="CO50" i="1" s="1"/>
  <c r="CP50" i="1" s="1"/>
  <c r="CN78" i="1"/>
  <c r="CQ78" i="1" s="1"/>
  <c r="CO78" i="1" s="1"/>
  <c r="CP78" i="1" s="1"/>
  <c r="CN71" i="1"/>
  <c r="CQ71" i="1" s="1"/>
  <c r="CO71" i="1" s="1"/>
  <c r="CP71" i="1" s="1"/>
  <c r="CN174" i="1"/>
  <c r="CN196" i="1"/>
  <c r="CQ196" i="1" s="1"/>
  <c r="CO196" i="1" s="1"/>
  <c r="CP196" i="1" s="1"/>
  <c r="CN33" i="1"/>
  <c r="CQ33" i="1" s="1"/>
  <c r="CO33" i="1" s="1"/>
  <c r="CP33" i="1" s="1"/>
  <c r="CN54" i="1"/>
  <c r="CQ54" i="1" s="1"/>
  <c r="CO54" i="1" s="1"/>
  <c r="CP54" i="1" s="1"/>
  <c r="CN47" i="1"/>
  <c r="CQ47" i="1" s="1"/>
  <c r="CO47" i="1" s="1"/>
  <c r="CP47" i="1" s="1"/>
  <c r="CN58" i="1"/>
  <c r="CQ58" i="1" s="1"/>
  <c r="CO58" i="1" s="1"/>
  <c r="CP58" i="1" s="1"/>
  <c r="CN95" i="1"/>
  <c r="CQ95" i="1" s="1"/>
  <c r="CO95" i="1" s="1"/>
  <c r="CP95" i="1" s="1"/>
  <c r="CN112" i="1"/>
  <c r="CQ112" i="1" s="1"/>
  <c r="CO112" i="1" s="1"/>
  <c r="CP112" i="1" s="1"/>
  <c r="CN76" i="1"/>
  <c r="CQ76" i="1" s="1"/>
  <c r="CO76" i="1" s="1"/>
  <c r="CP76" i="1" s="1"/>
  <c r="CR144" i="1"/>
  <c r="CN199" i="1"/>
  <c r="CQ199" i="1" s="1"/>
  <c r="CO199" i="1" s="1"/>
  <c r="CP199" i="1" s="1"/>
  <c r="CN220" i="1"/>
  <c r="CQ220" i="1" s="1"/>
  <c r="CO220" i="1" s="1"/>
  <c r="CP220" i="1" s="1"/>
  <c r="CN213" i="1"/>
  <c r="CQ213" i="1" s="1"/>
  <c r="CO213" i="1" s="1"/>
  <c r="CP213" i="1" s="1"/>
  <c r="CR18" i="1"/>
  <c r="CN30" i="1"/>
  <c r="CQ30" i="1" s="1"/>
  <c r="CO30" i="1" s="1"/>
  <c r="CP30" i="1" s="1"/>
  <c r="CN260" i="1"/>
  <c r="CQ260" i="1" s="1"/>
  <c r="CO260" i="1" s="1"/>
  <c r="CP260" i="1" s="1"/>
  <c r="CN89" i="1"/>
  <c r="CQ89" i="1" s="1"/>
  <c r="CO89" i="1" s="1"/>
  <c r="CP89" i="1" s="1"/>
  <c r="CN94" i="1"/>
  <c r="CQ94" i="1" s="1"/>
  <c r="CO94" i="1" s="1"/>
  <c r="CP94" i="1" s="1"/>
  <c r="CN34" i="1"/>
  <c r="CQ34" i="1" s="1"/>
  <c r="CO34" i="1" s="1"/>
  <c r="CP34" i="1" s="1"/>
  <c r="CN25" i="1"/>
  <c r="CQ25" i="1" s="1"/>
  <c r="CO25" i="1" s="1"/>
  <c r="CP25" i="1" s="1"/>
  <c r="CN59" i="1"/>
  <c r="CQ59" i="1" s="1"/>
  <c r="CO59" i="1" s="1"/>
  <c r="CP59" i="1" s="1"/>
  <c r="CN75" i="1"/>
  <c r="CQ75" i="1" s="1"/>
  <c r="CO75" i="1" s="1"/>
  <c r="CP75" i="1" s="1"/>
  <c r="CN261" i="1"/>
  <c r="CQ261" i="1" s="1"/>
  <c r="CO261" i="1" s="1"/>
  <c r="CP261" i="1" s="1"/>
  <c r="CN61" i="1"/>
  <c r="CQ61" i="1" s="1"/>
  <c r="CO61" i="1" s="1"/>
  <c r="CP61" i="1" s="1"/>
  <c r="CN36" i="1"/>
  <c r="CQ36" i="1" s="1"/>
  <c r="CO36" i="1" s="1"/>
  <c r="CP36" i="1" s="1"/>
  <c r="CN26" i="1"/>
  <c r="CQ26" i="1" s="1"/>
  <c r="CO26" i="1" s="1"/>
  <c r="CP26" i="1" s="1"/>
  <c r="CN161" i="1"/>
  <c r="CN163" i="1"/>
  <c r="CQ163" i="1" s="1"/>
  <c r="CO163" i="1" s="1"/>
  <c r="CN217" i="1"/>
  <c r="CQ217" i="1" s="1"/>
  <c r="CO217" i="1" s="1"/>
  <c r="CP217" i="1" s="1"/>
  <c r="CN23" i="1"/>
  <c r="CQ23" i="1" s="1"/>
  <c r="CO23" i="1" s="1"/>
  <c r="CP23" i="1" s="1"/>
  <c r="CN46" i="1"/>
  <c r="CQ46" i="1" s="1"/>
  <c r="CO46" i="1" s="1"/>
  <c r="CP46" i="1" s="1"/>
  <c r="CN85" i="1"/>
  <c r="CQ85" i="1" s="1"/>
  <c r="CO85" i="1" s="1"/>
  <c r="CN124" i="1"/>
  <c r="CQ124" i="1" s="1"/>
  <c r="CO124" i="1" s="1"/>
  <c r="CN131" i="1"/>
  <c r="CN165" i="1"/>
  <c r="CQ165" i="1" s="1"/>
  <c r="CO165" i="1" s="1"/>
  <c r="CP165" i="1" s="1"/>
  <c r="CN67" i="1"/>
  <c r="CQ67" i="1" s="1"/>
  <c r="CO67" i="1" s="1"/>
  <c r="CP67" i="1" s="1"/>
  <c r="CN69" i="1"/>
  <c r="CQ69" i="1" s="1"/>
  <c r="CO69" i="1" s="1"/>
  <c r="CP69" i="1" s="1"/>
  <c r="CN35" i="1"/>
  <c r="CQ35" i="1" s="1"/>
  <c r="CO35" i="1" s="1"/>
  <c r="CP35" i="1" s="1"/>
  <c r="CN51" i="1"/>
  <c r="CQ51" i="1" s="1"/>
  <c r="CO51" i="1" s="1"/>
  <c r="CP51" i="1" s="1"/>
  <c r="CN79" i="1"/>
  <c r="CQ79" i="1" s="1"/>
  <c r="CO79" i="1" s="1"/>
  <c r="CP79" i="1" s="1"/>
  <c r="CN86" i="1"/>
  <c r="CQ86" i="1" s="1"/>
  <c r="CO86" i="1" s="1"/>
  <c r="CP86" i="1" s="1"/>
  <c r="CN98" i="1"/>
  <c r="CN103" i="1"/>
  <c r="CQ103" i="1" s="1"/>
  <c r="CO103" i="1" s="1"/>
  <c r="CP103" i="1" s="1"/>
  <c r="CR190" i="1"/>
  <c r="CN60" i="1"/>
  <c r="CQ60" i="1" s="1"/>
  <c r="CO60" i="1" s="1"/>
  <c r="CP60" i="1" s="1"/>
  <c r="CN84" i="1"/>
  <c r="CQ84" i="1" s="1"/>
  <c r="CO84" i="1" s="1"/>
  <c r="CP84" i="1" s="1"/>
  <c r="CN87" i="1"/>
  <c r="CQ87" i="1" s="1"/>
  <c r="CO87" i="1" s="1"/>
  <c r="CP87" i="1" s="1"/>
  <c r="CN132" i="1"/>
  <c r="CN172" i="1"/>
  <c r="CQ172" i="1" s="1"/>
  <c r="CO172" i="1" s="1"/>
  <c r="CP172" i="1" s="1"/>
  <c r="CN179" i="1"/>
  <c r="CQ179" i="1" s="1"/>
  <c r="CO179" i="1" s="1"/>
  <c r="CP179" i="1" s="1"/>
  <c r="CN223" i="1"/>
  <c r="CQ223" i="1" s="1"/>
  <c r="CO223" i="1" s="1"/>
  <c r="CP223" i="1" s="1"/>
  <c r="CR207" i="1"/>
  <c r="CN201" i="1"/>
  <c r="CQ201" i="1" s="1"/>
  <c r="CO201" i="1" s="1"/>
  <c r="CP201" i="1" s="1"/>
  <c r="CN97" i="1"/>
  <c r="CQ97" i="1" s="1"/>
  <c r="CO97" i="1" s="1"/>
  <c r="CP97" i="1" s="1"/>
  <c r="CN100" i="1"/>
  <c r="CQ100" i="1" s="1"/>
  <c r="CO100" i="1" s="1"/>
  <c r="CP100" i="1" s="1"/>
  <c r="CR14" i="1"/>
  <c r="CR16" i="1"/>
  <c r="CN43" i="1"/>
  <c r="CQ43" i="1" s="1"/>
  <c r="CO43" i="1" s="1"/>
  <c r="CP43" i="1" s="1"/>
  <c r="CN64" i="1"/>
  <c r="CQ64" i="1" s="1"/>
  <c r="CO64" i="1" s="1"/>
  <c r="CP64" i="1" s="1"/>
  <c r="CN80" i="1"/>
  <c r="CQ80" i="1" s="1"/>
  <c r="CO80" i="1" s="1"/>
  <c r="CP80" i="1" s="1"/>
  <c r="CN73" i="1"/>
  <c r="CQ73" i="1" s="1"/>
  <c r="CO73" i="1" s="1"/>
  <c r="CP73" i="1" s="1"/>
  <c r="CN177" i="1"/>
  <c r="CQ177" i="1" s="1"/>
  <c r="CO177" i="1" s="1"/>
  <c r="CP177" i="1" s="1"/>
  <c r="CN184" i="1"/>
  <c r="CQ184" i="1" s="1"/>
  <c r="CO184" i="1" s="1"/>
  <c r="CP184" i="1" s="1"/>
  <c r="CN219" i="1"/>
  <c r="CQ219" i="1" s="1"/>
  <c r="CO219" i="1" s="1"/>
  <c r="CP219" i="1" s="1"/>
  <c r="CN258" i="1"/>
  <c r="CQ258" i="1" s="1"/>
  <c r="CO258" i="1" s="1"/>
  <c r="CR136" i="1"/>
  <c r="CN117" i="1"/>
  <c r="CQ117" i="1" s="1"/>
  <c r="CO117" i="1" s="1"/>
  <c r="CN125" i="1"/>
  <c r="CQ125" i="1" s="1"/>
  <c r="CO125" i="1" s="1"/>
  <c r="CP125" i="1" s="1"/>
  <c r="CN152" i="1"/>
  <c r="CQ152" i="1" s="1"/>
  <c r="CO152" i="1" s="1"/>
  <c r="CP152" i="1" s="1"/>
  <c r="CN169" i="1"/>
  <c r="CQ169" i="1" s="1"/>
  <c r="CO169" i="1" s="1"/>
  <c r="CP169" i="1" s="1"/>
  <c r="CN66" i="1"/>
  <c r="CQ66" i="1" s="1"/>
  <c r="CO66" i="1" s="1"/>
  <c r="CP66" i="1" s="1"/>
  <c r="CN53" i="1"/>
  <c r="CQ53" i="1" s="1"/>
  <c r="CO53" i="1" s="1"/>
  <c r="CP53" i="1" s="1"/>
  <c r="CN49" i="1"/>
  <c r="CQ49" i="1" s="1"/>
  <c r="CO49" i="1" s="1"/>
  <c r="CP49" i="1" s="1"/>
  <c r="CN91" i="1"/>
  <c r="CQ91" i="1" s="1"/>
  <c r="CO91" i="1" s="1"/>
  <c r="CP91" i="1" s="1"/>
  <c r="CN102" i="1"/>
  <c r="CQ102" i="1" s="1"/>
  <c r="CO102" i="1" s="1"/>
  <c r="CP102" i="1" s="1"/>
  <c r="CN108" i="1"/>
  <c r="CN164" i="1"/>
  <c r="CQ164" i="1" s="1"/>
  <c r="CO164" i="1" s="1"/>
  <c r="CP164" i="1" s="1"/>
  <c r="CN167" i="1"/>
  <c r="CQ167" i="1" s="1"/>
  <c r="CO167" i="1" s="1"/>
  <c r="CN176" i="1"/>
  <c r="CQ176" i="1" s="1"/>
  <c r="CO176" i="1" s="1"/>
  <c r="CP176" i="1" s="1"/>
  <c r="CN180" i="1"/>
  <c r="CQ180" i="1" s="1"/>
  <c r="CO180" i="1" s="1"/>
  <c r="CP180" i="1" s="1"/>
  <c r="CN183" i="1"/>
  <c r="CQ183" i="1" s="1"/>
  <c r="CO183" i="1" s="1"/>
  <c r="CP183" i="1" s="1"/>
  <c r="CN253" i="1"/>
  <c r="CN264" i="1"/>
  <c r="CQ264" i="1" s="1"/>
  <c r="CO264" i="1" s="1"/>
  <c r="CP264" i="1" s="1"/>
  <c r="CN55" i="1"/>
  <c r="CQ55" i="1" s="1"/>
  <c r="CO55" i="1" s="1"/>
  <c r="CP55" i="1" s="1"/>
  <c r="CN62" i="1"/>
  <c r="CQ62" i="1" s="1"/>
  <c r="CO62" i="1" s="1"/>
  <c r="CP62" i="1" s="1"/>
  <c r="CN111" i="1"/>
  <c r="CQ111" i="1" s="1"/>
  <c r="CO111" i="1" s="1"/>
  <c r="CP111" i="1" s="1"/>
  <c r="CN149" i="1"/>
  <c r="CQ149" i="1" s="1"/>
  <c r="CO149" i="1" s="1"/>
  <c r="CP149" i="1" s="1"/>
  <c r="CN170" i="1"/>
  <c r="CN228" i="1"/>
  <c r="CQ228" i="1" s="1"/>
  <c r="CO228" i="1" s="1"/>
  <c r="CP228" i="1" s="1"/>
  <c r="CN257" i="1"/>
  <c r="CQ257" i="1" s="1"/>
  <c r="CO257" i="1" s="1"/>
  <c r="CP257" i="1" s="1"/>
  <c r="CN48" i="1"/>
  <c r="CQ48" i="1" s="1"/>
  <c r="CO48" i="1" s="1"/>
  <c r="CP48" i="1" s="1"/>
  <c r="CN160" i="1"/>
  <c r="CN168" i="1"/>
  <c r="CQ168" i="1" s="1"/>
  <c r="CO168" i="1" s="1"/>
  <c r="CN171" i="1"/>
  <c r="CN181" i="1"/>
  <c r="CQ181" i="1" s="1"/>
  <c r="CO181" i="1" s="1"/>
  <c r="CP181" i="1" s="1"/>
  <c r="CN225" i="1"/>
  <c r="CQ225" i="1" s="1"/>
  <c r="CO225" i="1" s="1"/>
  <c r="CP225" i="1" s="1"/>
  <c r="CR17" i="1"/>
  <c r="CN37" i="1"/>
  <c r="CQ37" i="1" s="1"/>
  <c r="CO37" i="1" s="1"/>
  <c r="CP37" i="1" s="1"/>
  <c r="CN32" i="1"/>
  <c r="CQ32" i="1" s="1"/>
  <c r="CO32" i="1" s="1"/>
  <c r="CP32" i="1" s="1"/>
  <c r="CN45" i="1"/>
  <c r="CQ45" i="1" s="1"/>
  <c r="CO45" i="1" s="1"/>
  <c r="CP45" i="1" s="1"/>
  <c r="CN65" i="1"/>
  <c r="CQ65" i="1" s="1"/>
  <c r="CO65" i="1" s="1"/>
  <c r="CP65" i="1" s="1"/>
  <c r="CN93" i="1"/>
  <c r="CQ93" i="1" s="1"/>
  <c r="CO93" i="1" s="1"/>
  <c r="CP93" i="1" s="1"/>
  <c r="CR130" i="1"/>
  <c r="CN189" i="1"/>
  <c r="CQ189" i="1" s="1"/>
  <c r="CO189" i="1" s="1"/>
  <c r="CP189" i="1" s="1"/>
  <c r="CN251" i="1"/>
  <c r="CN227" i="1"/>
  <c r="CQ227" i="1" s="1"/>
  <c r="CO227" i="1" s="1"/>
  <c r="CN215" i="1"/>
  <c r="CQ215" i="1" s="1"/>
  <c r="CO215" i="1" s="1"/>
  <c r="CP215" i="1" s="1"/>
  <c r="CN259" i="1"/>
  <c r="CQ259" i="1" s="1"/>
  <c r="CO259" i="1" s="1"/>
  <c r="CP259" i="1" s="1"/>
  <c r="CN110" i="1"/>
  <c r="CQ110" i="1" s="1"/>
  <c r="CO110" i="1" s="1"/>
  <c r="CP110" i="1" s="1"/>
  <c r="CN126" i="1"/>
  <c r="CQ126" i="1" s="1"/>
  <c r="CO126" i="1" s="1"/>
  <c r="CN135" i="1"/>
  <c r="CN166" i="1"/>
  <c r="CQ166" i="1" s="1"/>
  <c r="CO166" i="1" s="1"/>
  <c r="CP166" i="1" s="1"/>
  <c r="CN182" i="1"/>
  <c r="CQ182" i="1" s="1"/>
  <c r="CO182" i="1" s="1"/>
  <c r="CP182" i="1" s="1"/>
  <c r="CN186" i="1"/>
  <c r="CQ186" i="1" s="1"/>
  <c r="CO186" i="1" s="1"/>
  <c r="CP186" i="1" s="1"/>
  <c r="CN224" i="1"/>
  <c r="CQ224" i="1" s="1"/>
  <c r="CO224" i="1" s="1"/>
  <c r="CP224" i="1" s="1"/>
  <c r="CN212" i="1"/>
  <c r="CQ212" i="1" s="1"/>
  <c r="CO212" i="1" s="1"/>
  <c r="CP212" i="1" s="1"/>
  <c r="CN22" i="1"/>
  <c r="CQ22" i="1" s="1"/>
  <c r="CN29" i="1"/>
  <c r="CQ29" i="1" s="1"/>
  <c r="CO29" i="1" s="1"/>
  <c r="CP29" i="1" s="1"/>
  <c r="CN42" i="1"/>
  <c r="CQ42" i="1" s="1"/>
  <c r="CO42" i="1" s="1"/>
  <c r="CP42" i="1" s="1"/>
  <c r="CN77" i="1"/>
  <c r="CQ77" i="1" s="1"/>
  <c r="CO77" i="1" s="1"/>
  <c r="CP77" i="1" s="1"/>
  <c r="CN99" i="1"/>
  <c r="CN113" i="1"/>
  <c r="CQ113" i="1" s="1"/>
  <c r="CO113" i="1" s="1"/>
  <c r="CP113" i="1" s="1"/>
  <c r="CN115" i="1"/>
  <c r="CQ115" i="1" s="1"/>
  <c r="CO115" i="1" s="1"/>
  <c r="CN118" i="1"/>
  <c r="CQ118" i="1" s="1"/>
  <c r="CO118" i="1" s="1"/>
  <c r="CP118" i="1" s="1"/>
  <c r="CR129" i="1"/>
  <c r="CN134" i="1"/>
  <c r="CN147" i="1"/>
  <c r="CN155" i="1"/>
  <c r="CQ155" i="1" s="1"/>
  <c r="CO155" i="1" s="1"/>
  <c r="CP155" i="1" s="1"/>
  <c r="CN178" i="1"/>
  <c r="CQ178" i="1" s="1"/>
  <c r="CO178" i="1" s="1"/>
  <c r="CP178" i="1" s="1"/>
  <c r="CN193" i="1"/>
  <c r="CQ193" i="1" s="1"/>
  <c r="CO193" i="1" s="1"/>
  <c r="CN197" i="1"/>
  <c r="CQ197" i="1" s="1"/>
  <c r="CO197" i="1" s="1"/>
  <c r="CP197" i="1" s="1"/>
  <c r="CN214" i="1"/>
  <c r="CQ214" i="1" s="1"/>
  <c r="CO214" i="1" s="1"/>
  <c r="CP214" i="1" s="1"/>
  <c r="CN203" i="1"/>
  <c r="CQ203" i="1" s="1"/>
  <c r="CO203" i="1" s="1"/>
  <c r="CP203" i="1" s="1"/>
  <c r="CN198" i="1"/>
  <c r="CQ198" i="1" s="1"/>
  <c r="CO198" i="1" s="1"/>
  <c r="CP198" i="1" s="1"/>
  <c r="CN38" i="1"/>
  <c r="CQ38" i="1" s="1"/>
  <c r="CO38" i="1" s="1"/>
  <c r="CP38" i="1" s="1"/>
  <c r="CN31" i="1"/>
  <c r="CQ31" i="1" s="1"/>
  <c r="CO31" i="1" s="1"/>
  <c r="CP31" i="1" s="1"/>
  <c r="CN44" i="1"/>
  <c r="CQ44" i="1" s="1"/>
  <c r="CO44" i="1" s="1"/>
  <c r="CP44" i="1" s="1"/>
  <c r="CN56" i="1"/>
  <c r="CQ56" i="1" s="1"/>
  <c r="CO56" i="1" s="1"/>
  <c r="CP56" i="1" s="1"/>
  <c r="CN133" i="1"/>
  <c r="CN153" i="1"/>
  <c r="CQ153" i="1" s="1"/>
  <c r="CO153" i="1" s="1"/>
  <c r="CP153" i="1" s="1"/>
  <c r="CN157" i="1"/>
  <c r="CQ157" i="1" s="1"/>
  <c r="CO157" i="1" s="1"/>
  <c r="CP157" i="1" s="1"/>
  <c r="CN222" i="1"/>
  <c r="CQ222" i="1" s="1"/>
  <c r="CO222" i="1" s="1"/>
  <c r="CP222" i="1" s="1"/>
  <c r="CN63" i="1"/>
  <c r="CQ63" i="1" s="1"/>
  <c r="CO63" i="1" s="1"/>
  <c r="CP63" i="1" s="1"/>
  <c r="CN81" i="1"/>
  <c r="CQ81" i="1" s="1"/>
  <c r="CO81" i="1" s="1"/>
  <c r="CP81" i="1" s="1"/>
  <c r="CN101" i="1"/>
  <c r="CQ101" i="1" s="1"/>
  <c r="CO101" i="1" s="1"/>
  <c r="CP101" i="1" s="1"/>
  <c r="CR107" i="1"/>
  <c r="CN116" i="1"/>
  <c r="CQ116" i="1" s="1"/>
  <c r="CO116" i="1" s="1"/>
  <c r="CP116" i="1" s="1"/>
  <c r="CN123" i="1"/>
  <c r="CQ123" i="1" s="1"/>
  <c r="CO123" i="1" s="1"/>
  <c r="CP123" i="1" s="1"/>
  <c r="CN137" i="1"/>
  <c r="CN142" i="1"/>
  <c r="CN145" i="1"/>
  <c r="CN202" i="1"/>
  <c r="CQ202" i="1" s="1"/>
  <c r="CO202" i="1" s="1"/>
  <c r="CP202" i="1" s="1"/>
  <c r="CN114" i="1"/>
  <c r="CQ114" i="1" s="1"/>
  <c r="CO114" i="1" s="1"/>
  <c r="CP114" i="1" s="1"/>
  <c r="CN148" i="1"/>
  <c r="CN185" i="1"/>
  <c r="CQ185" i="1" s="1"/>
  <c r="CO185" i="1" s="1"/>
  <c r="CP185" i="1" s="1"/>
  <c r="CN192" i="1"/>
  <c r="CQ192" i="1" s="1"/>
  <c r="CO192" i="1" s="1"/>
  <c r="CP192" i="1" s="1"/>
  <c r="CN195" i="1"/>
  <c r="CQ195" i="1" s="1"/>
  <c r="CO195" i="1" s="1"/>
  <c r="CP195" i="1" s="1"/>
  <c r="CN204" i="1"/>
  <c r="CQ204" i="1" s="1"/>
  <c r="CO204" i="1" s="1"/>
  <c r="CP204" i="1" s="1"/>
  <c r="CN265" i="1"/>
  <c r="CQ265" i="1" s="1"/>
  <c r="CO265" i="1" s="1"/>
  <c r="CR19" i="1"/>
  <c r="CN52" i="1"/>
  <c r="CQ52" i="1" s="1"/>
  <c r="CO52" i="1" s="1"/>
  <c r="CP52" i="1" s="1"/>
  <c r="CN57" i="1"/>
  <c r="CQ57" i="1" s="1"/>
  <c r="CO57" i="1" s="1"/>
  <c r="CP57" i="1" s="1"/>
  <c r="CN72" i="1"/>
  <c r="CQ72" i="1" s="1"/>
  <c r="CO72" i="1" s="1"/>
  <c r="CP72" i="1" s="1"/>
  <c r="CN88" i="1"/>
  <c r="CQ88" i="1" s="1"/>
  <c r="CO88" i="1" s="1"/>
  <c r="CP88" i="1" s="1"/>
  <c r="CN146" i="1"/>
  <c r="CQ146" i="1" s="1"/>
  <c r="CO146" i="1" s="1"/>
  <c r="CP146" i="1" s="1"/>
  <c r="CN255" i="1"/>
  <c r="CN226" i="1"/>
  <c r="CQ226" i="1" s="1"/>
  <c r="CO226" i="1" s="1"/>
  <c r="CP226" i="1" s="1"/>
  <c r="CN221" i="1"/>
  <c r="CQ221" i="1" s="1"/>
  <c r="CO221" i="1" s="1"/>
  <c r="CP221" i="1" s="1"/>
  <c r="CN216" i="1"/>
  <c r="CQ216" i="1" s="1"/>
  <c r="CO216" i="1" s="1"/>
  <c r="CP216" i="1" s="1"/>
  <c r="CN39" i="1"/>
  <c r="CQ39" i="1" s="1"/>
  <c r="CO39" i="1" s="1"/>
  <c r="CP39" i="1" s="1"/>
  <c r="CN24" i="1"/>
  <c r="CQ24" i="1" s="1"/>
  <c r="CO24" i="1" s="1"/>
  <c r="CP24" i="1" s="1"/>
  <c r="CN40" i="1"/>
  <c r="CQ40" i="1" s="1"/>
  <c r="CO40" i="1" s="1"/>
  <c r="CP40" i="1" s="1"/>
  <c r="CN68" i="1"/>
  <c r="CQ68" i="1" s="1"/>
  <c r="CO68" i="1" s="1"/>
  <c r="CP68" i="1" s="1"/>
  <c r="CN74" i="1"/>
  <c r="CQ74" i="1" s="1"/>
  <c r="CO74" i="1" s="1"/>
  <c r="CP74" i="1" s="1"/>
  <c r="CN90" i="1"/>
  <c r="CQ90" i="1" s="1"/>
  <c r="CO90" i="1" s="1"/>
  <c r="CP90" i="1" s="1"/>
  <c r="CN96" i="1"/>
  <c r="CQ96" i="1" s="1"/>
  <c r="CO96" i="1" s="1"/>
  <c r="CP96" i="1" s="1"/>
  <c r="CN109" i="1"/>
  <c r="CN122" i="1"/>
  <c r="CQ122" i="1" s="1"/>
  <c r="CO122" i="1" s="1"/>
  <c r="CP122" i="1" s="1"/>
  <c r="CN162" i="1"/>
  <c r="CN218" i="1"/>
  <c r="CQ218" i="1" s="1"/>
  <c r="CO218" i="1" s="1"/>
  <c r="CP218" i="1" s="1"/>
  <c r="CN263" i="1"/>
  <c r="CQ263" i="1" s="1"/>
  <c r="CO263" i="1" s="1"/>
  <c r="CP263" i="1" s="1"/>
  <c r="CN194" i="1"/>
  <c r="CQ194" i="1" s="1"/>
  <c r="CO194" i="1" s="1"/>
  <c r="CP194" i="1" s="1"/>
  <c r="CQ170" i="1" l="1"/>
  <c r="CO170" i="1" s="1"/>
  <c r="CP170" i="1" s="1"/>
  <c r="CQ132" i="1"/>
  <c r="CO132" i="1" s="1"/>
  <c r="CP132" i="1" s="1"/>
  <c r="CQ145" i="1"/>
  <c r="CO145" i="1" s="1"/>
  <c r="CP145" i="1" s="1"/>
  <c r="CQ147" i="1"/>
  <c r="CO147" i="1" s="1"/>
  <c r="CP147" i="1" s="1"/>
  <c r="CQ135" i="1"/>
  <c r="CO135" i="1" s="1"/>
  <c r="CP135" i="1" s="1"/>
  <c r="CQ255" i="1"/>
  <c r="CO255" i="1" s="1"/>
  <c r="CP255" i="1" s="1"/>
  <c r="CQ134" i="1"/>
  <c r="CO134" i="1" s="1"/>
  <c r="CP134" i="1" s="1"/>
  <c r="CQ171" i="1"/>
  <c r="CO171" i="1" s="1"/>
  <c r="CP171" i="1" s="1"/>
  <c r="CO22" i="1"/>
  <c r="CP22" i="1" s="1"/>
  <c r="CQ160" i="1"/>
  <c r="CO160" i="1" s="1"/>
  <c r="CP160" i="1" s="1"/>
  <c r="CQ108" i="1"/>
  <c r="CO108" i="1" s="1"/>
  <c r="CP108" i="1" s="1"/>
  <c r="CQ142" i="1"/>
  <c r="CO142" i="1" s="1"/>
  <c r="CP142" i="1" s="1"/>
  <c r="CQ162" i="1"/>
  <c r="CO162" i="1" s="1"/>
  <c r="CP162" i="1" s="1"/>
  <c r="CQ133" i="1"/>
  <c r="CO133" i="1" s="1"/>
  <c r="CP133" i="1" s="1"/>
  <c r="CQ161" i="1"/>
  <c r="CO161" i="1" s="1"/>
  <c r="CP161" i="1" s="1"/>
  <c r="CQ254" i="1"/>
  <c r="CO254" i="1" s="1"/>
  <c r="CP254" i="1" s="1"/>
  <c r="CQ137" i="1"/>
  <c r="CO137" i="1" s="1"/>
  <c r="CP137" i="1" s="1"/>
  <c r="CQ148" i="1"/>
  <c r="CO148" i="1" s="1"/>
  <c r="CP148" i="1" s="1"/>
  <c r="CQ253" i="1"/>
  <c r="CO253" i="1" s="1"/>
  <c r="CP253" i="1" s="1"/>
  <c r="CQ98" i="1"/>
  <c r="CO98" i="1" s="1"/>
  <c r="CP98" i="1" s="1"/>
  <c r="CQ131" i="1"/>
  <c r="CO131" i="1" s="1"/>
  <c r="CP131" i="1" s="1"/>
  <c r="CQ109" i="1"/>
  <c r="CO109" i="1" s="1"/>
  <c r="CP109" i="1" s="1"/>
  <c r="CQ99" i="1"/>
  <c r="CO99" i="1" s="1"/>
  <c r="CP99" i="1" s="1"/>
  <c r="CQ251" i="1"/>
  <c r="CO251" i="1" s="1"/>
  <c r="CP251" i="1" s="1"/>
  <c r="CQ174" i="1"/>
  <c r="CO174" i="1" s="1"/>
  <c r="CP174" i="1" s="1"/>
  <c r="CR149" i="1"/>
  <c r="CR141" i="1"/>
  <c r="CR191" i="1"/>
  <c r="CR140" i="1"/>
  <c r="CR139" i="1"/>
  <c r="CR101" i="1"/>
  <c r="CR22" i="1"/>
  <c r="CR24" i="1"/>
  <c r="CR23" i="1"/>
  <c r="CR21" i="1"/>
  <c r="CR263" i="1"/>
  <c r="CR32" i="1"/>
  <c r="CR155" i="1"/>
  <c r="CR189" i="1"/>
  <c r="CR212" i="1"/>
  <c r="CR201" i="1"/>
  <c r="CR185" i="1"/>
  <c r="CR164" i="1"/>
  <c r="CR165" i="1"/>
  <c r="CR28" i="1"/>
  <c r="CR68" i="1"/>
  <c r="CR56" i="1"/>
  <c r="CR65" i="1"/>
  <c r="CR64" i="1"/>
  <c r="CR27" i="1"/>
  <c r="CR261" i="1"/>
  <c r="CR262" i="1"/>
  <c r="CR260" i="1"/>
  <c r="CR259" i="1"/>
  <c r="CR258" i="1"/>
  <c r="CR264" i="1"/>
  <c r="CR265" i="1"/>
  <c r="CR257" i="1"/>
  <c r="CR26" i="1"/>
  <c r="CR103" i="1"/>
  <c r="CR25" i="1"/>
  <c r="CR102" i="1"/>
  <c r="CR15" i="1"/>
  <c r="CR20" i="1"/>
  <c r="CR251" i="1" l="1"/>
  <c r="CR98" i="1"/>
  <c r="CR254" i="1"/>
  <c r="CR142" i="1"/>
  <c r="CR171" i="1"/>
  <c r="CR147" i="1"/>
  <c r="CR99" i="1"/>
  <c r="CR253" i="1"/>
  <c r="CR161" i="1"/>
  <c r="CR108" i="1"/>
  <c r="CR134" i="1"/>
  <c r="CR145" i="1"/>
  <c r="CR109" i="1"/>
  <c r="CR148" i="1"/>
  <c r="CR133" i="1"/>
  <c r="CR160" i="1"/>
  <c r="CR255" i="1"/>
  <c r="CR132" i="1"/>
  <c r="CR174" i="1"/>
  <c r="CR131" i="1"/>
  <c r="CR137" i="1"/>
  <c r="CR162" i="1"/>
  <c r="CR135" i="1"/>
  <c r="CR170" i="1"/>
  <c r="AS83" i="1" l="1"/>
  <c r="CK83" i="1" s="1"/>
  <c r="CR11" i="1" l="1"/>
  <c r="CR9" i="1"/>
  <c r="CL83" i="1"/>
  <c r="CM83" i="1"/>
  <c r="CR179" i="1"/>
  <c r="CR218" i="1"/>
  <c r="CR67" i="1"/>
  <c r="CR172" i="1"/>
  <c r="CR226" i="1"/>
  <c r="CR74" i="1"/>
  <c r="CR183" i="1"/>
  <c r="CR197" i="1"/>
  <c r="CR224" i="1"/>
  <c r="CR58" i="1"/>
  <c r="CR166" i="1"/>
  <c r="CR76" i="1"/>
  <c r="CR63" i="1"/>
  <c r="CR86" i="1"/>
  <c r="CR199" i="1"/>
  <c r="CR220" i="1"/>
  <c r="CR100" i="1"/>
  <c r="CR186" i="1"/>
  <c r="CR196" i="1"/>
  <c r="CR176" i="1"/>
  <c r="CR79" i="1"/>
  <c r="CR88" i="1"/>
  <c r="CR177" i="1"/>
  <c r="CR214" i="1"/>
  <c r="CR223" i="1"/>
  <c r="CR198" i="1"/>
  <c r="CR73" i="1"/>
  <c r="CR92" i="1"/>
  <c r="CR30" i="1"/>
  <c r="CR33" i="1"/>
  <c r="CR34" i="1"/>
  <c r="CR35" i="1"/>
  <c r="CR36" i="1"/>
  <c r="CR38" i="1"/>
  <c r="CR40" i="1"/>
  <c r="CR41" i="1"/>
  <c r="CR42" i="1"/>
  <c r="CR43" i="1"/>
  <c r="CR44" i="1"/>
  <c r="CR45" i="1"/>
  <c r="CR46" i="1"/>
  <c r="CR47" i="1"/>
  <c r="CR48" i="1"/>
  <c r="CR50" i="1"/>
  <c r="CR51" i="1"/>
  <c r="CR52" i="1"/>
  <c r="CN83" i="1" l="1"/>
  <c r="CQ83" i="1" s="1"/>
  <c r="CR125" i="1"/>
  <c r="CR111" i="1"/>
  <c r="CR167" i="1"/>
  <c r="CR114" i="1"/>
  <c r="CR194" i="1"/>
  <c r="CR118" i="1"/>
  <c r="CR113" i="1"/>
  <c r="CR163" i="1"/>
  <c r="CR195" i="1"/>
  <c r="CR115" i="1"/>
  <c r="CR153" i="1"/>
  <c r="CR110" i="1"/>
  <c r="CR117" i="1"/>
  <c r="CR75" i="1"/>
  <c r="CR81" i="1"/>
  <c r="CR182" i="1"/>
  <c r="CR152" i="1"/>
  <c r="CR181" i="1"/>
  <c r="CR72" i="1"/>
  <c r="CR184" i="1"/>
  <c r="CR219" i="1"/>
  <c r="CR87" i="1"/>
  <c r="CR169" i="1"/>
  <c r="CR221" i="1"/>
  <c r="CR225" i="1"/>
  <c r="CR78" i="1"/>
  <c r="CR215" i="1"/>
  <c r="CR71" i="1"/>
  <c r="CR178" i="1"/>
  <c r="CR222" i="1"/>
  <c r="CR89" i="1"/>
  <c r="CR217" i="1"/>
  <c r="CR213" i="1"/>
  <c r="CR77" i="1"/>
  <c r="CR112" i="1"/>
  <c r="CR146" i="1"/>
  <c r="CR80" i="1"/>
  <c r="CR216" i="1"/>
  <c r="CR53" i="1"/>
  <c r="CR54" i="1"/>
  <c r="CR180" i="1"/>
  <c r="CR93" i="1"/>
  <c r="CR91" i="1"/>
  <c r="CR97" i="1"/>
  <c r="CR62" i="1"/>
  <c r="CR90" i="1"/>
  <c r="CR96" i="1"/>
  <c r="CR61" i="1"/>
  <c r="CR95" i="1"/>
  <c r="CR94" i="1"/>
  <c r="CR55" i="1"/>
  <c r="CR31" i="1"/>
  <c r="CR29" i="1"/>
  <c r="CO83" i="1" l="1"/>
  <c r="CP83" i="1" s="1"/>
  <c r="CQ267" i="1"/>
  <c r="CO267" i="1" s="1"/>
  <c r="CP267" i="1" s="1"/>
  <c r="CR83" i="1"/>
  <c r="CR126" i="1"/>
  <c r="CR123" i="1"/>
  <c r="CR84" i="1"/>
  <c r="CR69" i="1"/>
  <c r="CR124" i="1"/>
  <c r="CR116" i="1"/>
  <c r="CR157" i="1"/>
  <c r="CR204" i="1"/>
  <c r="CR59" i="1"/>
  <c r="CR85" i="1"/>
  <c r="CR192" i="1"/>
  <c r="CR228" i="1"/>
  <c r="CR203" i="1"/>
  <c r="CR57" i="1"/>
  <c r="CR168" i="1"/>
  <c r="CR143" i="1"/>
  <c r="CR202" i="1"/>
  <c r="CR122" i="1"/>
  <c r="CR66" i="1"/>
  <c r="CR193" i="1"/>
  <c r="CR60" i="1"/>
  <c r="CR227" i="1"/>
  <c r="CR39" i="1"/>
  <c r="CR49" i="1"/>
  <c r="CR37" i="1"/>
  <c r="CR267" i="1" l="1"/>
  <c r="B1" i="1" s="1"/>
</calcChain>
</file>

<file path=xl/sharedStrings.xml><?xml version="1.0" encoding="utf-8"?>
<sst xmlns="http://schemas.openxmlformats.org/spreadsheetml/2006/main" count="2086" uniqueCount="925">
  <si>
    <t>ITEM</t>
  </si>
  <si>
    <t>ELEMENTO Y/O PRODUCTO</t>
  </si>
  <si>
    <t>DESCRIPCIÓN / ESPECIFICACIÓN TÉCNICA</t>
  </si>
  <si>
    <t>UNIDAD DE MEDIDA</t>
  </si>
  <si>
    <t>Unidad</t>
  </si>
  <si>
    <t>Servicio/Dia</t>
  </si>
  <si>
    <t>Caja</t>
  </si>
  <si>
    <t>Unidad/Dia</t>
  </si>
  <si>
    <t>Tarima: Alquiler de Tarima de 7.20 mts X 9.60 mts de 20 cms a 1 mts de altura (por día), incluido techo. Incluye trasnporte montaje y desmontaje. Estructuras en perfecto estado.</t>
  </si>
  <si>
    <t>Sonido: Servicio de alquiler Sonido profesional de 4000 watts para asamblea (desde 71 hasta 250 personas) (incluye 4 cabinas (2 cabinas Configuracion de 2 vias, Amplificador de integrado LF de 3 Canales potencia peak 1200 W + 300 W  y 2 cabinas
1000 watts clase-D (650 W + 350 W, biamplificación)Bocina de 12" con bobina de voz de 2,5"Driver de 1" pulgadas con bobina de voz 1,75"135 dB SPL máximo de pico), 1 o 2 retornos en tarima y 1 consola Digital mínimo de 16 canales, con set básico de micrófonos conforme a los requerimientos del espacio y condiciones particulares del evento, así como, las cajas directas, cableado necesario. Incluye transporte, montaje y desmontaje</t>
  </si>
  <si>
    <t>Pacas de agua: Pack de 24 unidades de agua por 300ml</t>
  </si>
  <si>
    <t>Paquete</t>
  </si>
  <si>
    <t xml:space="preserve">TOTAL </t>
  </si>
  <si>
    <t xml:space="preserve">SECRETARIA DE GOBIERNO 
ALCALDIA LOCAL DE CUIDAD BOLIVAR </t>
  </si>
  <si>
    <t xml:space="preserve">EQUIPO DE TRABAJO TRASVERSAL </t>
  </si>
  <si>
    <t xml:space="preserve">Diplomado </t>
  </si>
  <si>
    <t>Refrigerio tipo 2</t>
  </si>
  <si>
    <t>Un (1) Sándwich de 240 gr, compuesto minimo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</si>
  <si>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Pliego Papel bond para plotter de 1 metro x 70 cm, de gramaje de 75 grs</t>
  </si>
  <si>
    <t>Papel Kraft</t>
  </si>
  <si>
    <t xml:space="preserve">Coordinador(a) general del proyecto </t>
  </si>
  <si>
    <t>Tallerista Tejido Croché</t>
  </si>
  <si>
    <t xml:space="preserve">Tallerista Percusión </t>
  </si>
  <si>
    <t>Tallerista 
Serigrafia</t>
  </si>
  <si>
    <t>Tallerista 
Literario</t>
  </si>
  <si>
    <t>Tallerista 
de Danza</t>
  </si>
  <si>
    <t>Un (1) Sándwich de 240 gr, compuesto mínimo de pan (árabe o artesanal), proteína (carne, pollo, cerdo, pavo, etc) queso (doble crema o mozzarella), lechuga (lisa o rizada), o hamburguesa de 230 gr compuesta mínimo de (pan de hamburguesa), proteína animal de 140 gr, queso (doble crema o mozzarella), lechuga (lisa o rizada), o crepe o grap de 240 gr compuesto mínimo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</si>
  <si>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Paca de agua</t>
  </si>
  <si>
    <t>Servicio/día</t>
  </si>
  <si>
    <t>Biombos plegables</t>
  </si>
  <si>
    <t>Paneles informativos</t>
  </si>
  <si>
    <t>Ganchos</t>
  </si>
  <si>
    <t>Lienzo</t>
  </si>
  <si>
    <t>Pintura epóxica</t>
  </si>
  <si>
    <t>Pintura Epóxica Dos Componentes. – Galón color por definir.</t>
  </si>
  <si>
    <t>Set de Pinceles</t>
  </si>
  <si>
    <t>Brocha</t>
  </si>
  <si>
    <t>Carpa tipo hangar 12 mts X 6 mts</t>
  </si>
  <si>
    <t>Alquiler de Carpa tipo hangar modulares 12 mts X 6 mts (por día) incluye traslados, armado y desarmado.</t>
  </si>
  <si>
    <t>Narrador</t>
  </si>
  <si>
    <t>Asistente territorial</t>
  </si>
  <si>
    <t>Diseñador(a)</t>
  </si>
  <si>
    <t>Realizador(a) audiovisual</t>
  </si>
  <si>
    <t>Cartilla tipo libro</t>
  </si>
  <si>
    <t>Papel bond</t>
  </si>
  <si>
    <t>Maleta. Tamaño 35 x 40 x 40 cm, Ancho 35 cm, Alto 40 cm, Material Nylon, impermeable con cable USB.</t>
  </si>
  <si>
    <t>Grupo artístico</t>
  </si>
  <si>
    <t>Tallerista de Danza Afro-Étnica</t>
  </si>
  <si>
    <t>Tallerista Percusión Afro-Étnico</t>
  </si>
  <si>
    <t>Pacas</t>
  </si>
  <si>
    <t>Reconocimiento como líder de su comunidad del cabildo indígena o del órgano de representatividad e interlocución correspondiente incluye a los indígenas empíricos, los diferentes pueblos étnicos, negros, afrocolombianos, raizales y palenqueros y al pueblo Rrom o Gitano</t>
  </si>
  <si>
    <t>Firmante de Paz de la localidad</t>
  </si>
  <si>
    <t>Global</t>
  </si>
  <si>
    <t>Servicio integral de salida recreativa tipo pasadía, que incluya el uso de un centro recreativo ubicado en municipio de clima cálido del departamento de Cundinamarca, a una distancia mínima de 80 km y máxima de 90 km desde Bogotá. El espacio deberá contar como mínimo con zonas verdes amplias y seguras, dos (2) piscinas habilitadas, restaurante, servicios sanita-rios adecuados, canchas deportivas, juegos tradicionales y enfer-mería o puesto de salud con auxiliar de enfermería. Incluye recrea-ción dirigida durante toda la estadía</t>
  </si>
  <si>
    <t>Servicios/Dia</t>
  </si>
  <si>
    <t>Póliza de
accidentes
personales</t>
  </si>
  <si>
    <t>Póliza de seguro de accidentes personales que ampare a los participantes, monitores y personal de apoyo durante el desarrollo de las actividades. Coberturas mínimas: muerte accidental, invalidez o desmembración, gastos médicos y gastos funerarios, conforme a los montos establecidos en el componente.</t>
  </si>
  <si>
    <t>Combo cine</t>
  </si>
  <si>
    <t>Palomitas de sal y dulce 120 gr en empaque biodegradable, Jugo de 200 mil.</t>
  </si>
  <si>
    <t>Servicio de cafetería (tinto, aromática y agua): Operario + presentación mesa + vasos biodegradable bebida caliente 4 oz. + mezclador + azúcar + crema para café), (bebida fria vaso material biodegradable de 10 onzas). Duración del evento aprox. 5 horas. Transporte incluido.</t>
  </si>
  <si>
    <t xml:space="preserve">Apoyo Logístico </t>
  </si>
  <si>
    <t>Placa</t>
  </si>
  <si>
    <t>Lámina de acero inoxidable o aluminio anodizado montada sobre una base de madera MDF de alta densidad con acabado en laca mate o brillante, 20 cm x 15 cm, Sublimación de alta definición a full color o grabado láser con acabado en negro, Incluye los logos institucionales de la Alcaldía Local de Ciudad Bolívar en la parte superior y el nombre del Consejo Local de Paz de Ciudad Bolívar, el nombre completo del participante en tipografía destacada y una frase personalizada que resalte su aporte a la construcción de paz y memoria en el territorio.</t>
  </si>
  <si>
    <t>Un (1) Sándwich de 240 gr, compuesto mínimo de pan (árabe o artesanal), proteína (carne, pollo, cerdo, pavo, etc) queso (doble crema o mozzarella), lechuga (lisa o rizada), o hamburguesa de 230 gr compuesta mínimo de (pan de hamburguesa), proteína animal de 140 gr, queso (doble crema o mozzarella), lechuga (lisa o rizada), o crepe o grap de 240 gr compuesto mínimo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
Nada de endulzantes, gaseosas.</t>
  </si>
  <si>
    <t>Moderador 
Dinamizador del encuentro</t>
  </si>
  <si>
    <t>Relator</t>
  </si>
  <si>
    <t xml:space="preserve">Almuerzos tipo 1 </t>
  </si>
  <si>
    <t>Camisetas tipo
polo.</t>
  </si>
  <si>
    <t>Cachuchas</t>
  </si>
  <si>
    <t>Cachuchas deportivas: En material nylon,unicolor, que permitenla transpiración, con parte posterior ajustable al contorno de la cabeza, con ojales en la parte superior y logos institucionales bordados. Para los 3 primeros equipos en cada categoría y los 2 equipos ganadores del premio de mejor móvil esferado o de balineras con material recuperado y de mejor diseño.</t>
  </si>
  <si>
    <t>Agrupación teatral y/o artística y/o musical de la localidad de Ciudad Bolívar con enfoque del conflicto armado de mínimo 4 personas con Trayectoria Emergente que se acreditara con 2 presentaciones mediante portafolio de servicios. Grupo musical: 8 interpretaciones Grupo artístico y teatral: 2 presentaciones de mínimo de 15 a 20 minutos Grupo de danza: 3 presentaciones de 3 a 5 minutos.</t>
  </si>
  <si>
    <t>Bus dentro de la localidad 40 personas</t>
  </si>
  <si>
    <t>"Alquiler de bus, recorridos al interior de la ciudad Características técnicas cómodos climatizados, con capacidad mínima para 40 personas sentadas, con vidrios panorámicos, excelentes condiciones técnico-mecánicas, de aseo y estéticas, salida de emergencia, equipo de sonido, botiquín de primeros auxilios, conductor experimentado y calificado, que conduzca a la velocidad permitida y con equipo completo de carretera). (punto salida - punto llegada) recorrido ida y vuelta. Modelo 2018 en adelante. con acceso a las bodegas de almacenamiento del vehículo.
Capacidad máxima de 40 pasajeros 
Equipo exterior: • Cabina espaciosa y cómoda con todos los aditamentos indispensables • Dos (2) espejos retro-visores laterales (articulados, abatibles en caso de impacto) con comandos desde el interior • Parachoques delante-ros • Sistemas de frenado, suspensión e iluminación diurna • Cinturones de seguridad para conductor y pasajeros, protección antivuelco, etc. • Deben estar provistos de ventanillas de emer-gencia, martillos de seguridad y extin-tores."</t>
  </si>
  <si>
    <t>Van o microbús de 19 pasajeros</t>
  </si>
  <si>
    <t>Banderas y Soporte</t>
  </si>
  <si>
    <t>Sillas</t>
  </si>
  <si>
    <t>Alquiler de Silla plástica con apoyabrazos (Día). Incluye transporte</t>
  </si>
  <si>
    <t>Mesa 4 personas</t>
  </si>
  <si>
    <t>Alquiler mesa plástica cuadrada para 4 personas</t>
  </si>
  <si>
    <t>Flor Limpia Pipas</t>
  </si>
  <si>
    <t>Maestro de ceremonia</t>
  </si>
  <si>
    <t>Armonizador/a</t>
  </si>
  <si>
    <t>Maleta negra</t>
  </si>
  <si>
    <t>Sombrillas de color</t>
  </si>
  <si>
    <t xml:space="preserve">Compra de Paraguas mide solo 1.06 mts de largo cuando está abierto y pesa menos de 0.9 libras paraguas plegable. Con un toldo abierto de 1.20 a 1.46 cm de diámetro. Con estampado de logos institucionales.
Protección máxima contra el viento y la lluvia: con 8 a 10 varillas de fibra de vidrio reforzadas y el marco de metal para soportar las condiciones climáticas más duras. Recubierto con teflón superior, con tela impermeable doble que repele el agua eficazmente y se seca rápidamente. Función de apertura y cierre automático con una sola mano. </t>
  </si>
  <si>
    <t>Carpa 2x2</t>
  </si>
  <si>
    <t>Cabuya</t>
  </si>
  <si>
    <t>En material de MDF en formas de pinzas</t>
  </si>
  <si>
    <t>Almuerzos tipo 1</t>
  </si>
  <si>
    <t>Persona de Comunidad</t>
  </si>
  <si>
    <t>Apoyo Administrativo</t>
  </si>
  <si>
    <t xml:space="preserve">Componente 1: Vivencias itinerantes: Raíces de Paz. </t>
  </si>
  <si>
    <t>Marcador permanente Tinta indeleble a base de alcohol de secado rápido, calor y humedad, para escribir sobre cualquier superficie Longitud de cuerpo entre 120 - 155 mm, diámetro 12 - 18 mm negro, verde, azul o rojo, Caja x 10 unds</t>
  </si>
  <si>
    <t>Tinta Plástisol de 6 colores (negro, blanco, amarillo, azul y rojo, magenta) para curado a baja temperatura 8 onzas que sea serigrafia y estampado textil,  
Dimensiones 13.03 por 8.7 por 3.03 pulgadas</t>
  </si>
  <si>
    <t>Refrigerio tipo 1</t>
  </si>
  <si>
    <t>"Un (1) producto de panadería de sal de mínimo 120 gr (pastel de pollo o carne) o sándwich (pan tipo molde, 1 rodaja de jamón (cerdo, pollo, cordero, pavo, etc.), 1 rodaja de queso (doble crema o mozzarella), o empanada de carne o pollo de 80 gr. Una (1) fruta entera de temporada de mínimo 80 g. Una (1) Golosina Una (1) una bebida de refresco o néctar de fruta no alcoholica, no láctea, no energizante envasada en empaques 100% biodegradables en procesos de compostaje, biodegradable en proceso natural o que cuente con contenido de materia prima 100% reciclada de mínimo 200 ml o Bebida caliente de 9 onzas.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</si>
  <si>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Paca</t>
  </si>
  <si>
    <t>Cara de impresión de vinilo blanco brillante, adhesivo peramente, respaldo papel Kraft, tamaño pliego, 70 cm de ancho por 100 cm de largo.</t>
  </si>
  <si>
    <t>Ganchos antideslizantes con revestimiento de goma, tamaño de los ganchos recubiertos de goma negra: miden 3 pulgadas de largo, las dos aberturas laterales son de 1.2 pulgadas, tipo “S” para colgar objetos</t>
  </si>
  <si>
    <t>Lienzo en rollo de algodón de 10 metros por 130 cm de ancho, color blanco</t>
  </si>
  <si>
    <t>6 piezas Con mango de madera Medidas: 24 cm x 8,5 cm x 1,5 cm en empaque.</t>
  </si>
  <si>
    <t>Brocha Gruesa 3” (7.6 cm). Mango plástico y/o madera. Refuerzo metálico.</t>
  </si>
  <si>
    <t>Brocha Gruesa 1-1/2”. Mango plástico y/o madera. Refuerzo metálico.</t>
  </si>
  <si>
    <t>Aerosol profesional: Elementos Aerosoles profesionales: Colores Sólidos (Según diseño de mural). Pintura mate. Baja presión. Alta cubrición y secado rápido.400 ml. Baja presión. Válvula hembra polivalente; Propelente: Butano / Propano / Mezcla; Tipo Ligante Alquídico modificado; Brillo 60º: 15-25% mate; Espesor de capa seca 15 micras/capa; Resistencia del pintado al calor: 100ºC</t>
  </si>
  <si>
    <t>Almuerzo tipo 2</t>
  </si>
  <si>
    <t>"Una (1) Entrada ( Sopa y/o crema y/o consomé y/o fruta)Una (1) proteína de 250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 incluye transporte de entrega."</t>
  </si>
  <si>
    <t>Sonido 50W</t>
  </si>
  <si>
    <t>Servicio/Día</t>
  </si>
  <si>
    <t>Alquiler baño para uso de las personas participantes del evento, un baño para hombre y un baños para mujeres, que cuenten con acceso para personas con discapacidad.
Sanitarios deben ir instalados con bomba recirculatoria, lavamanos interno, tanque de depósito de 80 galones, asiento de inodoro de forma alargada, paredes de alta durabilidad con paneles de alta limpieza, rejillas para ventilación, spring de doble torsión, manija, cierre de puertas de fácil manejo, bases con bajillas plásticas para la eliminación de desechos, cada unidad portátil dotada con. -Dos (2) rollos de papel higiénico por baño x 170 mtrs. -Jabón líquido para manos. Respectivo químico biodegradable. Bolsa de basura.
Los baños debe proporcionarse con instalación y desmontaje, servicio de limpieza cargue de suministros idóneos para su funcionamiento y descargue y disposición de residuos de uso. Incluye transporte.</t>
  </si>
  <si>
    <t xml:space="preserve">SUBTOTAL Componente 1: Vivencias itinerantes: Raíces de Paz. </t>
  </si>
  <si>
    <t>Componente 2: Tejiendo Memoria: Laboratorios de Paz y Narrativas Transmedia desde la Voz de las Mujeres</t>
  </si>
  <si>
    <t>Pedagogo/a</t>
  </si>
  <si>
    <t>Agendas con esfero</t>
  </si>
  <si>
    <t>Papel Kraft, pliegos de 60 grs, 70 cm x 100 cm.</t>
  </si>
  <si>
    <t>Refrigerio tipo 5</t>
  </si>
  <si>
    <t>Jugo natural empacado en botella plastica de 300ml, con ponqué o mantecada de 120gr y golosina.  Deben entregarse empacados individual y herméticamente, garantizando productos frescos, incluye transporte de entrega.</t>
  </si>
  <si>
    <t>"Alquiler de buses, recorridos al interior de la ciudad Características técnicas cómodos climatizados, con capacidad mínima para 40 personas sentadas, con vidrios panorámicos, excelentes condiciones técnico-mecánicas, de aseo y estéticas, salida de emergencia, equipo de sonido, botiquín de primeros auxilios, conductor experimentado y calificado, que conduzca a la velocidad permitida y con equipo completo de carretera). (punto salida - punto llegada) recorrido ida y vuelta. Modelo 2018 en adelante. con acceso a las bodegas de almacenamiento del vehículo.
Capacidad máxima de 40 pasajeros 
Equipo exterior: • Cabina espaciosa y cómoda con todos los aditamentos indispensables • Dos (2) espejos retro-visores laterales (articulados, abatibles en caso de impacto) con comandos desde el interior • Parachoques delante-ros • Sistemas de frenado, suspensión e iluminación diurna • Cinturones de seguridad para conductor y pasajeros, protección antivuelco, etc. • Deben estar provistos de ventanillas de emer-gencia, martillos de seguridad y extin-tores."</t>
  </si>
  <si>
    <t>Una (1) Entrada (Sopa y/o crema y/o consomé y/o fruta)
Una (1) proteína de 150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 incluye transporte de entrega.</t>
  </si>
  <si>
    <t>Salida Recreativa</t>
  </si>
  <si>
    <t>Almuerzo tipo 3</t>
  </si>
  <si>
    <t>Una (1) Entrada ( Sopa, crema, consomé o fruta)
Una (1) proteína de 250 gramos mínimo (Pollo, carne de res, cerdo ó pescado)
Dos (2) Porciones de Carbohidratos entre 80 y 100 gramos (Papa, yuca, o cualquier
otro tubérculo, plátano, cereales y productos derivados (Tortas, arróz, pastas, entre otros)
Una (1) guarnición porción  de 100 gramos (fríjoles, garbanzos, lentejas, arverja)  o porción verdura fría y/o caliente de 100 gramos mínimo.
Una (1) porción de Ensalada de mínimo 70 gr.
Un (1) postre de mínimo 30 gramos (frutas, gelatinas, flanes, bocadillos, dulces, entre otros)
Una (1)  Bebida refresco o nectar de fruta 200 ml o jugo natural en agua servido en vaso de 12 onzas o gaseosa botella plástica de 250 ml (tipo ziplock).
 Incluir 4 opciones de menú (incluida una opción vegetariana)
(puesto por persona que incluye, plato base, plato fuerte, plato sopa, vaso largo o de jugo, copa de agua, tenedor      fuerte, cuchillo fuerte, tenedor o cuchara de entrada, plato postre, cuchara o tenedor para postre, cuchillo de untar, según corresponda)
Incluye transporte, menaje y servicio (servido en plato o mesa según corresponda e impuesto al consumo si aplica).  Deben entregarse empacados herméticamente, garantizando productos frescos y preparación del mismo día, incluye transporte de entrega.</t>
  </si>
  <si>
    <t>SUBTOTAL Componente 2: Tejiendo Memoria: Laboratorios de Paz y Narrativas Transmedia desde la Voz de las Mujeres</t>
  </si>
  <si>
    <t>Componente 3: Semana_Mes por la paz.</t>
  </si>
  <si>
    <t>Apoyo Logístico</t>
  </si>
  <si>
    <t>Relator de la localidad experiencia en capacidades avanzadas en la sistematización de información, análisis crítico de datos y producción de contenidos de alta calidad. Se distingue por una redacción técnica y académica rigurosa, orientada a la construcción de documentos que faciliten la toma de decisiones y el registro de procesos comunitarios.</t>
  </si>
  <si>
    <t>Pantalla Cine Foro</t>
  </si>
  <si>
    <t>Alquiler de Pantalla inflable de proyección de teatro para exteriores con medidas aproximadas de 6 metros de ancho por 5 metros de alto y área de proyección visible de 4 metros por 3 metros. Debe incluir sonido profesional con potencia mínima de 400 W RMS, dos parlantes activos y micrófono inalámbrico o alámbrico. Incluye montaje, desmontaje y transporte.</t>
  </si>
  <si>
    <t>Servicio / Día</t>
  </si>
  <si>
    <t>Bolsa de elementos de papelería</t>
  </si>
  <si>
    <t>Urnas</t>
  </si>
  <si>
    <t>Caja de material de cartón corrugado de alta resistencia medidas de medidas de 15 x 15 x 15 cm, solapa de 11,5 cm, La ranura mide 10 x 0,4 cm, garantizando la estabilidad de la estructura y su carácter 100% reciclable y biodegradable, Diseño auto armable de una sola pieza o con tapa separada, que permite un ensamblaje rápido en campo sin necesidad de adhesivos contaminantes.</t>
  </si>
  <si>
    <t>Una (1) Entrada (Sopa y/o crema y/o consomé y/o fruta)
Una (1) proteína de 150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 incluye transporte de entrega.</t>
  </si>
  <si>
    <t>Camisa tipo polo: En Tela en algodón 100% alta calidad, en colores vivos y logos institucionales, logo del consejo local de paz en sublimación estampada.</t>
  </si>
  <si>
    <t>"• Capacidad máxima de 19 pasajeros, Equipo exterior: Cabina espaciosa y cómoda con todos los equipamientos indispensables Dos (2) espejos retrovisores laterales (articulados, abatibles en caso de impacto) con comandos desde el interior, Parachoques delanteros, Sistemas de frenado, suspensión e iluminación diurna, Cinturones de seguridad para conductor y pasajeros, protección antivuelco, etc. Deben estar provistos de ventanillas de emergencia, martillos de seguridad y extintores, con capacidad de movilidad en Zona Rural.
•Modelo 2020 en adelante. En perfectas condiciones técnico mecánicas y de latonería y pintura. Documentación vigente SOAT, revisión técnico mecánica y estar a paz y salvo con impuestos y multas."</t>
  </si>
  <si>
    <t>Paquetes</t>
  </si>
  <si>
    <t>Bolsa de elementos armonización</t>
  </si>
  <si>
    <t>Bolsa de elementos que se requieran para la llegada y armonización intercultural Enfoque: diferencial. (remitirse a la oferta económica hoja bolsa de elementos de armonización).</t>
  </si>
  <si>
    <t>Tijeras de costura con hojas de acero al carbono y mango ergonómico (mínimo 5 pulgadas)</t>
  </si>
  <si>
    <t>Rollo</t>
  </si>
  <si>
    <t>SUBTOTAL Componente 3: Semana_Mes por la paz.</t>
  </si>
  <si>
    <t>Componente 4: Para fortalecer las víctimas - Diplomado en Fortalecimiento Integral. Propuesta 45043.</t>
  </si>
  <si>
    <t>Memoria USB 16 Gigabytes, interfaz: USB 16gb. O más. Compatible con: Windows 10, Windows 8.1, Windows 8, Windows 7 (SP1), Windows Vista (SP2), Mac OS X v.10.8.x+, Linux v.2.6.x+, Chrome OS, con garantía mínima de 1 año. Marca reconocida en el mercado nacional</t>
  </si>
  <si>
    <t xml:space="preserve"> Caramañola </t>
  </si>
  <si>
    <t>Compra de botella plástica libre de BPA, de 600 ml de capacidad, diferentes colores con estampado de logo institucional (No adhesivo u sti-cker), con boquilla tipo chupa abatible, máximo altura 22 cm</t>
  </si>
  <si>
    <t xml:space="preserve">Rompecabezas de un tamaño de 14 cm por 14 cm, juego de mesa de cartón: 4 tableros de cartón (19,5x19,5) diseñado de lugares emblemáticos de Colombia </t>
  </si>
  <si>
    <t>Mapas de rutas de atención con láminas de pegar: tamaño carta en papel adhesivo, tamaño carta plastificado estas herramientas tendrán el enfoque de paz, memoria y reconciliación</t>
  </si>
  <si>
    <t>SUBTOTAL Componente 4: Para fortalecer las víctimas - Diplomado en Fortalecimiento Integral. Propuesta 45043.</t>
  </si>
  <si>
    <t>Refrigerio autóctono</t>
  </si>
  <si>
    <t xml:space="preserve">Un (1) producto Horneado o pastel de mínimo 120 gr propio de las comunidades o alternativa vegana equivalente.
Fruta como duraznos, manzanas, mandarinas, mangos o de temporada mínimo 80 de gr.
Bebida no alcohólica propia de las comunidades servida y/o empacada en elementos que cumplan con la política distrital con respecto a envases de un sólo uso. Mínimo 200 ml.
Dulce propio de las comunidades o colombina, chocolates o masmelos. Mínimo 12 gramos.  Deben entregarse empacados herméticamente, garantizando productos frescos y preparación del mismo día con cubiertos biodegradables, incluye transporte de entrega. </t>
  </si>
  <si>
    <t>Componente 6: Encuentros de Memoria.</t>
  </si>
  <si>
    <t>Moderador/a
Profesional</t>
  </si>
  <si>
    <t>Representante de Víctimas de la Localidad</t>
  </si>
  <si>
    <t>Caja de cartón reciclado, con tapa, forrada en papel kraft o fique. Medidas aproximadas: 20 cm x 15 cm x 6 cm</t>
  </si>
  <si>
    <t>Etiqueta exterior: Logo de la actividad, nombre del kit, fecha y lugar del encuentro, y una ilustración de una planta brotando.</t>
  </si>
  <si>
    <t>SUBTOTAL Componente 6: Encuentros de Memoria.</t>
  </si>
  <si>
    <t>SUBTOTAL Componente 5: Tejiendo Reconciliación: Saberes, Productividad y Convivencia para las Víctimas del Conflicto-Propuesta 48495.</t>
  </si>
  <si>
    <t xml:space="preserve">Estudio de Mercado </t>
  </si>
  <si>
    <t>ANALISIS COTIZACIONES</t>
  </si>
  <si>
    <t>VALOR UNITARIO TECHO 
(IVA INCLUIDO)</t>
  </si>
  <si>
    <t>VALOR UNITARIO TECHO ANTES DE IVA</t>
  </si>
  <si>
    <t>IVA</t>
  </si>
  <si>
    <t>VALOR TOTAL TECHO 
(IVA INCLUIDO)</t>
  </si>
  <si>
    <t>Observación</t>
  </si>
  <si>
    <t xml:space="preserve">MEDIANA (Unitario) </t>
  </si>
  <si>
    <t>PROMEDIO (Unitario)</t>
  </si>
  <si>
    <t>DESVIACIÓN ESTÁNDAR (Unitario)</t>
  </si>
  <si>
    <t>DISPERCIÓN PRECIOS (Promedio)</t>
  </si>
  <si>
    <t>SE TOMA EL PROMEDIO TENIENDO EN CUENTA LA DISPERSION GENERADA</t>
  </si>
  <si>
    <t>SE TOMA LA MEDIANA TENIENDO EN CUENTA LA DISPERSION GENERADA</t>
  </si>
  <si>
    <t>CAC PUBLICIDAD</t>
  </si>
  <si>
    <t>NIT: 830.135.170-5</t>
  </si>
  <si>
    <t>VALOR UNITARIO
IVA INCLUIDO</t>
  </si>
  <si>
    <t>IDDENTIFY S.A.S</t>
  </si>
  <si>
    <t>NIT: 901.412.899 -0</t>
  </si>
  <si>
    <t>VILLAMIL COMUNICACIÓN VISUAL</t>
  </si>
  <si>
    <t>NIT: 900.688.310-6</t>
  </si>
  <si>
    <t>CANTIDAD</t>
  </si>
  <si>
    <t>P&amp;P Medios Alternativos y Digitales</t>
  </si>
  <si>
    <t>NIT: 900.817.626-1</t>
  </si>
  <si>
    <t>FUNDACION SOCIAL Y CULTURAL GUERREROS DE LA VIDA</t>
  </si>
  <si>
    <t>NIT:90038446-9</t>
  </si>
  <si>
    <t>VALOR UNITARIO
IVA INCLUIDO MAS IPC (5,1%)</t>
  </si>
  <si>
    <t xml:space="preserve">A&amp;C
</t>
  </si>
  <si>
    <t>NIT:901.114.690-0</t>
  </si>
  <si>
    <t xml:space="preserve">FLUVPMATIN
</t>
  </si>
  <si>
    <t>NIT:4235834-2</t>
  </si>
  <si>
    <t>CONSULTORES Y ASESORES TIC S.A.S.</t>
  </si>
  <si>
    <t xml:space="preserve"> NIT: 901.360.556-5</t>
  </si>
  <si>
    <t>FUNDACIÓN JUSTICIA SOCIAL</t>
  </si>
  <si>
    <t xml:space="preserve"> NIT: 830.069.703-8</t>
  </si>
  <si>
    <t xml:space="preserve">Operador Logístico Terranova S.A.S. </t>
  </si>
  <si>
    <t xml:space="preserve"> NIT. 901.115.603-8</t>
  </si>
  <si>
    <t xml:space="preserve">CORPORACIÓN COLOMBIANA DE AGRICULTURA URBANA Y CONSERVACIÓN DEL AMBIENTE CORAMBIENTAL   </t>
  </si>
  <si>
    <t xml:space="preserve">NIT: 830071862-7 </t>
  </si>
  <si>
    <t>COMERCIALIADORA NATOS SAS</t>
  </si>
  <si>
    <t>FUNDACION UN NUEVO FUTURO</t>
  </si>
  <si>
    <t>NIT: 901319783-8</t>
  </si>
  <si>
    <t>NIT: 901004680-5</t>
  </si>
  <si>
    <t>AÑO 2026</t>
  </si>
  <si>
    <t>INSUMOS Y SERVICIOS DALU SAS</t>
  </si>
  <si>
    <t>NIT:901582404-7</t>
  </si>
  <si>
    <t>ESCOLARES VERSALES SAS</t>
  </si>
  <si>
    <t>NIT:800.088.063-4</t>
  </si>
  <si>
    <t>DISTRIBUIDORA NACIONAL GROUP SAS</t>
  </si>
  <si>
    <t>NIT:901708.000-9</t>
  </si>
  <si>
    <t>COMPAÑÍA PAPELERIA NACIONAL SAS</t>
  </si>
  <si>
    <t>NIT:900.009.495-8</t>
  </si>
  <si>
    <t>PANAMERICANA LIBRE Y PAPELERIA SAS</t>
  </si>
  <si>
    <t>NIT:830.037.946-3</t>
  </si>
  <si>
    <t>CACHARRERIA MEDELIN DISTRIBUIDORA</t>
  </si>
  <si>
    <t>COMERCIALIZADORA LA EXITOSA JR SAS</t>
  </si>
  <si>
    <t>NIT;900.259.627-1</t>
  </si>
  <si>
    <t>NIT:860.075.508-1</t>
  </si>
  <si>
    <t>AGC MANUFACTURA TEXTIL HAH</t>
  </si>
  <si>
    <t>NIT:900.438.771-6</t>
  </si>
  <si>
    <t>IDENTIFY HAH</t>
  </si>
  <si>
    <t>NIT:901.412.899-0</t>
  </si>
  <si>
    <t>FUNDACION SOCIAL Y CULTURAL GUERREROS</t>
  </si>
  <si>
    <t>NIT:900.384.46-9</t>
  </si>
  <si>
    <t>PAPELERIA Y SUMINISTRO EL ESCRITORIO SAS</t>
  </si>
  <si>
    <t>NIT:901.247.654-3</t>
  </si>
  <si>
    <t>EVENTOS SANTIAGO FRANCO</t>
  </si>
  <si>
    <t>NIT:900.384.469</t>
  </si>
  <si>
    <t>TELEMARKER BPO LOGISTICA SAS</t>
  </si>
  <si>
    <t>NIT: 901.012.708-6</t>
  </si>
  <si>
    <t xml:space="preserve">PALILI EVENTOS S.A.S. </t>
  </si>
  <si>
    <t>NIT:901.463.924-5</t>
  </si>
  <si>
    <t>HOMECENTER - SODIMAC COLOMBIA S.A. NIT: 800.242.106-2</t>
  </si>
  <si>
    <t>NIT:800.242.106-2</t>
  </si>
  <si>
    <t>TEKNOKORAN S.A.S.</t>
  </si>
  <si>
    <t>NIT:901.677.221-5</t>
  </si>
  <si>
    <t>DEPOSITO Y FERRETERIA ALQUERIA S.A.S.</t>
  </si>
  <si>
    <t>NIT:901.390.728-3</t>
  </si>
  <si>
    <t>TECNIGAS</t>
  </si>
  <si>
    <t>NIT:9007770001</t>
  </si>
  <si>
    <t xml:space="preserve">FERRE ELECTRICOS FABIAN - MARÍA MARCELA ROJAS NIÑO </t>
  </si>
  <si>
    <t>NIT:30.024.825-</t>
  </si>
  <si>
    <t>FERRETERIA ROJO S.A.S.</t>
  </si>
  <si>
    <t>NIT:01.500.135-1</t>
  </si>
  <si>
    <t xml:space="preserve">Consultores en Gestión del Riesgo y Emergencias CONGRE S.A.S. </t>
  </si>
  <si>
    <t>NIT:900.986.412-5</t>
  </si>
  <si>
    <t xml:space="preserve">Seguridad, Riesgo y Prevención SRP Consulting S.A.S. </t>
  </si>
  <si>
    <t>Nit 901.173.604-8</t>
  </si>
  <si>
    <t>Tarima 7X5</t>
  </si>
  <si>
    <t>Alquiler de Tarima de 7 mts X 5 mts de 20 cms a 1 mts de altura (por día), incluido techo. Incluye trasnporte montaje y desmontaje. Estructuras en perfecto estado.</t>
  </si>
  <si>
    <t xml:space="preserve">SONIDO TIPO 1 EVENTOS </t>
  </si>
  <si>
    <t>OPERADOR LOGISTICOS INTEGRAR ORION SAS</t>
  </si>
  <si>
    <t>NIT:900.546.812-8</t>
  </si>
  <si>
    <t>STARTER TECNOLOGY SAS</t>
  </si>
  <si>
    <t>NIT:901148413-3</t>
  </si>
  <si>
    <t>FUNDACION VOLVI A NACER</t>
  </si>
  <si>
    <t>NIT:901791985-0</t>
  </si>
  <si>
    <t xml:space="preserve">ONE SOFT </t>
  </si>
  <si>
    <t>NIT:901566858-1</t>
  </si>
  <si>
    <t>De 70 a 80 páginas, Papel Propalcote de 150 para las internas.Portada y tapa Propalcote de 250 plastificado Media carta, Vertical, Full color 4x4
El contenido   de la cartilla  y su diseño  estará a cargo de la oficina de prensa de la Alcaldía Local de Ciudad Bolívar, y de la oficina de comunicaciones de la secretaria Distrital de Gobierno lo anterior en cumplimiento del Manual de Comunicaciones y Manual de Imagen Institucional. La impresión de la cartilla junto con su contenido estará a cargo del operador.</t>
  </si>
  <si>
    <t xml:space="preserve">ANGENDAS Y PUBLICIDAD </t>
  </si>
  <si>
    <t>NIT:800219123.</t>
  </si>
  <si>
    <t xml:space="preserve">MARKETASH SAS </t>
  </si>
  <si>
    <t>NIT:901320562-9</t>
  </si>
  <si>
    <t xml:space="preserve">CREATIVOS PUBLICIDAD BOGOTA SAS </t>
  </si>
  <si>
    <t>NIT:901251708</t>
  </si>
  <si>
    <t>INVERSIONES SERVICIOS INTEGRALES Y OCASIONALES DE COLOMBIA S.A.S.</t>
  </si>
  <si>
    <t>NIT:900.995.091 - 4</t>
  </si>
  <si>
    <t>ESTACIÓN DE CAFÉ Y/O HIDRATACIÓN  (100 PERSONAS)</t>
  </si>
  <si>
    <t>TARIMA 7.20X9.60</t>
  </si>
  <si>
    <t>De 70 a 80 páginas, Papel Propalcote de 150 para las internas.Portada y tapa Propalcote de 250 plastificado Media carta, Vertical, Full color 4x4
El contenido   de la cartilla  y su diseño  estará a cargo de la oficina de prensa de la Alcaldía Local de Ciudad Bolívar, y de la oficina de comunicaciones de la secretaria Distrital de Gobierno lo anterior en cumplimiento del Manual de Comunicaciones y Manual de Imagen Institucional. La impresión de la cartill</t>
  </si>
  <si>
    <t>VALOR UNITARIO ANTES DE IVA</t>
  </si>
  <si>
    <t>Técnico y/o tecnólogo o a acreditación y aprobación del 50% o más del plan de estudios en el núcleo básico del conocimiento en: administración o contaduría pública o economía o derecho y afines o ingeniería administrativa y afines o ingeniería industrial y afines
Experiencia:Doce (12) meses como apoyo administrativo y/o operativo en la organización de archivo y manejo de sistemas de información "Preferiblemente de la localidad"</t>
  </si>
  <si>
    <t>PAQUETE</t>
  </si>
  <si>
    <t>CAJA</t>
  </si>
  <si>
    <t>UNIDAD</t>
  </si>
  <si>
    <t>Alquiler de Carpa plegable de 2x 2 mts con laterales, contra peso, incluye montaje, transporte y desmontaje  (Por día)</t>
  </si>
  <si>
    <t>Carpa 2X2</t>
  </si>
  <si>
    <t>SERVICIO /EVENTO</t>
  </si>
  <si>
    <t>CAlquiler de Carpa plegable de 2x 2 mts con laterales, contra peso, incluye montaje, transporte y desmontaje  (Por día)</t>
  </si>
  <si>
    <t>Reconocimiento como líder de su comunidad del cabildo indígena o del órgano de representatividad e interlocución correspondiente incluye a los indígenas empíricos, los diferentes pueblos étnicos, negros, afrocolombianos, raizales y palenqueros y al pueblo Rrom o Gitano Preferiblemente de la localidad</t>
  </si>
  <si>
    <t>Locutor o presentador de ceremonias, debe tener experiencia certificada por más de 5 años, además serán los moderadores para entrega de premios y animación del público asistente. Preferiblemente de la localidad</t>
  </si>
  <si>
    <t>SERVICIO/DIA</t>
  </si>
  <si>
    <t>Chaquetas</t>
  </si>
  <si>
    <t>Reconocimiento como líder de su comunidad del cabildo indígena o del órgano de representatividad e interlocución correspondiente incluye a los indígenas empíricos, los diferentes pueblos étnicos, negros, afrocolombianos, raizales y palenqueros y al pueblo Rrom o Gitano, Preferiblemente de la localidad.</t>
  </si>
  <si>
    <t>Diplomado de 120 horas estructurado por módulos para 200 personas, que incluya: inscripción, matrícula, carné estudiantil (si aplica), elementos pedagógicos aprendizaje (cartillas, libros, plataforma, videos, entre otros), seguro de estudiante (si aplica), docentes profesionales e idóneos y certificación. 
El diplomado contemplará un máximo de 20% de trabajo autónomo y abordará los siguientes temas: Ley 1448 del 2011 (Ley de Víctimas), Ley 2421 del 2024, Rutas de atención institucional., Mecanismos de participación ciudadana, Exigibilidad de derechos (derechos de petición y elaboración de tutelas)., Formación en competencias ofimáticas, Manejo de internet y redes sociales, Formulación de proyectos</t>
  </si>
  <si>
    <t>ADMINISTRACION DEL RECURSO "BONOS SODEXO - PAGOS A TERCEROS"</t>
  </si>
  <si>
    <t xml:space="preserve">
CORRESPONDE A LA GESTIÓN, CONTROL Y ENTREGA DE LOS BONOS SODEXO A LOS BENEFICIARIOS, GARANTIZANDO SU ADECUADA DESTINACIÓN, TRAZABILIDAD Y SOPORTE DOCUMENTAL, CONFORME A LAS CONDICIONES ESTABLECIDAS. EL VALOR POR CONCEPTO DE ADMINISTRACIÓN NO PODRÁ SUPERAR EL DIEZ POR CIENTO (10%) DEL VALOR DEL BONO.</t>
  </si>
  <si>
    <t>TEMPO FOODH HAH</t>
  </si>
  <si>
    <t>NIT:901.825.930-4</t>
  </si>
  <si>
    <t>ESTACIÓN DE CAFÉ Y/O HIDRATACIÓN (300 PERSONAS)</t>
  </si>
  <si>
    <t>Servicio de cafetería (tinto, aromática y agua): Operario + presentación mesa + vasos biodegradables bebida caliente  4 oz. + mezclador + azúcar + crema para café), (bebida fria vaso material biodegradable de 10 onzas). Incluye galletas tipo avena o integrales. Duración del evento aprox. 5 horas. Transporte incluido.</t>
  </si>
  <si>
    <t>$ 2,050,000.00</t>
  </si>
  <si>
    <t>Soporte para teléfono celular: con una expansión de ancho máximo de 8,9cm - Banda de rodadura estándar de 1/4" - Ajustable a tripodes o monopods de 1/4".</t>
  </si>
  <si>
    <t>Paqute</t>
  </si>
  <si>
    <t>Falda/pollera para danza (ensayo o presentación), amplia para técnicas de faldeo. Diseño: vuelo 360° (círculo completo) o equivalente. Material: lino o equivalente de gramaje medio. . Ajuste: pretina reforzada con amarre o elástico regulable (o equivalente). Tallas: según requerimiento. Color: unicolor a definir. Entrega: puesto en el sitio de entrega.</t>
  </si>
  <si>
    <t>Sombrero tradicional para hombre, en fibra natural, ala media según requerimiento. Talla: ajustable o surtida. Acabado: tejido uniforme, sin puntas expuestas. Color: natural o a definir. Entrega: puesto en el sitio de entrega.</t>
  </si>
  <si>
    <t>Altura: 170 a 185 cm., Ancho por Panel: 60cm a 80 cm. Paneles más anchos comprometen la estabilidad, Grosor del Perfil: 20 mm a 35 mm para asegurar rigidez sin exceder el peso manejable, de 5 Paneles o más, Aluminio Anodizado (Grado 6063</t>
  </si>
  <si>
    <t>Profesional en el núcleo básico del conocimiento de Sociología, Trabajo Social y Afines, o Psicología o Antropología, Artes liberales o Educación, , con tarjeta profesional vigente según corresponda.
Experiencia Profesional: Mínimo (2) años de experiencia profesional a partir de la terminación de materias y/o la tarjeta profesional (cuando aplique).
Especifica: Mínimo (2) proyectos de experiencia en pedagogía y/o atención con población víctima del conflicto armado o personas en proceso de reincorporados, Preferiblemente de la localidad.</t>
  </si>
  <si>
    <t>Título profesional en programas académicos pertenecientes a alguno de los siguientes Núcleos Básicos de Conocimiento – NBC: Comunicación social, periodismo y afines o publicidad y afines o Diseño o artes plásticas visuales y afines
Profesional: Dos (2) años de experiencia profesional
Especifica: Dos (2) proyectos de experiencia en producción de material comunicativo.</t>
  </si>
  <si>
    <t>Título profesional en programas académicos pertenecientes a alguno de los siguientes Núcleos Básicos de Conocimiento – NBC: Comunicación social, periodismo y afines o publicidad y afines o Diseño o artes plásticas visuales y afines
Profesional: Un (1) años de experiencia profesional
Especifica: Un (1) proyecto de experiencia en producción de material comunicativo.</t>
  </si>
  <si>
    <t>Título profesional en programas académicos pertenecientes a alguno de los siguientes Núcleos Básicos de Conocimiento – NBC: Comunicación social, periodismo y afines o publicidad y afines o Diseño o artes plásticas visuales y afines
Profesional: Un (1) años de experiencia profesional a partir de la terminación de materias y/o la tarjeta profesional (cuando aplique).
Especifica: Un (1) proyecto de experiencia en producción de material comunicativo</t>
  </si>
  <si>
    <t>Profesional
Juzgamiento</t>
  </si>
  <si>
    <t>Fibra vegetal natural extraída de la planta de fique, Trenzado de tres cabos con alta resistencia a la tracción y al nudo, Diámetro de 4 mm a 6 mm, Rollos o madejas por metros lineales, de peso 1.5 kg</t>
  </si>
  <si>
    <t xml:space="preserve">Agujas de Croché (Ganchillos):  </t>
  </si>
  <si>
    <t xml:space="preserve"> 3 ovillos de lana acrílica o algodón de colores vivos, 100 gramos</t>
  </si>
  <si>
    <t>Lanas</t>
  </si>
  <si>
    <t>Hilo macrame</t>
  </si>
  <si>
    <t>Agujas Laneras</t>
  </si>
  <si>
    <t>De punta roma para esconder las hebras finales de material metálico de 7cm.</t>
  </si>
  <si>
    <t xml:space="preserve"> De tinta indeleble a base de alcohol de secado rápido, calor y humedad, para escribir sobre cualquier superficie Longitud de cuerpo entre 120 - 155 mm, diámetro 12 - 18 mm negro, verde, azul o rojo, Caja x 10 unds</t>
  </si>
  <si>
    <t xml:space="preserve">Profesional de apoyo componentes
</t>
  </si>
  <si>
    <t>Pedagogo/a: Profesional en el núcleo básico del conocimiento de Sociología, Trabajo Social y Afines, o Psicología o Antropología, Artes liberales o Educación, con tarjeta profesional vigente según corresponda.
Experiencia Profesional: Mínimo (2) años de experiencia profesional a partir de la terminación de materias y/o la tarjeta profesional (cuando aplique).
Especifica: Mínimo (2) proyectos de experiencia en pedagogía y/o atención con población víctima del conflicto armado o personas en proceso de reincorporados, Preferiblemente de la localidad.</t>
  </si>
  <si>
    <t>Personas / Mes</t>
  </si>
  <si>
    <t>Pendón institucional</t>
  </si>
  <si>
    <t>Pendón publicitario para divulgación de actividades y convocatorias del proyecto. Impresión en lona banner o material resistente de alta durabilidad, tamaño aproximado de 80 × 200 cm o según requerimiento institucional. Debe incluir estructura tipo roll up o araña cuando se requiera. Diseño con identidad visual institucional, logos oficiales, información clara y legible, uso de imágenes de apoyo y tipografía de alto contraste. Impresión full color en alta resolución.</t>
  </si>
  <si>
    <t>Video clip promocional</t>
  </si>
  <si>
    <t xml:space="preserve">Ojos de seguridad para amigurumi </t>
  </si>
  <si>
    <t>Relleno de poliéster</t>
  </si>
  <si>
    <t>Tijeras Pequeñas</t>
  </si>
  <si>
    <t>De punta fina para cortes precisos tamaño 5,2 × 2,7 × 0,8 cm</t>
  </si>
  <si>
    <t>Cinta Métrica</t>
  </si>
  <si>
    <t>Fabricadas con lienzos plastificados de alta calidad, Dimensiones: 1,50 metros de largo X 18 mm de ancho, que no se elongan, no se borran ni se deshilachan fácilmente y son suaves al contacto con la piel.</t>
  </si>
  <si>
    <t>Etiquetas de Tela</t>
  </si>
  <si>
    <t>Surdos</t>
  </si>
  <si>
    <t>Maza Surdo Madera</t>
  </si>
  <si>
    <t xml:space="preserve"> De 33cm. Bola 4,7cm(ancho) x 5cm(alto). Peso: 0,12Kg.</t>
  </si>
  <si>
    <t>Repenique</t>
  </si>
  <si>
    <t>Baqueta Repenique</t>
  </si>
  <si>
    <t>De madera: Largo total: 33cm.</t>
  </si>
  <si>
    <t>Bandolera Bombo</t>
  </si>
  <si>
    <t>Tamborín</t>
  </si>
  <si>
    <t>Baqueta Tamborim</t>
  </si>
  <si>
    <t>De plastico: largo total: 38cm. Peso: 0,05Kg. Diámetro stick: 5mm.</t>
  </si>
  <si>
    <t>Baquetas con tres sticks para tamborim</t>
  </si>
  <si>
    <t>De 3 sticks de plástico simulación a la silicona, de  38 cm.</t>
  </si>
  <si>
    <t>Ganza</t>
  </si>
  <si>
    <t>Marcos (Bastidores)</t>
  </si>
  <si>
    <t>De madera de pino de 40x50 cm, con malla de poliéster de 43 a 77 hilos</t>
  </si>
  <si>
    <t>De madera de pino de 30x40 cm, con malla de poliéster de 43 a 77 hilos</t>
  </si>
  <si>
    <t>Tinta Plástisol</t>
  </si>
  <si>
    <t>Bloqueador de Malla</t>
  </si>
  <si>
    <t>cinta canela/mascarilla para tapar los bordes del marco y evitar filtraciones de tinta, Ancho: 25 cm, Alto 25 cm, Largo 5 cm.</t>
  </si>
  <si>
    <t>Disolvente Varsol 1 Galón</t>
  </si>
  <si>
    <t>Varsol</t>
  </si>
  <si>
    <t>Termo fijadoras</t>
  </si>
  <si>
    <t>Pistola termoselladora</t>
  </si>
  <si>
    <t>Tintas (Base Agua)</t>
  </si>
  <si>
    <t>Colores primarios (Cian, Magenta, Amarillo), Blanco y Negro para mezclas, Tinta Acramina Textil base Acondicionadores (Retardante para evitar que la tinta se seque en la malla durante la sesión). Peso 1,01 kg Dimensiones 5 × 5 × 10 cm</t>
  </si>
  <si>
    <t>Aerosoles profesionales</t>
  </si>
  <si>
    <t>Espátula de plástico para la mezcla y limpieza de tintas de serigrafía. De largo 20 cm, ancho 10 y grosor 2.3 cm</t>
  </si>
  <si>
    <t>Engrudo Artesanal</t>
  </si>
  <si>
    <t>Rodillo</t>
  </si>
  <si>
    <t>Cubeta de plástico</t>
  </si>
  <si>
    <t>De 10 litros, Peso 0.1 kg Dimensiones 25 × 25 × 30 cm</t>
  </si>
  <si>
    <t xml:space="preserve"> “Agendas Material amigable con el medio ambiente, tamaño de cuaderno (21,5 x 14 cm), 80 hojas internas en bond 75 gms, impresas a una tinta (1x2), con logos del proyecto e institucionales ALCB, tapa dura, full color, plastificada, anillo doble O, hojas cuadriculadas para ser utilizadas por cada participante. Esfero En plástico reciclado, 14.5 cm, Tinta negra, Diseño a full color.”</t>
  </si>
  <si>
    <t>Papel carta</t>
  </si>
  <si>
    <t>Papel bond 75g carta con la NTC 4436:1998 y la NTC 5397. Resmas de 500 hojas, caja x 10 resmas</t>
  </si>
  <si>
    <t>Tijeras punta roma escolar, aproximadas 13 cm.</t>
  </si>
  <si>
    <t>Camisetas t-shirt:</t>
  </si>
  <si>
    <t>Camisetas tipo T-SHIRT, cuello redondo, diferentes tallas en diferentes colores, en algodón 100%, con terminados fileteados.</t>
  </si>
  <si>
    <t>Pegamento en barra</t>
  </si>
  <si>
    <t>VALORES TOMADOS DE LA COTIZACION ENVIADA PORSECTOR AUDIOVISUAL MESA LOCAL DE COMUNICACIONES DE CIUDAD BOLÍVAR</t>
  </si>
  <si>
    <t>Servicio</t>
  </si>
  <si>
    <t>Producción audiovisual para difusión institucional y comunitaria en redes sociales, plataformas digitales y eventos. Duración aproximada 2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</si>
  <si>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audiovisual para difusión institucional y comunitaria en redes sociales, plataformas digitales y eventos. Duración aproximada 1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</si>
  <si>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VALORES TOMADOS DE DE LA COTIZACION ENVIADA POR COORDINADOR SONOROS ( vinculados a la mesa Local de Ciudad Bolívar y registrados en la base de datos del IDPAC)</t>
  </si>
  <si>
    <t>Producción audiovisual para difusión institucional y comunitaria en redes sociales, plataformas digitales y eventos. Duración aproximada entre 30 segundos,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</si>
  <si>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de pieza sonora para difusión en emisoras comunitarias, medios alternativos y plataformas digitales. Duración aproximada entre 30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</si>
  <si>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 xml:space="preserve">Cuña radial
 </t>
  </si>
  <si>
    <t>Producción de pieza sonora para difusión en emisoras comunitarias, medios alternativos y plataformas digitales. Duración aproximada entre 20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</si>
  <si>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 xml:space="preserve">Cuña radial
</t>
  </si>
  <si>
    <t>VALORES TOMADOS DE DE LA COTIZACION ENVIADA POR COORDINADOR SONOROS ( vinculados a la
mesa Local de Ciudad Bolívar y registrados en la base de datos del IDPAC)</t>
  </si>
  <si>
    <t>Producción de pieza sonora para difusión en emisoras comunitarias, medios alternativos y plataformas digitales. Duración aproximada entre 15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</si>
  <si>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 xml:space="preserve">VALORES TOMADOS DE LA COTIZACION ENVIADA POR  DELRELATOR  (Comunicación Comunitaria y Alternativa DE Bogota de la Localidad de Ciudad Bolivar) </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</si>
  <si>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cuarto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</si>
  <si>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Prensa escrita / publicación comunitaria</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</si>
  <si>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tercio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</si>
  <si>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 media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</si>
  <si>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dos páginas,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</si>
  <si>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</si>
  <si>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 xml:space="preserve">SE TOMA EL PROMEDIO COMO MEDIDA DE TENDENCIA CENTRAL. </t>
  </si>
  <si>
    <t>202.3</t>
  </si>
  <si>
    <t>Material impreso de carácter informativo y promocional para entrega comunitaria y divulgación territorial. Tamaño media carta o carta, impresión full color por ambas caras o una cara, en papel bond o propalcote mínimo 90 g. Debe incluir mensaje breve y claro, información de contacto, fechas, lugares y mecanismos de inscripción, utilizando lenguaje incluyente y diseño de fácil lectura.</t>
  </si>
  <si>
    <t>Volante informativo</t>
  </si>
  <si>
    <t xml:space="preserve">SE TOMA LA MEDIANA COMO MEDIDA DE TENDENCIA CENTRAL. </t>
  </si>
  <si>
    <t>Pieza gráfica impresa para divulgación de actividades, convocatorias y jornadas del proyecto. En tamaños pliego aproximado (50 × 70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</si>
  <si>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Afiche publicitario</t>
  </si>
  <si>
    <t>618.8</t>
  </si>
  <si>
    <t>Pieza gráfica impresa para divulgación de actividades, convocatorias y jornadas del proyecto. En tamaños tabloide (28 × 43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</si>
  <si>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</si>
  <si>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</si>
  <si>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535.5</t>
  </si>
  <si>
    <t>Pieza gráfica impresa para divulgación de actividades, convocatorias y jornadas del proyecto. En tamaños tabloide (28 × 43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</si>
  <si>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 xml:space="preserve">SE TOMA EL PROMEDIO  COMO MEDIDA DE TENDENCIA CENTRAL. </t>
  </si>
  <si>
    <t>297.5</t>
  </si>
  <si>
    <t>Pieza gráfica impresa para divulgación de actividades, convocatorias y jornadas del proyecto. En tamaños carta (21,5 × 28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</si>
  <si>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</si>
  <si>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</si>
  <si>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</si>
  <si>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 xml:space="preserve">OBSERVACIONES </t>
  </si>
  <si>
    <t>VALOR UNITARIO 
IMPUESTOS INCLUIDOS IVA</t>
  </si>
  <si>
    <t>VALOR IVA</t>
  </si>
  <si>
    <t>VALOR UNITARIO ANTESDE IMPUESTO (IVA)</t>
  </si>
  <si>
    <t>DISPERSIÓN PRECIOS 
(Promedio)</t>
  </si>
  <si>
    <t xml:space="preserve">DESVIACIÓN ESTÁNDAR 
</t>
  </si>
  <si>
    <t xml:space="preserve">PROMEDIO </t>
  </si>
  <si>
    <t xml:space="preserve">MEDIANA  </t>
  </si>
  <si>
    <t xml:space="preserve">VALOR UNITARIO IVA INCLUIDO </t>
  </si>
  <si>
    <t>TIEMPO</t>
  </si>
  <si>
    <t xml:space="preserve">UNIDAD DE MEDIDA </t>
  </si>
  <si>
    <t xml:space="preserve">RESULTADO DEL ANALISIS </t>
  </si>
  <si>
    <t xml:space="preserve">EL RELATOR 
</t>
  </si>
  <si>
    <t xml:space="preserve">ONDAMBIENTAL STEREO </t>
  </si>
  <si>
    <t>PUZZLE PULICIDAD
NIT. 80748125</t>
  </si>
  <si>
    <t xml:space="preserve">GRAFICAS COVARIA LTDA </t>
  </si>
  <si>
    <t>GRAFIHEN LTDANIT: 
900.035.800-1</t>
  </si>
  <si>
    <t>COPIERSOLUCIONES JYL SAS
NIT. 901226563-4</t>
  </si>
  <si>
    <t>SOT PUBLICIDAD SAS
NIT.  90190984 8</t>
  </si>
  <si>
    <t>ART VICS 
NIT. 899999061-9</t>
  </si>
  <si>
    <t>BOLSA DE DIFUSIÓN Y COMUNICACIÓN DEL PROYECTO.</t>
  </si>
  <si>
    <t xml:space="preserve">ALCALDIA LOCAL DE CIUDAD BOLIVAR </t>
  </si>
  <si>
    <t>BOLSA DE DIFUSIÓN Y COMUNICACIÓN DEL PROYECTO</t>
  </si>
  <si>
    <t>El ejecutor deberá desarrollar e implementar las actividades de divulgación, difusión y convocatoria del proyecto, de conformidad con los medios y cantidades definidas por el FDLCB, en articulación con la Oficina de Prensa y Comunicaciones y conforme a los lineamientos institucionales vigentes en materia de imagen, comunicación incluyente y accesibilidad.
La divulgación podrá realizarse a través de redes sociales, medios digitales, medios escritos, medios comunitarios y alternativos reconocidos en la localidad, medios sonoros, audiovisuales y escritos, de acuerdo con las necesidades operativas y el alcance territorial del proyecto.
Las actividades de divulgación deberán contribuir a garantizar la participación ciudadana, la difusión de las actividades y la visibilizarían de los resultados del proyecto en la localidad de Ciudad Bolívar.</t>
  </si>
  <si>
    <t xml:space="preserve">BOLSA </t>
  </si>
  <si>
    <t>Falda</t>
  </si>
  <si>
    <t xml:space="preserve">Traje hombre </t>
  </si>
  <si>
    <t>Traje para hombre (vestuario folclórico) compuesto por pantalón y camisa blanca (o equivalentes) y sombrero tradicional (p. ej., vueltiao o equivalente), según requerimiento. Telas: algodón  (o equivalente). Tallas: surtidas. Entrega: puesto en el sitio de entrega.</t>
  </si>
  <si>
    <t>Sombrero</t>
  </si>
  <si>
    <t>Pañuelo o pañoleta</t>
  </si>
  <si>
    <t>Pañuelo/pañoleta para baile. Material: satín de alta densidad o equivalente. Medidas: 50 cm x 50 cm (o equivalente). Bordes: dobladillo o fileteado para evitar deshilachado. Colores: sólidos (blanco/negro/rojo o según requerimiento). Entrega: puesto en el sitio de entrega.</t>
  </si>
  <si>
    <t>Alpargatas</t>
  </si>
  <si>
    <t>Alpargatas tradicionales (par) para vestuario. Material: lona con suela en fique (o equivalente). Tallas: surtidas según requerimiento. Color: a definir. Entrega: puesto en el sitio de entrega.</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</si>
  <si>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Complejidad media</t>
  </si>
  <si>
    <t>NIT: 900.690.211-1</t>
  </si>
  <si>
    <t xml:space="preserve">HELP AND LIFE MEDICAL S.A.S.
2025
</t>
  </si>
  <si>
    <t>VALOR UNITARIO BASE</t>
  </si>
  <si>
    <t>VALOR UNITARIO CON IVA (19%) + CARGA TRIBUTARIA (7%) + (UTILIDAD 10%)</t>
  </si>
  <si>
    <t>Nit 901.245.873-2</t>
  </si>
  <si>
    <t xml:space="preserve">Gestión del Riesgo y Seguridad Integral GRSI S.A.S.                                        </t>
  </si>
  <si>
    <t>Conocedora de la localidad, con experiencia en trabajo comunitario de la localidad. 2 proyecto de trayectoria con experiencia comunitaria y enfoque de paz, memoria y reconciliación.</t>
  </si>
  <si>
    <t>Panelista de la localidad adulto y/o adulta que lleve habitando la localidad más de 70 años en la localidad: 2 proyecto de trayectoria en experiencia comunitaria y enfoque de paz, memoria y reconciliación. (pasado de la localidad).</t>
  </si>
  <si>
    <t>Panelista de la localidad adulto y/o adulta que lleve habitando la localidad más de 30 años en la localidad: 2 proyecto de trayectoria en experiencia comunitaria y enfoque de paz, memoria y reconciliación. (presente de la localidad).</t>
  </si>
  <si>
    <t>Título profesional en programas académicos pertenecientes a alguno de los siguientes Núcleos Básicos de Conocimiento – NBC: Artes Representativas o Artes Plásticas Visuales y afines o Otros Programas Asociados a Bellas Artes
Profesional: Dos (2) años de experiencia profesional
Especifica: Dos (2) proyectos de experiencia en calificación de presentaciones artísticas.</t>
  </si>
  <si>
    <t>NOTA METODOLÓGICA SOBRE LA DETERMINACIÓN DE LOS PRECIOS UNITARIOS TECHO
Para efectos del presente estudio de mercado, la Entidad ha definido el siguiente criterio para la determinación de los precios unitarios techo, con base en las cotizaciones obtenidas:
Cuando la dispersión de los precios cotizados (calculada mediante el coeficiente de variación) es inferior al 15%, se considera que existe una alta consistencia en las cotizaciones, por lo que se adopta el promedio como valor representativo del precio unitario techo.
Cuando la dispersión se encuentra entre el 15% y hasta el 30%, se identifica una mayor variabilidad en los datos, lo cual puede indicar la presencia de valores atípicos o diferencias significativas en condiciones ofertadas. En este caso, se utiliza la mediana como medida representativa, en razón de que esta estadística es menos sensible a valores extremos y permite normalizar la muestra con base en datos reales, reflejando de forma más objetiva el comportamiento central de los precios del mercado.
Este criterio busca garantizar transparencia, objetividad y razonabilidad en la determinación de los precios de referencia utilizados por la Entidad, alineado con buenas prácticas de análisis de datos de mercado.</t>
  </si>
  <si>
    <t>TOTAL</t>
  </si>
  <si>
    <t>unidad</t>
  </si>
  <si>
    <t>Cuenta fácil x 28  Gr Sortkwik</t>
  </si>
  <si>
    <t>Humedecedor dactilar de glicelina</t>
  </si>
  <si>
    <t>Unid</t>
  </si>
  <si>
    <t>Guillotina 400 Hojas  Tamaño A3</t>
  </si>
  <si>
    <t>Guillotina Industrial</t>
  </si>
  <si>
    <t>Rollo Película Stretch Vinipel 30cm X 500metros Embalaje</t>
  </si>
  <si>
    <t>PAPEL VINIPEL</t>
  </si>
  <si>
    <t>MATERIAL POLIESTER PLATA M, TAMAÑAÑO 50X25 MM X 2000 UND - DOBLE STICKERS</t>
  </si>
  <si>
    <t>ETIQUETAS ADHESIVAS DE ALTA CALIDAD</t>
  </si>
  <si>
    <t>CD-R ,Capacidad: 700 MB , Velocidad: 52x , Minutos: 80 ,Paquete x 30 Unidades</t>
  </si>
  <si>
    <t>CD- DVD R</t>
  </si>
  <si>
    <t>Regla Plástica de 30 cm</t>
  </si>
  <si>
    <t>Reglas</t>
  </si>
  <si>
    <t>Caja Referencia X200, con rotulo externo para su identificación. C Las más utilizadas en entidades públicas: Tipo X-200 (referencia común AGN): Alto: 25 cm Ancho: 31cm Fondo: 40 cm</t>
  </si>
  <si>
    <t>Caja de archivo</t>
  </si>
  <si>
    <t>Carpeta yute de 600 gramos, Kraft, Refuerzo en tela coleta, Tapa exterior plastificada, Con aleta vertical, Acabados perfectos, dos tapa</t>
  </si>
  <si>
    <t>Carpetas Para Archivo</t>
  </si>
  <si>
    <t>Vinilo Grande Caja X 10 Unidades Colores Surtidos
- Elemento: Vinilos x 10 Unidades
- Cantidad: 150 gr . C/u
- Colores Disponibles: amarillo, naranja, rosa, verde, verde limón, rojo, blanco, negro, azul oscuro, cafe, morado</t>
  </si>
  <si>
    <t>Vinilos</t>
  </si>
  <si>
    <t>Tinta para Sellos, 28 cc, color negro, Alta definición, tinta acuosa libre de aceites. Envase plástico de alta resistencia. Frasco dispensador flexible. (28cc). Secado rápido de 25 Segundos</t>
  </si>
  <si>
    <t>Tinta Para Sello</t>
  </si>
  <si>
    <t>Corte decorativo en forma de zig-zag, Acero inoxidable, resistente al óxido y al desgaste. Plástico ergonómico, preferiblemente con revestimiento antideslizante y diseño ambidiestro (para zurdos y diestros). ntre 14 cm y 18 cm de largo (tamaño escolar o estándar). punta rendondeada</t>
  </si>
  <si>
    <t>Tijeras Zigzag</t>
  </si>
  <si>
    <t>Tijera de acero inoxidable mango en plástico y fibra de vidrio Entre 17 - 21 cms de largo</t>
  </si>
  <si>
    <t>Tijeras</t>
  </si>
  <si>
    <t xml:space="preserve">Tempera (vinilo), en frasco de 80 c.c c/u, empaque x 6 Unds, colores primarios Blanco, negros, amarillos, azul, rojo y verde. </t>
  </si>
  <si>
    <t>Temperas</t>
  </si>
  <si>
    <t>Tajalápiz Metal, con cuchilla de acero inoxidable 1 orificio para minas de 2mm</t>
  </si>
  <si>
    <t>Tajalápiz</t>
  </si>
  <si>
    <t>Tablero Cartelera en corcho, tamaño 60 x 80 cm, marco en madera, superficie grano fino productos que protege el medio ambiente, de fácil colgado en la pared.</t>
  </si>
  <si>
    <t xml:space="preserve">Tableros </t>
  </si>
  <si>
    <t>Tablero Acrílico Blanco Borrable 120 X 80cm + Porta borrador,
• Fórmica blanca.
• Con cuadrícula tenue para facilitar la escritura.
• Incluye borrador y repisa porta marcadores.
• Tamaño 120 cm x 80 cm aprox. Con accesorios para colgar o empotrar en pared.</t>
  </si>
  <si>
    <t>Tablero Corcho 120X 90CM</t>
  </si>
  <si>
    <t>Tableros</t>
  </si>
  <si>
    <t>Tablero Magnético 45x60 cm Aluminio- color  Blanco, Plateado - con marco Superficie del tablero de acero laqueado Notas magnéticas pueden ser pegadas a el tablero con imanes Superficie de tablero para escritura y borrado en seco, adecuado para escribir con marcadores borrables Marco de aluminio con tapas extremas plásticas de color gris claro Bandeja para marcadores (30 cm) con tapas de extremos, para guardar una variedad de marcadores para tablero Puede ser montado tanto horizontal como verticalmente Montura de pared esquinera oculta</t>
  </si>
  <si>
    <t>Tablero Magnético</t>
  </si>
  <si>
    <t>unid</t>
  </si>
  <si>
    <t>Tabla planillera archivadora tamaño carta</t>
  </si>
  <si>
    <t xml:space="preserve">Tabla planillera archivadora </t>
  </si>
  <si>
    <t>Tabla Planillera de plástico Oficio Tamaño: 35 cm alto x 23 cm largo - tamaño oficio Clip: 8 cm alto x 20 cm largo Tabla de plástico con bordes redondos.</t>
  </si>
  <si>
    <t>Tablas Planillera</t>
  </si>
  <si>
    <t>Sobre de manila carta de 75 g, medidas aproximadas 22,5 x 29 cms. Tipo solapa universal, paquete x 100 Unds</t>
  </si>
  <si>
    <t xml:space="preserve">Sobres </t>
  </si>
  <si>
    <t>Sobre de felpa para CD de 12 cm, con doble bolsillo, Caja x 100 Unds</t>
  </si>
  <si>
    <t>Sobres CD</t>
  </si>
  <si>
    <t>Silicona liquida 250 mililitros Silicona liquida fría.</t>
  </si>
  <si>
    <t>Silicona</t>
  </si>
  <si>
    <t>Kilo</t>
  </si>
  <si>
    <t>Silicona Barra Transparente Gruesa Diámetro: 11.2Mm Largo: 30Cm Cantidad: 25 Barras (1Kilo)</t>
  </si>
  <si>
    <r>
      <t>Unida</t>
    </r>
    <r>
      <rPr>
        <sz val="10"/>
        <color indexed="8"/>
        <rFont val="Times New Roman"/>
        <family val="1"/>
      </rPr>
      <t>d</t>
    </r>
  </si>
  <si>
    <t>Saca ganchos para grapa Acero cromado combinado con plástico ABS</t>
  </si>
  <si>
    <t xml:space="preserve">Saca Ganchos </t>
  </si>
  <si>
    <t>Resaltador fluorescente de punta biselada (tipo cincel), ideal para subrayar textos con precisión en líneas delgadas o anchas según el ángulo de uso. Set de 4 a 6 colores surtidos: amarillo, verde, rosado, naranja, azul y morado. Tintas brillantes, resistentes a la decoloración y de secado rápido.inta a base de agua, no tóxica, segura para uso escolar y comunitario. No atraviesa el papel. Tapa a presión, con clip de sujeción. Diseño ergonómico con cuerpo grueso de fácil agarre, ideal para adultos y niños.</t>
  </si>
  <si>
    <t xml:space="preserve">Resaltadores </t>
  </si>
  <si>
    <t>Regla Plástica de 50 cm</t>
  </si>
  <si>
    <t>Regla Metálica 30 cm</t>
  </si>
  <si>
    <t>Pistola Silicona Grande 60W 110V-240V, Calidad Superior. Extensión, material: PVC + Cobre. Con polo a tierra, para uso electrodoméstico de alto consumo como hornos, ventiladores, planchas y dispositivos de mediano y bajo consumo, Número de salidas: 3 salidas con polo a tierra, longitud: 4.5 Metros (incluida clavija), calibre: 14/ 3 AWG y Cubierta: SPT-3.</t>
  </si>
  <si>
    <t>Pistola Silicona</t>
  </si>
  <si>
    <t>Set de Pinceles con variedad de pinceles: redondos, planos, angulares y de detalle. Tamaños pequeños, medianos y grandes (números entre 0 y 12 aprox.).
Cerdas sintéticas suaves (nylon o poliéster), duraderas, con buena retención de pintura. Opcional: mezcla de cerdas naturales para técnicas específicas.
Mango corto o mediano, ergonómico, en madera barnizada o plástico resistente. Ideal para control en lienzos o superficies pequeñas. De aluminio niquelado, anticorrosivo, firmemente sujeta para evitar desprendimiento de las cerdas.
Presentación Set de 12 Unidades, en estuche de tela, cartón o tubo plástico reutilizable.</t>
  </si>
  <si>
    <t xml:space="preserve">Pinceles </t>
  </si>
  <si>
    <t>Pinceles en madera punta redonda #2 x Caja12 Unidades</t>
  </si>
  <si>
    <t>Perforadora 2 Huecos, 150 Hojas: Con regla indicadora, discos protectores de plásticos, diámetro de perforación 6-7mm, base en ABS, palanca ergonómica, depósito para papel perforado, pinner y cortadores</t>
  </si>
  <si>
    <t>Perforadora Industrial</t>
  </si>
  <si>
    <t>Pegante líquido 225g unidad</t>
  </si>
  <si>
    <t xml:space="preserve">Pegante </t>
  </si>
  <si>
    <t xml:space="preserve"> (Pegante en barra sin componentes tóxicos Forma redonda, cierre hermético Mínimo 40 g).  
Puesta en sitio de entrega.</t>
  </si>
  <si>
    <t>Pegante en barra</t>
  </si>
  <si>
    <t>Papelógrafo para Papel grande y resistente, ideal para exposiciones y trabajos grupales. Tamaño estándar: 70 cm x 100 cm.</t>
  </si>
  <si>
    <t>Papelógrafo</t>
  </si>
  <si>
    <t>Papel periódico pliego 70cmx100cm</t>
  </si>
  <si>
    <t>Papel Periódico</t>
  </si>
  <si>
    <t>Rollo Papel Kraft 60cm X 5 Kilos -130 Mts - 60 Gr</t>
  </si>
  <si>
    <t>Papel Kraft Pliego 60gr X 25 Unidades</t>
  </si>
  <si>
    <t>Tamaño del papel A4, Tipo de papel Fotográfico Cantidad de hojas 20 Gramaje 180 g Formato de venta Resma x20 Hojas Unidades por pack 20.</t>
  </si>
  <si>
    <t>Papel Fotográfico</t>
  </si>
  <si>
    <t>Rollo Contact x 20 metros transparente</t>
  </si>
  <si>
    <t>Papel Contact</t>
  </si>
  <si>
    <t>Rollo Contact 45 cm x 5 metros (medida estándar, transparente brillante</t>
  </si>
  <si>
    <t>Pliego</t>
  </si>
  <si>
    <t>Papel Kraft, 60 grs, 70 cm x 100 cm,</t>
  </si>
  <si>
    <t>Papel bond 75g oficio con la NTC 4436:1998 y la NTC 5397. Resmas de 500 hojas, caja x 10 resmas</t>
  </si>
  <si>
    <t>Papel Oficio</t>
  </si>
  <si>
    <t>Papel bond 75g carta con la NTC 4436:1998 y la NTC 5397. Resmas de 500 hojas, Caja x 10 resmas</t>
  </si>
  <si>
    <t xml:space="preserve">Papel Carta </t>
  </si>
  <si>
    <t>Block</t>
  </si>
  <si>
    <t>Block de papel blanco cuadriculado Carta (8.5" x 11") / 216 mm x 279 mm, 75 – 90 g/m² (resistente para escritura con lápiz, lapicero o micropunta), 50 a 80 hojas por block (según presentación), Unidad</t>
  </si>
  <si>
    <t>Papel</t>
  </si>
  <si>
    <t>Notas autoadhesivas medianas de 7.5 cms x 7.5 cms Colores surtidos, paquete x 100 Unds</t>
  </si>
  <si>
    <t>Notas Autoadhesivas</t>
  </si>
  <si>
    <t>Notas Autoadhesivas Mínimo de 3 x 5 cms Colores surtidos, paquete X 100 hojas</t>
  </si>
  <si>
    <t>Banderitas paquete  x100 colores surtidos</t>
  </si>
  <si>
    <t>Banderines Autoadhesivas</t>
  </si>
  <si>
    <t>Marcador Tinta acrílica a base de agua, no tóxica, de secado rápido y resistente al agua una vez seca.Punta fina (0.7 mm) o punta media (1-2 mm), según la actividad. Ideal para detalles y trazos definidos en superficies como piedra, madera, papel, cartón.por Caja x 12 Und</t>
  </si>
  <si>
    <t xml:space="preserve">Marcadores </t>
  </si>
  <si>
    <t xml:space="preserve">Marcador Punta Fina Permanente, Negro X 12 para diferentes superficies papel, plástico, metal secado rápido y resiste a la decoloración </t>
  </si>
  <si>
    <t>Marcador Permanente Cuerpo y tapa en polipropileno Color negro, verde, azul o rojo Tinta indeleble a base de alcohol de secado rápido, para escribir sobre cualquier superficie Longitud de cuerpo entre 127,9 - 143 mm, diámetro 10 - 16,3 mm. Trazo entre 0,6 mm a 1,8 mm Cierre hermético, Caja X 10 Unds.</t>
  </si>
  <si>
    <t>Marcador permanente Tinta indeleble a base de alcohol de secado rápido, calor y humedad, para escribir sobre cualquier superficie Longitud de cuerpo entre 120 - 155 mm, diámetro 12 - 18 mm negro, verde, azul o rojo, Caja x 20 Unds</t>
  </si>
  <si>
    <t>Marcador permanente Tinta indeleble a base de alcohol de secado rápido, calor y humedad, para escribir sobre cualquier superficie Longitud de cuerpo entre 120 - 155 mm, diámetro 12 - 18 mm negro</t>
  </si>
  <si>
    <t>Marcador borrable desechable Borrable a base de alcohol, no mancha, para escribir sobre tableros porcelanizados o cualquier superficie lisa Longitud de cuerpo entre 115 - 155 mm y diámetro entre 12 - 18 mm Punta gruesa biselada con trazo de 1,5 mm a 5,8 mm negro, azul, rojo, o verde Caja x10</t>
  </si>
  <si>
    <t>Marcador Borrable</t>
  </si>
  <si>
    <t>Lupa Aumento: 5x a 10x (ideal para uso educativo y observación de detalles) Diámetro de lente: 50 mm o superior (según disponibilidad) Material de lente: Acrílico óptico de alta calidad o vidrio templado (transparente, sin distorsión) Estructura: Mango ergonómico en plástico ABS resistente o metálico con recubrimiento antideslizante. Presentación: Individual, con fUnda protectora o empaque individual (opcional)</t>
  </si>
  <si>
    <t xml:space="preserve">Lupa </t>
  </si>
  <si>
    <t>Libro de actas 400 folios Papel bond mínimo entre 56 a 60g, tapa en cartón plastificado 32 a 34 cm largo por 20 a 23 de ancho para registro 400 folios rayados</t>
  </si>
  <si>
    <t>Libro De Actas</t>
  </si>
  <si>
    <t>Lápiz mina roja de madera reforestada o resina sintética, Borrador no tóxico. Color rojo mina semi dura, Longitud 17.8 - 19.7 cms y diámetro de mínimo 7,2mm Forma redonda, triangular o hexagonal Borrador asegurado en casquillo de metal o plástico sin bordes afilados ni cortantes, Caja x 12 Unds</t>
  </si>
  <si>
    <t>Lápiz Mina Roja</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</si>
  <si>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t>
  </si>
  <si>
    <t>Lápiz Mina Negra</t>
  </si>
  <si>
    <t>Huellero dactilar color negro, libre de cloro, no se decolora, no tóxico, tinta de secado rápido y no se corre. Para mínimo 2000 huellas</t>
  </si>
  <si>
    <t xml:space="preserve">Huelleros </t>
  </si>
  <si>
    <t>Grapa Caja  para grapadora industrial - Caja x 1000 Ind</t>
  </si>
  <si>
    <t xml:space="preserve">Grapas </t>
  </si>
  <si>
    <t>Grapa metálica con recubrimiento galvanizado. Dimensiones: Long pata 5.90-6.30 mm, long. Barra 106.0 – 107.0 mm, número de grapas x barra 209 Unds / Caja X 5000  Und</t>
  </si>
  <si>
    <t>Grapas</t>
  </si>
  <si>
    <t>Clip estándar pequeño, Alambre con un recubrimiento superficial galvanizado que le da buena presentación y evita la oxidación, dimensión: Diámetro 0.80-0.81 mm, longitud 31.5 – 32.5 mm, ancho 7.6-8.0 mm. Caja X 100 Und</t>
  </si>
  <si>
    <t>Clips</t>
  </si>
  <si>
    <t>Gancho legajador Plástico, paquete x 100 Unds</t>
  </si>
  <si>
    <t>Gancho Legajador Plástico</t>
  </si>
  <si>
    <t>Impresión Formato Papel bond 75g carta con la NTC 4436:1998 y la NTC 5397. Especificaciones de impresión Según ALCB</t>
  </si>
  <si>
    <t xml:space="preserve">Formato Retiro De Puntos Y Seguimiento </t>
  </si>
  <si>
    <t xml:space="preserve">Formato Recomendaciones Post Quirúrgicas </t>
  </si>
  <si>
    <t xml:space="preserve">Formato Hoja De Anestesia </t>
  </si>
  <si>
    <t>Formato Historia Clínica Urgencias</t>
  </si>
  <si>
    <t xml:space="preserve">Formato Historia Clínica Esterilizaciones </t>
  </si>
  <si>
    <t xml:space="preserve">Formato Historia Clínica Brigadas Medico Veterinarias </t>
  </si>
  <si>
    <t>Formato Historia Clínica</t>
  </si>
  <si>
    <t>Formato Formula Medica</t>
  </si>
  <si>
    <t xml:space="preserve">Formato Eutanasia </t>
  </si>
  <si>
    <t xml:space="preserve">Formato Entrega Satisfactoria De Paciente </t>
  </si>
  <si>
    <t xml:space="preserve">Formato De Adopciones </t>
  </si>
  <si>
    <t xml:space="preserve">Formato Dado De Alta De Paciente </t>
  </si>
  <si>
    <t xml:space="preserve">Formato Consentimiento Informado </t>
  </si>
  <si>
    <t xml:space="preserve">Formato Carnets De Vacunación </t>
  </si>
  <si>
    <t>Paquetes de fichas bibliográficas (colores: azul, blanco, amarillo, verde y rosador)</t>
  </si>
  <si>
    <t>Fichas Bibliográficas</t>
  </si>
  <si>
    <t>Cuaderno Cosido Mediano Cuadriculado Book - 50 Hojas</t>
  </si>
  <si>
    <t>Cuaderno</t>
  </si>
  <si>
    <t>Grapadora Cosedora Metálica De Pinza Estandar + Ganchos Kit</t>
  </si>
  <si>
    <t xml:space="preserve">Cosedoras </t>
  </si>
  <si>
    <t>Corrector 8 mm 7 a 12 ml Largo del lápiz entre 1268 y 137 mm Diámetro de la punta metálica entre 0,8 y 1 mm, Caja x 12 Unds</t>
  </si>
  <si>
    <t>Corrector</t>
  </si>
  <si>
    <t>Caja de colores  X 12 Und , 17 cm de largo</t>
  </si>
  <si>
    <t>Colores x 12 Un</t>
  </si>
  <si>
    <t>Caja colores 24 Unidades colores surtidos</t>
  </si>
  <si>
    <t>Colores x 24 Un</t>
  </si>
  <si>
    <t>Clip mariposa gigante, Alambre metálico bajo carbono, con recubrimiento de cinc electrolítico (galvánico) Caja X 50 Und</t>
  </si>
  <si>
    <t>Clip Mariposa</t>
  </si>
  <si>
    <t>Cinta Mágica Medidas aproximadas 18mm a 20 mm x 31 a 34m</t>
  </si>
  <si>
    <t xml:space="preserve">Cintas </t>
  </si>
  <si>
    <t>Cinta adhesiva Transparente 12 mm x 40 mts</t>
  </si>
  <si>
    <t>Cinta adhesiva para enmascarar multipropósito 48 mm x 40 mts</t>
  </si>
  <si>
    <t>Cinta adhesiva para enmascarar multipropósito 12 mm x 40 mts</t>
  </si>
  <si>
    <t>Cinta adhesiva de empaque en rollo 48 mm x 100 mts</t>
  </si>
  <si>
    <t>Papel cartulina de distintos colores Bristol, pliego 216 gr/m2 o superior x 30 Unidades</t>
  </si>
  <si>
    <t>Pliego de Cartulinas</t>
  </si>
  <si>
    <t>Carpeta legajadora carta plástica</t>
  </si>
  <si>
    <t>Carpeta Carta</t>
  </si>
  <si>
    <t>Cartulina Bristol Octavo Colores, Paquete X 100 Und
Cartulina Bristol ideal para todo uso en la escuela, la oficina y la industrial
Puedes escoger paquete de 100 octavos en colores surtidos o los 100 en un solo color
Características
- Tamaño Octavo 25 CM X 35 CM
- Gramaje 150 gramos
- Colores Blanco - Amarillo - Azul - Verde - Rosado o Surtido
- Con tu compra enviamos 100 Unidades tamaño octavo</t>
  </si>
  <si>
    <t>Octavo de Cartulinas</t>
  </si>
  <si>
    <t xml:space="preserve">Carpeta legajadora oficio plástica </t>
  </si>
  <si>
    <t>Carpeta Oficio</t>
  </si>
  <si>
    <t>Borrador de nata No tóxico Medidas aproximadas 5.5 a 6.3 cm * 0.8 a 1 en el espesor * 1.9 a 2.3 cm. largo 5.5.</t>
  </si>
  <si>
    <t xml:space="preserve">Borradores </t>
  </si>
  <si>
    <t>Borrador para tablero Elaborado en felpa sintética, fieltro o paño chalet. La base debe ser en madera o plástico</t>
  </si>
  <si>
    <t>Borrador De Tablero</t>
  </si>
  <si>
    <t>Bolígrafo negro Cuerpo plástico o polietileno translucido o color negro; punta metálica, con tapa, redondo, rectangular o hexagonal, Caja X 12 Unidades</t>
  </si>
  <si>
    <t xml:space="preserve">Caja Bolígrafos </t>
  </si>
  <si>
    <t>Block iris tamaño carta (21,5 x 28 cm) y  tamaño oficio (22 x 33 cm), 90 g/m² a 120 g/m², ideal para uso con lápices, colores, marcadores, micropuntas, crayones y témperas de bajo contenido de agua, Mínimo 40 hojas por block.</t>
  </si>
  <si>
    <t>Block Hojas Iris</t>
  </si>
  <si>
    <t>isturí de precisión para manualidades/dibujo técnico. Mango en aluminio o equivalente con zona antideslizante. Cuchilla tipo No. 11 (punta de lanza) en acero al carbono o equivalente. Incluye tapa protectora y repuestos: mínimo 5 cuchillas. Entrega: puesto en el sitio de entrega.</t>
  </si>
  <si>
    <t xml:space="preserve"> Bisturí de Precisión </t>
  </si>
  <si>
    <t>Bandas de Caucho Bandas elásticas, Caja de 18 Unidades, 90 mm x 2mm</t>
  </si>
  <si>
    <t xml:space="preserve">Bandas Elásticas </t>
  </si>
  <si>
    <t>Carpeta, Archivador A-z Plastificado Tamaño Carta</t>
  </si>
  <si>
    <t>Archivador - Az</t>
  </si>
  <si>
    <t>Estuche plástico resistente con tapa (tipo paleta), con mínimo 12 colores surtidos (puede variar según proveedor), Tonos básicos y secundarios: rojo, azul, amarillo, verde, naranja, morado, marrón, negro, blanco, rosado, celeste y gris, No tóxicas, seguras para uso infantil y comunitario</t>
  </si>
  <si>
    <t>Acuarelas</t>
  </si>
  <si>
    <t>VALOR UNITARIO INCLUIDO IVA</t>
  </si>
  <si>
    <t>VALOR UNITARIO (CARGA TRIBUTARIA 26% * UTILIDAD 10%)</t>
  </si>
  <si>
    <t>BASE GRAVABLE</t>
  </si>
  <si>
    <t>VALOR UNITARIO  INTERNET (IVA INCLUIDO)</t>
  </si>
  <si>
    <t>VALOR UNITARIO 2025 + IPC (5,10%) 
IVA INCLUIDO</t>
  </si>
  <si>
    <t>VALOR TOTAL IVA INCLUIDO</t>
  </si>
  <si>
    <t>NIT. 901114690-0</t>
  </si>
  <si>
    <t xml:space="preserve">NIT. :900384469 </t>
  </si>
  <si>
    <t>nit. :1030641065</t>
  </si>
  <si>
    <t>NIT: 901392700</t>
  </si>
  <si>
    <t>NIT: 901992226</t>
  </si>
  <si>
    <t>NIT: 901.258.258</t>
  </si>
  <si>
    <t>NIT: 9010124304</t>
  </si>
  <si>
    <t>NIT: 8032204</t>
  </si>
  <si>
    <t>NIT: 	9018566477</t>
  </si>
  <si>
    <t>NIT: 9012130501</t>
  </si>
  <si>
    <t>NIT: 901517011</t>
  </si>
  <si>
    <t>NIT: 800220247</t>
  </si>
  <si>
    <t>NIT: 800.242.106-2</t>
  </si>
  <si>
    <t>NIT: 860052160</t>
  </si>
  <si>
    <t>NIT: 900642173</t>
  </si>
  <si>
    <t>NIT: 900.348.994-5</t>
  </si>
  <si>
    <t>NIT: 39.797.006-6</t>
  </si>
  <si>
    <t xml:space="preserve">NIT: 900.009.495 - 8 </t>
  </si>
  <si>
    <t>NIT 901.708.000-9</t>
  </si>
  <si>
    <t>NIT: 800.088.063 -4</t>
  </si>
  <si>
    <t>NIT: 900.055.360-8</t>
  </si>
  <si>
    <t>N.I.T: 890206033-8</t>
  </si>
  <si>
    <t>NIT: 860.076.508-1</t>
  </si>
  <si>
    <t>NIT: 899999061</t>
  </si>
  <si>
    <t>N.I.T. 900859627-1</t>
  </si>
  <si>
    <t>NIT: 830.037.946-3</t>
  </si>
  <si>
    <t>N.I.T. 901720441 -2</t>
  </si>
  <si>
    <t>NIT: 830072026-0</t>
  </si>
  <si>
    <t>NIT. 901.247.654-3</t>
  </si>
  <si>
    <t>Tempo Foods SAS
:901825930-4</t>
  </si>
  <si>
    <t>AIPE PAPELERRA 
NIT.  813010383</t>
  </si>
  <si>
    <t xml:space="preserve">A &amp;C
</t>
  </si>
  <si>
    <t xml:space="preserve">FUN GUERREROS VIDA
</t>
  </si>
  <si>
    <t xml:space="preserve">EVENTOS SANTIAGO FRANCO
</t>
  </si>
  <si>
    <t>MARCAIDEA</t>
  </si>
  <si>
    <t>PAPER EXPRESS</t>
  </si>
  <si>
    <t>DRUCKER COMERCIO ELECTRONICO</t>
  </si>
  <si>
    <t>SAT STORE</t>
  </si>
  <si>
    <t>DIGITAL STORE</t>
  </si>
  <si>
    <t>GABYVENTAS.COM</t>
  </si>
  <si>
    <t>ECORRECICLAJE UNIVERSAL</t>
  </si>
  <si>
    <t>GARABATOS</t>
  </si>
  <si>
    <t>LA CALI</t>
  </si>
  <si>
    <t>HOMECENTER</t>
  </si>
  <si>
    <t>MYVO ARTECMA</t>
  </si>
  <si>
    <t>ERGONOMUS</t>
  </si>
  <si>
    <t>COMERCIALIZADORA DISFENIX S.A.S.</t>
  </si>
  <si>
    <t>PAPELERIA Y CACHARRERIA NCA - NORMA CECILIA AGUIRRE MEJÍA</t>
  </si>
  <si>
    <t>COMPAÑÍA PAPELERA NACIONAL S.A.S.</t>
  </si>
  <si>
    <t>DISTRIBUIDORA NACIONAL GROUP S.A.S.</t>
  </si>
  <si>
    <t>ESCOLARES VERSALES S.A.S</t>
  </si>
  <si>
    <t>PANAFARGO PAPELERIA Y TIENDAS DE ARTE</t>
  </si>
  <si>
    <t>COLOR PRINT AGENCIA PUBLICITARIA</t>
  </si>
  <si>
    <t xml:space="preserve">CACHARRERIA MEDELLIN DISTRIBUIDORA </t>
  </si>
  <si>
    <t xml:space="preserve"> PAPELERIA PUERTO REY</t>
  </si>
  <si>
    <t xml:space="preserve">COMERCIALIZADORA LA EXITOSA JR SAS </t>
  </si>
  <si>
    <t>PANAMERICANA LEBRERIA Y PAPELERIA S.A.</t>
  </si>
  <si>
    <t>ARTE DIGITAL ACI S.A.S</t>
  </si>
  <si>
    <t>ARTE IMPRESO SAS</t>
  </si>
  <si>
    <t xml:space="preserve">Papelería y Suministros El Escritorio S.A.S.  </t>
  </si>
  <si>
    <t xml:space="preserve">CANTIDAD </t>
  </si>
  <si>
    <t xml:space="preserve">SECRETARIA DE GOBIERNO                                                                                                                                                                                                                                                                                                                                                                                              ALCALDIA LOCAL DE CUIDAD BOLIVAR </t>
  </si>
  <si>
    <t>Cununo</t>
  </si>
  <si>
    <t>Cununo (macho y hembra): tambores cónicos de una membrana. Cuerpo en madera maciza o laminada (o equivalente) con acabado protector. Membrana en cuero natural o material sintético (o equivalente), con sistema de tensión tradicional o herrajes. Entrega: puesto en el sitio de entrega.</t>
  </si>
  <si>
    <t>Maracas</t>
  </si>
  <si>
    <t>Maracas elaboradas en totumo y madera. Diámetro aproximado: 8 a 10 cm. Mango en madera torneada (aprox. 12 a 15 cm) ensamblado firmemente. Relleno con semillas/granalla para sonoridad. Acabado lijado, sin astillas. Entrega: puesto en el sitio de entrega.</t>
  </si>
  <si>
    <t>Claves de madera</t>
  </si>
  <si>
    <t>Claves de madera (par) para percusión. Madera maciza seleccionada (granadillo, guayacán, haya o equivalente). Dimensiones aproximadas: 18 cm a 22 cm de longitud y 2 cm a 2,5 cm de diámetro (o equivalentes). Acabado lijado y pulido, con protección (natural o barniz) (o equivalente). Entrega: puesto en el sitio de entrega.</t>
  </si>
  <si>
    <t>Marimba</t>
  </si>
  <si>
    <t>Marimba de chonta tradicional: láminas elaboradas en madera de palma de chonta, con resonadores en guadua/bambú) cortados por longitud para afinación. Medidas mínimas alto (90cm), largo(110cm). Estructura estable y resistente. Debe incluir baquetas compatibles. Entrega: puesto en el sitio de entrega.</t>
  </si>
  <si>
    <t>Tela</t>
  </si>
  <si>
    <t>Caja de Marcador permanente</t>
  </si>
  <si>
    <t>Estilógrafos</t>
  </si>
  <si>
    <t>lápices de grafito</t>
  </si>
  <si>
    <t xml:space="preserve"> Plumín de acero inoxidable disponible en trazo medio (M). Carga mediante cartucho, Medidas: 3 cm x 17.5 cm x 5 cm en empaque.</t>
  </si>
  <si>
    <t>Tinta indeleble a base de alcohol de secado rápido, calor y humedad, para escribir sobre cualquier superficie Longitud de cuerpo entre 120 - 155 mm, diámetro 12 - 18 mm negro, verde, azul o rojo, Caja x 10 unds</t>
  </si>
  <si>
    <t>Paquetes de fichas bibliográficas</t>
  </si>
  <si>
    <t>Trípode</t>
  </si>
  <si>
    <t>Micrófono</t>
  </si>
  <si>
    <t>Luz led</t>
  </si>
  <si>
    <t>Soporte para teléfono celular</t>
  </si>
  <si>
    <t>Tabla planillera</t>
  </si>
  <si>
    <t>Plástico Oficio Tamaño: 35 cm alto x 23 cm largo – tamaño oficio Clip: 8 cm alto x 20 cm largo Tabla de plástico con bordes redondos.</t>
  </si>
  <si>
    <t>Tocados básicos(balacas)</t>
  </si>
  <si>
    <t>Baño portátil tipo 1</t>
  </si>
  <si>
    <t>Plan de contingencia tipo 2</t>
  </si>
  <si>
    <t>Talleristas expertos</t>
  </si>
  <si>
    <t>Set de agujas</t>
  </si>
  <si>
    <t>Hilos</t>
  </si>
  <si>
    <t>Set de alfileres</t>
  </si>
  <si>
    <t>Tambor Alegre</t>
  </si>
  <si>
    <t>65 cm a 70 cm diámetro 28 cm a 32 cm Madera de balsa, caracolí o cedro con material de Cuero de chivo (macho) para mayor brillo en los "quemados". Debe tener 7 a 9 cuñas de madera dura.</t>
  </si>
  <si>
    <t>Tambor Llamador</t>
  </si>
  <si>
    <t>35 cm a 45 cm diámetro 22 cm a 25 cm Madera de balsa, caracolí o cedro cuero de venado o chivo (más grueso) para un sonido seco y constante.</t>
  </si>
  <si>
    <t>Tambora Bombo</t>
  </si>
  <si>
    <t>45 cm a 55 cm diámetro 40 cm a 50 cm Cuerpo cilíndrico de madera liviana, con Doble parche de cuero de chivo o vaca.</t>
  </si>
  <si>
    <t>Tubo de bambú (guadua) de 30 cm a 40 cm de largo, Diámetro: 6 cm a 8 cm, Interior: Semillas de "achira" o "chuira". Debe tener semillas metálicas o clavos atravesados en forma de espiral para que el sonido sea arenoso y prolongado.</t>
  </si>
  <si>
    <t>Guasás</t>
  </si>
  <si>
    <t>Cencerros o Campanas</t>
  </si>
  <si>
    <t xml:space="preserve"> Tamaño: 6 a 8 pulgadas de largo, Material: Acero con acabado cromado o de cobre Con Palo De Música Cencerro 8 Pulgadas</t>
  </si>
  <si>
    <t>Cinturones o Fajones</t>
  </si>
  <si>
    <t>Cinturones o Fajones Telas para amarrar a la cintura.</t>
  </si>
  <si>
    <t>paquete</t>
  </si>
  <si>
    <t>Componente 5: Tejiendo Reconciliación: Saberes, Productividad y Convivencia para las Víctimas del Conflicto-Propuesta 48495</t>
  </si>
  <si>
    <t>NOTA 1:  Para efectos del presente estudio de mercado, la Entidad ha definido el siguiente criterio para la determinación de los precios unitarios techo, con base en las cotizaciones obtenidas:
- Cuando la dispersión de los precios cotizados (calculada mediante el coeficiente de variación) es inferior al 15%, se considera que existe una alta consistencia en las cotizaciones, por lo que se adopta el promedio como valor representativo del precio unitario techo.
- Cuando la dispersión se encuentra entre el 15% y hasta el 30%, se identifica una mayor variabilidad en los datos, lo cual puede indicar la presencia de valores atípicos o diferencias significativas en condiciones ofertadas. En este caso, se utiliza la mediana como medida representativa, en razón de que esta estadística es menos sensible a valores extremos y permite normalizar la muestra con base en datos reales, reflejando de forma más objetiva el comportamiento central de los precios del mercado.
- Este criterio busca garantizar transparencia, objetividad y razonabilidad en la determinación de los precios de referencia utilizados por la Entidad, alineado con buenas prácticas de análisis de datos de mercado.</t>
  </si>
  <si>
    <t>Valores tomados de la RESOLUCION No 1124 SECRETARIA DISTRITAL DE GOBIERNO, ACTUALIZADOS MEDIANTE EL MEMORANDO CON RADICADO 20254000408633 DEL 27 DE OCTUBRE DEL 2025</t>
  </si>
  <si>
    <t>SE TOMA EL PROMEDIO COMO MEDIDA DE TENDENCIA CENTRAL. VALORES TOMADOS DE LA CANASTA DE COSTOS 2026</t>
  </si>
  <si>
    <t>SE TOMA EL PROMEDIO COMO MEDIDA DE TENDENCIA CENTRAL.</t>
  </si>
  <si>
    <t>VALOR DETERMINADO POR LA ENTIDAD. DICHO VALOR CORRESPONDE A PAGOS A TERCEROS, VALOR NO OFERTABLE E INMODIFICABLE.
EL VALOR DEL BONO QUE DEBERA SER ENTREGADO ES DE  $1.000.000</t>
  </si>
  <si>
    <t>El valor estimado para la administración del recurso corresponde al diez por ciento (10%) del valor destinado a bonos o pagos a terceros. Sobre dicho porcentaje se estimó una carga tributaria del veintiséis por ciento (26%), de conformidad con la normativa tributaria vigente. La carga tributaria no aplica sobre el valor de los bonos o pagos a terceros, sino exclusivamente sobre el componente de administración del recurso.</t>
  </si>
  <si>
    <t>SE TOMA LA MEDIANA COMO MEDIDA DE TENDENCIA CENTRAL. VALORES TOMADOS DE LA CANASTA DE COSTOS 2026</t>
  </si>
  <si>
    <t>Prestar servicios integrales para la implementación de acciones estratégicas de construcción de paz, procesos pedagógico-culturales de memoria histórica y escenarios de fortalecimiento de capacidades enfocados en la población víctima del conflicto armado en la Localidad de Ciudad Bolívar, en el marco Plan de Desarrollo Local 'Ciudad Bolívar Camina Segura 2025-2028.”</t>
  </si>
  <si>
    <t>Paquete de  25 agujas triple cero de aluminio de calibre medio  4.0mm</t>
  </si>
  <si>
    <t>Removedor disolvente</t>
  </si>
  <si>
    <t>Papel bond 90 gr tamaño del papel doble carta paquete por 100  hojas</t>
  </si>
  <si>
    <t>Hoja bond 90 gramos</t>
  </si>
  <si>
    <t>Tela	 de 33 x por 33 cm material poliéster y algodón, tipo retazos.</t>
  </si>
  <si>
    <t>cintas de enmascarar</t>
  </si>
  <si>
    <t>Cinta adhesiva de empaque en rollo 48 mm x 100 mts.</t>
  </si>
  <si>
    <t>Micrófono de escopeta con agarre de video para teléfono inteligente, Montaje de choque integrado, filtro de paso alto (150Hz), impulso de alta frecuencia (+6dB) y control de nivel de tres posiciones (-10dB, 0dB, +20dB), diseño universal: se adapta a teléfonos inteligentes de 2.1" a 3.6" de ancho, cuenta con tres roscas de montaje hembra de 1/4" y 1 soporte de zapata fría.</t>
  </si>
  <si>
    <t>Balaca de Flores artificiales o cintas para practicar el porte de la cabeza.</t>
  </si>
  <si>
    <t>Resolución Tabla de Honorarios 
No. 1124 de 2024
(Memorando 27-10-2025)</t>
  </si>
  <si>
    <t>Persona/Mes</t>
  </si>
  <si>
    <t>ESTE ITEM COMPRENDE EL VALOR DE  BOLSA DE DIFUSION Y COMUNICACION DEL PROYECTO  ES UN VALOR INMODIFICABLE E INOFERTABLE.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"BOLSA DE DIFUSION Y COMUNICACION DEL PROYECTOS" DEL PRESENTE ESTUDIO DE MERCADO.</t>
  </si>
  <si>
    <t>Persona/día</t>
  </si>
  <si>
    <t>Persona/Dia</t>
  </si>
  <si>
    <t>12 rollos de hilo macrame de 100 gramos y 3 mm. 12 colores diferentes para la creación armónica (Amarillo, Amarilló anaranjado, Naranja, Rojo anaranjado, Rojo, Rojo violáceo, Morado (violeta), Azul violáceo, Azul, Verde azulado, Verde, Amarillo verdes.</t>
  </si>
  <si>
    <t xml:space="preserve">De plástico  cajas de 100 unidades de 5 a 12 mm
</t>
  </si>
  <si>
    <t>Suave Relleno de poliéster siliconado de bolsa por 500 gramos.</t>
  </si>
  <si>
    <t>Tijeras de Costura</t>
  </si>
  <si>
    <t>Tijera Punta Roma</t>
  </si>
  <si>
    <t xml:space="preserve"> Impresión Digital en Alta Resolución, Tipo de material (soporte textil): satinado. Color del material: 10 colores, Color del texto: oro, plata, negro, Opción de inserción emblema/logo, Dimensión etiqueta – 60 mm x 15mm. Paquete x 30 Unidades</t>
  </si>
  <si>
    <t>Par</t>
  </si>
  <si>
    <t>Correas bombo arnés fabricadas en Nylon. Ancho 50 mm. Largo mínimo 109cm. Largo máximo 130cm.</t>
  </si>
  <si>
    <t>De dureza media (70-75 shores), tamaño: 35*7mm, material: poliuretano</t>
  </si>
  <si>
    <t>Botella de disolvente especializado para retardar el secado de tintas solventes de 1/2 Galon (Medio Galon)</t>
  </si>
  <si>
    <t>peso: Bruto 31kg
 dimensiones: Largo 53.5cm X Ancho 46cm X Alto 47cm
 materiales: Base metálica. Tapetes en goma. Teflón
 contiene: Resistencia plana 30cm x 38cm. Resistencia curva de 13cm x 8cm para gorras. Resistencia circular plana de 11cm para plato pequeño. Resistencia Mug cilíndrica 11oz. operacion: Manual voltaje: 110V
 potencia: 1250W rango de temperatura: 0°C-240°C intervalo de tiempo: de 0s-999s tecnologia de impresion: Termica, Con un año de garantía.</t>
  </si>
  <si>
    <t>Pistolas de calor, Ancho 8 cm, Alto 21 cm, Largo 27 cm, Peso 2 kg, Potencia nominal 1700 W, Alimentación Eléctrica, Largo del cable 2 m, Voltaje enchufable 110 V, Temperatura máxima 540 °C
Rango de temperatura 45 c – 540 c
Voltaje 110 V, Incluye 5 boquillas
Cuenta con llama regulable.
Con un año de garantía</t>
  </si>
  <si>
    <t xml:space="preserve"> Engrudo Artesanal compuesto con Agua: 1 litro, Harina de trigo o Almidón de maíz: 150 gramos, Azúcar: 200 gramos, Pegamento blanco (PVA): tarro por 100 ml.</t>
  </si>
  <si>
    <t>Rodillos antigoteo para fachadas 9" mango plástico</t>
  </si>
  <si>
    <t>Caja de guantes de nitrilo x 100 Clase I, No- estéril
 El guante de examen de nitrilo sin polvo se clasifica como dispositivo médico de Clase I según la 
Regla 1, Anexo IX de la Directiva 93/42 / EC sobre Dispositivos Médicos, modificada por la 
Directiva 2007/47 / EC.
 Los guantes están fabricados según ISO 9001: 2008 e ISO13485: 2003 Sistemas de gestión de 
calidad y certificados por el organismo notificado, SGS United Kingdom Ltd. Sistemas y servicios 
de certificación, Reino Unido"</t>
  </si>
  <si>
    <t>Guantes de nitrilo caja 
por 100"</t>
  </si>
  <si>
    <t>Pegante en barra sin componentes tóxicos Forma redonda, cierre hermético 40 g</t>
  </si>
  <si>
    <t xml:space="preserve"> lápices de grafito Caja x 12 lápices con diferentes graduaciones: 8B, 7B, 6B, 5B, 4B, 3B, 2B, B, HB, F, H, 2H</t>
  </si>
  <si>
    <t>Paquetes de fichas bibliográficas	Paquetes de fichas bibliográficas de diferentes colores, Material: Cartulina de alta calidad Tamaño: Estándar (generalmente 3 x 5 pulgadas o 7.5 x 12.5 cm) Acabado: Liso, paquete por 50 unidades.</t>
  </si>
  <si>
    <t>luz de video, temperatura de color de 6000 K, 3 niveles de brillo (25 % / 50 % / 100%) ajustable. 3 zapatos fríos, que se pueden ampliar para instalar micrófonos, brazos mágicos y otros equipos con zapatos fríos. Las luces LED ligeras.</t>
  </si>
  <si>
    <t>Material: plástico, tamaño Aprox.: Trípode: 16 x 8 x 4 cm, de giro de 120 grados, debe incluir su control remoto Bluetooth facilita la captura de contenido sin esfuerzo.</t>
  </si>
  <si>
    <t>BOLSA ALQUILER DE ESPACIOS</t>
  </si>
  <si>
    <t>Vinilo Adhesivo.	Rollo de 30 mts, ancho 1.52 mts vinivlo blanco translúcido de 6.0 mil (150 micras), con adhesivo transparente.</t>
  </si>
  <si>
    <t>Vinilo Adhesivo</t>
  </si>
  <si>
    <t>Brocha Gruesa 3” (7.6 cm). Mango plástico. Refuerzo metálico.</t>
  </si>
  <si>
    <t>Brocha Gruesa 1-1/2”. Mango plástico. Refuerzo metálico.</t>
  </si>
  <si>
    <t>Sonido potencia 50 w de la batería 8 horas incluyendo batería recargable, formato de del parlante torre, con luces led con radia, portátil inalámbrico, 1 micrófono, control remoto, bluetooth un conector auxiliar de entrada.</t>
  </si>
  <si>
    <t>Furgón transporte de carga de 10 toneladas tipo furgón o tipo estacas carpado. (DÍA), con capacidad de carga suficiente para el montaje seguro de equipos de audio, debera incluir el Alquiler de sistema de sonido 1000 watts: 2 sistemas line array tipo columna para conferencias corporativas las cuales necesitan de poco espacio en escenario, con las siguientes características: Subwoofer activo, bass- reflex, Dos parlantes de neodymium de 8” (200mm) de alta excursión con bobinas de 2” (50 mm), Respuesta de frecuencia de 50Hz a 180Hz, Amplificador de potencia Class D de 600W RMS con fuente de alimentación switching, Procesador DSP con 4 presets, Panel de control con combo XLR/Jack stereo de entrada y link, XLR de salida, volumen, 0°-180° phase switch, status LED, consola mínimo de 16 canales digital,kit de 8 micrófonos alámbricos e inhalámbricos, reproductor de cd doble bandeja mp3, Instalado, incluye cableado, acometidas eléctricas, ingeniero de sonido y todos los elementos requeridos para su operación, planta eléctrica tipo 1: Alquiler planta eléctrica de 5.000 W para evento (Día).</t>
  </si>
  <si>
    <t>Furgón con sonido</t>
  </si>
  <si>
    <t>Chaqueta deportiva rompevientos, casual, de material de nylon, con cuello redondo, manga larga impermeable, cierre de cremallera nylon, fabricación nacional, Unisex. Diseño según manual de imagen institucional y aprobado por el area de prensa del FDLCB</t>
  </si>
  <si>
    <t>Servicio integral de salida recreativa tipo pasadía, que incluya el uso de un centro recreativo ubicado en municipio de clima cálido del departamento de Cundinamarca, a una distancia mínima de 80 km y máxima de 90 km desde Bogotá. El espacio deberá contar como mínimo con zonas verdes amplias y seguras, dos (2) piscinas habilitadas, restaurante, servicios sanita-rios adecuados, canchas deportivas, juegos tradicionales y enfermería o puesto de salud con auxiliar de enfermería. Incluye recreación dirigida durante toda la estadía</t>
  </si>
  <si>
    <t>Alquiler de buses (recorridos ida y regreso) recorridos intermunicipales. Características técnicas cómodos climatizados, con capacidad maxima para 40 personas sentadas, con vidrios panorámicos, excelentes condiciones técnico mecánicas, de aseo y estéticas, salida de emergencia, equipo de sonido, botiquín de primeros auxilios, conductor experimentado y calificado, que conduzca a la velocidad permitida y con equipo completo de carretera). (punto salida - punto llegada) recorrido ida y vuelta. Modelo 2021 en adelante, con todos los requisitos de Ley para transporte de pasajeros y pólizas vigentes (extracontractual todo riesgo, SOAT) y revisión tecnico mecanica trimestral vigente, conductor apto sin restricciones y sin comparendos al día del servicio.</t>
  </si>
  <si>
    <t>BUS / INTERMUNICIPAL (40 pasajeros)</t>
  </si>
  <si>
    <t xml:space="preserve">TRANSPORTE MARTINEZ VIP S.A.S.
2025
</t>
  </si>
  <si>
    <t>NIT:900.815.941-9</t>
  </si>
  <si>
    <t xml:space="preserve">SANTORINI S.A.S.
2025
</t>
  </si>
  <si>
    <t>NIT: 901.504.393-1</t>
  </si>
  <si>
    <t>Perdona/Dia</t>
  </si>
  <si>
    <t>Intervension</t>
  </si>
  <si>
    <t>Bolsa de elementos de papelería que se requieran Memoria Viva y Territorio. (remitirse a la hoja denominada bolsa de papelería).</t>
  </si>
  <si>
    <t>ESTE ITEM COMPRENDE EL VALOR DE  BOLSA DE PAPELERIA DEL PROYECTO  ES UN VALOR INMODIFICABLE E INOFERTABLE.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"BOLSA DE PAPELERIA" DEL PRESENTE ESTUDIO DE MERCADO.</t>
  </si>
  <si>
    <t>Bandera en tela seda poliéster de alta densidad (tafetán), con acabado mate, 20 cm de ancho x 14 cm de alto, Corte térmico perimetral (antideshilache) y manga lateral reforzada para inserción del asta, Varilla de madera pulida o plástico flexible de 40 cm de longitud, con punta de seguridad redondeada.</t>
  </si>
  <si>
    <t xml:space="preserve">Alma de alambre galvanizado de bajo carbono, maleable y resistente a la torsión repetida sin quebrarse, ibras sintéticas de poliéster o nylon de alta densidad, con acabado tipo "chenille" (afelpado), distribuidas uniformemente a lo largo del alambre. Color blanco - Paquete por 100 Unidades </t>
  </si>
  <si>
    <t>ESTE ITEM COMPRENDE EL VALOR DE  BOLSA DE ARMONIZACION DEL PROYECTO  ES UN VALOR INMODIFICABLE E INOFERTABLE.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"BOLSA DE ARMONIZACION" DEL PRESENTE ESTUDIO DE MERCADO.</t>
  </si>
  <si>
    <t>Set de agujas de acero inoxidable en diversos tamaños - Paquete por 30 Unidades</t>
  </si>
  <si>
    <t xml:space="preserve"> Paquete por 12 unidades surtido de carretes de hilo de poliéster de alta resistencia (40/2) en colores primarios y simbólicos (blanco, negro, rojo, azul y verde)</t>
  </si>
  <si>
    <t xml:space="preserve">Paquete por 12 ruletas de alfileres de cabeza  Perla Colores surtidos, de 3,5 cm, niquelados de perla plastica falsa </t>
  </si>
  <si>
    <t>Memoria USB</t>
  </si>
  <si>
    <t>Rompecabezas</t>
  </si>
  <si>
    <t>Pack x3 Juegos de Mesa Familiar
Set 3 en 1 con Ajedrez, Parqués y Damas Chinas para disfrutar en familia o con amigos.
Referencia: Pack Juegos de Mesa 3 en 1
Juegos: Ajedrez, Parqués y Damas Chinas (estrella para 6 jugadores)
Material: Tableros y piezas en madera
Tamaño Tableros: 27 cm aprox.
Medidas Caja: 29 × 28 cm
Incluye: 1 tablero doble cara (Ajedrez/Parqués), 1 tablero Damas Chinas, piezas para los juegos, instrucciones y caja.
De material de cartón y piezas de plástico</t>
  </si>
  <si>
    <t>Set Juego Mesa 3 En 1</t>
  </si>
  <si>
    <t>ÉXITO SA</t>
  </si>
  <si>
    <t>NIT:890900608-9</t>
  </si>
  <si>
    <t>CUBE STAR COLOMBIA</t>
  </si>
  <si>
    <t>MAPA DE RUTAS</t>
  </si>
  <si>
    <t>Caja de Carton</t>
  </si>
  <si>
    <t>Bolsa de semillas</t>
  </si>
  <si>
    <t>Kit de Bolsa de semillas: Maíz Criollo (15-20 granos), frijol Cargamanto o Bola Roja (15 granos), Haba o Arveja local (15 granos), entre otras, el plegable y la tarjeta del mensaje, sujetos con cinta de papel o cuerda de fique.</t>
  </si>
  <si>
    <t>Kit</t>
  </si>
  <si>
    <t>Etiqueta Exterior</t>
  </si>
  <si>
    <t>Aceite Esencial Eucalipto 500 g</t>
  </si>
  <si>
    <t>ACEITE ESENCIAL EUCALIPTO</t>
  </si>
  <si>
    <t>Aceite de Argán de 10 ml</t>
  </si>
  <si>
    <t>ACEITE ARGAN</t>
  </si>
  <si>
    <t>Aceite mineral con fragancia a almendras: un aceite ligero y de rápida absorción que deja la piel suave y sedosa, con un delicado aroma a almendras dulces.</t>
  </si>
  <si>
    <t>ACEITE DE ALMENDRAS</t>
  </si>
  <si>
    <t>Aceite mineral con fragancia a coco: un aceite ligero y de rápida absorción que deja la piel suave y sedosa, con un delicado aroma a coco. De 500 ML</t>
  </si>
  <si>
    <t>ACEITE DE COCO</t>
  </si>
  <si>
    <t>Aceite de coco 420ml</t>
  </si>
  <si>
    <t>sobre</t>
  </si>
  <si>
    <t>SEMILLAS DE MEJORANA  EN SOBRE</t>
  </si>
  <si>
    <t xml:space="preserve">MEJORANA </t>
  </si>
  <si>
    <t>Tierra orgánica seleccionada, apta para jardinería y siembra, presentada en empaque por peso.
Tipo: Tierra orgánica Presentación: 4 kg</t>
  </si>
  <si>
    <t>TIERRA</t>
  </si>
  <si>
    <t>Bulto</t>
  </si>
  <si>
    <t>VIRUTA DE MADERA X BULTO 50 KG</t>
  </si>
  <si>
    <t>VIRUTA DE MADERA</t>
  </si>
  <si>
    <t>Sobre</t>
  </si>
  <si>
    <t>SEMILLA UCHUVA SOBRE 2 GRS</t>
  </si>
  <si>
    <t>UCHUVA</t>
  </si>
  <si>
    <t>Bulto x Litro</t>
  </si>
  <si>
    <t>BULTO X 300 LITROS</t>
  </si>
  <si>
    <t>TURBA</t>
  </si>
  <si>
    <t>Gramo</t>
  </si>
  <si>
    <t>TORONJIL SOBRE 1 GR</t>
  </si>
  <si>
    <t>TORONJIL SOBRE GR</t>
  </si>
  <si>
    <t>SEMILLA TOMATE DE ARBOL SOBRE 2 GRS</t>
  </si>
  <si>
    <t>TOMATE DE ARBOL</t>
  </si>
  <si>
    <t>SEMILLA HORTALIZA ORGANICA SOBRE 5 GRAMOS</t>
  </si>
  <si>
    <t>TOMILLO</t>
  </si>
  <si>
    <t>SUSTRATO DE COCO BUFERIZADO BULTO 100 LITROS / 30KILOS APROX</t>
  </si>
  <si>
    <t>SUSTRATO DE COCO</t>
  </si>
  <si>
    <t>SUCULENTAS (CACTACEAS) MATERA 10-15 CM ALTURA 200UND.</t>
  </si>
  <si>
    <t>SUCULENTAS (CACTACEAS)</t>
  </si>
  <si>
    <t>Libra</t>
  </si>
  <si>
    <t>SEMILLA DE CILANTRO X LIBRA</t>
  </si>
  <si>
    <t>SEMILLA DE CILANTRO</t>
  </si>
  <si>
    <t>BULTOS DE SEMILLA DE AVENA CAYUSE (25 KG)</t>
  </si>
  <si>
    <t>SEMILLA DE AVENA</t>
  </si>
  <si>
    <t>INDIVIDUO ENTRE 100 Y 150 CM DE ALTURA</t>
  </si>
  <si>
    <t>SAUCO</t>
  </si>
  <si>
    <t>RUDA SOBRE O,1 GR</t>
  </si>
  <si>
    <t xml:space="preserve">RUDA SOBRE </t>
  </si>
  <si>
    <t>SUMINISTROS Y FERRETERÍA INSTITUCIONAL S&amp;J S.A.S.                           NIT: 901.643.816-7</t>
  </si>
  <si>
    <t>AGROCAMPO S.A.S.
NIT: 860.069.284-2</t>
  </si>
  <si>
    <t>EXPRESS PETS LA VACA LTDA. NIT:900008285-3</t>
  </si>
  <si>
    <t>DISTRIBUIDORA ESPAÑA SAS NIT:8002458586</t>
  </si>
  <si>
    <t>CENTRO AGROPECUARIO E INSUMOS LOS PINOS S.A.S.
NIT: 800.090.263-7</t>
  </si>
  <si>
    <t>FUNDACION AL VERDE VIVO
NIT: 800.236.048-9</t>
  </si>
  <si>
    <t>AGRIPLANT Y HUERTAS DE COLOMBIA NIT: 902.356.578-2</t>
  </si>
  <si>
    <t>BOLSA DE ARMONIZACIÓN</t>
  </si>
  <si>
    <t>SE TOMA LA MEDIANA COMO MEDIDA DE TENDENCIA CENTRAL.</t>
  </si>
  <si>
    <t xml:space="preserve">S.S SYNC S.A.S. 
NIT:900.589.197-5	</t>
  </si>
  <si>
    <t>ÉXITO 
NIT:890.900.608-9</t>
  </si>
  <si>
    <t>VIVERO DOÑA OTTY
NIT: 23.779.042-7</t>
  </si>
  <si>
    <t>HOMECENTER - SODIMAC COLOMBIA S.A. 
(COTIZACION INTERNET)
NIT: 800.242.106-2</t>
  </si>
  <si>
    <t>EASY - CENCOSUD COLOMBIA S.A.
(COTIZACION INTERNET)
 NIT 900.155.107-1</t>
  </si>
  <si>
    <t>ÉXITO
(COTIZACION INTERNET)
NIT:890.900.608-9</t>
  </si>
  <si>
    <t>DE COCO
(COTIZACION INTERNET)
NIT:900.778.480-6</t>
  </si>
  <si>
    <t xml:space="preserve">QUIMICOS PROQUIMPI
(COTIZACION INTERNET)
NIT :901706514
</t>
  </si>
  <si>
    <t>QUIMICOS DEL EJE
(COTIZACION INTERNET)
NIT:900.802.002-1</t>
  </si>
  <si>
    <t>DROGUERIA SAN JORGE 
(Cotizacion Internet)
NIT:805.002.583-1</t>
  </si>
  <si>
    <t>NATURENSE
(COTIZACION INTERNET)
NIT:901902841-7</t>
  </si>
  <si>
    <t>GREEN
(COTIZACION INTERNET)
NIT:900.271.375-3</t>
  </si>
  <si>
    <t xml:space="preserve">FALABELLA
(COTIZACION INTERNET)
NIT:900.499.362-8 </t>
  </si>
  <si>
    <t>Coordinador(a) general del proyecto 
Preferiblemente de la localidad de Ciudad Bolívar.
Título profesional en programas académicos pertenecientes a alguno de los siguientes Núcleos Básicos de Conocimiento – NBC: Administración o Sociología, Trabajo Social y afines o Antropología y Artes Liberales o Ciencia política y Relaciones Internacionales o Economía o Educación o Derecho y afines. Con estudios de posgrado en gerencia de proyectos y
y/o gestión de proyectos.
Profesional: Mínimo cinco (5) años de experiencia profesional a partir de la terminación de materias y/o la tarjeta profesional (cuando aplique).
Especifica: Experiencia específica en la coordinación o gerencia o dirección de al menos dos (2) proyectos sociales orientados a la paz, memoria y reconciliación.</t>
  </si>
  <si>
    <t>CONSULTORES Y ASESORES TIC S.A.S.
NIT:901.360.556-5</t>
  </si>
  <si>
    <t>FUNDACIÓN JUSTICIA SOCIAL
NIT:830.069.703-8</t>
  </si>
  <si>
    <t>Operador Logístico Terranova S.A.S. 
NIT:901.115.603-8</t>
  </si>
  <si>
    <t>TELEMARKER BPO LOGISTICA SAS
NIT:901.012.708-6</t>
  </si>
  <si>
    <t>RADAR, CREATIVIDAD E INNOVACIÓN
NIT:901954205-5</t>
  </si>
  <si>
    <t>Prodeco Servicios Integrales S.A.S.
NIT:840.374.691-1</t>
  </si>
  <si>
    <t>ANALISIS  COTIZACIONES</t>
  </si>
  <si>
    <t>RESULTADO DEL ANALISIS</t>
  </si>
  <si>
    <t>MEDIANA 
(UNITARIO)</t>
  </si>
  <si>
    <t>PROMEDIO 
(UNITARIO)</t>
  </si>
  <si>
    <t>DESVIACIÓN ESTÁNDAR 
(UNITARIO)</t>
  </si>
  <si>
    <t>ESPACIO APTO PARA 100 PERSONAS</t>
  </si>
  <si>
    <t>Espacio adecuado con dotación de sillas, baños, mesas, video beam, computador, sonido y elementos necesarios para el desarrollo de eventos de hasta 100 personas. Con disponibilidad de espacio exterior para el desarrollo de las actividades al aire libre.</t>
  </si>
  <si>
    <t>ESPACIO APTO PARA 500 PERSONAS</t>
  </si>
  <si>
    <t>SALON DOTADO (20 PERSONAS)</t>
  </si>
  <si>
    <t>ALQUILER SALÓN DOTADO 50 PERSONAS (DENTRO DE LA LOCALIDAD)</t>
  </si>
  <si>
    <t>Espacio adecuado con dotación de sillas, baños, mesas, video beam, computador, sonido y elementos necesarios para el desarrollo de eventos de hasta 50 personas. Con disponibilidad de espacio exterior para el desarrollo de las actividades al aire libre</t>
  </si>
  <si>
    <t>EL ITEM COMPRENDE LA BOLSA DE INSUMOS DE ALQUILER DE ESPACIOS , ES UN VALOR INMODIFICABLE E INOFERTABLE,. ESTE VALOR COMPRENDE TODOS LOS GASTOS DIRECTOS E INDIRECTOS, TALES COMO LA ADMINISTRACION DEL RECURSO, IMPUESSTOS, TASAS Y RETRIBUCIONES A QUE HAYA LUGAR Y PUEDAN LLEGAR A GENERARSE DE ACUERDO A LA NORMATIVIDAD FISCAL VIGENTE.  PARA LA UTILIZACION DE DICHA BOLSA EL OFERENTE DEBERA DIRIGIRSE A LA PESTAÑA "BOLSA DE ALQUILER DE ESPACIOS" EN LA CUAL SE ENCUENTRAN LA LISTA DE ITEMS REQUERIDOS DENTRO DE LA MISMA.</t>
  </si>
  <si>
    <t>Bolsa de elementos de papelería que se requieran para componente 2 tejiendo memoria: laboratorios de paz y narrativas.</t>
  </si>
  <si>
    <t>Bolsa de elementos de papelería que se requieran para el componente 3 semana_mes por la paz. (remitirse a la hoja denominada bolsa de papelería).</t>
  </si>
  <si>
    <t>Bono de premiación Ciclo de Cine-Foros "Lentes de Verdad.</t>
  </si>
  <si>
    <t xml:space="preserve"> este ítem se deja un rubro de los cuales contemplan impuestos, tasas y retribuciones a que haya lugar, así como la administración y/o utilidad del recurso. Con este rubro se debe cubrir el alquiler de los espacios, donde se deben desarrollar las actividades previstas para cada uno de los grupos conformados participantes. de 2 horas o más horas. deben ubicarse dentro de la Localidad Ciudad Bolívar acorde con la caracterización, prioridades, necesidades, intereses y demanda de la comunidad. El lugar físico debe tener capacidad para grupos de personas, con sillas mesas, baños aptos para el uso de los participantes, para desarrollar las formaciones requeridas y elementos tecnológicos.</t>
  </si>
  <si>
    <t>VALOR UNITARIO ANTESDE IMPUESTO IVA</t>
  </si>
  <si>
    <t>VALOR UNITARIO TECHO
IMPUESTOS INCLUIDOS IVA</t>
  </si>
  <si>
    <t xml:space="preserve">VALOR TOTAL
</t>
  </si>
  <si>
    <t>VALOR UNITARIO
IVA INCLUIDO + IPC (5,1%) O + SMLV (23%)</t>
  </si>
  <si>
    <t>Espátulas plastica</t>
  </si>
  <si>
    <t xml:space="preserve">Panelista </t>
  </si>
  <si>
    <t>Raseros (Squeegees)</t>
  </si>
  <si>
    <t>Educación media y/o Bachiller con estudios certificados en tejido croché, con experiencia en realizar talleres de tejido en croche, que sea en la preferiblemente de la localidad de Ciudad Bolívar.</t>
  </si>
  <si>
    <t xml:space="preserve"> Educación media y/o Bachiller con estudios certificados en percusión de batucada,  con experiencia en realizar talleres percusion de batucada que sea en la preferiblemente de la localidad de Ciudad Bolívar.</t>
  </si>
  <si>
    <t>Educación media y/o Bachiller con estudios certificados en serigrafia plástica y muralismo, con experiencia en realizar talleres en serigrafia plastica y muralismo, que sea en la preferiblemente de la localidad de Ciudad Bolívar.</t>
  </si>
  <si>
    <t>Educación media y/o Bachiller con estudios certificados en literatura, relatos, historia y narrativas audiovisuales, con experiencia en realizar talleres de literatura, relatos, historias y narrativas audiovisuales, que sea en la preferiblemente de la localidad de Ciudad Bolívar.</t>
  </si>
  <si>
    <t>Educación media y/o Bachiller con estudios certificados en danza folclórica, con experiencia en realizar talleres en danza folcrolica, que sea en la preferiblemente de la localidad de Ciudad Bolívar.</t>
  </si>
  <si>
    <t xml:space="preserve">Bachiller  preferiblemente de  la localidad de Ciudad Bolívar. Experiencia como apoyo logístico mínimo en 2 eventos. </t>
  </si>
  <si>
    <t xml:space="preserve">Un (1) grupo de batucada compuesto por cinco (5) personas mínimo, con una duracion de la presentacion minimo de 60 - 90 minutos experiencia mínima de 12 meses en actividades relacionadas a muestras artística, comparsas, carnavales de los cuales 6 meses de experiencia en trabajo relacionada a temas relacionados enfoque en temas de paz, memoria y reconciliación con conocimiento territorial de la Localidad de Ciudad Bolívar. </t>
  </si>
  <si>
    <t>Tambor de percusión corporal / brasileña (Surdo de primera o marcación).
Diámetro: 20 pulgadas (aprox. 50.8 cm), ideal para frecuencias graves y profundas.Altura del casco: 45 cm, longitud corta/mediana optimizada para mayor comodidad al desfilar y un sonido más seco.Material del Cuerpo: Aluminio cepillado o pulido mate. Ofrece alta resistencia a la humedad, es muy ligero y no se deforma.Parche: Parche sintético blanco (habitualmente de tipo P2 de 190 micras o similar), diseñado para soportar golpes fuertes y resistir la intemperie.</t>
  </si>
  <si>
    <t xml:space="preserve"> Diámetro: 12 pulgadas (30 cm).Altura o longitud del casco: 30 cm.Material del casco: Aluminio (aporta ligereza, durabilidad y alta proyección de sonido).Sistema de afinación: entre 6 y 8 puntos de tensión (tensores a varilla).Herrajes: Generalmente cromados o de alta resistencia para soportar la tensión constante del parche.Parche: Sintético o de nylon color blanco.</t>
  </si>
  <si>
    <t>Medida: 6 pulgadas.Afinación / Herrajes: 6 divisiones (tirantes) fijas niqueladas.Peso: 0,33 kg.Marca: Izzo Percussion.</t>
  </si>
  <si>
    <t>Material: Aluminio pulido, ligero y resistente.Medidas: 250 mm de largo por 60 mm de diámetro (equivalente a 25 x 6 cm).Uso musical: Ideal para marcar el ritmo en estilos como samba, maracatú y otros grupos de percusión menor.</t>
  </si>
  <si>
    <t>Ancho (Tamaño): 4 pulgadas (aproximadamente 100 mm o 25 cm de largo total según el fabricante).Tipo de cerda: Natural,de flexibilidad media y gran retención de pintura.Material del mango: Plástico de alta densidad (polipropileno), resistente a impactos y solventes.Casquillo / Enchapado: Lámina metálica resistente que asegura firmemente las cerdas al mango.</t>
  </si>
  <si>
    <t>Tallerista experto o experta con mínimo 12 meses de experiencia certificada en el talleres de paz, memoria y reconciliación, Preferiblemente de la localidad.</t>
  </si>
  <si>
    <t>bono será por valor de $1.000.000 redimible en canasta básica familiar, para ser redimidos en establecimientos de comercio (el valor techo estimado, comprende todos los gastos directos e indirectos, tales como, impuestos, tasas y retribuciones a que haya lugar y puedan llegar a generarse de acuerdo a la normatividad fiscal vigente. Valor base para impuestos adm. $1.000.000 y recibirán un placa de reconocimiento por la participación de esta actividad.</t>
  </si>
  <si>
    <t>Educación media y/o Bachiller, con experiencia certificada en danza folclórica con enfoque afro y étnico, Doce (12) meses de experiencia en procesos de formación en paz y/o memoria y/o reconciliación con experiencia en realizar talleres de danza, preferiblemente de la localidad.</t>
  </si>
  <si>
    <t>Educación media y/o Bachiller con experiencia certificada en percusión folclórica con enfoque afro y étnico, Doce (12) meses de experiencia en procesos de formación en paz y/o memoria y/o reconciliación con experiencia en realizar talleres de percusión, preferiblemente de la localidad</t>
  </si>
  <si>
    <t>“PRESTAR SERVICIOS INTEGRALES PARA LA IMPLEMENTACIÓN Y DESARROLLO DE PROCESOS PEDAGÓGICOS, ARTÍSTICOS, CULTURALES Y FORMATIVOS, ORIENTADOS A LA APROPIACIÓN SOCIAL DE LA MEMORIA, LA VERDAD, LA REPARACIÓN INTEGRAL A VÍCTIMAS Y LA RECONCILIACIÓN, EN EL MARCO PLAN DE DESARROLLO LOCAL 'CIUDAD BOLÍVAR CAMINA SEGURA 2025-2028.”</t>
  </si>
  <si>
    <t>Alquiler de Espacio deportivo apto para 500 personas, Nota 1: El espacio debe ser dentro de la Localidad de Ciudad Bolívar Nota 2: En caso de que el lugar previsto para el desarrollo del evento  sea un complejo que no requiera alquiler, no se realizará pago al contratista por este ítem. Esto se acordará dentro de la ejecución previa concertación entre el contratista y la supervisión.</t>
  </si>
  <si>
    <t>Alquiler de salón de reuniones tipo aula, con capacidad para mínima de 20 personas aprox, ubicado en la localidad de Ciudad Bolívar, que cuente con mesas, sillas, buena iluminación, ayudas audiovisuales básicas (Sonido básico, micrófonos, computador, televisor 50” mínimo y/o video Bean). El escenario se programará de acuerdo con el cronograma establecido.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</si>
</sst>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 #,##0;\-&quot;$&quot;\ #,##0"/>
    <numFmt numFmtId="6" formatCode="&quot;$&quot;\ #,##0;[Red]\-&quot;$&quot;\ #,##0"/>
    <numFmt numFmtId="44" formatCode="_-&quot;$&quot;\ * #,##0.00_-;\-&quot;$&quot;\ * #,##0.00_-;_-&quot;$&quot;\ * &quot;-&quot;??_-;_-@_-"/>
    <numFmt numFmtId="164" formatCode="&quot;$&quot;\ #,##0"/>
    <numFmt numFmtId="165" formatCode="_-* #,##0.00000_-;\-* #,##0.00000_-;_-* &quot;-&quot;??_-;_-@"/>
    <numFmt numFmtId="166" formatCode="_-&quot;$&quot;\ * #,##0_-;\-&quot;$&quot;\ * #,##0_-;_-&quot;$&quot;\ * &quot;-&quot;??_-;_-@_-"/>
    <numFmt numFmtId="167" formatCode="_-&quot;$&quot;\ * #,##0.0_-;\-&quot;$&quot;\ * #,##0.0_-;_-&quot;$&quot;\ * &quot;-&quot;??_-;_-@_-"/>
    <numFmt numFmtId="168" formatCode="_-&quot;$&quot;\ * #,##0.00_-;\-&quot;$&quot;\ * #,##0.00_-;_-&quot;$&quot;\ * &quot;-&quot;??_-;_-@"/>
    <numFmt numFmtId="169" formatCode="&quot;$&quot;\ #,##0.00"/>
    <numFmt numFmtId="170" formatCode="\$\ #,##0"/>
    <numFmt numFmtId="171" formatCode="_-&quot;$&quot;\ * #,##0_-;\-&quot;$&quot;\ * #,##0_-;_-&quot;$&quot;\ * &quot;-&quot;??_-;_-@"/>
  </numFmts>
  <fonts count="4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Garamond"/>
      <family val="1"/>
    </font>
    <font>
      <b/>
      <sz val="12"/>
      <color theme="1"/>
      <name val="Garamond"/>
      <family val="1"/>
    </font>
    <font>
      <b/>
      <sz val="12"/>
      <color rgb="FF000000"/>
      <name val="Garamond"/>
      <family val="1"/>
    </font>
    <font>
      <b/>
      <sz val="11"/>
      <color theme="1"/>
      <name val="Garamond"/>
      <family val="1"/>
    </font>
    <font>
      <sz val="11"/>
      <color theme="1"/>
      <name val="Garamond"/>
      <family val="1"/>
    </font>
    <font>
      <sz val="11"/>
      <color theme="1"/>
      <name val="Calibri"/>
      <family val="2"/>
      <scheme val="minor"/>
    </font>
    <font>
      <b/>
      <sz val="11"/>
      <color rgb="FF000000"/>
      <name val="Garamond"/>
      <family val="1"/>
    </font>
    <font>
      <b/>
      <sz val="12"/>
      <name val="Garamond"/>
      <family val="1"/>
    </font>
    <font>
      <sz val="11"/>
      <color theme="0"/>
      <name val="Garamond"/>
      <family val="1"/>
    </font>
    <font>
      <sz val="11"/>
      <color theme="3"/>
      <name val="Garamond"/>
      <family val="1"/>
    </font>
    <font>
      <sz val="11"/>
      <color rgb="FF000000"/>
      <name val="Garamond"/>
      <family val="1"/>
    </font>
    <font>
      <sz val="11"/>
      <color theme="1"/>
      <name val="Calibri"/>
      <family val="2"/>
      <scheme val="minor"/>
    </font>
    <font>
      <b/>
      <sz val="26"/>
      <name val="Century Gothic"/>
      <family val="2"/>
    </font>
    <font>
      <b/>
      <sz val="14"/>
      <name val="Century Gothic"/>
      <family val="2"/>
    </font>
    <font>
      <sz val="11"/>
      <name val="Garamond"/>
      <family val="1"/>
    </font>
    <font>
      <sz val="12"/>
      <color rgb="FF000000"/>
      <name val="Garamond"/>
      <family val="1"/>
    </font>
    <font>
      <b/>
      <sz val="11"/>
      <name val="Garamond"/>
      <family val="1"/>
    </font>
    <font>
      <b/>
      <sz val="12"/>
      <color theme="1"/>
      <name val="Century Gothic"/>
      <family val="2"/>
    </font>
    <font>
      <sz val="10"/>
      <color theme="1"/>
      <name val="Garamond"/>
      <family val="1"/>
    </font>
    <font>
      <sz val="10"/>
      <color rgb="FF000000"/>
      <name val="Garamond"/>
      <family val="1"/>
    </font>
    <font>
      <sz val="10"/>
      <color theme="1"/>
      <name val="Calibri"/>
      <family val="2"/>
      <scheme val="minor"/>
    </font>
    <font>
      <sz val="10"/>
      <color indexed="8"/>
      <name val="Times New Roman"/>
      <family val="1"/>
    </font>
    <font>
      <sz val="10"/>
      <name val="Garamond"/>
      <family val="1"/>
    </font>
    <font>
      <sz val="11"/>
      <color rgb="FF000000"/>
      <name val="Times New Roman"/>
      <family val="2"/>
    </font>
    <font>
      <b/>
      <sz val="11"/>
      <color theme="1"/>
      <name val="Century"/>
      <family val="1"/>
    </font>
    <font>
      <sz val="11"/>
      <color rgb="FF000000"/>
      <name val="Comfortaa"/>
    </font>
    <font>
      <b/>
      <sz val="11"/>
      <color theme="1"/>
      <name val="Calibri"/>
      <family val="2"/>
      <scheme val="minor"/>
    </font>
    <font>
      <sz val="11"/>
      <color theme="1"/>
      <name val="Calibri"/>
      <scheme val="minor"/>
    </font>
    <font>
      <b/>
      <sz val="10"/>
      <color theme="1"/>
      <name val="Garamond"/>
      <family val="1"/>
    </font>
    <font>
      <sz val="11"/>
      <color rgb="FF242424"/>
      <name val="Aptos Narrow"/>
      <family val="2"/>
    </font>
    <font>
      <sz val="11"/>
      <color rgb="FF000000"/>
      <name val="Calibri"/>
      <family val="2"/>
      <scheme val="minor"/>
    </font>
  </fonts>
  <fills count="42">
    <fill>
      <patternFill patternType="none"/>
    </fill>
    <fill>
      <patternFill patternType="gray125"/>
    </fill>
    <fill>
      <patternFill patternType="solid">
        <fgColor rgb="FFD8D8D8"/>
        <bgColor rgb="FFD8D8D8"/>
      </patternFill>
    </fill>
    <fill>
      <patternFill patternType="solid">
        <fgColor theme="4" tint="0.59999389629810485"/>
        <bgColor indexed="64"/>
      </patternFill>
    </fill>
    <fill>
      <patternFill patternType="solid">
        <fgColor rgb="FFFF66FF"/>
        <bgColor rgb="FF000000"/>
      </patternFill>
    </fill>
    <fill>
      <patternFill patternType="solid">
        <fgColor theme="8" tint="0.39997558519241921"/>
        <bgColor rgb="FFD8D8D8"/>
      </patternFill>
    </fill>
    <fill>
      <patternFill patternType="solid">
        <fgColor theme="8" tint="0.79998168889431442"/>
        <bgColor rgb="FF000000"/>
      </patternFill>
    </fill>
    <fill>
      <patternFill patternType="solid">
        <fgColor rgb="FFFFD5FF"/>
        <bgColor rgb="FF000000"/>
      </patternFill>
    </fill>
    <fill>
      <patternFill patternType="solid">
        <fgColor theme="0"/>
        <bgColor indexed="64"/>
      </patternFill>
    </fill>
    <fill>
      <patternFill patternType="solid">
        <fgColor rgb="FFD8D8D8"/>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theme="4" tint="0.39997558519241921"/>
        <bgColor rgb="FFD8D8D8"/>
      </patternFill>
    </fill>
    <fill>
      <patternFill patternType="solid">
        <fgColor theme="8" tint="0.39997558519241921"/>
        <bgColor indexed="64"/>
      </patternFill>
    </fill>
    <fill>
      <patternFill patternType="solid">
        <fgColor theme="5" tint="0.59999389629810485"/>
        <bgColor indexed="64"/>
      </patternFill>
    </fill>
    <fill>
      <patternFill patternType="solid">
        <fgColor theme="9" tint="0.39997558519241921"/>
        <bgColor rgb="FFC5E0B3"/>
      </patternFill>
    </fill>
    <fill>
      <patternFill patternType="solid">
        <fgColor theme="9" tint="0.39997558519241921"/>
        <bgColor rgb="FFFFE599"/>
      </patternFill>
    </fill>
    <fill>
      <patternFill patternType="solid">
        <fgColor theme="9" tint="0.79998168889431442"/>
        <bgColor indexed="64"/>
      </patternFill>
    </fill>
    <fill>
      <patternFill patternType="solid">
        <fgColor rgb="FFFFE9A3"/>
        <bgColor indexed="64"/>
      </patternFill>
    </fill>
    <fill>
      <patternFill patternType="solid">
        <fgColor theme="2" tint="-9.9978637043366805E-2"/>
        <bgColor rgb="FFD8D8D8"/>
      </patternFill>
    </fill>
    <fill>
      <patternFill patternType="solid">
        <fgColor theme="0" tint="-0.14999847407452621"/>
        <bgColor indexed="64"/>
      </patternFill>
    </fill>
    <fill>
      <patternFill patternType="solid">
        <fgColor rgb="FFF7E1F5"/>
        <bgColor rgb="FFFFCCFF"/>
      </patternFill>
    </fill>
    <fill>
      <patternFill patternType="solid">
        <fgColor theme="2" tint="-9.9978637043366805E-2"/>
        <bgColor indexed="64"/>
      </patternFill>
    </fill>
    <fill>
      <patternFill patternType="solid">
        <fgColor rgb="FFF7E1F5"/>
        <bgColor indexed="64"/>
      </patternFill>
    </fill>
    <fill>
      <patternFill patternType="solid">
        <fgColor theme="0" tint="-0.14996795556505021"/>
        <bgColor indexed="64"/>
      </patternFill>
    </fill>
    <fill>
      <patternFill patternType="solid">
        <fgColor theme="7" tint="0.79998168889431442"/>
        <bgColor indexed="64"/>
      </patternFill>
    </fill>
    <fill>
      <patternFill patternType="solid">
        <fgColor theme="0"/>
        <bgColor rgb="FF000000"/>
      </patternFill>
    </fill>
    <fill>
      <patternFill patternType="solid">
        <fgColor theme="2" tint="-9.9978637043366805E-2"/>
        <bgColor rgb="FF00FFFF"/>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9" tint="0.39997558519241921"/>
        <bgColor rgb="FFD8D8D8"/>
      </patternFill>
    </fill>
    <fill>
      <patternFill patternType="solid">
        <fgColor theme="9" tint="0.39997558519241921"/>
        <bgColor rgb="FF000000"/>
      </patternFill>
    </fill>
    <fill>
      <patternFill patternType="solid">
        <fgColor theme="5" tint="0.39997558519241921"/>
        <bgColor indexed="64"/>
      </patternFill>
    </fill>
    <fill>
      <patternFill patternType="solid">
        <fgColor theme="5" tint="0.79998168889431442"/>
        <bgColor rgb="FFFCE5CD"/>
      </patternFill>
    </fill>
    <fill>
      <patternFill patternType="solid">
        <fgColor theme="5" tint="0.79998168889431442"/>
        <bgColor indexed="64"/>
      </patternFill>
    </fill>
    <fill>
      <patternFill patternType="solid">
        <fgColor theme="5" tint="0.79998168889431442"/>
        <bgColor rgb="FFD8D8D8"/>
      </patternFill>
    </fill>
    <fill>
      <patternFill patternType="solid">
        <fgColor theme="7" tint="0.59999389629810485"/>
        <bgColor indexed="64"/>
      </patternFill>
    </fill>
    <fill>
      <patternFill patternType="solid">
        <fgColor theme="6" tint="0.39997558519241921"/>
        <bgColor indexed="64"/>
      </patternFill>
    </fill>
    <fill>
      <patternFill patternType="solid">
        <fgColor theme="0" tint="-0.14999847407452621"/>
        <bgColor rgb="FFFFCCFF"/>
      </patternFill>
    </fill>
    <fill>
      <patternFill patternType="solid">
        <fgColor theme="9" tint="0.59999389629810485"/>
        <bgColor indexed="64"/>
      </patternFill>
    </fill>
    <fill>
      <patternFill patternType="solid">
        <fgColor theme="2" tint="-9.9978637043366805E-2"/>
        <bgColor rgb="FFFFCCFF"/>
      </patternFill>
    </fill>
  </fills>
  <borders count="3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indexed="64"/>
      </left>
      <right/>
      <top/>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7">
    <xf numFmtId="0" fontId="0" fillId="0" borderId="0"/>
    <xf numFmtId="44" fontId="15" fillId="0" borderId="0" applyFont="0" applyFill="0" applyBorder="0" applyAlignment="0" applyProtection="0"/>
    <xf numFmtId="0" fontId="9" fillId="0" borderId="0"/>
    <xf numFmtId="9" fontId="21" fillId="0" borderId="0" applyFont="0" applyFill="0" applyBorder="0" applyAlignment="0" applyProtection="0"/>
    <xf numFmtId="0" fontId="8" fillId="0" borderId="0"/>
    <xf numFmtId="44" fontId="8" fillId="0" borderId="0" applyFont="0" applyFill="0" applyBorder="0" applyAlignment="0" applyProtection="0"/>
    <xf numFmtId="9" fontId="8" fillId="0" borderId="0" applyFont="0" applyFill="0" applyBorder="0" applyAlignment="0" applyProtection="0"/>
    <xf numFmtId="0" fontId="8" fillId="0" borderId="0"/>
    <xf numFmtId="0" fontId="7" fillId="0" borderId="0"/>
    <xf numFmtId="44" fontId="7" fillId="0" borderId="0" applyFont="0" applyFill="0" applyBorder="0" applyAlignment="0" applyProtection="0"/>
    <xf numFmtId="0" fontId="7" fillId="0" borderId="0"/>
    <xf numFmtId="0" fontId="37" fillId="0" borderId="0"/>
    <xf numFmtId="0" fontId="4" fillId="0" borderId="0"/>
    <xf numFmtId="9" fontId="4" fillId="0" borderId="0" applyFont="0" applyFill="0" applyBorder="0" applyAlignment="0" applyProtection="0"/>
    <xf numFmtId="44" fontId="4"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cellStyleXfs>
  <cellXfs count="453">
    <xf numFmtId="0" fontId="0" fillId="0" borderId="0" xfId="0"/>
    <xf numFmtId="0" fontId="14" fillId="0" borderId="1" xfId="0" applyFont="1" applyBorder="1" applyAlignment="1">
      <alignment horizontal="center" vertical="center" wrapText="1"/>
    </xf>
    <xf numFmtId="0" fontId="14" fillId="0" borderId="0" xfId="0" applyFont="1" applyAlignment="1">
      <alignment horizontal="center" vertical="center"/>
    </xf>
    <xf numFmtId="0" fontId="14" fillId="8" borderId="1" xfId="0" applyFont="1" applyFill="1" applyBorder="1" applyAlignment="1">
      <alignment horizontal="center" vertical="center" wrapText="1"/>
    </xf>
    <xf numFmtId="0" fontId="14" fillId="10" borderId="1" xfId="0" applyFont="1" applyFill="1" applyBorder="1" applyAlignment="1">
      <alignment horizontal="center" vertical="center" wrapText="1"/>
    </xf>
    <xf numFmtId="166" fontId="14" fillId="0" borderId="1" xfId="1" applyNumberFormat="1" applyFont="1" applyFill="1" applyBorder="1" applyAlignment="1">
      <alignment horizontal="center" vertical="center"/>
    </xf>
    <xf numFmtId="0" fontId="14" fillId="0" borderId="0" xfId="4" applyFont="1"/>
    <xf numFmtId="9" fontId="14" fillId="0" borderId="1" xfId="6" applyFont="1" applyFill="1" applyBorder="1" applyAlignment="1">
      <alignment horizontal="center" vertical="center"/>
    </xf>
    <xf numFmtId="0" fontId="20"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4" fillId="0" borderId="1" xfId="0" applyFont="1" applyBorder="1" applyAlignment="1">
      <alignment horizontal="justify" vertical="center" wrapText="1"/>
    </xf>
    <xf numFmtId="0" fontId="10" fillId="0" borderId="0" xfId="4" applyFont="1" applyAlignment="1">
      <alignment vertical="center"/>
    </xf>
    <xf numFmtId="0" fontId="10" fillId="0" borderId="0" xfId="4" applyFont="1" applyAlignment="1">
      <alignment horizontal="left" vertical="center" wrapText="1"/>
    </xf>
    <xf numFmtId="164" fontId="10" fillId="0" borderId="0" xfId="4" applyNumberFormat="1" applyFont="1" applyAlignment="1">
      <alignment vertical="center"/>
    </xf>
    <xf numFmtId="164" fontId="10" fillId="0" borderId="0" xfId="4" applyNumberFormat="1" applyFont="1" applyAlignment="1">
      <alignment horizontal="right" vertical="center"/>
    </xf>
    <xf numFmtId="0" fontId="10" fillId="0" borderId="0" xfId="4" applyFont="1" applyAlignment="1">
      <alignment horizontal="center" vertical="center"/>
    </xf>
    <xf numFmtId="0" fontId="10" fillId="0" borderId="0" xfId="4" applyFont="1" applyAlignment="1">
      <alignment horizontal="left" vertical="center"/>
    </xf>
    <xf numFmtId="3" fontId="27" fillId="0" borderId="0" xfId="4" applyNumberFormat="1" applyFont="1"/>
    <xf numFmtId="0" fontId="8" fillId="8" borderId="0" xfId="4" applyFill="1"/>
    <xf numFmtId="0" fontId="14" fillId="8" borderId="0" xfId="4" applyFont="1" applyFill="1"/>
    <xf numFmtId="166" fontId="14" fillId="8" borderId="1" xfId="5" applyNumberFormat="1" applyFont="1" applyFill="1" applyBorder="1" applyAlignment="1">
      <alignment vertical="center"/>
    </xf>
    <xf numFmtId="164" fontId="24" fillId="8" borderId="1" xfId="4" applyNumberFormat="1" applyFont="1" applyFill="1" applyBorder="1" applyAlignment="1">
      <alignment horizontal="right" vertical="center"/>
    </xf>
    <xf numFmtId="9" fontId="14" fillId="8" borderId="1" xfId="6" applyFont="1" applyFill="1" applyBorder="1" applyAlignment="1">
      <alignment horizontal="center" vertical="center"/>
    </xf>
    <xf numFmtId="169" fontId="14" fillId="8" borderId="1" xfId="5" applyNumberFormat="1" applyFont="1" applyFill="1" applyBorder="1" applyAlignment="1">
      <alignment horizontal="right" vertical="center"/>
    </xf>
    <xf numFmtId="164" fontId="14" fillId="8" borderId="1" xfId="5" applyNumberFormat="1" applyFont="1" applyFill="1" applyBorder="1" applyAlignment="1">
      <alignment horizontal="right" vertical="center"/>
    </xf>
    <xf numFmtId="164" fontId="14" fillId="8" borderId="1" xfId="4" applyNumberFormat="1" applyFont="1" applyFill="1" applyBorder="1" applyAlignment="1">
      <alignment horizontal="center"/>
    </xf>
    <xf numFmtId="6" fontId="14" fillId="8" borderId="1" xfId="4" applyNumberFormat="1" applyFont="1" applyFill="1" applyBorder="1"/>
    <xf numFmtId="0" fontId="28" fillId="8" borderId="1" xfId="4" applyFont="1" applyFill="1" applyBorder="1" applyAlignment="1">
      <alignment horizontal="center" vertical="center" wrapText="1"/>
    </xf>
    <xf numFmtId="0" fontId="29" fillId="8" borderId="1" xfId="4" applyFont="1" applyFill="1" applyBorder="1" applyAlignment="1">
      <alignment horizontal="left" vertical="center" wrapText="1"/>
    </xf>
    <xf numFmtId="0" fontId="29" fillId="8" borderId="1" xfId="4" applyFont="1" applyFill="1" applyBorder="1" applyAlignment="1">
      <alignment horizontal="center" vertical="center" wrapText="1"/>
    </xf>
    <xf numFmtId="0" fontId="29" fillId="8" borderId="1" xfId="4" applyFont="1" applyFill="1" applyBorder="1" applyAlignment="1">
      <alignment horizontal="left" vertical="center"/>
    </xf>
    <xf numFmtId="0" fontId="29" fillId="8" borderId="1" xfId="4" applyFont="1" applyFill="1" applyBorder="1" applyAlignment="1">
      <alignment horizontal="center" vertical="center"/>
    </xf>
    <xf numFmtId="0" fontId="28" fillId="8" borderId="1" xfId="4" applyFont="1" applyFill="1" applyBorder="1" applyAlignment="1">
      <alignment horizontal="left" vertical="center" wrapText="1"/>
    </xf>
    <xf numFmtId="164" fontId="14" fillId="0" borderId="1" xfId="4" applyNumberFormat="1" applyFont="1" applyBorder="1" applyAlignment="1">
      <alignment horizontal="center"/>
    </xf>
    <xf numFmtId="0" fontId="28" fillId="8" borderId="1" xfId="4" applyFont="1" applyFill="1" applyBorder="1" applyAlignment="1">
      <alignment horizontal="justify" vertical="center" wrapText="1"/>
    </xf>
    <xf numFmtId="6" fontId="14" fillId="0" borderId="1" xfId="4" applyNumberFormat="1" applyFont="1" applyBorder="1"/>
    <xf numFmtId="0" fontId="8" fillId="0" borderId="0" xfId="4"/>
    <xf numFmtId="166" fontId="14" fillId="0" borderId="1" xfId="5" applyNumberFormat="1" applyFont="1" applyFill="1" applyBorder="1" applyAlignment="1">
      <alignment vertical="center"/>
    </xf>
    <xf numFmtId="164" fontId="24" fillId="0" borderId="1" xfId="4" applyNumberFormat="1" applyFont="1" applyBorder="1" applyAlignment="1">
      <alignment horizontal="right" vertical="center"/>
    </xf>
    <xf numFmtId="169" fontId="14" fillId="0" borderId="1" xfId="5" applyNumberFormat="1" applyFont="1" applyFill="1" applyBorder="1" applyAlignment="1">
      <alignment horizontal="right" vertical="center"/>
    </xf>
    <xf numFmtId="164" fontId="14" fillId="0" borderId="1" xfId="5" applyNumberFormat="1" applyFont="1" applyFill="1" applyBorder="1" applyAlignment="1">
      <alignment horizontal="right" vertical="center"/>
    </xf>
    <xf numFmtId="0" fontId="28" fillId="0" borderId="1" xfId="4" applyFont="1" applyBorder="1" applyAlignment="1">
      <alignment horizontal="center" vertical="center" wrapText="1"/>
    </xf>
    <xf numFmtId="0" fontId="28" fillId="0" borderId="1" xfId="4" applyFont="1" applyBorder="1" applyAlignment="1">
      <alignment horizontal="left" vertical="center" wrapText="1"/>
    </xf>
    <xf numFmtId="0" fontId="28" fillId="0" borderId="1" xfId="4" applyFont="1" applyBorder="1" applyAlignment="1">
      <alignment horizontal="justify" vertical="center" wrapText="1"/>
    </xf>
    <xf numFmtId="164" fontId="20" fillId="8" borderId="1" xfId="5" applyNumberFormat="1" applyFont="1" applyFill="1" applyBorder="1" applyAlignment="1">
      <alignment horizontal="center" vertical="center" wrapText="1"/>
    </xf>
    <xf numFmtId="0" fontId="32" fillId="8" borderId="1" xfId="4" applyFont="1" applyFill="1" applyBorder="1" applyAlignment="1">
      <alignment horizontal="left" vertical="center" wrapText="1"/>
    </xf>
    <xf numFmtId="0" fontId="32" fillId="8" borderId="1" xfId="4" applyFont="1" applyFill="1" applyBorder="1" applyAlignment="1">
      <alignment horizontal="center" vertical="center" wrapText="1"/>
    </xf>
    <xf numFmtId="0" fontId="30" fillId="0" borderId="1" xfId="4" applyFont="1" applyBorder="1" applyAlignment="1">
      <alignment horizontal="right" vertical="center"/>
    </xf>
    <xf numFmtId="0" fontId="10" fillId="0" borderId="1" xfId="4" applyFont="1" applyBorder="1" applyAlignment="1">
      <alignment vertical="center" wrapText="1"/>
    </xf>
    <xf numFmtId="164" fontId="10" fillId="0" borderId="1" xfId="4" applyNumberFormat="1" applyFont="1" applyBorder="1" applyAlignment="1">
      <alignment horizontal="center" vertical="center"/>
    </xf>
    <xf numFmtId="166" fontId="0" fillId="8" borderId="1" xfId="5" applyNumberFormat="1" applyFont="1" applyFill="1" applyBorder="1" applyAlignment="1">
      <alignment horizontal="center" vertical="center"/>
    </xf>
    <xf numFmtId="0" fontId="24" fillId="8" borderId="1" xfId="4" applyFont="1" applyFill="1" applyBorder="1" applyAlignment="1">
      <alignment horizontal="center" vertical="center" wrapText="1"/>
    </xf>
    <xf numFmtId="166" fontId="26" fillId="27" borderId="1" xfId="5" applyNumberFormat="1" applyFont="1" applyFill="1" applyBorder="1" applyAlignment="1">
      <alignment horizontal="center" vertical="center" wrapText="1"/>
    </xf>
    <xf numFmtId="44" fontId="26" fillId="27" borderId="1" xfId="5" applyFont="1" applyFill="1" applyBorder="1" applyAlignment="1">
      <alignment horizontal="center" vertical="center" wrapText="1"/>
    </xf>
    <xf numFmtId="166" fontId="12" fillId="20" borderId="1" xfId="5" applyNumberFormat="1" applyFont="1" applyFill="1" applyBorder="1" applyAlignment="1">
      <alignment horizontal="center" vertical="center" wrapText="1"/>
    </xf>
    <xf numFmtId="0" fontId="12" fillId="20" borderId="1" xfId="4" applyFont="1" applyFill="1" applyBorder="1" applyAlignment="1">
      <alignment horizontal="center" vertical="center" wrapText="1"/>
    </xf>
    <xf numFmtId="0" fontId="12" fillId="29" borderId="1" xfId="4" applyFont="1" applyFill="1" applyBorder="1" applyAlignment="1">
      <alignment horizontal="center" vertical="center" wrapText="1"/>
    </xf>
    <xf numFmtId="0" fontId="14" fillId="0" borderId="1" xfId="0" applyFont="1" applyBorder="1" applyAlignment="1">
      <alignment horizontal="center" vertical="center"/>
    </xf>
    <xf numFmtId="0" fontId="16" fillId="0" borderId="0" xfId="0" applyFont="1" applyAlignment="1">
      <alignment horizontal="center" vertical="center" wrapText="1"/>
    </xf>
    <xf numFmtId="166" fontId="14" fillId="10" borderId="1" xfId="1" applyNumberFormat="1" applyFont="1" applyFill="1" applyBorder="1" applyAlignment="1">
      <alignment horizontal="center" vertical="center"/>
    </xf>
    <xf numFmtId="0" fontId="14" fillId="0" borderId="0" xfId="0" applyFont="1" applyAlignment="1">
      <alignment horizontal="center" vertical="center" wrapText="1"/>
    </xf>
    <xf numFmtId="3" fontId="14"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3" fontId="20" fillId="0" borderId="1" xfId="0" applyNumberFormat="1" applyFont="1" applyBorder="1" applyAlignment="1">
      <alignment horizontal="center" vertical="center" wrapText="1"/>
    </xf>
    <xf numFmtId="0" fontId="13" fillId="0" borderId="1" xfId="0" applyFont="1" applyBorder="1" applyAlignment="1">
      <alignment horizontal="center" vertical="center"/>
    </xf>
    <xf numFmtId="0" fontId="14" fillId="35" borderId="0" xfId="0" applyFont="1" applyFill="1" applyAlignment="1">
      <alignment horizontal="center" vertical="center"/>
    </xf>
    <xf numFmtId="0" fontId="13" fillId="0" borderId="18" xfId="0" applyFont="1" applyBorder="1" applyAlignment="1">
      <alignment horizontal="center" vertical="center"/>
    </xf>
    <xf numFmtId="0" fontId="18" fillId="0" borderId="0" xfId="0" applyFont="1" applyAlignment="1">
      <alignment horizontal="center" vertical="center"/>
    </xf>
    <xf numFmtId="0" fontId="14" fillId="0" borderId="0" xfId="0" applyFont="1" applyAlignment="1">
      <alignment vertical="center"/>
    </xf>
    <xf numFmtId="0" fontId="13" fillId="0" borderId="0" xfId="0" applyFont="1" applyAlignment="1">
      <alignment horizontal="center" vertical="center"/>
    </xf>
    <xf numFmtId="0" fontId="14" fillId="0" borderId="15" xfId="0" applyFont="1" applyBorder="1" applyAlignment="1">
      <alignment horizontal="center" vertical="center"/>
    </xf>
    <xf numFmtId="0" fontId="14" fillId="0" borderId="16" xfId="0" applyFont="1" applyBorder="1" applyAlignment="1">
      <alignment horizontal="center" vertical="center"/>
    </xf>
    <xf numFmtId="0" fontId="13" fillId="0" borderId="16" xfId="0" applyFont="1" applyBorder="1" applyAlignment="1">
      <alignment horizontal="center" vertical="center"/>
    </xf>
    <xf numFmtId="164" fontId="14" fillId="0" borderId="16" xfId="0" applyNumberFormat="1" applyFont="1" applyBorder="1" applyAlignment="1">
      <alignment horizontal="center" vertical="center"/>
    </xf>
    <xf numFmtId="44" fontId="14" fillId="0" borderId="16" xfId="1" applyFont="1" applyBorder="1" applyAlignment="1">
      <alignment horizontal="center" vertical="center"/>
    </xf>
    <xf numFmtId="0" fontId="14" fillId="0" borderId="17" xfId="0" applyFont="1" applyBorder="1" applyAlignment="1">
      <alignment horizontal="center" vertical="center" wrapText="1"/>
    </xf>
    <xf numFmtId="164" fontId="14" fillId="0" borderId="1" xfId="0" applyNumberFormat="1" applyFont="1" applyBorder="1" applyAlignment="1">
      <alignment horizontal="center" vertical="center"/>
    </xf>
    <xf numFmtId="44" fontId="14" fillId="0" borderId="1" xfId="1" applyFont="1" applyBorder="1" applyAlignment="1">
      <alignment horizontal="center" vertical="center"/>
    </xf>
    <xf numFmtId="0" fontId="14" fillId="0" borderId="19" xfId="0" applyFont="1" applyBorder="1" applyAlignment="1">
      <alignment horizontal="center" vertical="center" wrapText="1"/>
    </xf>
    <xf numFmtId="0" fontId="16" fillId="0" borderId="1" xfId="0" applyFont="1" applyBorder="1" applyAlignment="1">
      <alignment horizontal="center" vertical="center" wrapText="1"/>
    </xf>
    <xf numFmtId="166" fontId="16" fillId="14" borderId="1" xfId="0" applyNumberFormat="1" applyFont="1" applyFill="1" applyBorder="1" applyAlignment="1">
      <alignment horizontal="center" vertical="center" wrapText="1"/>
    </xf>
    <xf numFmtId="166" fontId="16" fillId="3" borderId="1" xfId="0" applyNumberFormat="1" applyFont="1" applyFill="1" applyBorder="1" applyAlignment="1">
      <alignment horizontal="center" vertical="center" wrapText="1"/>
    </xf>
    <xf numFmtId="164" fontId="26" fillId="7" borderId="1" xfId="0" applyNumberFormat="1" applyFont="1" applyFill="1" applyBorder="1" applyAlignment="1">
      <alignment horizontal="center" vertical="center" wrapText="1"/>
    </xf>
    <xf numFmtId="0" fontId="26" fillId="7" borderId="1" xfId="0" applyFont="1" applyFill="1" applyBorder="1" applyAlignment="1">
      <alignment horizontal="center" vertical="center" wrapText="1"/>
    </xf>
    <xf numFmtId="0" fontId="13" fillId="9" borderId="1" xfId="0" applyFont="1" applyFill="1" applyBorder="1" applyAlignment="1">
      <alignment horizontal="center" vertical="center" wrapText="1"/>
    </xf>
    <xf numFmtId="171" fontId="16" fillId="2" borderId="1" xfId="0" applyNumberFormat="1" applyFont="1" applyFill="1" applyBorder="1" applyAlignment="1">
      <alignment horizontal="center" vertical="center" wrapText="1"/>
    </xf>
    <xf numFmtId="5" fontId="13" fillId="2" borderId="1" xfId="0" applyNumberFormat="1" applyFont="1" applyFill="1" applyBorder="1" applyAlignment="1">
      <alignment horizontal="center" vertical="center" wrapText="1" readingOrder="1"/>
    </xf>
    <xf numFmtId="0" fontId="26" fillId="0" borderId="1" xfId="0" applyFont="1" applyBorder="1" applyAlignment="1">
      <alignment horizontal="center" vertical="center" wrapText="1"/>
    </xf>
    <xf numFmtId="0" fontId="24" fillId="0" borderId="19" xfId="0" applyFont="1" applyBorder="1" applyAlignment="1">
      <alignment horizontal="center" vertical="center" wrapText="1"/>
    </xf>
    <xf numFmtId="0" fontId="16" fillId="0" borderId="18" xfId="0" applyFont="1" applyBorder="1" applyAlignment="1">
      <alignment horizontal="center" vertical="center"/>
    </xf>
    <xf numFmtId="0" fontId="16" fillId="0" borderId="1" xfId="0" applyFont="1" applyBorder="1" applyAlignment="1">
      <alignment horizontal="center" vertical="center"/>
    </xf>
    <xf numFmtId="44" fontId="16" fillId="0" borderId="1" xfId="1" applyFont="1" applyFill="1" applyBorder="1" applyAlignment="1">
      <alignment horizontal="center" vertical="center" wrapText="1"/>
    </xf>
    <xf numFmtId="0" fontId="16" fillId="15" borderId="1" xfId="0" applyFont="1" applyFill="1" applyBorder="1" applyAlignment="1">
      <alignment horizontal="center" vertical="center"/>
    </xf>
    <xf numFmtId="0" fontId="16" fillId="16" borderId="1" xfId="0" applyFont="1" applyFill="1" applyBorder="1" applyAlignment="1">
      <alignment horizontal="center" vertical="center" wrapText="1"/>
    </xf>
    <xf numFmtId="0" fontId="26" fillId="0" borderId="1" xfId="0" applyFont="1" applyBorder="1" applyAlignment="1">
      <alignment horizontal="center" vertical="center"/>
    </xf>
    <xf numFmtId="0" fontId="16" fillId="15" borderId="1" xfId="0" applyFont="1" applyFill="1" applyBorder="1" applyAlignment="1">
      <alignment vertical="center"/>
    </xf>
    <xf numFmtId="0" fontId="16" fillId="16" borderId="1" xfId="0" applyFont="1" applyFill="1" applyBorder="1" applyAlignment="1">
      <alignment vertical="center"/>
    </xf>
    <xf numFmtId="0" fontId="14" fillId="10" borderId="1" xfId="0" applyFont="1" applyFill="1" applyBorder="1" applyAlignment="1">
      <alignment horizontal="center" vertical="center"/>
    </xf>
    <xf numFmtId="164" fontId="14" fillId="0" borderId="0" xfId="0" applyNumberFormat="1" applyFont="1" applyAlignment="1">
      <alignment horizontal="center" vertical="center"/>
    </xf>
    <xf numFmtId="44" fontId="14" fillId="0" borderId="0" xfId="1" applyFont="1" applyFill="1" applyAlignment="1">
      <alignment horizontal="center" vertical="center"/>
    </xf>
    <xf numFmtId="44" fontId="14" fillId="0" borderId="0" xfId="1" applyFont="1" applyAlignment="1">
      <alignment horizontal="center" vertical="center"/>
    </xf>
    <xf numFmtId="0" fontId="13" fillId="10" borderId="1" xfId="0" applyFont="1" applyFill="1" applyBorder="1" applyAlignment="1">
      <alignment horizontal="center" vertical="center" wrapText="1"/>
    </xf>
    <xf numFmtId="9" fontId="24" fillId="0" borderId="1" xfId="3" applyFont="1" applyFill="1" applyBorder="1" applyAlignment="1">
      <alignment horizontal="center" vertical="center" wrapText="1"/>
    </xf>
    <xf numFmtId="9" fontId="24" fillId="32" borderId="1" xfId="3" applyFont="1" applyFill="1" applyBorder="1" applyAlignment="1">
      <alignment horizontal="center" vertical="center" wrapText="1"/>
    </xf>
    <xf numFmtId="9" fontId="24" fillId="10" borderId="1" xfId="3" applyFont="1" applyFill="1" applyBorder="1" applyAlignment="1">
      <alignment horizontal="center" vertical="center" wrapText="1"/>
    </xf>
    <xf numFmtId="166" fontId="14" fillId="0" borderId="1" xfId="1" applyNumberFormat="1" applyFont="1" applyFill="1" applyBorder="1" applyAlignment="1">
      <alignment horizontal="center" vertical="center" wrapText="1"/>
    </xf>
    <xf numFmtId="166" fontId="14" fillId="0" borderId="1" xfId="1" applyNumberFormat="1" applyFont="1" applyBorder="1" applyAlignment="1">
      <alignment horizontal="center" vertical="center" wrapText="1"/>
    </xf>
    <xf numFmtId="166" fontId="24" fillId="0" borderId="1" xfId="1" applyNumberFormat="1" applyFont="1" applyBorder="1" applyAlignment="1">
      <alignment horizontal="center" vertical="center" wrapText="1"/>
    </xf>
    <xf numFmtId="166" fontId="24" fillId="0" borderId="1" xfId="1" applyNumberFormat="1" applyFont="1" applyFill="1" applyBorder="1" applyAlignment="1">
      <alignment horizontal="center" vertical="center" wrapText="1"/>
    </xf>
    <xf numFmtId="166" fontId="14" fillId="0" borderId="1" xfId="1" applyNumberFormat="1" applyFont="1" applyBorder="1" applyAlignment="1">
      <alignment horizontal="center" vertical="center"/>
    </xf>
    <xf numFmtId="166" fontId="20" fillId="0" borderId="1" xfId="1" applyNumberFormat="1" applyFont="1" applyBorder="1" applyAlignment="1">
      <alignment horizontal="center" vertical="center"/>
    </xf>
    <xf numFmtId="166" fontId="20" fillId="0" borderId="1" xfId="1" applyNumberFormat="1" applyFont="1" applyFill="1" applyBorder="1" applyAlignment="1">
      <alignment horizontal="center" vertical="center"/>
    </xf>
    <xf numFmtId="166" fontId="14" fillId="10" borderId="1" xfId="1" applyNumberFormat="1" applyFont="1" applyFill="1" applyBorder="1" applyAlignment="1">
      <alignment horizontal="center" vertical="center" wrapText="1"/>
    </xf>
    <xf numFmtId="166" fontId="20" fillId="15" borderId="1" xfId="1" applyNumberFormat="1" applyFont="1" applyFill="1" applyBorder="1" applyAlignment="1">
      <alignment horizontal="center" vertical="center"/>
    </xf>
    <xf numFmtId="166" fontId="24" fillId="32" borderId="1" xfId="1" applyNumberFormat="1" applyFont="1" applyFill="1" applyBorder="1" applyAlignment="1">
      <alignment horizontal="center" vertical="center" wrapText="1"/>
    </xf>
    <xf numFmtId="166" fontId="14" fillId="31" borderId="1" xfId="1" applyNumberFormat="1" applyFont="1" applyFill="1" applyBorder="1" applyAlignment="1">
      <alignment horizontal="center" vertical="center" wrapText="1"/>
    </xf>
    <xf numFmtId="166" fontId="20" fillId="16" borderId="1" xfId="1" applyNumberFormat="1" applyFont="1" applyFill="1" applyBorder="1" applyAlignment="1">
      <alignment horizontal="center" vertical="center" wrapText="1"/>
    </xf>
    <xf numFmtId="166" fontId="24" fillId="10" borderId="1" xfId="1" applyNumberFormat="1" applyFont="1" applyFill="1" applyBorder="1" applyAlignment="1">
      <alignment horizontal="center" vertical="center" wrapText="1"/>
    </xf>
    <xf numFmtId="166" fontId="20" fillId="15" borderId="1" xfId="1" applyNumberFormat="1" applyFont="1" applyFill="1" applyBorder="1" applyAlignment="1">
      <alignment vertical="center"/>
    </xf>
    <xf numFmtId="166" fontId="20" fillId="16" borderId="1" xfId="1" applyNumberFormat="1" applyFont="1" applyFill="1" applyBorder="1" applyAlignment="1">
      <alignment vertical="center"/>
    </xf>
    <xf numFmtId="166" fontId="14" fillId="0" borderId="1" xfId="1" applyNumberFormat="1" applyFont="1" applyFill="1" applyBorder="1" applyAlignment="1">
      <alignment vertical="center" wrapText="1"/>
    </xf>
    <xf numFmtId="166" fontId="14" fillId="37" borderId="1" xfId="1" applyNumberFormat="1" applyFont="1" applyFill="1" applyBorder="1" applyAlignment="1">
      <alignment horizontal="center" vertical="center" wrapText="1"/>
    </xf>
    <xf numFmtId="166" fontId="16" fillId="14" borderId="1" xfId="0" applyNumberFormat="1" applyFont="1" applyFill="1" applyBorder="1" applyAlignment="1">
      <alignment vertical="center" wrapText="1"/>
    </xf>
    <xf numFmtId="0" fontId="16" fillId="15" borderId="18" xfId="0" applyFont="1" applyFill="1" applyBorder="1" applyAlignment="1">
      <alignment horizontal="center" vertical="center"/>
    </xf>
    <xf numFmtId="0" fontId="16" fillId="10" borderId="1" xfId="0" applyFont="1" applyFill="1" applyBorder="1" applyAlignment="1">
      <alignment horizontal="center" vertical="center"/>
    </xf>
    <xf numFmtId="0" fontId="16" fillId="16" borderId="18" xfId="0" applyFont="1" applyFill="1" applyBorder="1" applyAlignment="1">
      <alignment horizontal="center" vertical="center"/>
    </xf>
    <xf numFmtId="0" fontId="16" fillId="10" borderId="1" xfId="0" applyFont="1" applyFill="1" applyBorder="1" applyAlignment="1">
      <alignment horizontal="center" vertical="center" wrapText="1"/>
    </xf>
    <xf numFmtId="0" fontId="24" fillId="10" borderId="19" xfId="0" applyFont="1" applyFill="1" applyBorder="1" applyAlignment="1">
      <alignment horizontal="center" vertical="center" wrapText="1"/>
    </xf>
    <xf numFmtId="0" fontId="14" fillId="10" borderId="0" xfId="0" applyFont="1" applyFill="1" applyAlignment="1">
      <alignment horizontal="center" vertical="center"/>
    </xf>
    <xf numFmtId="0" fontId="16" fillId="10" borderId="18" xfId="0" applyFont="1" applyFill="1" applyBorder="1" applyAlignment="1">
      <alignment horizontal="center" vertical="center"/>
    </xf>
    <xf numFmtId="0" fontId="24" fillId="32" borderId="19" xfId="0" applyFont="1" applyFill="1" applyBorder="1" applyAlignment="1">
      <alignment horizontal="center" vertical="center" wrapText="1"/>
    </xf>
    <xf numFmtId="0" fontId="14" fillId="10" borderId="19" xfId="0" applyFont="1" applyFill="1" applyBorder="1" applyAlignment="1">
      <alignment horizontal="center" vertical="center" wrapText="1"/>
    </xf>
    <xf numFmtId="0" fontId="14" fillId="10" borderId="18" xfId="0" applyFont="1" applyFill="1" applyBorder="1" applyAlignment="1">
      <alignment horizontal="center" vertical="center"/>
    </xf>
    <xf numFmtId="0" fontId="16" fillId="10" borderId="1" xfId="0" applyFont="1" applyFill="1" applyBorder="1" applyAlignment="1">
      <alignment vertical="center"/>
    </xf>
    <xf numFmtId="0" fontId="20" fillId="10" borderId="18" xfId="0" applyFont="1" applyFill="1" applyBorder="1" applyAlignment="1">
      <alignment horizontal="center" vertical="center"/>
    </xf>
    <xf numFmtId="0" fontId="16" fillId="14" borderId="21" xfId="0" applyFont="1" applyFill="1" applyBorder="1" applyAlignment="1">
      <alignment horizontal="center" vertical="center"/>
    </xf>
    <xf numFmtId="166" fontId="20" fillId="14" borderId="21" xfId="1" applyNumberFormat="1" applyFont="1" applyFill="1" applyBorder="1" applyAlignment="1">
      <alignment horizontal="center" vertical="center"/>
    </xf>
    <xf numFmtId="166" fontId="14" fillId="14" borderId="21" xfId="1" applyNumberFormat="1" applyFont="1" applyFill="1" applyBorder="1" applyAlignment="1">
      <alignment horizontal="center" vertical="center"/>
    </xf>
    <xf numFmtId="166" fontId="24" fillId="14" borderId="21" xfId="1" applyNumberFormat="1" applyFont="1" applyFill="1" applyBorder="1" applyAlignment="1">
      <alignment horizontal="center" vertical="center"/>
    </xf>
    <xf numFmtId="0" fontId="14" fillId="14" borderId="22" xfId="0" applyFont="1" applyFill="1" applyBorder="1" applyAlignment="1">
      <alignment horizontal="center" vertical="center" wrapText="1"/>
    </xf>
    <xf numFmtId="0" fontId="14" fillId="14" borderId="0" xfId="0" applyFont="1" applyFill="1" applyAlignment="1">
      <alignment horizontal="center" vertical="center"/>
    </xf>
    <xf numFmtId="0" fontId="16" fillId="15" borderId="18" xfId="0" applyFont="1" applyFill="1" applyBorder="1" applyAlignment="1">
      <alignment vertical="center"/>
    </xf>
    <xf numFmtId="0" fontId="20" fillId="15" borderId="19" xfId="0" applyFont="1" applyFill="1" applyBorder="1" applyAlignment="1">
      <alignment vertical="center"/>
    </xf>
    <xf numFmtId="9" fontId="14" fillId="0" borderId="16" xfId="3" applyFont="1" applyBorder="1" applyAlignment="1">
      <alignment horizontal="center" vertical="center"/>
    </xf>
    <xf numFmtId="9" fontId="14" fillId="0" borderId="1" xfId="3" applyFont="1" applyBorder="1" applyAlignment="1">
      <alignment horizontal="center" vertical="center"/>
    </xf>
    <xf numFmtId="9" fontId="26" fillId="7" borderId="1" xfId="3" applyFont="1" applyFill="1" applyBorder="1" applyAlignment="1">
      <alignment horizontal="center" vertical="center" wrapText="1"/>
    </xf>
    <xf numFmtId="9" fontId="20" fillId="15" borderId="1" xfId="3" applyFont="1" applyFill="1" applyBorder="1" applyAlignment="1">
      <alignment vertical="center"/>
    </xf>
    <xf numFmtId="9" fontId="20" fillId="16" borderId="1" xfId="3" applyFont="1" applyFill="1" applyBorder="1" applyAlignment="1">
      <alignment vertical="center"/>
    </xf>
    <xf numFmtId="9" fontId="14" fillId="14" borderId="21" xfId="3" applyFont="1" applyFill="1" applyBorder="1" applyAlignment="1">
      <alignment horizontal="center" vertical="center"/>
    </xf>
    <xf numFmtId="9" fontId="14" fillId="0" borderId="0" xfId="3" applyFont="1" applyAlignment="1">
      <alignment horizontal="center" vertical="center"/>
    </xf>
    <xf numFmtId="9" fontId="14" fillId="0" borderId="0" xfId="3" applyFont="1" applyAlignment="1">
      <alignment vertical="center"/>
    </xf>
    <xf numFmtId="166" fontId="14" fillId="0" borderId="0" xfId="0" applyNumberFormat="1" applyFont="1" applyAlignment="1">
      <alignment vertical="center"/>
    </xf>
    <xf numFmtId="164" fontId="13" fillId="0" borderId="0" xfId="0" applyNumberFormat="1" applyFont="1" applyAlignment="1">
      <alignment horizontal="center" vertical="center"/>
    </xf>
    <xf numFmtId="0" fontId="7" fillId="0" borderId="0" xfId="8"/>
    <xf numFmtId="0" fontId="14" fillId="0" borderId="1" xfId="8" applyFont="1" applyBorder="1" applyAlignment="1">
      <alignment horizontal="center" vertical="center"/>
    </xf>
    <xf numFmtId="0" fontId="25" fillId="0" borderId="1" xfId="8" applyFont="1" applyBorder="1" applyAlignment="1">
      <alignment horizontal="center" vertical="center" wrapText="1"/>
    </xf>
    <xf numFmtId="0" fontId="25" fillId="0" borderId="1" xfId="8" applyFont="1" applyBorder="1" applyAlignment="1">
      <alignment horizontal="left" vertical="center" wrapText="1"/>
    </xf>
    <xf numFmtId="0" fontId="25" fillId="0" borderId="1" xfId="8" applyFont="1" applyBorder="1" applyAlignment="1">
      <alignment horizontal="center" vertical="center"/>
    </xf>
    <xf numFmtId="0" fontId="25" fillId="0" borderId="1" xfId="8" applyFont="1" applyBorder="1" applyAlignment="1">
      <alignment vertical="center" wrapText="1"/>
    </xf>
    <xf numFmtId="0" fontId="7" fillId="0" borderId="1" xfId="8" applyBorder="1" applyAlignment="1">
      <alignment horizontal="center" vertical="center"/>
    </xf>
    <xf numFmtId="0" fontId="7" fillId="0" borderId="1" xfId="8" applyBorder="1" applyAlignment="1">
      <alignment wrapText="1"/>
    </xf>
    <xf numFmtId="0" fontId="25" fillId="0" borderId="1" xfId="8" applyFont="1" applyBorder="1" applyAlignment="1">
      <alignment horizontal="left" vertical="center" wrapText="1" readingOrder="1"/>
    </xf>
    <xf numFmtId="0" fontId="7" fillId="0" borderId="1" xfId="8" applyBorder="1" applyAlignment="1">
      <alignment horizontal="center"/>
    </xf>
    <xf numFmtId="0" fontId="7" fillId="38" borderId="1" xfId="8" applyFill="1" applyBorder="1" applyAlignment="1">
      <alignment horizontal="center" vertical="center" wrapText="1"/>
    </xf>
    <xf numFmtId="5" fontId="13" fillId="2" borderId="1" xfId="8" applyNumberFormat="1" applyFont="1" applyFill="1" applyBorder="1" applyAlignment="1">
      <alignment horizontal="center" vertical="center" wrapText="1" readingOrder="1"/>
    </xf>
    <xf numFmtId="171" fontId="16" fillId="2" borderId="1" xfId="8" applyNumberFormat="1" applyFont="1" applyFill="1" applyBorder="1" applyAlignment="1">
      <alignment horizontal="center" vertical="center" wrapText="1"/>
    </xf>
    <xf numFmtId="169" fontId="13" fillId="39" borderId="1" xfId="4" applyNumberFormat="1" applyFont="1" applyFill="1" applyBorder="1" applyAlignment="1">
      <alignment horizontal="center" vertical="center" wrapText="1"/>
    </xf>
    <xf numFmtId="9" fontId="13" fillId="39" borderId="1" xfId="6" applyFont="1" applyFill="1" applyBorder="1" applyAlignment="1">
      <alignment horizontal="center" vertical="center" wrapText="1"/>
    </xf>
    <xf numFmtId="166" fontId="13" fillId="20" borderId="1" xfId="5" applyNumberFormat="1" applyFont="1" applyFill="1" applyBorder="1" applyAlignment="1">
      <alignment horizontal="center" vertical="center" wrapText="1"/>
    </xf>
    <xf numFmtId="164" fontId="24" fillId="35" borderId="1" xfId="4" applyNumberFormat="1" applyFont="1" applyFill="1" applyBorder="1" applyAlignment="1">
      <alignment horizontal="right" vertical="center"/>
    </xf>
    <xf numFmtId="0" fontId="12" fillId="30" borderId="1" xfId="4" applyFont="1" applyFill="1" applyBorder="1" applyAlignment="1">
      <alignment horizontal="center" vertical="center" wrapText="1"/>
    </xf>
    <xf numFmtId="5" fontId="11" fillId="2" borderId="1" xfId="4" applyNumberFormat="1" applyFont="1" applyFill="1" applyBorder="1" applyAlignment="1">
      <alignment horizontal="center" vertical="center" wrapText="1" readingOrder="1"/>
    </xf>
    <xf numFmtId="5" fontId="12" fillId="2" borderId="1" xfId="4" applyNumberFormat="1" applyFont="1" applyFill="1" applyBorder="1" applyAlignment="1">
      <alignment horizontal="center" vertical="center" wrapText="1"/>
    </xf>
    <xf numFmtId="170" fontId="33" fillId="8" borderId="1" xfId="4" applyNumberFormat="1" applyFont="1" applyFill="1" applyBorder="1" applyAlignment="1">
      <alignment horizontal="center" vertical="center" shrinkToFit="1"/>
    </xf>
    <xf numFmtId="164" fontId="25" fillId="0" borderId="1" xfId="4" applyNumberFormat="1" applyFont="1" applyBorder="1" applyAlignment="1">
      <alignment horizontal="center" vertical="center" readingOrder="1"/>
    </xf>
    <xf numFmtId="0" fontId="10" fillId="0" borderId="1" xfId="4" applyFont="1" applyBorder="1" applyAlignment="1">
      <alignment horizontal="center" vertical="center" wrapText="1"/>
    </xf>
    <xf numFmtId="0" fontId="20" fillId="26" borderId="1" xfId="4" applyFont="1" applyFill="1" applyBorder="1" applyAlignment="1">
      <alignment horizontal="center" vertical="center" wrapText="1"/>
    </xf>
    <xf numFmtId="164" fontId="14" fillId="8" borderId="1" xfId="4" applyNumberFormat="1" applyFont="1" applyFill="1" applyBorder="1" applyAlignment="1">
      <alignment horizontal="center" vertical="center"/>
    </xf>
    <xf numFmtId="0" fontId="30" fillId="8" borderId="18" xfId="4" applyFont="1" applyFill="1" applyBorder="1" applyAlignment="1">
      <alignment horizontal="center" vertical="center"/>
    </xf>
    <xf numFmtId="0" fontId="14" fillId="8" borderId="19" xfId="4" applyFont="1" applyFill="1" applyBorder="1" applyAlignment="1">
      <alignment horizontal="left" vertical="center" wrapText="1"/>
    </xf>
    <xf numFmtId="0" fontId="14" fillId="25" borderId="21" xfId="7" applyFont="1" applyFill="1" applyBorder="1" applyAlignment="1">
      <alignment horizontal="left" vertical="center" wrapText="1"/>
    </xf>
    <xf numFmtId="164" fontId="14" fillId="25" borderId="21" xfId="5" applyNumberFormat="1" applyFont="1" applyFill="1" applyBorder="1" applyAlignment="1">
      <alignment horizontal="center" vertical="center"/>
    </xf>
    <xf numFmtId="164" fontId="10" fillId="25" borderId="21" xfId="4" applyNumberFormat="1" applyFont="1" applyFill="1" applyBorder="1" applyAlignment="1">
      <alignment vertical="center"/>
    </xf>
    <xf numFmtId="0" fontId="10" fillId="25" borderId="21" xfId="4" applyFont="1" applyFill="1" applyBorder="1" applyAlignment="1">
      <alignment vertical="center"/>
    </xf>
    <xf numFmtId="0" fontId="10" fillId="25" borderId="21" xfId="4" applyFont="1" applyFill="1" applyBorder="1" applyAlignment="1">
      <alignment horizontal="center" vertical="center"/>
    </xf>
    <xf numFmtId="164" fontId="11" fillId="25" borderId="21" xfId="4" applyNumberFormat="1" applyFont="1" applyFill="1" applyBorder="1" applyAlignment="1">
      <alignment horizontal="right" vertical="center"/>
    </xf>
    <xf numFmtId="0" fontId="10" fillId="25" borderId="22" xfId="4" applyFont="1" applyFill="1" applyBorder="1" applyAlignment="1">
      <alignment horizontal="left" vertical="center" wrapText="1"/>
    </xf>
    <xf numFmtId="0" fontId="10" fillId="25" borderId="0" xfId="4" applyFont="1" applyFill="1" applyAlignment="1">
      <alignment vertical="center"/>
    </xf>
    <xf numFmtId="0" fontId="36" fillId="3" borderId="1" xfId="4" applyFont="1" applyFill="1" applyBorder="1" applyAlignment="1">
      <alignment horizontal="center" vertical="center" wrapText="1"/>
    </xf>
    <xf numFmtId="166" fontId="25" fillId="0" borderId="1" xfId="1" applyNumberFormat="1" applyFont="1" applyBorder="1" applyAlignment="1">
      <alignment vertical="center"/>
    </xf>
    <xf numFmtId="166" fontId="7" fillId="0" borderId="1" xfId="1" applyNumberFormat="1" applyFont="1" applyBorder="1"/>
    <xf numFmtId="166" fontId="7" fillId="0" borderId="1" xfId="1" applyNumberFormat="1" applyFont="1" applyBorder="1" applyAlignment="1">
      <alignment horizontal="center" vertical="center"/>
    </xf>
    <xf numFmtId="166" fontId="0" fillId="0" borderId="1" xfId="1" applyNumberFormat="1" applyFont="1" applyBorder="1"/>
    <xf numFmtId="166" fontId="10" fillId="0" borderId="1" xfId="1" applyNumberFormat="1" applyFont="1" applyBorder="1" applyAlignment="1">
      <alignment horizontal="center" vertical="center"/>
    </xf>
    <xf numFmtId="166" fontId="25" fillId="0" borderId="1" xfId="1" applyNumberFormat="1" applyFont="1" applyBorder="1" applyAlignment="1">
      <alignment horizontal="center" vertical="center"/>
    </xf>
    <xf numFmtId="166" fontId="35" fillId="0" borderId="1" xfId="1" applyNumberFormat="1" applyFont="1" applyBorder="1" applyAlignment="1">
      <alignment horizontal="center" vertical="center" wrapText="1"/>
    </xf>
    <xf numFmtId="166" fontId="6" fillId="0" borderId="1" xfId="1" applyNumberFormat="1" applyFont="1" applyBorder="1"/>
    <xf numFmtId="9" fontId="14" fillId="0" borderId="1" xfId="3" applyFont="1" applyFill="1" applyBorder="1" applyAlignment="1">
      <alignment horizontal="center" vertical="center"/>
    </xf>
    <xf numFmtId="0" fontId="36" fillId="25" borderId="26" xfId="8" applyFont="1" applyFill="1" applyBorder="1"/>
    <xf numFmtId="166" fontId="36" fillId="25" borderId="26" xfId="8" applyNumberFormat="1" applyFont="1" applyFill="1" applyBorder="1"/>
    <xf numFmtId="0" fontId="36" fillId="25" borderId="27" xfId="8" applyFont="1" applyFill="1" applyBorder="1"/>
    <xf numFmtId="166" fontId="24" fillId="17" borderId="1" xfId="1" applyNumberFormat="1" applyFont="1" applyFill="1" applyBorder="1" applyAlignment="1">
      <alignment horizontal="center" vertical="center"/>
    </xf>
    <xf numFmtId="166" fontId="7" fillId="0" borderId="1" xfId="1" applyNumberFormat="1" applyFont="1" applyBorder="1" applyAlignment="1">
      <alignment vertical="center" wrapText="1"/>
    </xf>
    <xf numFmtId="168" fontId="13" fillId="19" borderId="19" xfId="4" applyNumberFormat="1" applyFont="1" applyFill="1" applyBorder="1" applyAlignment="1">
      <alignment horizontal="center" vertical="center" wrapText="1"/>
    </xf>
    <xf numFmtId="0" fontId="25" fillId="0" borderId="18" xfId="8" applyFont="1" applyBorder="1" applyAlignment="1">
      <alignment horizontal="center" vertical="center"/>
    </xf>
    <xf numFmtId="166" fontId="6" fillId="0" borderId="19" xfId="1" applyNumberFormat="1" applyFont="1" applyBorder="1" applyAlignment="1">
      <alignment wrapText="1"/>
    </xf>
    <xf numFmtId="166" fontId="7" fillId="0" borderId="19" xfId="1" applyNumberFormat="1" applyFont="1" applyBorder="1" applyAlignment="1">
      <alignment wrapText="1"/>
    </xf>
    <xf numFmtId="0" fontId="25" fillId="0" borderId="20" xfId="8" applyFont="1" applyBorder="1" applyAlignment="1">
      <alignment horizontal="center" vertical="center"/>
    </xf>
    <xf numFmtId="0" fontId="6" fillId="0" borderId="21" xfId="8" applyFont="1" applyBorder="1"/>
    <xf numFmtId="0" fontId="25" fillId="0" borderId="21" xfId="8" applyFont="1" applyBorder="1" applyAlignment="1">
      <alignment vertical="center" wrapText="1"/>
    </xf>
    <xf numFmtId="0" fontId="25" fillId="0" borderId="21" xfId="8" applyFont="1" applyBorder="1" applyAlignment="1">
      <alignment horizontal="center" vertical="center" wrapText="1"/>
    </xf>
    <xf numFmtId="0" fontId="14" fillId="0" borderId="21" xfId="8" applyFont="1" applyBorder="1" applyAlignment="1">
      <alignment horizontal="center" vertical="center"/>
    </xf>
    <xf numFmtId="166" fontId="7" fillId="0" borderId="21" xfId="1" applyNumberFormat="1" applyFont="1" applyBorder="1"/>
    <xf numFmtId="166" fontId="20" fillId="0" borderId="21" xfId="1" applyNumberFormat="1" applyFont="1" applyBorder="1" applyAlignment="1">
      <alignment horizontal="center" vertical="center"/>
    </xf>
    <xf numFmtId="9" fontId="14" fillId="0" borderId="21" xfId="3" applyFont="1" applyFill="1" applyBorder="1" applyAlignment="1">
      <alignment horizontal="center" vertical="center"/>
    </xf>
    <xf numFmtId="166" fontId="14" fillId="0" borderId="21" xfId="1" applyNumberFormat="1" applyFont="1" applyFill="1" applyBorder="1" applyAlignment="1">
      <alignment horizontal="center" vertical="center"/>
    </xf>
    <xf numFmtId="166" fontId="24" fillId="17" borderId="21" xfId="1" applyNumberFormat="1" applyFont="1" applyFill="1" applyBorder="1" applyAlignment="1">
      <alignment horizontal="center" vertical="center"/>
    </xf>
    <xf numFmtId="166" fontId="7" fillId="0" borderId="22" xfId="1" applyNumberFormat="1" applyFont="1" applyBorder="1" applyAlignment="1">
      <alignment wrapText="1"/>
    </xf>
    <xf numFmtId="0" fontId="14" fillId="0" borderId="1" xfId="0" applyFont="1" applyBorder="1" applyAlignment="1">
      <alignment horizontal="left" vertical="center" wrapText="1"/>
    </xf>
    <xf numFmtId="0" fontId="0" fillId="0" borderId="1" xfId="0" applyBorder="1" applyAlignment="1">
      <alignment horizontal="center" vertical="center"/>
    </xf>
    <xf numFmtId="0" fontId="39" fillId="0" borderId="1" xfId="0" applyFont="1" applyBorder="1" applyAlignment="1">
      <alignment horizontal="center" vertical="center" wrapText="1"/>
    </xf>
    <xf numFmtId="0" fontId="4" fillId="0" borderId="1" xfId="0" applyFont="1" applyBorder="1" applyAlignment="1">
      <alignment vertical="center" wrapText="1"/>
    </xf>
    <xf numFmtId="0" fontId="39" fillId="0" borderId="1" xfId="0" applyFont="1" applyBorder="1" applyAlignment="1">
      <alignment vertical="center"/>
    </xf>
    <xf numFmtId="6" fontId="40" fillId="0" borderId="1" xfId="0" applyNumberFormat="1" applyFont="1" applyBorder="1" applyAlignment="1">
      <alignment horizontal="center" vertical="center"/>
    </xf>
    <xf numFmtId="164" fontId="10" fillId="0" borderId="1" xfId="12" applyNumberFormat="1" applyFont="1" applyBorder="1" applyAlignment="1">
      <alignment vertical="center"/>
    </xf>
    <xf numFmtId="6" fontId="40" fillId="0" borderId="1" xfId="0" applyNumberFormat="1" applyFont="1" applyBorder="1" applyAlignment="1">
      <alignment vertical="center"/>
    </xf>
    <xf numFmtId="164" fontId="10" fillId="0" borderId="31" xfId="12" applyNumberFormat="1" applyFont="1" applyBorder="1" applyAlignment="1">
      <alignment vertical="center"/>
    </xf>
    <xf numFmtId="0" fontId="0" fillId="0" borderId="1" xfId="0" applyBorder="1"/>
    <xf numFmtId="0" fontId="0" fillId="0" borderId="31" xfId="0" applyBorder="1"/>
    <xf numFmtId="164" fontId="0" fillId="0" borderId="1" xfId="0" applyNumberFormat="1" applyBorder="1" applyAlignment="1">
      <alignment horizontal="center" vertical="center"/>
    </xf>
    <xf numFmtId="9" fontId="0" fillId="0" borderId="1" xfId="13" applyFont="1" applyBorder="1" applyAlignment="1">
      <alignment horizontal="center" vertical="center"/>
    </xf>
    <xf numFmtId="166" fontId="14" fillId="0" borderId="6" xfId="14" applyNumberFormat="1" applyFont="1" applyFill="1" applyBorder="1" applyAlignment="1">
      <alignment horizontal="center" vertical="center"/>
    </xf>
    <xf numFmtId="164" fontId="24" fillId="17" borderId="6" xfId="12" applyNumberFormat="1" applyFont="1" applyFill="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wrapText="1"/>
    </xf>
    <xf numFmtId="0" fontId="40" fillId="0" borderId="1" xfId="0" applyFont="1" applyBorder="1"/>
    <xf numFmtId="164" fontId="10" fillId="0" borderId="1" xfId="12" applyNumberFormat="1" applyFont="1" applyBorder="1" applyAlignment="1">
      <alignment horizontal="center" vertical="center"/>
    </xf>
    <xf numFmtId="164" fontId="10" fillId="0" borderId="31" xfId="12" applyNumberFormat="1" applyFont="1" applyBorder="1" applyAlignment="1">
      <alignment horizontal="center" vertical="center"/>
    </xf>
    <xf numFmtId="0" fontId="40" fillId="0" borderId="1" xfId="0" applyFont="1" applyBorder="1" applyAlignment="1">
      <alignment horizontal="center" vertical="center"/>
    </xf>
    <xf numFmtId="6" fontId="40" fillId="0" borderId="0" xfId="0" applyNumberFormat="1" applyFont="1" applyAlignment="1">
      <alignment vertical="center"/>
    </xf>
    <xf numFmtId="164" fontId="10" fillId="0" borderId="8" xfId="12" applyNumberFormat="1" applyFont="1" applyBorder="1" applyAlignment="1">
      <alignment horizontal="center" vertical="center"/>
    </xf>
    <xf numFmtId="166" fontId="14" fillId="0" borderId="1" xfId="14" applyNumberFormat="1" applyFont="1" applyFill="1" applyBorder="1" applyAlignment="1">
      <alignment horizontal="center" vertical="center"/>
    </xf>
    <xf numFmtId="164" fontId="24" fillId="17" borderId="1" xfId="12" applyNumberFormat="1" applyFont="1" applyFill="1" applyBorder="1" applyAlignment="1">
      <alignment horizontal="center" vertical="center"/>
    </xf>
    <xf numFmtId="166" fontId="14" fillId="0" borderId="0" xfId="0" applyNumberFormat="1" applyFont="1" applyAlignment="1">
      <alignment horizontal="center" vertical="center"/>
    </xf>
    <xf numFmtId="0" fontId="3" fillId="0" borderId="1" xfId="0" applyFont="1" applyBorder="1" applyAlignment="1">
      <alignment horizontal="center" vertical="center" wrapText="1"/>
    </xf>
    <xf numFmtId="0" fontId="16" fillId="20" borderId="1" xfId="0" applyFont="1" applyFill="1" applyBorder="1" applyAlignment="1">
      <alignment horizontal="center" vertical="center" wrapText="1"/>
    </xf>
    <xf numFmtId="0" fontId="16" fillId="29" borderId="18" xfId="0" applyFont="1" applyFill="1" applyBorder="1" applyAlignment="1">
      <alignment horizontal="center" vertical="center"/>
    </xf>
    <xf numFmtId="0" fontId="26" fillId="29" borderId="1" xfId="0" applyFont="1" applyFill="1" applyBorder="1" applyAlignment="1">
      <alignment horizontal="center" vertical="center" wrapText="1"/>
    </xf>
    <xf numFmtId="0" fontId="14" fillId="29" borderId="1" xfId="0" applyFont="1" applyFill="1" applyBorder="1" applyAlignment="1">
      <alignment horizontal="center" vertical="center" wrapText="1"/>
    </xf>
    <xf numFmtId="0" fontId="16" fillId="29" borderId="1" xfId="0" applyFont="1" applyFill="1" applyBorder="1" applyAlignment="1">
      <alignment horizontal="center" vertical="center"/>
    </xf>
    <xf numFmtId="166" fontId="14" fillId="29" borderId="1" xfId="1" applyNumberFormat="1" applyFont="1" applyFill="1" applyBorder="1" applyAlignment="1">
      <alignment horizontal="center" vertical="center" wrapText="1"/>
    </xf>
    <xf numFmtId="166" fontId="24" fillId="29" borderId="1" xfId="1" applyNumberFormat="1" applyFont="1" applyFill="1" applyBorder="1" applyAlignment="1">
      <alignment horizontal="center" vertical="center" wrapText="1"/>
    </xf>
    <xf numFmtId="9" fontId="24" fillId="29" borderId="1" xfId="3" applyFont="1" applyFill="1" applyBorder="1" applyAlignment="1">
      <alignment horizontal="center" vertical="center" wrapText="1"/>
    </xf>
    <xf numFmtId="166" fontId="14" fillId="29" borderId="1" xfId="1" applyNumberFormat="1" applyFont="1" applyFill="1" applyBorder="1" applyAlignment="1">
      <alignment horizontal="center" vertical="center"/>
    </xf>
    <xf numFmtId="0" fontId="14" fillId="29" borderId="19" xfId="0" applyFont="1" applyFill="1" applyBorder="1" applyAlignment="1">
      <alignment horizontal="center" vertical="center" wrapText="1"/>
    </xf>
    <xf numFmtId="0" fontId="14" fillId="29" borderId="0" xfId="0" applyFont="1" applyFill="1" applyAlignment="1">
      <alignment horizontal="center" vertical="center"/>
    </xf>
    <xf numFmtId="0" fontId="13" fillId="29" borderId="18" xfId="0" applyFont="1" applyFill="1" applyBorder="1" applyAlignment="1">
      <alignment horizontal="center" vertical="center"/>
    </xf>
    <xf numFmtId="0" fontId="13" fillId="29" borderId="1" xfId="2" applyFont="1" applyFill="1" applyBorder="1" applyAlignment="1">
      <alignment horizontal="center" vertical="center" wrapText="1"/>
    </xf>
    <xf numFmtId="0" fontId="14" fillId="29" borderId="1" xfId="0" applyFont="1" applyFill="1" applyBorder="1" applyAlignment="1">
      <alignment horizontal="justify" vertical="center" wrapText="1"/>
    </xf>
    <xf numFmtId="0" fontId="13" fillId="29" borderId="1" xfId="0" applyFont="1" applyFill="1" applyBorder="1" applyAlignment="1">
      <alignment horizontal="center" vertical="center" wrapText="1"/>
    </xf>
    <xf numFmtId="0" fontId="24" fillId="29" borderId="19" xfId="0" applyFont="1" applyFill="1" applyBorder="1" applyAlignment="1">
      <alignment horizontal="center" vertical="center" wrapText="1"/>
    </xf>
    <xf numFmtId="6" fontId="24" fillId="29" borderId="1" xfId="0" applyNumberFormat="1" applyFont="1" applyFill="1" applyBorder="1" applyAlignment="1">
      <alignment horizontal="left" vertical="center" wrapText="1"/>
    </xf>
    <xf numFmtId="0" fontId="24" fillId="29" borderId="1" xfId="0" applyFont="1" applyFill="1" applyBorder="1" applyAlignment="1">
      <alignment horizontal="center" vertical="center" wrapText="1"/>
    </xf>
    <xf numFmtId="166" fontId="24" fillId="29" borderId="1" xfId="1" applyNumberFormat="1" applyFont="1" applyFill="1" applyBorder="1" applyAlignment="1">
      <alignment horizontal="center" vertical="center"/>
    </xf>
    <xf numFmtId="0" fontId="24" fillId="29" borderId="0" xfId="0" applyFont="1" applyFill="1" applyAlignment="1">
      <alignment horizontal="center" vertical="center"/>
    </xf>
    <xf numFmtId="0" fontId="26" fillId="24" borderId="13" xfId="0" applyFont="1" applyFill="1" applyBorder="1" applyAlignment="1">
      <alignment horizontal="center" vertical="center" wrapText="1"/>
    </xf>
    <xf numFmtId="0" fontId="26" fillId="24" borderId="0" xfId="0" applyFont="1" applyFill="1" applyAlignment="1">
      <alignment horizontal="center" vertical="center" wrapText="1"/>
    </xf>
    <xf numFmtId="0" fontId="14" fillId="0" borderId="0" xfId="0" applyFont="1"/>
    <xf numFmtId="0" fontId="16" fillId="22" borderId="6" xfId="0" applyFont="1" applyFill="1" applyBorder="1" applyAlignment="1">
      <alignment horizontal="center" vertical="center" wrapText="1"/>
    </xf>
    <xf numFmtId="0" fontId="16" fillId="20" borderId="6" xfId="0" applyFont="1" applyFill="1" applyBorder="1" applyAlignment="1">
      <alignment horizontal="center" vertical="center" wrapText="1"/>
    </xf>
    <xf numFmtId="166" fontId="16" fillId="22" borderId="10" xfId="15" applyNumberFormat="1" applyFont="1" applyFill="1" applyBorder="1" applyAlignment="1">
      <alignment horizontal="center" vertical="center" wrapText="1"/>
    </xf>
    <xf numFmtId="166" fontId="16" fillId="22" borderId="13" xfId="15" applyNumberFormat="1" applyFont="1" applyFill="1" applyBorder="1" applyAlignment="1">
      <alignment horizontal="center" vertical="center" wrapText="1"/>
    </xf>
    <xf numFmtId="167" fontId="16" fillId="22" borderId="13" xfId="15" applyNumberFormat="1" applyFont="1" applyFill="1" applyBorder="1" applyAlignment="1">
      <alignment horizontal="center" vertical="center" wrapText="1"/>
    </xf>
    <xf numFmtId="44" fontId="16" fillId="22" borderId="13" xfId="15" applyFont="1" applyFill="1" applyBorder="1" applyAlignment="1">
      <alignment horizontal="center" vertical="center" wrapText="1"/>
    </xf>
    <xf numFmtId="169" fontId="13" fillId="21" borderId="1" xfId="0" applyNumberFormat="1" applyFont="1" applyFill="1" applyBorder="1" applyAlignment="1">
      <alignment horizontal="center" vertical="center" wrapText="1"/>
    </xf>
    <xf numFmtId="9" fontId="13" fillId="21" borderId="1" xfId="16" applyFont="1" applyFill="1" applyBorder="1" applyAlignment="1">
      <alignment horizontal="center" vertical="center" wrapText="1"/>
    </xf>
    <xf numFmtId="169" fontId="13" fillId="41" borderId="1" xfId="0" applyNumberFormat="1" applyFont="1" applyFill="1" applyBorder="1" applyAlignment="1">
      <alignment horizontal="center" vertical="center" wrapText="1"/>
    </xf>
    <xf numFmtId="164" fontId="13" fillId="19" borderId="1" xfId="0" applyNumberFormat="1" applyFont="1" applyFill="1" applyBorder="1" applyAlignment="1">
      <alignment horizontal="center" vertical="center" wrapText="1"/>
    </xf>
    <xf numFmtId="168" fontId="13" fillId="19" borderId="1" xfId="0" applyNumberFormat="1" applyFont="1" applyFill="1" applyBorder="1" applyAlignment="1">
      <alignment horizontal="center" vertical="center" wrapText="1"/>
    </xf>
    <xf numFmtId="0" fontId="20"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24" fillId="0" borderId="3" xfId="0" applyFont="1" applyBorder="1" applyAlignment="1">
      <alignment horizontal="left" vertical="center" wrapText="1"/>
    </xf>
    <xf numFmtId="166" fontId="20" fillId="0" borderId="3" xfId="15" applyNumberFormat="1" applyFont="1" applyBorder="1" applyAlignment="1">
      <alignment horizontal="center" vertical="center" wrapText="1"/>
    </xf>
    <xf numFmtId="166" fontId="24" fillId="0" borderId="11" xfId="15" applyNumberFormat="1" applyFont="1" applyBorder="1" applyAlignment="1">
      <alignment horizontal="right" vertical="center"/>
    </xf>
    <xf numFmtId="166" fontId="24" fillId="0" borderId="1" xfId="15" applyNumberFormat="1" applyFont="1" applyBorder="1" applyAlignment="1">
      <alignment horizontal="center" vertical="center"/>
    </xf>
    <xf numFmtId="166" fontId="24" fillId="0" borderId="1" xfId="15" applyNumberFormat="1" applyFont="1" applyBorder="1" applyAlignment="1">
      <alignment horizontal="right" vertical="center" wrapText="1"/>
    </xf>
    <xf numFmtId="166" fontId="24" fillId="0" borderId="1" xfId="15" applyNumberFormat="1" applyFont="1" applyBorder="1" applyAlignment="1">
      <alignment horizontal="right" vertical="center"/>
    </xf>
    <xf numFmtId="9" fontId="14" fillId="0" borderId="1" xfId="16" applyFont="1" applyFill="1" applyBorder="1" applyAlignment="1">
      <alignment horizontal="center" vertical="center"/>
    </xf>
    <xf numFmtId="166" fontId="14" fillId="17" borderId="6" xfId="15" applyNumberFormat="1" applyFont="1" applyFill="1" applyBorder="1" applyAlignment="1">
      <alignment horizontal="center" vertical="center"/>
    </xf>
    <xf numFmtId="164" fontId="24" fillId="17" borderId="6" xfId="0" applyNumberFormat="1" applyFont="1" applyFill="1" applyBorder="1" applyAlignment="1">
      <alignment horizontal="center" vertical="center"/>
    </xf>
    <xf numFmtId="164" fontId="24" fillId="10" borderId="1" xfId="15" applyNumberFormat="1" applyFont="1" applyFill="1" applyBorder="1" applyAlignment="1">
      <alignment horizontal="center" vertical="center"/>
    </xf>
    <xf numFmtId="167" fontId="24" fillId="0" borderId="1" xfId="15" applyNumberFormat="1" applyFont="1" applyBorder="1" applyAlignment="1">
      <alignment horizontal="center" vertical="center"/>
    </xf>
    <xf numFmtId="166" fontId="20" fillId="0" borderId="3" xfId="15" applyNumberFormat="1" applyFont="1" applyBorder="1" applyAlignment="1">
      <alignment horizontal="center" vertical="center"/>
    </xf>
    <xf numFmtId="0" fontId="24" fillId="0" borderId="3" xfId="0" applyFont="1" applyBorder="1" applyAlignment="1">
      <alignment horizontal="center" vertical="center" wrapText="1"/>
    </xf>
    <xf numFmtId="6" fontId="14" fillId="0" borderId="1" xfId="0" applyNumberFormat="1" applyFont="1" applyBorder="1" applyAlignment="1">
      <alignment horizontal="center" vertical="center"/>
    </xf>
    <xf numFmtId="166" fontId="24" fillId="0" borderId="12" xfId="15" applyNumberFormat="1" applyFont="1" applyBorder="1" applyAlignment="1">
      <alignment horizontal="right" vertical="center"/>
    </xf>
    <xf numFmtId="166" fontId="20" fillId="0" borderId="11" xfId="15" applyNumberFormat="1" applyFont="1" applyBorder="1" applyAlignment="1">
      <alignment horizontal="center" vertical="center"/>
    </xf>
    <xf numFmtId="166" fontId="14" fillId="0" borderId="1" xfId="15" applyNumberFormat="1" applyFont="1" applyBorder="1" applyAlignment="1">
      <alignment horizontal="center" vertical="center"/>
    </xf>
    <xf numFmtId="167" fontId="14" fillId="0" borderId="1" xfId="15" applyNumberFormat="1" applyFont="1" applyBorder="1" applyAlignment="1">
      <alignment horizontal="center" vertical="center"/>
    </xf>
    <xf numFmtId="166" fontId="14" fillId="0" borderId="1" xfId="15" applyNumberFormat="1" applyFont="1" applyBorder="1"/>
    <xf numFmtId="0" fontId="14" fillId="0" borderId="1" xfId="0" applyFont="1" applyBorder="1" applyAlignment="1">
      <alignment horizontal="center" wrapText="1"/>
    </xf>
    <xf numFmtId="0" fontId="13" fillId="18" borderId="9" xfId="0" applyFont="1" applyFill="1" applyBorder="1" applyAlignment="1">
      <alignment horizontal="center" vertical="center"/>
    </xf>
    <xf numFmtId="166" fontId="14" fillId="18" borderId="7" xfId="15" applyNumberFormat="1" applyFont="1" applyFill="1" applyBorder="1" applyAlignment="1">
      <alignment horizontal="center" vertical="center"/>
    </xf>
    <xf numFmtId="166" fontId="14" fillId="18" borderId="1" xfId="0" applyNumberFormat="1" applyFont="1" applyFill="1" applyBorder="1" applyAlignment="1">
      <alignment vertical="center"/>
    </xf>
    <xf numFmtId="166" fontId="14" fillId="18" borderId="1" xfId="0" applyNumberFormat="1" applyFont="1" applyFill="1" applyBorder="1" applyAlignment="1">
      <alignment horizontal="center" vertical="center"/>
    </xf>
    <xf numFmtId="0" fontId="14" fillId="18" borderId="1" xfId="0" applyFont="1" applyFill="1" applyBorder="1" applyAlignment="1">
      <alignment horizontal="center" vertical="center"/>
    </xf>
    <xf numFmtId="166" fontId="14" fillId="0" borderId="0" xfId="15" applyNumberFormat="1" applyFont="1" applyAlignment="1">
      <alignment horizontal="center" vertical="center"/>
    </xf>
    <xf numFmtId="166" fontId="14" fillId="0" borderId="0" xfId="15" applyNumberFormat="1" applyFont="1"/>
    <xf numFmtId="167" fontId="14" fillId="0" borderId="0" xfId="15" applyNumberFormat="1" applyFont="1" applyAlignment="1">
      <alignment horizontal="center" vertical="center"/>
    </xf>
    <xf numFmtId="166" fontId="10" fillId="0" borderId="0" xfId="15" applyNumberFormat="1" applyFont="1" applyAlignment="1">
      <alignment vertical="center"/>
    </xf>
    <xf numFmtId="166" fontId="10" fillId="0" borderId="0" xfId="15" applyNumberFormat="1" applyFont="1" applyAlignment="1">
      <alignment horizontal="center" vertical="center"/>
    </xf>
    <xf numFmtId="9" fontId="10" fillId="0" borderId="0" xfId="16" applyFont="1" applyAlignment="1">
      <alignment horizontal="center" vertical="center"/>
    </xf>
    <xf numFmtId="0" fontId="10" fillId="0" borderId="0" xfId="0" applyFont="1" applyAlignment="1">
      <alignment vertical="center"/>
    </xf>
    <xf numFmtId="3" fontId="14" fillId="29" borderId="1" xfId="0" applyNumberFormat="1" applyFont="1" applyFill="1" applyBorder="1" applyAlignment="1">
      <alignment horizontal="center" vertical="center" wrapText="1"/>
    </xf>
    <xf numFmtId="0" fontId="14" fillId="0" borderId="2" xfId="0" applyFont="1" applyBorder="1" applyAlignment="1">
      <alignment horizontal="center" vertical="center"/>
    </xf>
    <xf numFmtId="0" fontId="13" fillId="37" borderId="1" xfId="0" applyFont="1" applyFill="1" applyBorder="1" applyAlignment="1">
      <alignment horizontal="center" vertical="center"/>
    </xf>
    <xf numFmtId="166" fontId="14" fillId="37" borderId="1" xfId="15" applyNumberFormat="1" applyFont="1" applyFill="1" applyBorder="1" applyAlignment="1">
      <alignment horizontal="center" vertical="center"/>
    </xf>
    <xf numFmtId="166" fontId="14" fillId="37" borderId="1" xfId="0" applyNumberFormat="1" applyFont="1" applyFill="1" applyBorder="1" applyAlignment="1">
      <alignment vertical="center"/>
    </xf>
    <xf numFmtId="166" fontId="14" fillId="37" borderId="1" xfId="0" applyNumberFormat="1" applyFont="1" applyFill="1" applyBorder="1" applyAlignment="1">
      <alignment horizontal="center" vertical="center"/>
    </xf>
    <xf numFmtId="0" fontId="14" fillId="37" borderId="1" xfId="0" applyFont="1" applyFill="1" applyBorder="1" applyAlignment="1">
      <alignment horizontal="center" vertical="center"/>
    </xf>
    <xf numFmtId="0" fontId="14" fillId="37" borderId="1" xfId="0" applyFont="1" applyFill="1" applyBorder="1"/>
    <xf numFmtId="164" fontId="14" fillId="37" borderId="1" xfId="0" applyNumberFormat="1" applyFont="1" applyFill="1" applyBorder="1"/>
    <xf numFmtId="166" fontId="20" fillId="29" borderId="1" xfId="1" applyNumberFormat="1" applyFont="1" applyFill="1" applyBorder="1" applyAlignment="1">
      <alignment horizontal="center" vertical="center"/>
    </xf>
    <xf numFmtId="44" fontId="14" fillId="0" borderId="1" xfId="1" applyFont="1" applyFill="1" applyBorder="1" applyAlignment="1">
      <alignment horizontal="left" vertical="center" wrapText="1"/>
    </xf>
    <xf numFmtId="166" fontId="20" fillId="0" borderId="1" xfId="1" applyNumberFormat="1" applyFont="1" applyFill="1" applyBorder="1" applyAlignment="1">
      <alignment vertical="center" wrapText="1"/>
    </xf>
    <xf numFmtId="166" fontId="20" fillId="0" borderId="1" xfId="1" applyNumberFormat="1" applyFont="1" applyFill="1" applyBorder="1" applyAlignment="1">
      <alignment horizontal="center" vertical="center" wrapText="1"/>
    </xf>
    <xf numFmtId="166" fontId="18" fillId="0" borderId="1" xfId="1" applyNumberFormat="1" applyFont="1" applyFill="1" applyBorder="1" applyAlignment="1">
      <alignment horizontal="center" vertical="center" wrapText="1"/>
    </xf>
    <xf numFmtId="166" fontId="20" fillId="0" borderId="1" xfId="1" applyNumberFormat="1" applyFont="1" applyFill="1" applyBorder="1" applyAlignment="1">
      <alignment horizontal="center" vertical="center" shrinkToFit="1"/>
    </xf>
    <xf numFmtId="166" fontId="20" fillId="0" borderId="1" xfId="1" applyNumberFormat="1" applyFont="1" applyFill="1" applyBorder="1" applyAlignment="1">
      <alignment horizontal="center" vertical="center" readingOrder="1"/>
    </xf>
    <xf numFmtId="166" fontId="20" fillId="0" borderId="1" xfId="1" applyNumberFormat="1" applyFont="1" applyFill="1" applyBorder="1" applyAlignment="1">
      <alignment vertical="center"/>
    </xf>
    <xf numFmtId="166" fontId="20" fillId="0" borderId="1" xfId="1" applyNumberFormat="1" applyFont="1" applyFill="1" applyBorder="1"/>
    <xf numFmtId="166" fontId="14" fillId="0" borderId="1" xfId="1" applyNumberFormat="1" applyFont="1" applyFill="1" applyBorder="1" applyAlignment="1">
      <alignment horizontal="center" wrapText="1"/>
    </xf>
    <xf numFmtId="166" fontId="20" fillId="0" borderId="1" xfId="1" applyNumberFormat="1" applyFont="1" applyFill="1" applyBorder="1" applyAlignment="1">
      <alignment horizontal="center"/>
    </xf>
    <xf numFmtId="166" fontId="14" fillId="0" borderId="16" xfId="0" applyNumberFormat="1" applyFont="1" applyBorder="1" applyAlignment="1">
      <alignment horizontal="center" vertical="center"/>
    </xf>
    <xf numFmtId="164" fontId="13" fillId="5" borderId="1" xfId="0" applyNumberFormat="1" applyFont="1" applyFill="1" applyBorder="1" applyAlignment="1">
      <alignment horizontal="center" vertical="center" wrapText="1"/>
    </xf>
    <xf numFmtId="164" fontId="13" fillId="36" borderId="1" xfId="0" applyNumberFormat="1" applyFont="1" applyFill="1" applyBorder="1" applyAlignment="1">
      <alignment horizontal="center" vertical="center" wrapText="1"/>
    </xf>
    <xf numFmtId="166" fontId="16" fillId="14" borderId="1" xfId="0" applyNumberFormat="1" applyFont="1" applyFill="1" applyBorder="1" applyAlignment="1">
      <alignment horizontal="center" vertical="center" wrapText="1"/>
    </xf>
    <xf numFmtId="164" fontId="13" fillId="5" borderId="6" xfId="0" applyNumberFormat="1" applyFont="1" applyFill="1" applyBorder="1" applyAlignment="1">
      <alignment horizontal="center" vertical="center" wrapText="1"/>
    </xf>
    <xf numFmtId="164" fontId="13" fillId="5" borderId="10" xfId="0" applyNumberFormat="1" applyFont="1" applyFill="1" applyBorder="1" applyAlignment="1">
      <alignment horizontal="center" vertical="center" wrapText="1"/>
    </xf>
    <xf numFmtId="164" fontId="13" fillId="5" borderId="7" xfId="0" applyNumberFormat="1" applyFont="1" applyFill="1" applyBorder="1" applyAlignment="1">
      <alignment horizontal="center" vertical="center" wrapText="1"/>
    </xf>
    <xf numFmtId="166" fontId="13" fillId="13" borderId="6" xfId="1" applyNumberFormat="1" applyFont="1" applyFill="1" applyBorder="1" applyAlignment="1">
      <alignment horizontal="center" vertical="center" wrapText="1"/>
    </xf>
    <xf numFmtId="166" fontId="13" fillId="13" borderId="10" xfId="1" applyNumberFormat="1" applyFont="1" applyFill="1" applyBorder="1" applyAlignment="1">
      <alignment horizontal="center" vertical="center" wrapText="1"/>
    </xf>
    <xf numFmtId="166" fontId="13" fillId="13" borderId="7" xfId="1" applyNumberFormat="1" applyFont="1" applyFill="1" applyBorder="1" applyAlignment="1">
      <alignment horizontal="center" vertical="center" wrapText="1"/>
    </xf>
    <xf numFmtId="166" fontId="16" fillId="3" borderId="1" xfId="0" applyNumberFormat="1" applyFont="1" applyFill="1" applyBorder="1" applyAlignment="1">
      <alignment horizontal="center" vertical="center" wrapText="1"/>
    </xf>
    <xf numFmtId="0" fontId="16" fillId="10" borderId="18" xfId="0" applyFont="1" applyFill="1" applyBorder="1" applyAlignment="1">
      <alignment horizontal="left" vertical="top"/>
    </xf>
    <xf numFmtId="0" fontId="16" fillId="10" borderId="1" xfId="0" applyFont="1" applyFill="1" applyBorder="1" applyAlignment="1">
      <alignment horizontal="left" vertical="top"/>
    </xf>
    <xf numFmtId="0" fontId="16"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24" fillId="0" borderId="1" xfId="0" applyFont="1" applyBorder="1" applyAlignment="1">
      <alignment horizontal="center" vertical="center"/>
    </xf>
    <xf numFmtId="0" fontId="24" fillId="0" borderId="19" xfId="0" applyFont="1" applyBorder="1" applyAlignment="1">
      <alignment horizontal="center" vertical="center"/>
    </xf>
    <xf numFmtId="0" fontId="13" fillId="0" borderId="18" xfId="0" applyFont="1" applyBorder="1" applyAlignment="1">
      <alignment horizontal="center" vertical="center"/>
    </xf>
    <xf numFmtId="0" fontId="26" fillId="4" borderId="1" xfId="0" applyFont="1" applyFill="1" applyBorder="1" applyAlignment="1">
      <alignment horizontal="center" vertical="center"/>
    </xf>
    <xf numFmtId="0" fontId="13" fillId="0" borderId="18" xfId="0" applyFont="1" applyBorder="1" applyAlignment="1">
      <alignment horizontal="center" vertical="center" wrapText="1"/>
    </xf>
    <xf numFmtId="0" fontId="13" fillId="0" borderId="1" xfId="0" applyFont="1" applyBorder="1" applyAlignment="1">
      <alignment horizontal="center" vertical="center" wrapText="1"/>
    </xf>
    <xf numFmtId="0" fontId="16" fillId="0" borderId="0" xfId="0" applyFont="1" applyAlignment="1">
      <alignment horizontal="center" vertical="center" wrapText="1"/>
    </xf>
    <xf numFmtId="0" fontId="16" fillId="14" borderId="20" xfId="0" applyFont="1" applyFill="1" applyBorder="1" applyAlignment="1">
      <alignment horizontal="center" vertical="center"/>
    </xf>
    <xf numFmtId="0" fontId="16" fillId="14" borderId="21" xfId="0" applyFont="1" applyFill="1" applyBorder="1" applyAlignment="1">
      <alignment horizontal="center" vertical="center"/>
    </xf>
    <xf numFmtId="0" fontId="16" fillId="2" borderId="18" xfId="0" applyFont="1" applyFill="1" applyBorder="1" applyAlignment="1">
      <alignment horizontal="center" vertical="center" wrapText="1"/>
    </xf>
    <xf numFmtId="0" fontId="16" fillId="20" borderId="1" xfId="0" applyFont="1" applyFill="1" applyBorder="1" applyAlignment="1">
      <alignment horizontal="center" vertical="center" wrapText="1"/>
    </xf>
    <xf numFmtId="0" fontId="13" fillId="34" borderId="23" xfId="0" applyFont="1" applyFill="1" applyBorder="1" applyAlignment="1">
      <alignment horizontal="center" vertical="center"/>
    </xf>
    <xf numFmtId="0" fontId="13" fillId="34" borderId="14" xfId="0" applyFont="1" applyFill="1" applyBorder="1" applyAlignment="1">
      <alignment horizontal="center" vertical="center"/>
    </xf>
    <xf numFmtId="0" fontId="13" fillId="34" borderId="2" xfId="0" applyFont="1" applyFill="1" applyBorder="1" applyAlignment="1">
      <alignment horizontal="center" vertical="center"/>
    </xf>
    <xf numFmtId="0" fontId="26" fillId="23" borderId="1" xfId="0" applyFont="1" applyFill="1" applyBorder="1" applyAlignment="1">
      <alignment horizontal="center" vertical="center"/>
    </xf>
    <xf numFmtId="9" fontId="26" fillId="22" borderId="1" xfId="16" applyFont="1" applyFill="1" applyBorder="1" applyAlignment="1">
      <alignment horizontal="center" vertical="center"/>
    </xf>
    <xf numFmtId="0" fontId="13" fillId="18" borderId="8" xfId="0" applyFont="1" applyFill="1" applyBorder="1" applyAlignment="1">
      <alignment horizontal="center" vertical="center"/>
    </xf>
    <xf numFmtId="0" fontId="13" fillId="18" borderId="9" xfId="0" applyFont="1" applyFill="1" applyBorder="1" applyAlignment="1">
      <alignment horizontal="center" vertical="center"/>
    </xf>
    <xf numFmtId="0" fontId="11" fillId="0" borderId="3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34" xfId="0" applyFont="1" applyBorder="1" applyAlignment="1">
      <alignment horizontal="center" vertical="center" wrapText="1"/>
    </xf>
    <xf numFmtId="0" fontId="26" fillId="24" borderId="13" xfId="0" applyFont="1" applyFill="1" applyBorder="1" applyAlignment="1">
      <alignment horizontal="center" vertical="center" wrapText="1"/>
    </xf>
    <xf numFmtId="0" fontId="26" fillId="24" borderId="0" xfId="0" applyFont="1" applyFill="1" applyAlignment="1">
      <alignment horizontal="center" vertical="center" wrapText="1"/>
    </xf>
    <xf numFmtId="0" fontId="13" fillId="22" borderId="4" xfId="0" applyFont="1" applyFill="1" applyBorder="1" applyAlignment="1">
      <alignment horizontal="center" vertical="center" wrapText="1"/>
    </xf>
    <xf numFmtId="0" fontId="13" fillId="22" borderId="5" xfId="0" applyFont="1" applyFill="1" applyBorder="1" applyAlignment="1">
      <alignment horizontal="center" vertical="center" wrapText="1"/>
    </xf>
    <xf numFmtId="0" fontId="13" fillId="22" borderId="8" xfId="0" applyFont="1" applyFill="1" applyBorder="1" applyAlignment="1">
      <alignment horizontal="center" vertical="center" wrapText="1"/>
    </xf>
    <xf numFmtId="0" fontId="13" fillId="22" borderId="9" xfId="0" applyFont="1" applyFill="1" applyBorder="1" applyAlignment="1">
      <alignment horizontal="center" vertical="center" wrapText="1"/>
    </xf>
    <xf numFmtId="166" fontId="16" fillId="12" borderId="1" xfId="15" applyNumberFormat="1" applyFont="1" applyFill="1" applyBorder="1" applyAlignment="1">
      <alignment horizontal="center" vertical="center" wrapText="1"/>
    </xf>
    <xf numFmtId="166" fontId="13" fillId="3" borderId="6" xfId="15" applyNumberFormat="1" applyFont="1" applyFill="1" applyBorder="1" applyAlignment="1">
      <alignment horizontal="center" vertical="center" wrapText="1"/>
    </xf>
    <xf numFmtId="166" fontId="13" fillId="3" borderId="7" xfId="15" applyNumberFormat="1" applyFont="1" applyFill="1" applyBorder="1" applyAlignment="1">
      <alignment horizontal="center" vertical="center" wrapText="1"/>
    </xf>
    <xf numFmtId="167" fontId="13" fillId="11" borderId="6" xfId="15" applyNumberFormat="1" applyFont="1" applyFill="1" applyBorder="1" applyAlignment="1">
      <alignment horizontal="center" vertical="center" wrapText="1"/>
    </xf>
    <xf numFmtId="167" fontId="13" fillId="11" borderId="7" xfId="15" applyNumberFormat="1" applyFont="1" applyFill="1" applyBorder="1" applyAlignment="1">
      <alignment horizontal="center" vertical="center" wrapText="1"/>
    </xf>
    <xf numFmtId="166" fontId="13" fillId="11" borderId="6" xfId="15" applyNumberFormat="1" applyFont="1" applyFill="1" applyBorder="1" applyAlignment="1">
      <alignment horizontal="center" vertical="center" wrapText="1"/>
    </xf>
    <xf numFmtId="166" fontId="13" fillId="11" borderId="7" xfId="15" applyNumberFormat="1" applyFont="1" applyFill="1" applyBorder="1" applyAlignment="1">
      <alignment horizontal="center" vertical="center" wrapText="1"/>
    </xf>
    <xf numFmtId="166" fontId="13" fillId="3" borderId="6" xfId="15" applyNumberFormat="1" applyFont="1" applyFill="1" applyBorder="1" applyAlignment="1">
      <alignment horizontal="center" vertical="center"/>
    </xf>
    <xf numFmtId="166" fontId="13" fillId="3" borderId="7" xfId="15" applyNumberFormat="1" applyFont="1" applyFill="1" applyBorder="1" applyAlignment="1">
      <alignment horizontal="center" vertical="center"/>
    </xf>
    <xf numFmtId="0" fontId="13" fillId="37" borderId="1" xfId="0" applyFont="1" applyFill="1" applyBorder="1" applyAlignment="1">
      <alignment horizontal="center" vertical="center"/>
    </xf>
    <xf numFmtId="9" fontId="38" fillId="21" borderId="1" xfId="13" applyFont="1" applyFill="1" applyBorder="1" applyAlignment="1">
      <alignment horizontal="center" vertical="center" wrapText="1"/>
    </xf>
    <xf numFmtId="166" fontId="13" fillId="20" borderId="1" xfId="14" applyNumberFormat="1" applyFont="1" applyFill="1" applyBorder="1" applyAlignment="1">
      <alignment horizontal="center" vertical="center" wrapText="1"/>
    </xf>
    <xf numFmtId="0" fontId="38" fillId="9" borderId="6" xfId="0" applyFont="1" applyFill="1" applyBorder="1" applyAlignment="1">
      <alignment horizontal="center" vertical="center" wrapText="1"/>
    </xf>
    <xf numFmtId="0" fontId="38" fillId="9" borderId="7" xfId="0" applyFont="1" applyFill="1" applyBorder="1" applyAlignment="1">
      <alignment horizontal="center" vertical="center" wrapText="1"/>
    </xf>
    <xf numFmtId="169" fontId="38" fillId="21" borderId="1" xfId="12" applyNumberFormat="1" applyFont="1" applyFill="1" applyBorder="1" applyAlignment="1">
      <alignment horizontal="center" vertical="center" wrapText="1"/>
    </xf>
    <xf numFmtId="0" fontId="36" fillId="3" borderId="1" xfId="0" applyFont="1" applyFill="1" applyBorder="1" applyAlignment="1">
      <alignment horizontal="center" vertical="center" wrapText="1"/>
    </xf>
    <xf numFmtId="0" fontId="36" fillId="14" borderId="1" xfId="0" applyFont="1" applyFill="1" applyBorder="1" applyAlignment="1">
      <alignment horizontal="center" vertical="center" wrapText="1"/>
    </xf>
    <xf numFmtId="0" fontId="4" fillId="17" borderId="1" xfId="0" applyFont="1" applyFill="1" applyBorder="1" applyAlignment="1">
      <alignment horizontal="center" vertical="center"/>
    </xf>
    <xf numFmtId="0" fontId="0" fillId="17" borderId="1" xfId="0" applyFill="1" applyBorder="1" applyAlignment="1">
      <alignment horizontal="center" vertical="center"/>
    </xf>
    <xf numFmtId="0" fontId="4" fillId="40" borderId="1" xfId="0" applyFont="1" applyFill="1" applyBorder="1" applyAlignment="1">
      <alignment horizontal="center" vertical="center"/>
    </xf>
    <xf numFmtId="0" fontId="0" fillId="40" borderId="1" xfId="0" applyFill="1" applyBorder="1" applyAlignment="1">
      <alignment horizontal="center" vertical="center"/>
    </xf>
    <xf numFmtId="168" fontId="13" fillId="19" borderId="1" xfId="12" applyNumberFormat="1" applyFont="1" applyFill="1" applyBorder="1" applyAlignment="1">
      <alignment horizontal="center" vertical="center" wrapText="1"/>
    </xf>
    <xf numFmtId="0" fontId="13" fillId="25" borderId="20" xfId="4" applyFont="1" applyFill="1" applyBorder="1" applyAlignment="1">
      <alignment horizontal="center" vertical="center"/>
    </xf>
    <xf numFmtId="0" fontId="13" fillId="25" borderId="21" xfId="4" applyFont="1" applyFill="1" applyBorder="1" applyAlignment="1">
      <alignment horizontal="center" vertical="center"/>
    </xf>
    <xf numFmtId="0" fontId="13" fillId="0" borderId="0" xfId="4" applyFont="1" applyAlignment="1">
      <alignment horizontal="center" vertical="center" wrapText="1"/>
    </xf>
    <xf numFmtId="0" fontId="13" fillId="0" borderId="0" xfId="4" applyFont="1" applyAlignment="1">
      <alignment horizontal="left" vertical="center" wrapText="1"/>
    </xf>
    <xf numFmtId="0" fontId="12" fillId="29" borderId="1" xfId="4" applyFont="1" applyFill="1" applyBorder="1" applyAlignment="1">
      <alignment horizontal="center" vertical="center" wrapText="1"/>
    </xf>
    <xf numFmtId="0" fontId="12" fillId="30" borderId="1" xfId="4" applyFont="1" applyFill="1" applyBorder="1" applyAlignment="1">
      <alignment horizontal="center" vertical="center" wrapText="1"/>
    </xf>
    <xf numFmtId="0" fontId="12" fillId="20" borderId="1" xfId="4" applyFont="1" applyFill="1" applyBorder="1" applyAlignment="1">
      <alignment horizontal="center" vertical="center" wrapText="1"/>
    </xf>
    <xf numFmtId="44" fontId="34" fillId="3" borderId="1" xfId="5" applyFont="1" applyFill="1" applyBorder="1" applyAlignment="1">
      <alignment horizontal="center" vertical="center" wrapText="1"/>
    </xf>
    <xf numFmtId="44" fontId="34" fillId="28" borderId="1" xfId="5" applyFont="1" applyFill="1" applyBorder="1" applyAlignment="1">
      <alignment horizontal="center" vertical="center" wrapText="1"/>
    </xf>
    <xf numFmtId="165" fontId="11" fillId="2" borderId="1" xfId="4" applyNumberFormat="1" applyFont="1" applyFill="1" applyBorder="1" applyAlignment="1">
      <alignment horizontal="center" vertical="center" wrapText="1"/>
    </xf>
    <xf numFmtId="164" fontId="23" fillId="7" borderId="1" xfId="4" applyNumberFormat="1" applyFont="1" applyFill="1" applyBorder="1" applyAlignment="1">
      <alignment horizontal="center" vertical="center" wrapText="1"/>
    </xf>
    <xf numFmtId="0" fontId="34" fillId="17" borderId="1" xfId="4" applyFont="1" applyFill="1" applyBorder="1" applyAlignment="1">
      <alignment horizontal="center" vertical="center" wrapText="1"/>
    </xf>
    <xf numFmtId="0" fontId="26" fillId="11" borderId="1" xfId="4" applyFont="1" applyFill="1" applyBorder="1" applyAlignment="1">
      <alignment horizontal="center" vertical="center" wrapText="1"/>
    </xf>
    <xf numFmtId="0" fontId="10" fillId="0" borderId="13" xfId="4" applyFont="1" applyBorder="1" applyAlignment="1">
      <alignment horizontal="center" vertical="center"/>
    </xf>
    <xf numFmtId="0" fontId="10" fillId="0" borderId="0" xfId="4" applyFont="1" applyAlignment="1">
      <alignment horizontal="center" vertical="center"/>
    </xf>
    <xf numFmtId="0" fontId="10" fillId="0" borderId="0" xfId="4" applyFont="1" applyAlignment="1">
      <alignment horizontal="left" vertical="center"/>
    </xf>
    <xf numFmtId="0" fontId="12" fillId="20" borderId="18" xfId="4" applyFont="1" applyFill="1" applyBorder="1" applyAlignment="1">
      <alignment horizontal="center" vertical="center" wrapText="1"/>
    </xf>
    <xf numFmtId="0" fontId="12" fillId="20" borderId="1" xfId="4" applyFont="1" applyFill="1" applyBorder="1" applyAlignment="1">
      <alignment horizontal="left" vertical="center" wrapText="1"/>
    </xf>
    <xf numFmtId="0" fontId="17" fillId="20" borderId="15" xfId="4" applyFont="1" applyFill="1" applyBorder="1" applyAlignment="1">
      <alignment horizontal="center" vertical="center" wrapText="1"/>
    </xf>
    <xf numFmtId="0" fontId="17" fillId="20" borderId="16" xfId="4" applyFont="1" applyFill="1" applyBorder="1" applyAlignment="1">
      <alignment horizontal="center" vertical="center" wrapText="1"/>
    </xf>
    <xf numFmtId="0" fontId="17" fillId="20" borderId="17" xfId="4" applyFont="1" applyFill="1" applyBorder="1" applyAlignment="1">
      <alignment horizontal="center" vertical="center" wrapText="1"/>
    </xf>
    <xf numFmtId="0" fontId="11" fillId="0" borderId="23" xfId="4" applyFont="1" applyBorder="1" applyAlignment="1">
      <alignment horizontal="center" vertical="center"/>
    </xf>
    <xf numFmtId="0" fontId="11" fillId="0" borderId="14" xfId="4" applyFont="1" applyBorder="1" applyAlignment="1">
      <alignment horizontal="center" vertical="center"/>
    </xf>
    <xf numFmtId="0" fontId="11" fillId="0" borderId="24" xfId="4" applyFont="1" applyBorder="1" applyAlignment="1">
      <alignment horizontal="center" vertical="center"/>
    </xf>
    <xf numFmtId="0" fontId="11" fillId="0" borderId="18" xfId="4" applyFont="1" applyBorder="1" applyAlignment="1">
      <alignment horizontal="center" vertical="center" wrapText="1"/>
    </xf>
    <xf numFmtId="0" fontId="11" fillId="0" borderId="1" xfId="4" applyFont="1" applyBorder="1" applyAlignment="1">
      <alignment horizontal="center" vertical="center" wrapText="1"/>
    </xf>
    <xf numFmtId="0" fontId="11" fillId="0" borderId="19" xfId="4" applyFont="1" applyBorder="1" applyAlignment="1">
      <alignment horizontal="center" vertical="center" wrapText="1"/>
    </xf>
    <xf numFmtId="0" fontId="23" fillId="7" borderId="1" xfId="4" applyFont="1" applyFill="1" applyBorder="1" applyAlignment="1">
      <alignment horizontal="center" vertical="center" wrapText="1"/>
    </xf>
    <xf numFmtId="0" fontId="23" fillId="6" borderId="19" xfId="4" applyFont="1" applyFill="1" applyBorder="1" applyAlignment="1">
      <alignment horizontal="left" vertical="center" wrapText="1"/>
    </xf>
    <xf numFmtId="0" fontId="22" fillId="4" borderId="1" xfId="4" applyFont="1" applyFill="1" applyBorder="1" applyAlignment="1">
      <alignment horizontal="center" vertical="center"/>
    </xf>
    <xf numFmtId="164" fontId="11" fillId="5" borderId="1" xfId="4" applyNumberFormat="1" applyFont="1" applyFill="1" applyBorder="1" applyAlignment="1">
      <alignment horizontal="center" vertical="center" wrapText="1"/>
    </xf>
    <xf numFmtId="0" fontId="36" fillId="25" borderId="25" xfId="8" applyFont="1" applyFill="1" applyBorder="1" applyAlignment="1">
      <alignment horizontal="center"/>
    </xf>
    <xf numFmtId="0" fontId="36" fillId="25" borderId="26" xfId="8" applyFont="1" applyFill="1" applyBorder="1" applyAlignment="1">
      <alignment horizontal="center"/>
    </xf>
    <xf numFmtId="0" fontId="17" fillId="20" borderId="28" xfId="10" applyFont="1" applyFill="1" applyBorder="1" applyAlignment="1">
      <alignment horizontal="center" vertical="center" wrapText="1"/>
    </xf>
    <xf numFmtId="0" fontId="17" fillId="20" borderId="29" xfId="10" applyFont="1" applyFill="1" applyBorder="1" applyAlignment="1">
      <alignment horizontal="center" vertical="center" wrapText="1"/>
    </xf>
    <xf numFmtId="0" fontId="17" fillId="20" borderId="30" xfId="10" applyFont="1" applyFill="1" applyBorder="1" applyAlignment="1">
      <alignment horizontal="center" vertical="center" wrapText="1"/>
    </xf>
    <xf numFmtId="0" fontId="5" fillId="3" borderId="1" xfId="8" applyFont="1" applyFill="1" applyBorder="1" applyAlignment="1">
      <alignment horizontal="center" wrapText="1"/>
    </xf>
    <xf numFmtId="0" fontId="7" fillId="3" borderId="1" xfId="8" applyFill="1" applyBorder="1" applyAlignment="1">
      <alignment horizontal="center" wrapText="1"/>
    </xf>
    <xf numFmtId="0" fontId="5" fillId="14" borderId="1" xfId="8" applyFont="1" applyFill="1" applyBorder="1" applyAlignment="1">
      <alignment horizontal="center" wrapText="1"/>
    </xf>
    <xf numFmtId="0" fontId="7" fillId="14" borderId="1" xfId="8" applyFill="1" applyBorder="1" applyAlignment="1">
      <alignment horizontal="center" wrapText="1"/>
    </xf>
    <xf numFmtId="0" fontId="7" fillId="33" borderId="1" xfId="8" applyFill="1" applyBorder="1" applyAlignment="1">
      <alignment horizontal="center" wrapText="1"/>
    </xf>
    <xf numFmtId="0" fontId="7" fillId="33" borderId="1" xfId="8" applyFill="1" applyBorder="1" applyAlignment="1">
      <alignment horizontal="center"/>
    </xf>
    <xf numFmtId="0" fontId="7" fillId="3" borderId="1" xfId="8" applyFill="1" applyBorder="1" applyAlignment="1">
      <alignment horizontal="center"/>
    </xf>
    <xf numFmtId="0" fontId="7" fillId="14" borderId="1" xfId="8" applyFill="1" applyBorder="1" applyAlignment="1">
      <alignment horizontal="center"/>
    </xf>
    <xf numFmtId="0" fontId="5" fillId="11" borderId="1" xfId="8" applyFont="1" applyFill="1" applyBorder="1" applyAlignment="1">
      <alignment horizontal="center" wrapText="1"/>
    </xf>
    <xf numFmtId="0" fontId="7" fillId="11" borderId="1" xfId="8" applyFill="1" applyBorder="1" applyAlignment="1">
      <alignment horizontal="center" wrapText="1"/>
    </xf>
    <xf numFmtId="0" fontId="5" fillId="33" borderId="1" xfId="8" applyFont="1" applyFill="1" applyBorder="1" applyAlignment="1">
      <alignment horizontal="center" wrapText="1"/>
    </xf>
    <xf numFmtId="0" fontId="12" fillId="20" borderId="18" xfId="10" applyFont="1" applyFill="1" applyBorder="1" applyAlignment="1">
      <alignment horizontal="center" vertical="center" wrapText="1"/>
    </xf>
    <xf numFmtId="0" fontId="12" fillId="20" borderId="1" xfId="10" applyFont="1" applyFill="1" applyBorder="1" applyAlignment="1">
      <alignment horizontal="center" vertical="center" wrapText="1"/>
    </xf>
    <xf numFmtId="0" fontId="12" fillId="20" borderId="1" xfId="10" applyFont="1" applyFill="1" applyBorder="1" applyAlignment="1">
      <alignment horizontal="left" vertical="center" wrapText="1"/>
    </xf>
    <xf numFmtId="0" fontId="26" fillId="23" borderId="1" xfId="4" applyFont="1" applyFill="1" applyBorder="1" applyAlignment="1">
      <alignment horizontal="center" vertical="center"/>
    </xf>
    <xf numFmtId="9" fontId="26" fillId="22" borderId="1" xfId="6" applyFont="1" applyFill="1" applyBorder="1" applyAlignment="1">
      <alignment horizontal="center" vertical="center"/>
    </xf>
    <xf numFmtId="9" fontId="26" fillId="22" borderId="19" xfId="6" applyFont="1" applyFill="1" applyBorder="1" applyAlignment="1">
      <alignment horizontal="center" vertical="center"/>
    </xf>
    <xf numFmtId="0" fontId="1" fillId="0" borderId="1" xfId="0" applyFont="1" applyBorder="1" applyAlignment="1">
      <alignment vertical="center" wrapText="1"/>
    </xf>
  </cellXfs>
  <cellStyles count="17">
    <cellStyle name="Moneda" xfId="1" builtinId="4"/>
    <cellStyle name="Moneda 2" xfId="5" xr:uid="{275AC445-C0E6-4172-B05D-B9BC6225801F}"/>
    <cellStyle name="Moneda 2 2" xfId="14" xr:uid="{3AD466E4-7A1E-4A09-AEC6-F111477A36CF}"/>
    <cellStyle name="Moneda 3" xfId="9" xr:uid="{3792F31D-058E-4638-A657-3591F56F3DE9}"/>
    <cellStyle name="Moneda 4" xfId="15" xr:uid="{66A0D364-B6F3-46E5-95BE-9EE284CDC003}"/>
    <cellStyle name="Normal" xfId="0" builtinId="0"/>
    <cellStyle name="Normal 2" xfId="2" xr:uid="{97D74B06-4714-4020-BEC5-E7C05E23D645}"/>
    <cellStyle name="Normal 2 2" xfId="7" xr:uid="{B1C8E7B8-E00C-47BA-8B03-7AC1670E143A}"/>
    <cellStyle name="Normal 3" xfId="4" xr:uid="{29A1E9BA-6BF6-411C-A998-BCCA8E007BCD}"/>
    <cellStyle name="Normal 3 2" xfId="10" xr:uid="{E7DEC212-35C3-47F4-9F13-597D55B76D06}"/>
    <cellStyle name="Normal 3 3" xfId="11" xr:uid="{7D393D0A-22D7-4765-B929-F821D58334FB}"/>
    <cellStyle name="Normal 3 4" xfId="12" xr:uid="{172BD36E-6943-41FA-A62E-715002026AA8}"/>
    <cellStyle name="Normal 4" xfId="8" xr:uid="{239E6193-0AEE-49D1-AEBB-849D5C887365}"/>
    <cellStyle name="Porcentaje" xfId="3" builtinId="5"/>
    <cellStyle name="Porcentaje 2" xfId="6" xr:uid="{3476ABD5-DDF3-4C0D-907D-BC20EFD09242}"/>
    <cellStyle name="Porcentaje 2 2" xfId="13" xr:uid="{22D68363-3998-44E7-90E4-323EA8F3AF9B}"/>
    <cellStyle name="Porcentaje 3" xfId="16" xr:uid="{8ACC8A1E-AF68-4BBD-B302-73171E4379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OPORTE\AppData\Local\Packages\5319275A.WhatsAppDesktop_cv1g1gvanyjgm\LocalState\sessions\247B8988C3064659568B8FE4E9C488E3DC65F666\transfers\2026-09\COTIZACIONES\Color%20Print%20Agencia%20publicita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SOPORTE\AppData\Local\Packages\5319275A.WhatsAppDesktop_cv1g1gvanyjgm\LocalState\sessions\247B8988C3064659568B8FE4E9C488E3DC65F666\transfers\2026-09\COTIZACIONES\COMERCIALIZADORA%20LA%20EXITOSA%20JR%20SAS%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OPORTE\AppData\Local\Packages\5319275A.WhatsAppDesktop_cv1g1gvanyjgm\LocalState\sessions\247B8988C3064659568B8FE4E9C488E3DC65F666\transfers\2026-09\COTIZACIONES\ARTE%20IMPRESO%20S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PELERIA"/>
      <sheetName val="SUMINISTRO DE IMPRESIÓN"/>
    </sheetNames>
    <sheetDataSet>
      <sheetData sheetId="0">
        <row r="7">
          <cell r="G7">
            <v>72400</v>
          </cell>
        </row>
        <row r="8">
          <cell r="G8">
            <v>9500</v>
          </cell>
        </row>
        <row r="9">
          <cell r="G9">
            <v>1100</v>
          </cell>
        </row>
        <row r="12">
          <cell r="G12">
            <v>9200</v>
          </cell>
        </row>
        <row r="26">
          <cell r="G26">
            <v>3500</v>
          </cell>
        </row>
        <row r="28">
          <cell r="G28">
            <v>12000</v>
          </cell>
        </row>
        <row r="33">
          <cell r="G33">
            <v>150</v>
          </cell>
        </row>
        <row r="34">
          <cell r="G34">
            <v>150</v>
          </cell>
        </row>
        <row r="35">
          <cell r="G35">
            <v>150</v>
          </cell>
        </row>
        <row r="36">
          <cell r="G36">
            <v>150</v>
          </cell>
        </row>
        <row r="37">
          <cell r="G37">
            <v>150</v>
          </cell>
        </row>
        <row r="38">
          <cell r="G38">
            <v>150</v>
          </cell>
        </row>
        <row r="39">
          <cell r="G39">
            <v>150</v>
          </cell>
        </row>
        <row r="40">
          <cell r="G40">
            <v>150</v>
          </cell>
        </row>
        <row r="41">
          <cell r="G41">
            <v>150</v>
          </cell>
        </row>
        <row r="42">
          <cell r="G42">
            <v>150</v>
          </cell>
        </row>
        <row r="43">
          <cell r="G43">
            <v>150</v>
          </cell>
        </row>
        <row r="44">
          <cell r="G44">
            <v>150</v>
          </cell>
        </row>
        <row r="45">
          <cell r="G45">
            <v>150</v>
          </cell>
        </row>
        <row r="46">
          <cell r="G46">
            <v>150</v>
          </cell>
        </row>
        <row r="52">
          <cell r="G52">
            <v>12980</v>
          </cell>
        </row>
        <row r="53">
          <cell r="G53">
            <v>11000</v>
          </cell>
        </row>
        <row r="55">
          <cell r="G55">
            <v>18900</v>
          </cell>
        </row>
        <row r="57">
          <cell r="G57">
            <v>3500</v>
          </cell>
        </row>
        <row r="60">
          <cell r="G60">
            <v>46455</v>
          </cell>
        </row>
        <row r="65">
          <cell r="G65">
            <v>3500</v>
          </cell>
        </row>
        <row r="67">
          <cell r="G67">
            <v>1200</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PELERIA"/>
      <sheetName val="SUMINISTRO DE IMPRESIÓN"/>
    </sheetNames>
    <sheetDataSet>
      <sheetData sheetId="0">
        <row r="8">
          <cell r="I8">
            <v>4000</v>
          </cell>
        </row>
        <row r="12">
          <cell r="I12">
            <v>7000</v>
          </cell>
        </row>
        <row r="17">
          <cell r="I17">
            <v>14500</v>
          </cell>
        </row>
        <row r="18">
          <cell r="I18">
            <v>2200</v>
          </cell>
        </row>
        <row r="20">
          <cell r="I20">
            <v>25000</v>
          </cell>
        </row>
        <row r="23">
          <cell r="I23">
            <v>4800</v>
          </cell>
        </row>
        <row r="26">
          <cell r="I26">
            <v>3500</v>
          </cell>
        </row>
        <row r="29">
          <cell r="I29">
            <v>12000</v>
          </cell>
        </row>
        <row r="32">
          <cell r="I32">
            <v>3500</v>
          </cell>
        </row>
        <row r="56">
          <cell r="I56">
            <v>18900</v>
          </cell>
        </row>
        <row r="57">
          <cell r="I57">
            <v>2833</v>
          </cell>
        </row>
        <row r="58">
          <cell r="I58">
            <v>34000</v>
          </cell>
        </row>
        <row r="59">
          <cell r="I59">
            <v>15000</v>
          </cell>
        </row>
        <row r="62">
          <cell r="I62">
            <v>1600</v>
          </cell>
        </row>
        <row r="65">
          <cell r="I65">
            <v>3400</v>
          </cell>
        </row>
        <row r="69">
          <cell r="I69">
            <v>9800</v>
          </cell>
        </row>
        <row r="70">
          <cell r="I70">
            <v>48000</v>
          </cell>
        </row>
        <row r="84">
          <cell r="I84">
            <v>2000</v>
          </cell>
        </row>
        <row r="86">
          <cell r="I86">
            <v>18000</v>
          </cell>
        </row>
        <row r="88">
          <cell r="I88">
            <v>18000</v>
          </cell>
        </row>
        <row r="90">
          <cell r="I90">
            <v>9800</v>
          </cell>
        </row>
        <row r="92">
          <cell r="I92">
            <v>5800</v>
          </cell>
        </row>
        <row r="97">
          <cell r="I97">
            <v>98000</v>
          </cell>
        </row>
        <row r="99">
          <cell r="I99">
            <v>6000</v>
          </cell>
        </row>
        <row r="102">
          <cell r="I102">
            <v>5800</v>
          </cell>
        </row>
      </sheetData>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PELERIA"/>
      <sheetName val="SUMINISTRO DE IMPRESIÓN"/>
    </sheetNames>
    <sheetDataSet>
      <sheetData sheetId="0">
        <row r="7">
          <cell r="K7">
            <v>178.5</v>
          </cell>
        </row>
        <row r="8">
          <cell r="K8">
            <v>178.5</v>
          </cell>
        </row>
        <row r="9">
          <cell r="K9">
            <v>178.5</v>
          </cell>
        </row>
        <row r="10">
          <cell r="K10">
            <v>214.2</v>
          </cell>
        </row>
        <row r="11">
          <cell r="K11">
            <v>178.5</v>
          </cell>
        </row>
        <row r="12">
          <cell r="K12">
            <v>190.4</v>
          </cell>
        </row>
        <row r="13">
          <cell r="K13">
            <v>142.80000000000001</v>
          </cell>
        </row>
        <row r="14">
          <cell r="K14">
            <v>178.5</v>
          </cell>
        </row>
        <row r="15">
          <cell r="K15">
            <v>178.5</v>
          </cell>
        </row>
        <row r="16">
          <cell r="K16">
            <v>178.5</v>
          </cell>
        </row>
        <row r="17">
          <cell r="K17">
            <v>178.5</v>
          </cell>
        </row>
        <row r="18">
          <cell r="K18">
            <v>178.5</v>
          </cell>
        </row>
        <row r="19">
          <cell r="K19">
            <v>178.5</v>
          </cell>
        </row>
        <row r="20">
          <cell r="K20">
            <v>178.5</v>
          </cell>
        </row>
      </sheetData>
      <sheetData sheetId="1"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M1162"/>
  <sheetViews>
    <sheetView tabSelected="1" zoomScale="59" zoomScaleNormal="59" workbookViewId="0">
      <pane xSplit="3" ySplit="6" topLeftCell="D7" activePane="bottomRight" state="frozen"/>
      <selection pane="topRight" activeCell="D1" sqref="D1"/>
      <selection pane="bottomLeft" activeCell="A7" sqref="A7"/>
      <selection pane="bottomRight" activeCell="C82" sqref="C82"/>
    </sheetView>
  </sheetViews>
  <sheetFormatPr baseColWidth="10" defaultColWidth="14.453125" defaultRowHeight="15" customHeight="1"/>
  <cols>
    <col min="1" max="1" width="16.7265625" style="2" customWidth="1"/>
    <col min="2" max="2" width="23.7265625" style="2" customWidth="1"/>
    <col min="3" max="3" width="67.26953125" style="2" customWidth="1"/>
    <col min="4" max="4" width="15.453125" style="70" customWidth="1"/>
    <col min="5" max="5" width="15" style="2" customWidth="1"/>
    <col min="6" max="6" width="12.7265625" style="2" customWidth="1"/>
    <col min="7" max="7" width="24.7265625" style="2" customWidth="1"/>
    <col min="8" max="8" width="20.453125" style="2" customWidth="1"/>
    <col min="9" max="10" width="20.26953125" style="2" customWidth="1"/>
    <col min="11" max="11" width="21.7265625" style="2" customWidth="1"/>
    <col min="12" max="12" width="20.26953125" style="2" customWidth="1"/>
    <col min="13" max="13" width="21.7265625" style="2" customWidth="1"/>
    <col min="14" max="14" width="20.26953125" style="2" customWidth="1"/>
    <col min="15" max="15" width="21.7265625" style="2" customWidth="1"/>
    <col min="16" max="16" width="20.26953125" style="2" customWidth="1"/>
    <col min="17" max="17" width="21.7265625" style="2" customWidth="1"/>
    <col min="18" max="18" width="20.26953125" style="2" customWidth="1"/>
    <col min="19" max="19" width="21.7265625" style="2" customWidth="1"/>
    <col min="20" max="20" width="20.26953125" style="2" customWidth="1"/>
    <col min="21" max="21" width="21.7265625" style="2" customWidth="1"/>
    <col min="22" max="22" width="20.26953125" style="2" customWidth="1"/>
    <col min="23" max="23" width="21.7265625" style="2" customWidth="1"/>
    <col min="24" max="24" width="28.7265625" style="2" customWidth="1"/>
    <col min="25" max="26" width="26.453125" style="2" customWidth="1"/>
    <col min="27" max="27" width="24.26953125" style="2" customWidth="1"/>
    <col min="28" max="88" width="22" style="2" customWidth="1"/>
    <col min="89" max="89" width="20.7265625" style="99" customWidth="1"/>
    <col min="90" max="90" width="19.7265625" style="99" customWidth="1"/>
    <col min="91" max="91" width="25.453125" style="2" customWidth="1"/>
    <col min="92" max="92" width="26" style="150" customWidth="1"/>
    <col min="93" max="93" width="21.26953125" style="101" customWidth="1"/>
    <col min="94" max="94" width="23.26953125" style="101" customWidth="1"/>
    <col min="95" max="95" width="28" style="99" bestFit="1" customWidth="1"/>
    <col min="96" max="96" width="27" style="2" customWidth="1"/>
    <col min="97" max="97" width="69.7265625" style="61" customWidth="1"/>
    <col min="98" max="115" width="11.453125" style="2" customWidth="1"/>
    <col min="116" max="16384" width="14.453125" style="2"/>
  </cols>
  <sheetData>
    <row r="1" spans="1:143" ht="14.5">
      <c r="A1" s="71"/>
      <c r="B1" s="334">
        <f>+CR271</f>
        <v>0</v>
      </c>
      <c r="C1" s="72"/>
      <c r="D1" s="73"/>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c r="AJ1" s="72"/>
      <c r="AK1" s="72"/>
      <c r="AL1" s="72"/>
      <c r="AM1" s="72"/>
      <c r="AN1" s="72"/>
      <c r="AO1" s="72"/>
      <c r="AP1" s="72"/>
      <c r="AQ1" s="72"/>
      <c r="AR1" s="72"/>
      <c r="AS1" s="72"/>
      <c r="AT1" s="72"/>
      <c r="AU1" s="72"/>
      <c r="AV1" s="72"/>
      <c r="AW1" s="72"/>
      <c r="AX1" s="72"/>
      <c r="AY1" s="72"/>
      <c r="AZ1" s="72"/>
      <c r="BA1" s="72"/>
      <c r="BB1" s="72"/>
      <c r="BC1" s="72"/>
      <c r="BD1" s="72"/>
      <c r="BE1" s="72"/>
      <c r="BF1" s="72"/>
      <c r="BG1" s="72"/>
      <c r="BH1" s="72"/>
      <c r="BI1" s="72"/>
      <c r="BJ1" s="72"/>
      <c r="BK1" s="72"/>
      <c r="BL1" s="72"/>
      <c r="BM1" s="72"/>
      <c r="BN1" s="72"/>
      <c r="BO1" s="72"/>
      <c r="BP1" s="72"/>
      <c r="BQ1" s="72"/>
      <c r="BR1" s="72"/>
      <c r="BS1" s="72"/>
      <c r="BT1" s="72"/>
      <c r="BU1" s="72"/>
      <c r="BV1" s="72"/>
      <c r="BW1" s="72"/>
      <c r="BX1" s="72"/>
      <c r="BY1" s="72"/>
      <c r="BZ1" s="72"/>
      <c r="CA1" s="72"/>
      <c r="CB1" s="72"/>
      <c r="CC1" s="72"/>
      <c r="CD1" s="72"/>
      <c r="CE1" s="72"/>
      <c r="CF1" s="72"/>
      <c r="CG1" s="72"/>
      <c r="CH1" s="72"/>
      <c r="CI1" s="72"/>
      <c r="CJ1" s="72"/>
      <c r="CK1" s="74"/>
      <c r="CL1" s="74"/>
      <c r="CM1" s="72"/>
      <c r="CN1" s="144"/>
      <c r="CO1" s="75"/>
      <c r="CP1" s="75"/>
      <c r="CQ1" s="74"/>
      <c r="CR1" s="72"/>
      <c r="CS1" s="76"/>
    </row>
    <row r="2" spans="1:143" ht="16.149999999999999" customHeight="1">
      <c r="A2" s="349" t="s">
        <v>13</v>
      </c>
      <c r="B2" s="350"/>
      <c r="C2" s="350"/>
      <c r="D2" s="350"/>
      <c r="E2" s="350"/>
      <c r="F2" s="350"/>
      <c r="G2" s="350"/>
      <c r="H2" s="350"/>
      <c r="I2" s="350"/>
      <c r="J2" s="350"/>
      <c r="K2" s="350"/>
      <c r="L2" s="350"/>
      <c r="M2" s="350"/>
      <c r="N2" s="350"/>
      <c r="O2" s="350"/>
      <c r="P2" s="350"/>
      <c r="Q2" s="350"/>
      <c r="R2" s="350"/>
      <c r="S2" s="350"/>
      <c r="T2" s="350"/>
      <c r="U2" s="350"/>
      <c r="V2" s="350"/>
      <c r="W2" s="350"/>
      <c r="X2" s="350"/>
      <c r="Y2" s="350"/>
      <c r="Z2" s="350"/>
      <c r="AA2" s="350"/>
      <c r="AB2" s="350"/>
      <c r="AC2" s="350"/>
      <c r="AD2" s="350"/>
      <c r="AE2" s="350"/>
      <c r="AF2" s="350"/>
      <c r="AG2" s="350"/>
      <c r="AH2" s="350"/>
      <c r="AI2" s="350"/>
      <c r="AJ2" s="350"/>
      <c r="AK2" s="350"/>
      <c r="AL2" s="350"/>
      <c r="AM2" s="350"/>
      <c r="AN2" s="350"/>
      <c r="AO2" s="350"/>
      <c r="AP2" s="350"/>
      <c r="AQ2" s="350"/>
      <c r="AR2" s="350"/>
      <c r="AS2" s="350"/>
      <c r="AT2" s="350"/>
      <c r="AU2" s="350"/>
      <c r="AV2" s="350"/>
      <c r="AW2" s="350"/>
      <c r="AX2" s="350"/>
      <c r="AY2" s="350"/>
      <c r="AZ2" s="350"/>
      <c r="BA2" s="350"/>
      <c r="BB2" s="350"/>
      <c r="BC2" s="350"/>
      <c r="BD2" s="350"/>
      <c r="BE2" s="350"/>
      <c r="BF2" s="350"/>
      <c r="BG2" s="350"/>
      <c r="BH2" s="350"/>
      <c r="BI2" s="350"/>
      <c r="BJ2" s="350"/>
      <c r="BK2" s="350"/>
      <c r="BL2" s="350"/>
      <c r="BM2" s="350"/>
      <c r="BN2" s="350"/>
      <c r="BO2" s="350"/>
      <c r="BP2" s="350"/>
      <c r="BQ2" s="350"/>
      <c r="BR2" s="350"/>
      <c r="BS2" s="350"/>
      <c r="BT2" s="350"/>
      <c r="BU2" s="350"/>
      <c r="BV2" s="350"/>
      <c r="BW2" s="350"/>
      <c r="BX2" s="350"/>
      <c r="BY2" s="350"/>
      <c r="BZ2" s="350"/>
      <c r="CA2" s="350"/>
      <c r="CB2" s="350"/>
      <c r="CC2" s="350"/>
      <c r="CD2" s="350"/>
      <c r="CE2" s="350"/>
      <c r="CF2" s="350"/>
      <c r="CG2" s="350"/>
      <c r="CH2" s="350"/>
      <c r="CI2" s="350"/>
      <c r="CJ2" s="350"/>
      <c r="CK2" s="350"/>
      <c r="CL2" s="350"/>
      <c r="CM2" s="350"/>
      <c r="CN2" s="350"/>
      <c r="CO2" s="350"/>
      <c r="CP2" s="350"/>
      <c r="CQ2" s="350"/>
      <c r="CR2" s="350"/>
      <c r="CS2" s="351"/>
    </row>
    <row r="3" spans="1:143" ht="15" customHeight="1">
      <c r="A3" s="352" t="s">
        <v>156</v>
      </c>
      <c r="B3" s="350"/>
      <c r="C3" s="350"/>
      <c r="D3" s="350"/>
      <c r="E3" s="350"/>
      <c r="F3" s="350"/>
      <c r="G3" s="350"/>
      <c r="H3" s="350"/>
      <c r="I3" s="350"/>
      <c r="J3" s="350"/>
      <c r="K3" s="350"/>
      <c r="L3" s="350"/>
      <c r="M3" s="350"/>
      <c r="N3" s="350"/>
      <c r="O3" s="350"/>
      <c r="P3" s="350"/>
      <c r="Q3" s="350"/>
      <c r="R3" s="350"/>
      <c r="S3" s="350"/>
      <c r="T3" s="350"/>
      <c r="U3" s="350"/>
      <c r="V3" s="350"/>
      <c r="W3" s="350"/>
      <c r="X3" s="350"/>
      <c r="Y3" s="350"/>
      <c r="Z3" s="350"/>
      <c r="AA3" s="350"/>
      <c r="AB3" s="350"/>
      <c r="AC3" s="350"/>
      <c r="AD3" s="350"/>
      <c r="AE3" s="350"/>
      <c r="AF3" s="350"/>
      <c r="AG3" s="350"/>
      <c r="AH3" s="350"/>
      <c r="AI3" s="350"/>
      <c r="AJ3" s="350"/>
      <c r="AK3" s="350"/>
      <c r="AL3" s="350"/>
      <c r="AM3" s="350"/>
      <c r="AN3" s="350"/>
      <c r="AO3" s="350"/>
      <c r="AP3" s="350"/>
      <c r="AQ3" s="350"/>
      <c r="AR3" s="350"/>
      <c r="AS3" s="350"/>
      <c r="AT3" s="350"/>
      <c r="AU3" s="350"/>
      <c r="AV3" s="350"/>
      <c r="AW3" s="350"/>
      <c r="AX3" s="350"/>
      <c r="AY3" s="350"/>
      <c r="AZ3" s="350"/>
      <c r="BA3" s="350"/>
      <c r="BB3" s="350"/>
      <c r="BC3" s="350"/>
      <c r="BD3" s="350"/>
      <c r="BE3" s="350"/>
      <c r="BF3" s="350"/>
      <c r="BG3" s="350"/>
      <c r="BH3" s="350"/>
      <c r="BI3" s="350"/>
      <c r="BJ3" s="350"/>
      <c r="BK3" s="350"/>
      <c r="BL3" s="350"/>
      <c r="BM3" s="350"/>
      <c r="BN3" s="350"/>
      <c r="BO3" s="350"/>
      <c r="BP3" s="350"/>
      <c r="BQ3" s="350"/>
      <c r="BR3" s="350"/>
      <c r="BS3" s="350"/>
      <c r="BT3" s="350"/>
      <c r="BU3" s="350"/>
      <c r="BV3" s="350"/>
      <c r="BW3" s="350"/>
      <c r="BX3" s="350"/>
      <c r="BY3" s="350"/>
      <c r="BZ3" s="350"/>
      <c r="CA3" s="350"/>
      <c r="CB3" s="350"/>
      <c r="CC3" s="350"/>
      <c r="CD3" s="350"/>
      <c r="CE3" s="350"/>
      <c r="CF3" s="350"/>
      <c r="CG3" s="350"/>
      <c r="CH3" s="350"/>
      <c r="CI3" s="350"/>
      <c r="CJ3" s="350"/>
      <c r="CK3" s="350"/>
      <c r="CL3" s="350"/>
      <c r="CM3" s="350"/>
      <c r="CN3" s="350"/>
      <c r="CO3" s="350"/>
      <c r="CP3" s="350"/>
      <c r="CQ3" s="350"/>
      <c r="CR3" s="350"/>
      <c r="CS3" s="351"/>
    </row>
    <row r="4" spans="1:143" ht="35.25" customHeight="1">
      <c r="A4" s="354" t="s">
        <v>922</v>
      </c>
      <c r="B4" s="355"/>
      <c r="C4" s="355"/>
      <c r="D4" s="355"/>
      <c r="E4" s="355"/>
      <c r="F4" s="355"/>
      <c r="G4" s="63"/>
      <c r="H4" s="63"/>
      <c r="I4" s="63"/>
      <c r="J4" s="63"/>
      <c r="K4" s="63"/>
      <c r="L4" s="63"/>
      <c r="M4" s="63"/>
      <c r="N4" s="63"/>
      <c r="O4" s="63"/>
      <c r="P4" s="63"/>
      <c r="Q4" s="63"/>
      <c r="R4" s="63"/>
      <c r="S4" s="63"/>
      <c r="T4" s="63"/>
      <c r="U4" s="63"/>
      <c r="V4" s="63"/>
      <c r="W4" s="63"/>
      <c r="X4" s="63"/>
      <c r="Y4" s="63"/>
      <c r="Z4" s="63"/>
      <c r="AA4" s="63"/>
      <c r="AB4" s="63"/>
      <c r="AC4" s="63"/>
      <c r="AD4" s="63"/>
      <c r="AE4" s="63"/>
      <c r="AF4" s="63"/>
      <c r="AG4" s="63"/>
      <c r="AH4" s="63"/>
      <c r="AI4" s="63"/>
      <c r="AJ4" s="63"/>
      <c r="AK4" s="63"/>
      <c r="AL4" s="63"/>
      <c r="AM4" s="63"/>
      <c r="AN4" s="63"/>
      <c r="AO4" s="63"/>
      <c r="AP4" s="63"/>
      <c r="AQ4" s="63"/>
      <c r="AR4" s="63"/>
      <c r="AS4" s="63"/>
      <c r="AT4" s="63"/>
      <c r="AU4" s="63"/>
      <c r="AV4" s="63"/>
      <c r="AW4" s="63"/>
      <c r="AX4" s="63"/>
      <c r="AY4" s="63"/>
      <c r="AZ4" s="63"/>
      <c r="BA4" s="63"/>
      <c r="BB4" s="63"/>
      <c r="BC4" s="63"/>
      <c r="BD4" s="63"/>
      <c r="BE4" s="63"/>
      <c r="BF4" s="63"/>
      <c r="BG4" s="63"/>
      <c r="BH4" s="63"/>
      <c r="BI4" s="63"/>
      <c r="BJ4" s="63"/>
      <c r="BK4" s="63"/>
      <c r="BL4" s="63"/>
      <c r="BM4" s="63"/>
      <c r="BN4" s="63"/>
      <c r="BO4" s="63"/>
      <c r="BP4" s="63"/>
      <c r="BQ4" s="63"/>
      <c r="BR4" s="63"/>
      <c r="BS4" s="63"/>
      <c r="BT4" s="63"/>
      <c r="BU4" s="63"/>
      <c r="BV4" s="63"/>
      <c r="BW4" s="63"/>
      <c r="BX4" s="63"/>
      <c r="BY4" s="63"/>
      <c r="BZ4" s="63"/>
      <c r="CA4" s="63"/>
      <c r="CB4" s="63"/>
      <c r="CC4" s="63"/>
      <c r="CD4" s="63"/>
      <c r="CE4" s="63"/>
      <c r="CF4" s="63"/>
      <c r="CG4" s="63"/>
      <c r="CH4" s="63"/>
      <c r="CI4" s="63"/>
      <c r="CJ4" s="63"/>
      <c r="CK4" s="77"/>
      <c r="CL4" s="77"/>
      <c r="CM4" s="58"/>
      <c r="CN4" s="145"/>
      <c r="CO4" s="78"/>
      <c r="CP4" s="78"/>
      <c r="CQ4" s="77"/>
      <c r="CR4" s="58"/>
      <c r="CS4" s="79"/>
    </row>
    <row r="5" spans="1:143" ht="9.65" customHeight="1">
      <c r="A5" s="354"/>
      <c r="B5" s="355"/>
      <c r="C5" s="355"/>
      <c r="D5" s="355"/>
      <c r="E5" s="355"/>
      <c r="F5" s="355"/>
      <c r="G5" s="63"/>
      <c r="H5" s="63"/>
      <c r="I5" s="63"/>
      <c r="J5" s="63"/>
      <c r="K5" s="63"/>
      <c r="L5" s="63"/>
      <c r="M5" s="63"/>
      <c r="N5" s="63"/>
      <c r="O5" s="63"/>
      <c r="P5" s="63"/>
      <c r="Q5" s="63"/>
      <c r="R5" s="63"/>
      <c r="S5" s="63"/>
      <c r="T5" s="63"/>
      <c r="U5" s="63"/>
      <c r="V5" s="63"/>
      <c r="W5" s="63"/>
      <c r="X5" s="63"/>
      <c r="Y5" s="63"/>
      <c r="Z5" s="63"/>
      <c r="AA5" s="63"/>
      <c r="AB5" s="63"/>
      <c r="AC5" s="63"/>
      <c r="AD5" s="63"/>
      <c r="AE5" s="63"/>
      <c r="AF5" s="63"/>
      <c r="AG5" s="63"/>
      <c r="AH5" s="63"/>
      <c r="AI5" s="63"/>
      <c r="AJ5" s="63"/>
      <c r="AK5" s="63"/>
      <c r="AL5" s="63"/>
      <c r="AM5" s="63"/>
      <c r="AN5" s="63"/>
      <c r="AO5" s="63"/>
      <c r="AP5" s="63"/>
      <c r="AQ5" s="63"/>
      <c r="AR5" s="63"/>
      <c r="AS5" s="63"/>
      <c r="AT5" s="63"/>
      <c r="AU5" s="63"/>
      <c r="AV5" s="63"/>
      <c r="AW5" s="63"/>
      <c r="AX5" s="63"/>
      <c r="AY5" s="63"/>
      <c r="AZ5" s="63"/>
      <c r="BA5" s="63"/>
      <c r="BB5" s="63"/>
      <c r="BC5" s="63"/>
      <c r="BD5" s="63"/>
      <c r="BE5" s="63"/>
      <c r="BF5" s="63"/>
      <c r="BG5" s="63"/>
      <c r="BH5" s="63"/>
      <c r="BI5" s="63"/>
      <c r="BJ5" s="63"/>
      <c r="BK5" s="63"/>
      <c r="BL5" s="63"/>
      <c r="BM5" s="63"/>
      <c r="BN5" s="63"/>
      <c r="BO5" s="63"/>
      <c r="BP5" s="63"/>
      <c r="BQ5" s="63"/>
      <c r="BR5" s="63"/>
      <c r="BS5" s="63"/>
      <c r="BT5" s="63"/>
      <c r="BU5" s="63"/>
      <c r="BV5" s="63"/>
      <c r="BW5" s="63"/>
      <c r="BX5" s="63"/>
      <c r="BY5" s="63"/>
      <c r="BZ5" s="63"/>
      <c r="CA5" s="63"/>
      <c r="CB5" s="63"/>
      <c r="CC5" s="63"/>
      <c r="CD5" s="63"/>
      <c r="CE5" s="63"/>
      <c r="CF5" s="63"/>
      <c r="CG5" s="63"/>
      <c r="CH5" s="63"/>
      <c r="CI5" s="63"/>
      <c r="CJ5" s="63"/>
      <c r="CK5" s="353" t="s">
        <v>157</v>
      </c>
      <c r="CL5" s="353"/>
      <c r="CM5" s="353"/>
      <c r="CN5" s="353"/>
      <c r="CO5" s="341" t="s">
        <v>266</v>
      </c>
      <c r="CP5" s="341" t="s">
        <v>160</v>
      </c>
      <c r="CQ5" s="338" t="s">
        <v>158</v>
      </c>
      <c r="CR5" s="335" t="s">
        <v>161</v>
      </c>
      <c r="CS5" s="335" t="s">
        <v>162</v>
      </c>
    </row>
    <row r="6" spans="1:143" ht="93.75" customHeight="1">
      <c r="A6" s="359" t="s">
        <v>0</v>
      </c>
      <c r="B6" s="360" t="s">
        <v>1</v>
      </c>
      <c r="C6" s="348" t="s">
        <v>2</v>
      </c>
      <c r="D6" s="347" t="s">
        <v>3</v>
      </c>
      <c r="E6" s="347" t="s">
        <v>176</v>
      </c>
      <c r="F6" s="347" t="s">
        <v>404</v>
      </c>
      <c r="G6" s="82" t="s">
        <v>746</v>
      </c>
      <c r="H6" s="81" t="s">
        <v>169</v>
      </c>
      <c r="I6" s="82" t="s">
        <v>172</v>
      </c>
      <c r="J6" s="81" t="s">
        <v>174</v>
      </c>
      <c r="K6" s="82" t="s">
        <v>177</v>
      </c>
      <c r="L6" s="337" t="s">
        <v>179</v>
      </c>
      <c r="M6" s="337"/>
      <c r="N6" s="344" t="s">
        <v>182</v>
      </c>
      <c r="O6" s="344"/>
      <c r="P6" s="337" t="s">
        <v>184</v>
      </c>
      <c r="Q6" s="337"/>
      <c r="R6" s="344" t="s">
        <v>186</v>
      </c>
      <c r="S6" s="344"/>
      <c r="T6" s="337" t="s">
        <v>188</v>
      </c>
      <c r="U6" s="337"/>
      <c r="V6" s="344" t="s">
        <v>190</v>
      </c>
      <c r="W6" s="344"/>
      <c r="X6" s="81" t="s">
        <v>192</v>
      </c>
      <c r="Y6" s="82" t="s">
        <v>194</v>
      </c>
      <c r="Z6" s="81" t="s">
        <v>195</v>
      </c>
      <c r="AA6" s="82" t="s">
        <v>199</v>
      </c>
      <c r="AB6" s="337" t="s">
        <v>205</v>
      </c>
      <c r="AC6" s="337"/>
      <c r="AD6" s="344" t="s">
        <v>203</v>
      </c>
      <c r="AE6" s="344"/>
      <c r="AF6" s="337" t="s">
        <v>201</v>
      </c>
      <c r="AG6" s="337"/>
      <c r="AH6" s="82" t="s">
        <v>207</v>
      </c>
      <c r="AI6" s="81" t="s">
        <v>210</v>
      </c>
      <c r="AJ6" s="82" t="s">
        <v>209</v>
      </c>
      <c r="AK6" s="81" t="s">
        <v>213</v>
      </c>
      <c r="AL6" s="82" t="s">
        <v>215</v>
      </c>
      <c r="AM6" s="81" t="s">
        <v>217</v>
      </c>
      <c r="AN6" s="344" t="s">
        <v>205</v>
      </c>
      <c r="AO6" s="344"/>
      <c r="AP6" s="81" t="s">
        <v>219</v>
      </c>
      <c r="AQ6" s="82" t="s">
        <v>221</v>
      </c>
      <c r="AR6" s="337" t="s">
        <v>223</v>
      </c>
      <c r="AS6" s="337"/>
      <c r="AT6" s="344" t="s">
        <v>225</v>
      </c>
      <c r="AU6" s="344"/>
      <c r="AV6" s="337" t="s">
        <v>227</v>
      </c>
      <c r="AW6" s="337"/>
      <c r="AX6" s="337"/>
      <c r="AY6" s="344" t="s">
        <v>229</v>
      </c>
      <c r="AZ6" s="344"/>
      <c r="BA6" s="337" t="s">
        <v>231</v>
      </c>
      <c r="BB6" s="337"/>
      <c r="BC6" s="82" t="s">
        <v>233</v>
      </c>
      <c r="BD6" s="337" t="s">
        <v>235</v>
      </c>
      <c r="BE6" s="337"/>
      <c r="BF6" s="344" t="s">
        <v>237</v>
      </c>
      <c r="BG6" s="344"/>
      <c r="BH6" s="81" t="s">
        <v>239</v>
      </c>
      <c r="BI6" s="82" t="s">
        <v>241</v>
      </c>
      <c r="BJ6" s="337" t="s">
        <v>246</v>
      </c>
      <c r="BK6" s="337"/>
      <c r="BL6" s="82" t="s">
        <v>248</v>
      </c>
      <c r="BM6" s="81" t="s">
        <v>250</v>
      </c>
      <c r="BN6" s="82" t="s">
        <v>252</v>
      </c>
      <c r="BO6" s="337" t="s">
        <v>255</v>
      </c>
      <c r="BP6" s="337"/>
      <c r="BQ6" s="344" t="s">
        <v>257</v>
      </c>
      <c r="BR6" s="344"/>
      <c r="BS6" s="337" t="s">
        <v>259</v>
      </c>
      <c r="BT6" s="337"/>
      <c r="BU6" s="344" t="s">
        <v>261</v>
      </c>
      <c r="BV6" s="344"/>
      <c r="BW6" s="81" t="s">
        <v>283</v>
      </c>
      <c r="BX6" s="344" t="s">
        <v>430</v>
      </c>
      <c r="BY6" s="344"/>
      <c r="BZ6" s="81" t="s">
        <v>434</v>
      </c>
      <c r="CA6" s="344" t="s">
        <v>784</v>
      </c>
      <c r="CB6" s="344"/>
      <c r="CC6" s="337" t="s">
        <v>786</v>
      </c>
      <c r="CD6" s="337"/>
      <c r="CE6" s="344" t="s">
        <v>802</v>
      </c>
      <c r="CF6" s="344"/>
      <c r="CG6" s="344"/>
      <c r="CH6" s="337" t="s">
        <v>804</v>
      </c>
      <c r="CI6" s="337"/>
      <c r="CJ6" s="337"/>
      <c r="CK6" s="83" t="s">
        <v>163</v>
      </c>
      <c r="CL6" s="83" t="s">
        <v>164</v>
      </c>
      <c r="CM6" s="84" t="s">
        <v>165</v>
      </c>
      <c r="CN6" s="146" t="s">
        <v>166</v>
      </c>
      <c r="CO6" s="342"/>
      <c r="CP6" s="342"/>
      <c r="CQ6" s="339"/>
      <c r="CR6" s="335"/>
      <c r="CS6" s="335"/>
    </row>
    <row r="7" spans="1:143" ht="27.75" customHeight="1">
      <c r="A7" s="359"/>
      <c r="B7" s="360"/>
      <c r="C7" s="348"/>
      <c r="D7" s="347"/>
      <c r="E7" s="347"/>
      <c r="F7" s="347"/>
      <c r="G7" s="82"/>
      <c r="H7" s="81" t="s">
        <v>170</v>
      </c>
      <c r="I7" s="82" t="s">
        <v>173</v>
      </c>
      <c r="J7" s="81" t="s">
        <v>175</v>
      </c>
      <c r="K7" s="82" t="s">
        <v>178</v>
      </c>
      <c r="L7" s="337" t="s">
        <v>180</v>
      </c>
      <c r="M7" s="337"/>
      <c r="N7" s="344" t="s">
        <v>183</v>
      </c>
      <c r="O7" s="344"/>
      <c r="P7" s="337" t="s">
        <v>185</v>
      </c>
      <c r="Q7" s="337"/>
      <c r="R7" s="344" t="s">
        <v>187</v>
      </c>
      <c r="S7" s="344"/>
      <c r="T7" s="337" t="s">
        <v>189</v>
      </c>
      <c r="U7" s="337"/>
      <c r="V7" s="344" t="s">
        <v>191</v>
      </c>
      <c r="W7" s="344"/>
      <c r="X7" s="81" t="s">
        <v>193</v>
      </c>
      <c r="Y7" s="82" t="s">
        <v>196</v>
      </c>
      <c r="Z7" s="81" t="s">
        <v>197</v>
      </c>
      <c r="AA7" s="82" t="s">
        <v>200</v>
      </c>
      <c r="AB7" s="337" t="s">
        <v>206</v>
      </c>
      <c r="AC7" s="337"/>
      <c r="AD7" s="344" t="s">
        <v>204</v>
      </c>
      <c r="AE7" s="344"/>
      <c r="AF7" s="337" t="s">
        <v>202</v>
      </c>
      <c r="AG7" s="337"/>
      <c r="AH7" s="82" t="s">
        <v>208</v>
      </c>
      <c r="AI7" s="81" t="s">
        <v>211</v>
      </c>
      <c r="AJ7" s="82" t="s">
        <v>212</v>
      </c>
      <c r="AK7" s="81" t="s">
        <v>214</v>
      </c>
      <c r="AL7" s="82" t="s">
        <v>216</v>
      </c>
      <c r="AM7" s="81" t="s">
        <v>218</v>
      </c>
      <c r="AN7" s="344" t="s">
        <v>206</v>
      </c>
      <c r="AO7" s="344"/>
      <c r="AP7" s="81" t="s">
        <v>220</v>
      </c>
      <c r="AQ7" s="82" t="s">
        <v>222</v>
      </c>
      <c r="AR7" s="337" t="s">
        <v>224</v>
      </c>
      <c r="AS7" s="337"/>
      <c r="AT7" s="344" t="s">
        <v>226</v>
      </c>
      <c r="AU7" s="344"/>
      <c r="AV7" s="337" t="s">
        <v>228</v>
      </c>
      <c r="AW7" s="337"/>
      <c r="AX7" s="337"/>
      <c r="AY7" s="344" t="s">
        <v>230</v>
      </c>
      <c r="AZ7" s="344"/>
      <c r="BA7" s="337" t="s">
        <v>232</v>
      </c>
      <c r="BB7" s="337"/>
      <c r="BC7" s="82" t="s">
        <v>234</v>
      </c>
      <c r="BD7" s="337" t="s">
        <v>236</v>
      </c>
      <c r="BE7" s="337"/>
      <c r="BF7" s="344" t="s">
        <v>238</v>
      </c>
      <c r="BG7" s="344"/>
      <c r="BH7" s="81" t="s">
        <v>240</v>
      </c>
      <c r="BI7" s="82" t="s">
        <v>242</v>
      </c>
      <c r="BJ7" s="337" t="s">
        <v>247</v>
      </c>
      <c r="BK7" s="337"/>
      <c r="BL7" s="82" t="s">
        <v>249</v>
      </c>
      <c r="BM7" s="81" t="s">
        <v>251</v>
      </c>
      <c r="BN7" s="82" t="s">
        <v>253</v>
      </c>
      <c r="BO7" s="337" t="s">
        <v>256</v>
      </c>
      <c r="BP7" s="337"/>
      <c r="BQ7" s="344" t="s">
        <v>258</v>
      </c>
      <c r="BR7" s="344"/>
      <c r="BS7" s="337" t="s">
        <v>260</v>
      </c>
      <c r="BT7" s="337"/>
      <c r="BU7" s="344" t="s">
        <v>262</v>
      </c>
      <c r="BV7" s="344"/>
      <c r="BW7" s="81" t="s">
        <v>284</v>
      </c>
      <c r="BX7" s="344" t="s">
        <v>429</v>
      </c>
      <c r="BY7" s="344"/>
      <c r="BZ7" s="123" t="s">
        <v>433</v>
      </c>
      <c r="CA7" s="344" t="s">
        <v>785</v>
      </c>
      <c r="CB7" s="344"/>
      <c r="CC7" s="337" t="s">
        <v>787</v>
      </c>
      <c r="CD7" s="337"/>
      <c r="CE7" s="344" t="s">
        <v>803</v>
      </c>
      <c r="CF7" s="344"/>
      <c r="CG7" s="344"/>
      <c r="CH7" s="337"/>
      <c r="CI7" s="337"/>
      <c r="CJ7" s="337"/>
      <c r="CK7" s="83"/>
      <c r="CL7" s="83"/>
      <c r="CM7" s="84"/>
      <c r="CN7" s="146"/>
      <c r="CO7" s="342"/>
      <c r="CP7" s="342"/>
      <c r="CQ7" s="339"/>
      <c r="CR7" s="335"/>
      <c r="CS7" s="335"/>
    </row>
    <row r="8" spans="1:143" s="66" customFormat="1" ht="54.75" customHeight="1">
      <c r="A8" s="361" t="s">
        <v>14</v>
      </c>
      <c r="B8" s="362"/>
      <c r="C8" s="362"/>
      <c r="D8" s="362"/>
      <c r="E8" s="362"/>
      <c r="F8" s="363"/>
      <c r="G8" s="85" t="s">
        <v>198</v>
      </c>
      <c r="H8" s="85" t="s">
        <v>171</v>
      </c>
      <c r="I8" s="85" t="s">
        <v>171</v>
      </c>
      <c r="J8" s="85" t="s">
        <v>171</v>
      </c>
      <c r="K8" s="85" t="s">
        <v>171</v>
      </c>
      <c r="L8" s="85" t="s">
        <v>171</v>
      </c>
      <c r="M8" s="85" t="s">
        <v>902</v>
      </c>
      <c r="N8" s="85" t="s">
        <v>171</v>
      </c>
      <c r="O8" s="85" t="s">
        <v>902</v>
      </c>
      <c r="P8" s="85" t="s">
        <v>171</v>
      </c>
      <c r="Q8" s="85" t="s">
        <v>902</v>
      </c>
      <c r="R8" s="85" t="s">
        <v>171</v>
      </c>
      <c r="S8" s="85" t="s">
        <v>181</v>
      </c>
      <c r="T8" s="85" t="s">
        <v>171</v>
      </c>
      <c r="U8" s="85" t="s">
        <v>181</v>
      </c>
      <c r="V8" s="85" t="s">
        <v>171</v>
      </c>
      <c r="W8" s="85" t="s">
        <v>181</v>
      </c>
      <c r="X8" s="85" t="s">
        <v>171</v>
      </c>
      <c r="Y8" s="85" t="s">
        <v>171</v>
      </c>
      <c r="Z8" s="85" t="s">
        <v>171</v>
      </c>
      <c r="AA8" s="85" t="s">
        <v>171</v>
      </c>
      <c r="AB8" s="85" t="s">
        <v>171</v>
      </c>
      <c r="AC8" s="85" t="s">
        <v>181</v>
      </c>
      <c r="AD8" s="85" t="s">
        <v>171</v>
      </c>
      <c r="AE8" s="85" t="s">
        <v>181</v>
      </c>
      <c r="AF8" s="85" t="s">
        <v>171</v>
      </c>
      <c r="AG8" s="85" t="s">
        <v>181</v>
      </c>
      <c r="AH8" s="85" t="s">
        <v>171</v>
      </c>
      <c r="AI8" s="85" t="s">
        <v>171</v>
      </c>
      <c r="AJ8" s="85" t="s">
        <v>171</v>
      </c>
      <c r="AK8" s="85" t="s">
        <v>171</v>
      </c>
      <c r="AL8" s="85" t="s">
        <v>171</v>
      </c>
      <c r="AM8" s="85" t="s">
        <v>171</v>
      </c>
      <c r="AN8" s="85" t="s">
        <v>171</v>
      </c>
      <c r="AO8" s="85" t="s">
        <v>181</v>
      </c>
      <c r="AP8" s="85" t="s">
        <v>171</v>
      </c>
      <c r="AQ8" s="85" t="s">
        <v>171</v>
      </c>
      <c r="AR8" s="85" t="s">
        <v>171</v>
      </c>
      <c r="AS8" s="85" t="s">
        <v>181</v>
      </c>
      <c r="AT8" s="85" t="s">
        <v>171</v>
      </c>
      <c r="AU8" s="85" t="s">
        <v>181</v>
      </c>
      <c r="AV8" s="86" t="s">
        <v>431</v>
      </c>
      <c r="AW8" s="86" t="s">
        <v>160</v>
      </c>
      <c r="AX8" s="87" t="s">
        <v>432</v>
      </c>
      <c r="AY8" s="85" t="s">
        <v>171</v>
      </c>
      <c r="AZ8" s="85" t="s">
        <v>181</v>
      </c>
      <c r="BA8" s="85" t="s">
        <v>171</v>
      </c>
      <c r="BB8" s="85" t="s">
        <v>181</v>
      </c>
      <c r="BC8" s="85" t="s">
        <v>171</v>
      </c>
      <c r="BD8" s="85" t="s">
        <v>171</v>
      </c>
      <c r="BE8" s="85" t="s">
        <v>181</v>
      </c>
      <c r="BF8" s="85" t="s">
        <v>171</v>
      </c>
      <c r="BG8" s="85" t="s">
        <v>181</v>
      </c>
      <c r="BH8" s="85" t="s">
        <v>171</v>
      </c>
      <c r="BI8" s="85" t="s">
        <v>171</v>
      </c>
      <c r="BJ8" s="85" t="s">
        <v>171</v>
      </c>
      <c r="BK8" s="85" t="s">
        <v>181</v>
      </c>
      <c r="BL8" s="85" t="s">
        <v>171</v>
      </c>
      <c r="BM8" s="85" t="s">
        <v>171</v>
      </c>
      <c r="BN8" s="85" t="s">
        <v>171</v>
      </c>
      <c r="BO8" s="85" t="s">
        <v>171</v>
      </c>
      <c r="BP8" s="85" t="s">
        <v>181</v>
      </c>
      <c r="BQ8" s="85" t="s">
        <v>171</v>
      </c>
      <c r="BR8" s="85" t="s">
        <v>181</v>
      </c>
      <c r="BS8" s="85" t="s">
        <v>171</v>
      </c>
      <c r="BT8" s="85" t="s">
        <v>181</v>
      </c>
      <c r="BU8" s="85" t="s">
        <v>171</v>
      </c>
      <c r="BV8" s="85" t="s">
        <v>181</v>
      </c>
      <c r="BW8" s="85" t="s">
        <v>171</v>
      </c>
      <c r="BX8" s="85" t="s">
        <v>171</v>
      </c>
      <c r="BY8" s="85" t="s">
        <v>181</v>
      </c>
      <c r="BZ8" s="85"/>
      <c r="CA8" s="85" t="s">
        <v>171</v>
      </c>
      <c r="CB8" s="85" t="s">
        <v>181</v>
      </c>
      <c r="CC8" s="85" t="s">
        <v>171</v>
      </c>
      <c r="CD8" s="85" t="s">
        <v>181</v>
      </c>
      <c r="CE8" s="86" t="s">
        <v>431</v>
      </c>
      <c r="CF8" s="86" t="s">
        <v>160</v>
      </c>
      <c r="CG8" s="87" t="s">
        <v>432</v>
      </c>
      <c r="CH8" s="86" t="s">
        <v>431</v>
      </c>
      <c r="CI8" s="86" t="s">
        <v>160</v>
      </c>
      <c r="CJ8" s="87" t="s">
        <v>432</v>
      </c>
      <c r="CK8" s="83"/>
      <c r="CL8" s="83"/>
      <c r="CM8" s="84"/>
      <c r="CN8" s="146"/>
      <c r="CO8" s="343"/>
      <c r="CP8" s="343"/>
      <c r="CQ8" s="340"/>
      <c r="CR8" s="336"/>
      <c r="CS8" s="336"/>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row>
    <row r="9" spans="1:143" ht="208.5" customHeight="1">
      <c r="A9" s="67">
        <v>1</v>
      </c>
      <c r="B9" s="63" t="s">
        <v>20</v>
      </c>
      <c r="C9" s="219" t="s">
        <v>876</v>
      </c>
      <c r="D9" s="63" t="s">
        <v>747</v>
      </c>
      <c r="E9" s="1">
        <v>1</v>
      </c>
      <c r="F9" s="1">
        <v>8</v>
      </c>
      <c r="G9" s="324">
        <f>7996001+((60/72)*(9170000-7996001))</f>
        <v>8974333.5</v>
      </c>
      <c r="H9" s="106"/>
      <c r="I9" s="106"/>
      <c r="J9" s="106"/>
      <c r="K9" s="106"/>
      <c r="L9" s="106"/>
      <c r="M9" s="106"/>
      <c r="N9" s="106"/>
      <c r="O9" s="106"/>
      <c r="P9" s="106"/>
      <c r="Q9" s="106"/>
      <c r="R9" s="106"/>
      <c r="S9" s="106"/>
      <c r="T9" s="106"/>
      <c r="U9" s="106"/>
      <c r="V9" s="106"/>
      <c r="W9" s="106"/>
      <c r="X9" s="106"/>
      <c r="Y9" s="106"/>
      <c r="Z9" s="106"/>
      <c r="AA9" s="106"/>
      <c r="AB9" s="106"/>
      <c r="AC9" s="106"/>
      <c r="AD9" s="106"/>
      <c r="AE9" s="106"/>
      <c r="AF9" s="106"/>
      <c r="AG9" s="106"/>
      <c r="AH9" s="106"/>
      <c r="AI9" s="106"/>
      <c r="AJ9" s="106"/>
      <c r="AK9" s="106"/>
      <c r="AL9" s="106"/>
      <c r="AM9" s="106"/>
      <c r="AN9" s="106"/>
      <c r="AO9" s="106"/>
      <c r="AP9" s="106"/>
      <c r="AQ9" s="106"/>
      <c r="AR9" s="106"/>
      <c r="AS9" s="106"/>
      <c r="AT9" s="106"/>
      <c r="AU9" s="106"/>
      <c r="AV9" s="106"/>
      <c r="AW9" s="106"/>
      <c r="AX9" s="106"/>
      <c r="AY9" s="106"/>
      <c r="AZ9" s="106"/>
      <c r="BA9" s="106"/>
      <c r="BB9" s="106"/>
      <c r="BC9" s="106"/>
      <c r="BD9" s="106"/>
      <c r="BE9" s="106"/>
      <c r="BF9" s="106"/>
      <c r="BG9" s="106"/>
      <c r="BH9" s="106"/>
      <c r="BI9" s="106"/>
      <c r="BJ9" s="106"/>
      <c r="BK9" s="106"/>
      <c r="BL9" s="106"/>
      <c r="BM9" s="106"/>
      <c r="BN9" s="106"/>
      <c r="BO9" s="106"/>
      <c r="BP9" s="106"/>
      <c r="BQ9" s="106"/>
      <c r="BR9" s="106"/>
      <c r="BS9" s="106"/>
      <c r="BT9" s="106"/>
      <c r="BU9" s="106"/>
      <c r="BV9" s="106"/>
      <c r="BW9" s="106"/>
      <c r="BX9" s="106"/>
      <c r="BY9" s="106"/>
      <c r="BZ9" s="106"/>
      <c r="CA9" s="106"/>
      <c r="CB9" s="106"/>
      <c r="CC9" s="106"/>
      <c r="CD9" s="106"/>
      <c r="CE9" s="106"/>
      <c r="CF9" s="106"/>
      <c r="CG9" s="106"/>
      <c r="CH9" s="106"/>
      <c r="CI9" s="106"/>
      <c r="CJ9" s="106"/>
      <c r="CK9" s="109"/>
      <c r="CL9" s="109"/>
      <c r="CM9" s="109"/>
      <c r="CN9" s="103"/>
      <c r="CO9" s="107">
        <f>CQ9/1.19</f>
        <v>7541456.7226890763</v>
      </c>
      <c r="CP9" s="107">
        <f>+CO9*19%</f>
        <v>1432876.7773109246</v>
      </c>
      <c r="CQ9" s="107">
        <f>G9</f>
        <v>8974333.5</v>
      </c>
      <c r="CR9" s="122">
        <f>CQ9*F9*E9</f>
        <v>71794668</v>
      </c>
      <c r="CS9" s="89" t="s">
        <v>730</v>
      </c>
    </row>
    <row r="10" spans="1:143" ht="157.5" customHeight="1">
      <c r="A10" s="67">
        <f>+A9+1</f>
        <v>2</v>
      </c>
      <c r="B10" s="63" t="s">
        <v>306</v>
      </c>
      <c r="C10" s="1" t="s">
        <v>307</v>
      </c>
      <c r="D10" s="63" t="s">
        <v>747</v>
      </c>
      <c r="E10" s="1">
        <v>2</v>
      </c>
      <c r="F10" s="1">
        <v>8</v>
      </c>
      <c r="G10" s="106">
        <v>5889000</v>
      </c>
      <c r="H10" s="106"/>
      <c r="I10" s="106"/>
      <c r="J10" s="106"/>
      <c r="K10" s="106"/>
      <c r="L10" s="106"/>
      <c r="M10" s="106"/>
      <c r="N10" s="106"/>
      <c r="O10" s="106"/>
      <c r="P10" s="106"/>
      <c r="Q10" s="106"/>
      <c r="R10" s="106"/>
      <c r="S10" s="106"/>
      <c r="T10" s="106"/>
      <c r="U10" s="106"/>
      <c r="V10" s="106"/>
      <c r="W10" s="106"/>
      <c r="X10" s="106"/>
      <c r="Y10" s="106"/>
      <c r="Z10" s="106"/>
      <c r="AA10" s="106"/>
      <c r="AB10" s="106"/>
      <c r="AC10" s="106"/>
      <c r="AD10" s="106"/>
      <c r="AE10" s="106"/>
      <c r="AF10" s="106"/>
      <c r="AG10" s="106"/>
      <c r="AH10" s="106"/>
      <c r="AI10" s="106"/>
      <c r="AJ10" s="106"/>
      <c r="AK10" s="106"/>
      <c r="AL10" s="106"/>
      <c r="AM10" s="106"/>
      <c r="AN10" s="106"/>
      <c r="AO10" s="106"/>
      <c r="AP10" s="106"/>
      <c r="AQ10" s="106"/>
      <c r="AR10" s="106"/>
      <c r="AS10" s="106"/>
      <c r="AT10" s="106"/>
      <c r="AU10" s="106"/>
      <c r="AV10" s="106"/>
      <c r="AW10" s="106"/>
      <c r="AX10" s="106"/>
      <c r="AY10" s="106"/>
      <c r="AZ10" s="106"/>
      <c r="BA10" s="106"/>
      <c r="BB10" s="106"/>
      <c r="BC10" s="106"/>
      <c r="BD10" s="106"/>
      <c r="BE10" s="106"/>
      <c r="BF10" s="106"/>
      <c r="BG10" s="106"/>
      <c r="BH10" s="106"/>
      <c r="BI10" s="106"/>
      <c r="BJ10" s="106"/>
      <c r="BK10" s="106"/>
      <c r="BL10" s="106"/>
      <c r="BM10" s="106"/>
      <c r="BN10" s="106"/>
      <c r="BO10" s="106"/>
      <c r="BP10" s="106"/>
      <c r="BQ10" s="106"/>
      <c r="BR10" s="106"/>
      <c r="BS10" s="106"/>
      <c r="BT10" s="106"/>
      <c r="BU10" s="106"/>
      <c r="BV10" s="106"/>
      <c r="BW10" s="106"/>
      <c r="BX10" s="106"/>
      <c r="BY10" s="106"/>
      <c r="BZ10" s="106"/>
      <c r="CA10" s="106"/>
      <c r="CB10" s="106"/>
      <c r="CC10" s="106"/>
      <c r="CD10" s="106"/>
      <c r="CE10" s="106"/>
      <c r="CF10" s="106"/>
      <c r="CG10" s="106"/>
      <c r="CH10" s="106"/>
      <c r="CI10" s="106"/>
      <c r="CJ10" s="106"/>
      <c r="CK10" s="109"/>
      <c r="CL10" s="109"/>
      <c r="CM10" s="109"/>
      <c r="CN10" s="103"/>
      <c r="CO10" s="107">
        <f>CQ10/1.19</f>
        <v>4948739.4957983196</v>
      </c>
      <c r="CP10" s="107">
        <f>+CO10*19%</f>
        <v>940260.50420168077</v>
      </c>
      <c r="CQ10" s="107">
        <v>5889000</v>
      </c>
      <c r="CR10" s="122">
        <f>+CQ10*E10*F10</f>
        <v>94224000</v>
      </c>
      <c r="CS10" s="89" t="s">
        <v>730</v>
      </c>
    </row>
    <row r="11" spans="1:143" ht="97.5" customHeight="1">
      <c r="A11" s="67">
        <f t="shared" ref="A11:A12" si="0">+A10+1</f>
        <v>3</v>
      </c>
      <c r="B11" s="63" t="s">
        <v>90</v>
      </c>
      <c r="C11" s="1" t="s">
        <v>267</v>
      </c>
      <c r="D11" s="63" t="s">
        <v>747</v>
      </c>
      <c r="E11" s="1">
        <v>1</v>
      </c>
      <c r="F11" s="1">
        <v>8</v>
      </c>
      <c r="G11" s="106">
        <v>3640000</v>
      </c>
      <c r="H11" s="106"/>
      <c r="I11" s="106"/>
      <c r="J11" s="106"/>
      <c r="K11" s="106"/>
      <c r="L11" s="106"/>
      <c r="M11" s="106"/>
      <c r="N11" s="106"/>
      <c r="O11" s="106"/>
      <c r="P11" s="106"/>
      <c r="Q11" s="106"/>
      <c r="R11" s="106"/>
      <c r="S11" s="106"/>
      <c r="T11" s="106"/>
      <c r="U11" s="106"/>
      <c r="V11" s="106"/>
      <c r="W11" s="106"/>
      <c r="X11" s="106"/>
      <c r="Y11" s="106"/>
      <c r="Z11" s="106"/>
      <c r="AA11" s="106"/>
      <c r="AB11" s="106"/>
      <c r="AC11" s="106"/>
      <c r="AD11" s="106"/>
      <c r="AE11" s="106"/>
      <c r="AF11" s="106"/>
      <c r="AG11" s="106"/>
      <c r="AH11" s="106"/>
      <c r="AI11" s="106"/>
      <c r="AJ11" s="106"/>
      <c r="AK11" s="106"/>
      <c r="AL11" s="106"/>
      <c r="AM11" s="106"/>
      <c r="AN11" s="106"/>
      <c r="AO11" s="106"/>
      <c r="AP11" s="106"/>
      <c r="AQ11" s="106"/>
      <c r="AR11" s="106"/>
      <c r="AS11" s="106"/>
      <c r="AT11" s="106"/>
      <c r="AU11" s="106"/>
      <c r="AV11" s="106"/>
      <c r="AW11" s="106"/>
      <c r="AX11" s="106"/>
      <c r="AY11" s="106"/>
      <c r="AZ11" s="106"/>
      <c r="BA11" s="106"/>
      <c r="BB11" s="106"/>
      <c r="BC11" s="106"/>
      <c r="BD11" s="106"/>
      <c r="BE11" s="106"/>
      <c r="BF11" s="106"/>
      <c r="BG11" s="106"/>
      <c r="BH11" s="106"/>
      <c r="BI11" s="106"/>
      <c r="BJ11" s="106"/>
      <c r="BK11" s="106"/>
      <c r="BL11" s="106"/>
      <c r="BM11" s="106"/>
      <c r="BN11" s="106"/>
      <c r="BO11" s="106"/>
      <c r="BP11" s="106"/>
      <c r="BQ11" s="106"/>
      <c r="BR11" s="106"/>
      <c r="BS11" s="106"/>
      <c r="BT11" s="106"/>
      <c r="BU11" s="106"/>
      <c r="BV11" s="106"/>
      <c r="BW11" s="106"/>
      <c r="BX11" s="106"/>
      <c r="BY11" s="106"/>
      <c r="BZ11" s="106"/>
      <c r="CA11" s="106"/>
      <c r="CB11" s="106"/>
      <c r="CC11" s="106"/>
      <c r="CD11" s="106"/>
      <c r="CE11" s="106"/>
      <c r="CF11" s="106"/>
      <c r="CG11" s="106"/>
      <c r="CH11" s="106"/>
      <c r="CI11" s="106"/>
      <c r="CJ11" s="106"/>
      <c r="CK11" s="109"/>
      <c r="CL11" s="109"/>
      <c r="CM11" s="109"/>
      <c r="CN11" s="103"/>
      <c r="CO11" s="107">
        <f>CQ11/1.19</f>
        <v>3058823.5294117648</v>
      </c>
      <c r="CP11" s="107">
        <f>+CO11*19%</f>
        <v>581176.4705882353</v>
      </c>
      <c r="CQ11" s="107">
        <f>G11</f>
        <v>3640000</v>
      </c>
      <c r="CR11" s="122">
        <f>CQ11*E11*F11</f>
        <v>29120000</v>
      </c>
      <c r="CS11" s="89" t="s">
        <v>730</v>
      </c>
    </row>
    <row r="12" spans="1:143" s="256" customFormat="1" ht="180.75" customHeight="1">
      <c r="A12" s="257">
        <f t="shared" si="0"/>
        <v>4</v>
      </c>
      <c r="B12" s="258" t="s">
        <v>417</v>
      </c>
      <c r="C12" s="259" t="s">
        <v>418</v>
      </c>
      <c r="D12" s="260" t="s">
        <v>419</v>
      </c>
      <c r="E12" s="249">
        <v>1</v>
      </c>
      <c r="F12" s="249"/>
      <c r="G12" s="251"/>
      <c r="H12" s="251"/>
      <c r="I12" s="251"/>
      <c r="J12" s="251"/>
      <c r="K12" s="251"/>
      <c r="L12" s="251"/>
      <c r="M12" s="251"/>
      <c r="N12" s="251"/>
      <c r="O12" s="251"/>
      <c r="P12" s="251"/>
      <c r="Q12" s="251"/>
      <c r="R12" s="251"/>
      <c r="S12" s="251"/>
      <c r="T12" s="251"/>
      <c r="U12" s="251"/>
      <c r="V12" s="251"/>
      <c r="W12" s="251"/>
      <c r="X12" s="251"/>
      <c r="Y12" s="251"/>
      <c r="Z12" s="251"/>
      <c r="AA12" s="251"/>
      <c r="AB12" s="251"/>
      <c r="AC12" s="251"/>
      <c r="AD12" s="251"/>
      <c r="AE12" s="251"/>
      <c r="AF12" s="251"/>
      <c r="AG12" s="251"/>
      <c r="AH12" s="251"/>
      <c r="AI12" s="251"/>
      <c r="AJ12" s="251"/>
      <c r="AK12" s="251"/>
      <c r="AL12" s="251"/>
      <c r="AM12" s="251"/>
      <c r="AN12" s="251"/>
      <c r="AO12" s="251"/>
      <c r="AP12" s="251"/>
      <c r="AQ12" s="251"/>
      <c r="AR12" s="251"/>
      <c r="AS12" s="251"/>
      <c r="AT12" s="251"/>
      <c r="AU12" s="251"/>
      <c r="AV12" s="251"/>
      <c r="AW12" s="251"/>
      <c r="AX12" s="251"/>
      <c r="AY12" s="251"/>
      <c r="AZ12" s="251"/>
      <c r="BA12" s="251"/>
      <c r="BB12" s="251"/>
      <c r="BC12" s="251"/>
      <c r="BD12" s="251"/>
      <c r="BE12" s="251"/>
      <c r="BF12" s="251"/>
      <c r="BG12" s="251"/>
      <c r="BH12" s="251"/>
      <c r="BI12" s="251"/>
      <c r="BJ12" s="251"/>
      <c r="BK12" s="251"/>
      <c r="BL12" s="251"/>
      <c r="BM12" s="251"/>
      <c r="BN12" s="251"/>
      <c r="BO12" s="251"/>
      <c r="BP12" s="251"/>
      <c r="BQ12" s="251"/>
      <c r="BR12" s="251"/>
      <c r="BS12" s="251"/>
      <c r="BT12" s="251"/>
      <c r="BU12" s="251"/>
      <c r="BV12" s="251"/>
      <c r="BW12" s="251"/>
      <c r="BX12" s="251"/>
      <c r="BY12" s="251"/>
      <c r="BZ12" s="251"/>
      <c r="CA12" s="251"/>
      <c r="CB12" s="251"/>
      <c r="CC12" s="251"/>
      <c r="CD12" s="251"/>
      <c r="CE12" s="251"/>
      <c r="CF12" s="251"/>
      <c r="CG12" s="251"/>
      <c r="CH12" s="251"/>
      <c r="CI12" s="251"/>
      <c r="CJ12" s="251"/>
      <c r="CK12" s="252"/>
      <c r="CL12" s="252"/>
      <c r="CM12" s="252"/>
      <c r="CN12" s="253"/>
      <c r="CO12" s="251">
        <v>20000000</v>
      </c>
      <c r="CP12" s="251"/>
      <c r="CQ12" s="251">
        <v>20000000</v>
      </c>
      <c r="CR12" s="251">
        <v>20000000</v>
      </c>
      <c r="CS12" s="261" t="s">
        <v>748</v>
      </c>
    </row>
    <row r="13" spans="1:143" s="98" customFormat="1" ht="28.5" customHeight="1">
      <c r="A13" s="142" t="s">
        <v>91</v>
      </c>
      <c r="B13" s="134"/>
      <c r="C13" s="96"/>
      <c r="D13" s="134"/>
      <c r="E13" s="134"/>
      <c r="F13" s="134"/>
      <c r="G13" s="119"/>
      <c r="H13" s="119"/>
      <c r="I13" s="119"/>
      <c r="J13" s="119"/>
      <c r="K13" s="119"/>
      <c r="L13" s="119"/>
      <c r="M13" s="119"/>
      <c r="N13" s="119"/>
      <c r="O13" s="119"/>
      <c r="P13" s="119"/>
      <c r="Q13" s="119"/>
      <c r="R13" s="119"/>
      <c r="S13" s="119"/>
      <c r="T13" s="119"/>
      <c r="U13" s="119"/>
      <c r="V13" s="119"/>
      <c r="W13" s="119"/>
      <c r="X13" s="119"/>
      <c r="Y13" s="119"/>
      <c r="Z13" s="119"/>
      <c r="AA13" s="119"/>
      <c r="AB13" s="119"/>
      <c r="AC13" s="119"/>
      <c r="AD13" s="119"/>
      <c r="AE13" s="119"/>
      <c r="AF13" s="119"/>
      <c r="AG13" s="119"/>
      <c r="AH13" s="119"/>
      <c r="AI13" s="119"/>
      <c r="AJ13" s="119"/>
      <c r="AK13" s="119"/>
      <c r="AL13" s="119"/>
      <c r="AM13" s="119"/>
      <c r="AN13" s="119"/>
      <c r="AO13" s="119"/>
      <c r="AP13" s="119"/>
      <c r="AQ13" s="119"/>
      <c r="AR13" s="119"/>
      <c r="AS13" s="119"/>
      <c r="AT13" s="119"/>
      <c r="AU13" s="119"/>
      <c r="AV13" s="119"/>
      <c r="AW13" s="119"/>
      <c r="AX13" s="119"/>
      <c r="AY13" s="119"/>
      <c r="AZ13" s="119"/>
      <c r="BA13" s="119"/>
      <c r="BB13" s="119"/>
      <c r="BC13" s="119"/>
      <c r="BD13" s="119"/>
      <c r="BE13" s="119"/>
      <c r="BF13" s="119"/>
      <c r="BG13" s="119"/>
      <c r="BH13" s="119"/>
      <c r="BI13" s="119"/>
      <c r="BJ13" s="119"/>
      <c r="BK13" s="119"/>
      <c r="BL13" s="119"/>
      <c r="BM13" s="119"/>
      <c r="BN13" s="119"/>
      <c r="BO13" s="119"/>
      <c r="BP13" s="119"/>
      <c r="BQ13" s="119"/>
      <c r="BR13" s="119"/>
      <c r="BS13" s="119"/>
      <c r="BT13" s="119"/>
      <c r="BU13" s="119"/>
      <c r="BV13" s="119"/>
      <c r="BW13" s="119"/>
      <c r="BX13" s="119"/>
      <c r="BY13" s="119"/>
      <c r="BZ13" s="119"/>
      <c r="CA13" s="119"/>
      <c r="CB13" s="119"/>
      <c r="CC13" s="119"/>
      <c r="CD13" s="119"/>
      <c r="CE13" s="119"/>
      <c r="CF13" s="119"/>
      <c r="CG13" s="119"/>
      <c r="CH13" s="119"/>
      <c r="CI13" s="119"/>
      <c r="CJ13" s="119"/>
      <c r="CK13" s="119"/>
      <c r="CL13" s="119"/>
      <c r="CM13" s="119"/>
      <c r="CN13" s="147"/>
      <c r="CO13" s="119"/>
      <c r="CP13" s="119"/>
      <c r="CQ13" s="119"/>
      <c r="CR13" s="119"/>
      <c r="CS13" s="143"/>
      <c r="CT13" s="315"/>
      <c r="CU13" s="58"/>
      <c r="CV13" s="58"/>
      <c r="CW13" s="58"/>
      <c r="CX13" s="58"/>
      <c r="CY13" s="58"/>
      <c r="CZ13" s="58"/>
      <c r="DA13" s="58"/>
      <c r="DB13" s="58"/>
      <c r="DC13" s="58"/>
      <c r="DD13" s="58"/>
      <c r="DE13" s="58"/>
      <c r="DF13" s="58"/>
      <c r="DG13" s="58"/>
      <c r="DH13" s="58"/>
      <c r="DI13" s="58"/>
      <c r="DJ13" s="58"/>
      <c r="DK13" s="58"/>
      <c r="DL13" s="58"/>
      <c r="DM13" s="58"/>
      <c r="DN13" s="58"/>
      <c r="DO13" s="58"/>
      <c r="DP13" s="58"/>
      <c r="DQ13" s="58"/>
      <c r="DR13" s="58"/>
      <c r="DS13" s="58"/>
      <c r="DT13" s="58"/>
      <c r="DU13" s="58"/>
      <c r="DV13" s="58"/>
      <c r="DW13" s="58"/>
      <c r="DX13" s="58"/>
      <c r="DY13" s="58"/>
      <c r="DZ13" s="58"/>
      <c r="EA13" s="58"/>
      <c r="EB13" s="58"/>
      <c r="EC13" s="58"/>
      <c r="ED13" s="58"/>
      <c r="EE13" s="58"/>
      <c r="EF13" s="58"/>
      <c r="EG13" s="58"/>
      <c r="EH13" s="58"/>
      <c r="EI13" s="58"/>
      <c r="EJ13" s="58"/>
      <c r="EK13" s="58"/>
      <c r="EL13" s="58"/>
      <c r="EM13" s="58"/>
    </row>
    <row r="14" spans="1:143" ht="86.65" customHeight="1">
      <c r="A14" s="90">
        <f>+A12+1</f>
        <v>5</v>
      </c>
      <c r="B14" s="63" t="s">
        <v>21</v>
      </c>
      <c r="C14" s="1" t="s">
        <v>906</v>
      </c>
      <c r="D14" s="63" t="s">
        <v>308</v>
      </c>
      <c r="E14" s="1">
        <v>4</v>
      </c>
      <c r="F14" s="1">
        <v>3</v>
      </c>
      <c r="G14" s="106">
        <v>3095000</v>
      </c>
      <c r="H14" s="106"/>
      <c r="I14" s="106"/>
      <c r="J14" s="106"/>
      <c r="K14" s="106"/>
      <c r="L14" s="325"/>
      <c r="M14" s="325"/>
      <c r="N14" s="325"/>
      <c r="O14" s="325"/>
      <c r="P14" s="325"/>
      <c r="Q14" s="325"/>
      <c r="R14" s="106"/>
      <c r="S14" s="106"/>
      <c r="T14" s="106"/>
      <c r="U14" s="106"/>
      <c r="V14" s="106"/>
      <c r="W14" s="106"/>
      <c r="X14" s="106"/>
      <c r="Y14" s="106"/>
      <c r="Z14" s="106"/>
      <c r="AA14" s="106"/>
      <c r="AB14" s="106"/>
      <c r="AC14" s="106"/>
      <c r="AD14" s="106"/>
      <c r="AE14" s="106"/>
      <c r="AF14" s="106"/>
      <c r="AG14" s="106"/>
      <c r="AH14" s="106"/>
      <c r="AI14" s="106"/>
      <c r="AJ14" s="106"/>
      <c r="AK14" s="106"/>
      <c r="AL14" s="106"/>
      <c r="AM14" s="106"/>
      <c r="AN14" s="106"/>
      <c r="AO14" s="106"/>
      <c r="AP14" s="106"/>
      <c r="AQ14" s="106"/>
      <c r="AR14" s="106"/>
      <c r="AS14" s="106"/>
      <c r="AT14" s="106"/>
      <c r="AU14" s="106"/>
      <c r="AV14" s="106"/>
      <c r="AW14" s="106"/>
      <c r="AX14" s="106"/>
      <c r="AY14" s="106"/>
      <c r="AZ14" s="106"/>
      <c r="BA14" s="106"/>
      <c r="BB14" s="106"/>
      <c r="BC14" s="106"/>
      <c r="BD14" s="106"/>
      <c r="BE14" s="106"/>
      <c r="BF14" s="106"/>
      <c r="BG14" s="106"/>
      <c r="BH14" s="106"/>
      <c r="BI14" s="106"/>
      <c r="BJ14" s="106"/>
      <c r="BK14" s="106"/>
      <c r="BL14" s="106"/>
      <c r="BM14" s="106"/>
      <c r="BN14" s="106"/>
      <c r="BO14" s="106"/>
      <c r="BP14" s="106"/>
      <c r="BQ14" s="106"/>
      <c r="BR14" s="106"/>
      <c r="BS14" s="106"/>
      <c r="BT14" s="106"/>
      <c r="BU14" s="106"/>
      <c r="BV14" s="106"/>
      <c r="BW14" s="106"/>
      <c r="BX14" s="106"/>
      <c r="BY14" s="106"/>
      <c r="BZ14" s="106"/>
      <c r="CA14" s="106"/>
      <c r="CB14" s="106"/>
      <c r="CC14" s="106"/>
      <c r="CD14" s="106"/>
      <c r="CE14" s="106"/>
      <c r="CF14" s="106"/>
      <c r="CG14" s="106"/>
      <c r="CH14" s="106"/>
      <c r="CI14" s="106"/>
      <c r="CJ14" s="106"/>
      <c r="CK14" s="109"/>
      <c r="CL14" s="109"/>
      <c r="CM14" s="109"/>
      <c r="CN14" s="103"/>
      <c r="CO14" s="107">
        <f>CQ14/1.19</f>
        <v>2600840.3361344538</v>
      </c>
      <c r="CP14" s="107">
        <f>+CO14*19%</f>
        <v>494159.66386554623</v>
      </c>
      <c r="CQ14" s="106">
        <f>+G14</f>
        <v>3095000</v>
      </c>
      <c r="CR14" s="122">
        <f t="shared" ref="CR14:CR20" si="1">+CQ14*E14*F14</f>
        <v>37140000</v>
      </c>
      <c r="CS14" s="89" t="s">
        <v>730</v>
      </c>
    </row>
    <row r="15" spans="1:143" ht="91.4" customHeight="1">
      <c r="A15" s="90">
        <f>+A14+1</f>
        <v>6</v>
      </c>
      <c r="B15" s="63" t="s">
        <v>22</v>
      </c>
      <c r="C15" s="1" t="s">
        <v>907</v>
      </c>
      <c r="D15" s="63" t="s">
        <v>308</v>
      </c>
      <c r="E15" s="1">
        <v>4</v>
      </c>
      <c r="F15" s="1">
        <v>3</v>
      </c>
      <c r="G15" s="106">
        <v>3095000</v>
      </c>
      <c r="H15" s="106"/>
      <c r="I15" s="106"/>
      <c r="J15" s="106"/>
      <c r="K15" s="106"/>
      <c r="L15" s="325"/>
      <c r="M15" s="325"/>
      <c r="N15" s="325"/>
      <c r="O15" s="325"/>
      <c r="P15" s="325"/>
      <c r="Q15" s="325"/>
      <c r="R15" s="106"/>
      <c r="S15" s="106"/>
      <c r="T15" s="106"/>
      <c r="U15" s="106"/>
      <c r="V15" s="106"/>
      <c r="W15" s="106"/>
      <c r="X15" s="106"/>
      <c r="Y15" s="106"/>
      <c r="Z15" s="106"/>
      <c r="AA15" s="106"/>
      <c r="AB15" s="106"/>
      <c r="AC15" s="106"/>
      <c r="AD15" s="106"/>
      <c r="AE15" s="106"/>
      <c r="AF15" s="106"/>
      <c r="AG15" s="106"/>
      <c r="AH15" s="106"/>
      <c r="AI15" s="106"/>
      <c r="AJ15" s="106"/>
      <c r="AK15" s="106"/>
      <c r="AL15" s="106"/>
      <c r="AM15" s="106"/>
      <c r="AN15" s="106"/>
      <c r="AO15" s="106"/>
      <c r="AP15" s="106"/>
      <c r="AQ15" s="106"/>
      <c r="AR15" s="106"/>
      <c r="AS15" s="106"/>
      <c r="AT15" s="106"/>
      <c r="AU15" s="106"/>
      <c r="AV15" s="106"/>
      <c r="AW15" s="106"/>
      <c r="AX15" s="106"/>
      <c r="AY15" s="106"/>
      <c r="AZ15" s="106"/>
      <c r="BA15" s="106"/>
      <c r="BB15" s="106"/>
      <c r="BC15" s="106"/>
      <c r="BD15" s="106"/>
      <c r="BE15" s="106"/>
      <c r="BF15" s="106"/>
      <c r="BG15" s="106"/>
      <c r="BH15" s="106"/>
      <c r="BI15" s="106"/>
      <c r="BJ15" s="106"/>
      <c r="BK15" s="106"/>
      <c r="BL15" s="106"/>
      <c r="BM15" s="106"/>
      <c r="BN15" s="106"/>
      <c r="BO15" s="106"/>
      <c r="BP15" s="106"/>
      <c r="BQ15" s="106"/>
      <c r="BR15" s="106"/>
      <c r="BS15" s="106"/>
      <c r="BT15" s="106"/>
      <c r="BU15" s="106"/>
      <c r="BV15" s="106"/>
      <c r="BW15" s="106"/>
      <c r="BX15" s="106"/>
      <c r="BY15" s="106"/>
      <c r="BZ15" s="106"/>
      <c r="CA15" s="106"/>
      <c r="CB15" s="106"/>
      <c r="CC15" s="106"/>
      <c r="CD15" s="106"/>
      <c r="CE15" s="106"/>
      <c r="CF15" s="106"/>
      <c r="CG15" s="106"/>
      <c r="CH15" s="106"/>
      <c r="CI15" s="106"/>
      <c r="CJ15" s="106"/>
      <c r="CK15" s="109"/>
      <c r="CL15" s="109"/>
      <c r="CM15" s="109"/>
      <c r="CN15" s="103"/>
      <c r="CO15" s="107">
        <f>CQ15/1.19</f>
        <v>2600840.3361344538</v>
      </c>
      <c r="CP15" s="107">
        <f>+CO15*19%</f>
        <v>494159.66386554623</v>
      </c>
      <c r="CQ15" s="106">
        <f>+G15</f>
        <v>3095000</v>
      </c>
      <c r="CR15" s="122">
        <f t="shared" si="1"/>
        <v>37140000</v>
      </c>
      <c r="CS15" s="89" t="s">
        <v>730</v>
      </c>
    </row>
    <row r="16" spans="1:143" ht="93" customHeight="1">
      <c r="A16" s="90">
        <f>+A15+1</f>
        <v>7</v>
      </c>
      <c r="B16" s="63" t="s">
        <v>23</v>
      </c>
      <c r="C16" s="1" t="s">
        <v>908</v>
      </c>
      <c r="D16" s="63" t="s">
        <v>308</v>
      </c>
      <c r="E16" s="1">
        <v>4</v>
      </c>
      <c r="F16" s="1">
        <v>3</v>
      </c>
      <c r="G16" s="106">
        <v>3095000</v>
      </c>
      <c r="H16" s="106"/>
      <c r="I16" s="106"/>
      <c r="J16" s="106"/>
      <c r="K16" s="106"/>
      <c r="L16" s="325"/>
      <c r="M16" s="325"/>
      <c r="N16" s="325"/>
      <c r="O16" s="325"/>
      <c r="P16" s="325"/>
      <c r="Q16" s="325"/>
      <c r="R16" s="106"/>
      <c r="S16" s="106"/>
      <c r="T16" s="106"/>
      <c r="U16" s="106"/>
      <c r="V16" s="106"/>
      <c r="W16" s="106"/>
      <c r="X16" s="106"/>
      <c r="Y16" s="106"/>
      <c r="Z16" s="106"/>
      <c r="AA16" s="106"/>
      <c r="AB16" s="106"/>
      <c r="AC16" s="106"/>
      <c r="AD16" s="106"/>
      <c r="AE16" s="106"/>
      <c r="AF16" s="106"/>
      <c r="AG16" s="106"/>
      <c r="AH16" s="106"/>
      <c r="AI16" s="106"/>
      <c r="AJ16" s="106"/>
      <c r="AK16" s="106"/>
      <c r="AL16" s="106"/>
      <c r="AM16" s="106"/>
      <c r="AN16" s="106"/>
      <c r="AO16" s="106"/>
      <c r="AP16" s="106"/>
      <c r="AQ16" s="106"/>
      <c r="AR16" s="106"/>
      <c r="AS16" s="106"/>
      <c r="AT16" s="106"/>
      <c r="AU16" s="106"/>
      <c r="AV16" s="106"/>
      <c r="AW16" s="106"/>
      <c r="AX16" s="106"/>
      <c r="AY16" s="106"/>
      <c r="AZ16" s="106"/>
      <c r="BA16" s="106"/>
      <c r="BB16" s="106"/>
      <c r="BC16" s="106"/>
      <c r="BD16" s="106"/>
      <c r="BE16" s="106"/>
      <c r="BF16" s="106"/>
      <c r="BG16" s="106"/>
      <c r="BH16" s="106"/>
      <c r="BI16" s="106"/>
      <c r="BJ16" s="106"/>
      <c r="BK16" s="106"/>
      <c r="BL16" s="106"/>
      <c r="BM16" s="106"/>
      <c r="BN16" s="106"/>
      <c r="BO16" s="106"/>
      <c r="BP16" s="106"/>
      <c r="BQ16" s="106"/>
      <c r="BR16" s="106"/>
      <c r="BS16" s="106"/>
      <c r="BT16" s="106"/>
      <c r="BU16" s="106"/>
      <c r="BV16" s="106"/>
      <c r="BW16" s="106"/>
      <c r="BX16" s="106"/>
      <c r="BY16" s="106"/>
      <c r="BZ16" s="106"/>
      <c r="CA16" s="106"/>
      <c r="CB16" s="106"/>
      <c r="CC16" s="106"/>
      <c r="CD16" s="106"/>
      <c r="CE16" s="106"/>
      <c r="CF16" s="106"/>
      <c r="CG16" s="106"/>
      <c r="CH16" s="106"/>
      <c r="CI16" s="106"/>
      <c r="CJ16" s="106"/>
      <c r="CK16" s="109"/>
      <c r="CL16" s="109"/>
      <c r="CM16" s="109"/>
      <c r="CN16" s="103"/>
      <c r="CO16" s="107">
        <f>CQ16/1.19</f>
        <v>2600840.3361344538</v>
      </c>
      <c r="CP16" s="107">
        <f>+CO16*19%</f>
        <v>494159.66386554623</v>
      </c>
      <c r="CQ16" s="106">
        <f>+G16</f>
        <v>3095000</v>
      </c>
      <c r="CR16" s="122">
        <f t="shared" si="1"/>
        <v>37140000</v>
      </c>
      <c r="CS16" s="89" t="s">
        <v>730</v>
      </c>
    </row>
    <row r="17" spans="1:97" ht="85.15" customHeight="1">
      <c r="A17" s="90">
        <f t="shared" ref="A17:A79" si="2">+A16+1</f>
        <v>8</v>
      </c>
      <c r="B17" s="63" t="s">
        <v>24</v>
      </c>
      <c r="C17" s="1" t="s">
        <v>909</v>
      </c>
      <c r="D17" s="63" t="s">
        <v>308</v>
      </c>
      <c r="E17" s="1">
        <v>4</v>
      </c>
      <c r="F17" s="1">
        <v>3</v>
      </c>
      <c r="G17" s="106">
        <v>3095000</v>
      </c>
      <c r="H17" s="106"/>
      <c r="I17" s="106"/>
      <c r="J17" s="106"/>
      <c r="K17" s="106"/>
      <c r="L17" s="325"/>
      <c r="M17" s="325"/>
      <c r="N17" s="325"/>
      <c r="O17" s="325"/>
      <c r="P17" s="325"/>
      <c r="Q17" s="325"/>
      <c r="R17" s="106"/>
      <c r="S17" s="106"/>
      <c r="T17" s="106"/>
      <c r="U17" s="106"/>
      <c r="V17" s="106"/>
      <c r="W17" s="106"/>
      <c r="X17" s="106"/>
      <c r="Y17" s="106"/>
      <c r="Z17" s="106"/>
      <c r="AA17" s="106"/>
      <c r="AB17" s="106"/>
      <c r="AC17" s="106"/>
      <c r="AD17" s="106"/>
      <c r="AE17" s="106"/>
      <c r="AF17" s="106"/>
      <c r="AG17" s="106"/>
      <c r="AH17" s="106"/>
      <c r="AI17" s="106"/>
      <c r="AJ17" s="106"/>
      <c r="AK17" s="106"/>
      <c r="AL17" s="106"/>
      <c r="AM17" s="106"/>
      <c r="AN17" s="106"/>
      <c r="AO17" s="106"/>
      <c r="AP17" s="106"/>
      <c r="AQ17" s="106"/>
      <c r="AR17" s="106"/>
      <c r="AS17" s="106"/>
      <c r="AT17" s="106"/>
      <c r="AU17" s="106"/>
      <c r="AV17" s="106"/>
      <c r="AW17" s="106"/>
      <c r="AX17" s="106"/>
      <c r="AY17" s="106"/>
      <c r="AZ17" s="106"/>
      <c r="BA17" s="106"/>
      <c r="BB17" s="106"/>
      <c r="BC17" s="106"/>
      <c r="BD17" s="106"/>
      <c r="BE17" s="106"/>
      <c r="BF17" s="106"/>
      <c r="BG17" s="106"/>
      <c r="BH17" s="106"/>
      <c r="BI17" s="106"/>
      <c r="BJ17" s="106"/>
      <c r="BK17" s="106"/>
      <c r="BL17" s="106"/>
      <c r="BM17" s="106"/>
      <c r="BN17" s="106"/>
      <c r="BO17" s="106"/>
      <c r="BP17" s="106"/>
      <c r="BQ17" s="106"/>
      <c r="BR17" s="106"/>
      <c r="BS17" s="106"/>
      <c r="BT17" s="106"/>
      <c r="BU17" s="106"/>
      <c r="BV17" s="106"/>
      <c r="BW17" s="106"/>
      <c r="BX17" s="106"/>
      <c r="BY17" s="106"/>
      <c r="BZ17" s="106"/>
      <c r="CA17" s="106"/>
      <c r="CB17" s="106"/>
      <c r="CC17" s="106"/>
      <c r="CD17" s="106"/>
      <c r="CE17" s="106"/>
      <c r="CF17" s="106"/>
      <c r="CG17" s="106"/>
      <c r="CH17" s="106"/>
      <c r="CI17" s="106"/>
      <c r="CJ17" s="106"/>
      <c r="CK17" s="109"/>
      <c r="CL17" s="109"/>
      <c r="CM17" s="109"/>
      <c r="CN17" s="103"/>
      <c r="CO17" s="107">
        <f>CQ17/1.19</f>
        <v>2600840.3361344538</v>
      </c>
      <c r="CP17" s="107">
        <f>+CO17*19%</f>
        <v>494159.66386554623</v>
      </c>
      <c r="CQ17" s="106">
        <f>+G17</f>
        <v>3095000</v>
      </c>
      <c r="CR17" s="122">
        <f t="shared" si="1"/>
        <v>37140000</v>
      </c>
      <c r="CS17" s="89" t="s">
        <v>730</v>
      </c>
    </row>
    <row r="18" spans="1:97" ht="87.65" customHeight="1">
      <c r="A18" s="90">
        <f t="shared" si="2"/>
        <v>9</v>
      </c>
      <c r="B18" s="63" t="s">
        <v>25</v>
      </c>
      <c r="C18" s="1" t="s">
        <v>910</v>
      </c>
      <c r="D18" s="63" t="s">
        <v>308</v>
      </c>
      <c r="E18" s="1">
        <v>4</v>
      </c>
      <c r="F18" s="1">
        <v>3</v>
      </c>
      <c r="G18" s="106">
        <v>3095000</v>
      </c>
      <c r="H18" s="106"/>
      <c r="I18" s="106"/>
      <c r="J18" s="106"/>
      <c r="K18" s="106"/>
      <c r="L18" s="325"/>
      <c r="M18" s="325"/>
      <c r="N18" s="325"/>
      <c r="O18" s="325"/>
      <c r="P18" s="325"/>
      <c r="Q18" s="325"/>
      <c r="R18" s="106"/>
      <c r="S18" s="106"/>
      <c r="T18" s="106"/>
      <c r="U18" s="106"/>
      <c r="V18" s="106"/>
      <c r="W18" s="106"/>
      <c r="X18" s="106"/>
      <c r="Y18" s="106"/>
      <c r="Z18" s="106"/>
      <c r="AA18" s="106"/>
      <c r="AB18" s="106"/>
      <c r="AC18" s="106"/>
      <c r="AD18" s="106"/>
      <c r="AE18" s="106"/>
      <c r="AF18" s="106"/>
      <c r="AG18" s="106"/>
      <c r="AH18" s="106"/>
      <c r="AI18" s="106"/>
      <c r="AJ18" s="106"/>
      <c r="AK18" s="106"/>
      <c r="AL18" s="106"/>
      <c r="AM18" s="106"/>
      <c r="AN18" s="106"/>
      <c r="AO18" s="106"/>
      <c r="AP18" s="106"/>
      <c r="AQ18" s="106"/>
      <c r="AR18" s="106"/>
      <c r="AS18" s="106"/>
      <c r="AT18" s="106"/>
      <c r="AU18" s="106"/>
      <c r="AV18" s="106"/>
      <c r="AW18" s="106"/>
      <c r="AX18" s="106"/>
      <c r="AY18" s="106"/>
      <c r="AZ18" s="106"/>
      <c r="BA18" s="106"/>
      <c r="BB18" s="106"/>
      <c r="BC18" s="106"/>
      <c r="BD18" s="106"/>
      <c r="BE18" s="106"/>
      <c r="BF18" s="106"/>
      <c r="BG18" s="106"/>
      <c r="BH18" s="106"/>
      <c r="BI18" s="106"/>
      <c r="BJ18" s="106"/>
      <c r="BK18" s="106"/>
      <c r="BL18" s="106"/>
      <c r="BM18" s="106"/>
      <c r="BN18" s="106"/>
      <c r="BO18" s="106"/>
      <c r="BP18" s="106"/>
      <c r="BQ18" s="106"/>
      <c r="BR18" s="106"/>
      <c r="BS18" s="106"/>
      <c r="BT18" s="106"/>
      <c r="BU18" s="106"/>
      <c r="BV18" s="106"/>
      <c r="BW18" s="106"/>
      <c r="BX18" s="106"/>
      <c r="BY18" s="106"/>
      <c r="BZ18" s="106"/>
      <c r="CA18" s="106"/>
      <c r="CB18" s="106"/>
      <c r="CC18" s="106"/>
      <c r="CD18" s="106"/>
      <c r="CE18" s="106"/>
      <c r="CF18" s="106"/>
      <c r="CG18" s="106"/>
      <c r="CH18" s="106"/>
      <c r="CI18" s="106"/>
      <c r="CJ18" s="106"/>
      <c r="CK18" s="109"/>
      <c r="CL18" s="109"/>
      <c r="CM18" s="109"/>
      <c r="CN18" s="103"/>
      <c r="CO18" s="107">
        <f>CQ18/1.19</f>
        <v>2600840.3361344538</v>
      </c>
      <c r="CP18" s="107">
        <f>+CO18*19%</f>
        <v>494159.66386554623</v>
      </c>
      <c r="CQ18" s="106">
        <f>+G18</f>
        <v>3095000</v>
      </c>
      <c r="CR18" s="122">
        <f t="shared" si="1"/>
        <v>37140000</v>
      </c>
      <c r="CS18" s="89" t="s">
        <v>730</v>
      </c>
    </row>
    <row r="19" spans="1:97" ht="110.65" customHeight="1">
      <c r="A19" s="90">
        <f t="shared" si="2"/>
        <v>10</v>
      </c>
      <c r="B19" s="88" t="s">
        <v>39</v>
      </c>
      <c r="C19" s="1" t="s">
        <v>276</v>
      </c>
      <c r="D19" s="91" t="s">
        <v>749</v>
      </c>
      <c r="E19" s="1">
        <v>1</v>
      </c>
      <c r="F19" s="1">
        <v>2</v>
      </c>
      <c r="G19" s="106"/>
      <c r="H19" s="106"/>
      <c r="I19" s="106"/>
      <c r="J19" s="106"/>
      <c r="K19" s="106"/>
      <c r="L19" s="106">
        <v>200000</v>
      </c>
      <c r="M19" s="106">
        <f>+((L19/1.19*23%)+L19)</f>
        <v>238655.46218487396</v>
      </c>
      <c r="N19" s="106">
        <v>210000</v>
      </c>
      <c r="O19" s="106">
        <f>+((N19/1.19*23%)+N19)</f>
        <v>250588.23529411765</v>
      </c>
      <c r="P19" s="106">
        <v>243000</v>
      </c>
      <c r="Q19" s="106">
        <f>+((P19/1.19*23%)+P19)</f>
        <v>289966.38655462186</v>
      </c>
      <c r="R19" s="106"/>
      <c r="S19" s="106"/>
      <c r="T19" s="106"/>
      <c r="U19" s="106"/>
      <c r="V19" s="106"/>
      <c r="W19" s="106"/>
      <c r="X19" s="106"/>
      <c r="Y19" s="106"/>
      <c r="Z19" s="106"/>
      <c r="AA19" s="106"/>
      <c r="AB19" s="106"/>
      <c r="AC19" s="106"/>
      <c r="AD19" s="106"/>
      <c r="AE19" s="106"/>
      <c r="AF19" s="106"/>
      <c r="AG19" s="106"/>
      <c r="AH19" s="106"/>
      <c r="AI19" s="106"/>
      <c r="AJ19" s="106"/>
      <c r="AK19" s="106"/>
      <c r="AL19" s="106"/>
      <c r="AM19" s="106"/>
      <c r="AN19" s="106"/>
      <c r="AO19" s="106"/>
      <c r="AP19" s="106"/>
      <c r="AQ19" s="106"/>
      <c r="AR19" s="106"/>
      <c r="AS19" s="106"/>
      <c r="AT19" s="106"/>
      <c r="AU19" s="106"/>
      <c r="AV19" s="106"/>
      <c r="AW19" s="106"/>
      <c r="AX19" s="106"/>
      <c r="AY19" s="106"/>
      <c r="AZ19" s="106"/>
      <c r="BA19" s="106"/>
      <c r="BB19" s="106"/>
      <c r="BC19" s="106"/>
      <c r="BD19" s="106"/>
      <c r="BE19" s="106"/>
      <c r="BF19" s="106"/>
      <c r="BG19" s="106"/>
      <c r="BH19" s="106"/>
      <c r="BI19" s="106"/>
      <c r="BJ19" s="106"/>
      <c r="BK19" s="106"/>
      <c r="BL19" s="106"/>
      <c r="BM19" s="106"/>
      <c r="BN19" s="106"/>
      <c r="BO19" s="106"/>
      <c r="BP19" s="106"/>
      <c r="BQ19" s="106"/>
      <c r="BR19" s="106"/>
      <c r="BS19" s="106"/>
      <c r="BT19" s="106"/>
      <c r="BU19" s="106"/>
      <c r="BV19" s="106"/>
      <c r="BW19" s="106"/>
      <c r="BX19" s="106"/>
      <c r="BY19" s="106"/>
      <c r="BZ19" s="106"/>
      <c r="CA19" s="106"/>
      <c r="CB19" s="106"/>
      <c r="CC19" s="106"/>
      <c r="CD19" s="106"/>
      <c r="CE19" s="106"/>
      <c r="CF19" s="106"/>
      <c r="CG19" s="106"/>
      <c r="CH19" s="106"/>
      <c r="CI19" s="106"/>
      <c r="CJ19" s="106"/>
      <c r="CK19" s="109">
        <f>+MEDIAN(M19,O19,Q19)</f>
        <v>250588.23529411765</v>
      </c>
      <c r="CL19" s="109">
        <f>+AVERAGE(M19,O19,Q19)</f>
        <v>259736.69467787116</v>
      </c>
      <c r="CM19" s="109">
        <f>+STDEV(M19,O19,Q19)</f>
        <v>26850.949177666658</v>
      </c>
      <c r="CN19" s="198">
        <f t="shared" ref="CN19" si="3">CM19/CL19</f>
        <v>0.10337757324188465</v>
      </c>
      <c r="CO19" s="5">
        <f t="shared" ref="CO19:CO44" si="4">CQ19/1.19</f>
        <v>218266.38655462186</v>
      </c>
      <c r="CP19" s="106">
        <f t="shared" ref="CP19:CP44" si="5">CO19*19%</f>
        <v>41470.613445378156</v>
      </c>
      <c r="CQ19" s="106">
        <f t="shared" ref="CQ19:CQ49" si="6">ROUNDUP(IF(CN19&lt;15%,CL19,CK19),0)</f>
        <v>259737</v>
      </c>
      <c r="CR19" s="122">
        <f t="shared" si="1"/>
        <v>519474</v>
      </c>
      <c r="CS19" s="89" t="s">
        <v>731</v>
      </c>
    </row>
    <row r="20" spans="1:97" ht="111.65" customHeight="1">
      <c r="A20" s="90">
        <f t="shared" si="2"/>
        <v>11</v>
      </c>
      <c r="B20" s="88" t="s">
        <v>60</v>
      </c>
      <c r="C20" s="1" t="s">
        <v>911</v>
      </c>
      <c r="D20" s="91" t="s">
        <v>750</v>
      </c>
      <c r="E20" s="1">
        <v>12</v>
      </c>
      <c r="F20" s="1">
        <v>16</v>
      </c>
      <c r="G20" s="106"/>
      <c r="H20" s="106"/>
      <c r="I20" s="106"/>
      <c r="J20" s="106"/>
      <c r="K20" s="106"/>
      <c r="L20" s="106">
        <v>115000</v>
      </c>
      <c r="M20" s="106">
        <f>+((L20/1.19*23%)+L20)</f>
        <v>137226.89075630251</v>
      </c>
      <c r="N20" s="106">
        <v>120000</v>
      </c>
      <c r="O20" s="106">
        <f>+((N20/1.19*23%)+N20)</f>
        <v>143193.27731092437</v>
      </c>
      <c r="P20" s="106">
        <v>148000</v>
      </c>
      <c r="Q20" s="106">
        <f>+((P20/1.19*23%)+P20)</f>
        <v>176605.04201680672</v>
      </c>
      <c r="R20" s="106"/>
      <c r="S20" s="106"/>
      <c r="T20" s="106"/>
      <c r="U20" s="106"/>
      <c r="V20" s="106"/>
      <c r="W20" s="106"/>
      <c r="X20" s="106"/>
      <c r="Y20" s="106"/>
      <c r="Z20" s="106"/>
      <c r="AA20" s="106"/>
      <c r="AB20" s="106"/>
      <c r="AC20" s="106"/>
      <c r="AD20" s="106"/>
      <c r="AE20" s="106"/>
      <c r="AF20" s="106"/>
      <c r="AG20" s="106"/>
      <c r="AH20" s="106"/>
      <c r="AI20" s="106"/>
      <c r="AJ20" s="106"/>
      <c r="AK20" s="106"/>
      <c r="AL20" s="106"/>
      <c r="AM20" s="106"/>
      <c r="AN20" s="106"/>
      <c r="AO20" s="106"/>
      <c r="AP20" s="106"/>
      <c r="AQ20" s="106"/>
      <c r="AR20" s="106"/>
      <c r="AS20" s="106"/>
      <c r="AT20" s="106"/>
      <c r="AU20" s="106"/>
      <c r="AV20" s="106"/>
      <c r="AW20" s="106"/>
      <c r="AX20" s="106"/>
      <c r="AY20" s="106"/>
      <c r="AZ20" s="106"/>
      <c r="BA20" s="106"/>
      <c r="BB20" s="106"/>
      <c r="BC20" s="106"/>
      <c r="BD20" s="106"/>
      <c r="BE20" s="106"/>
      <c r="BF20" s="106"/>
      <c r="BG20" s="106"/>
      <c r="BH20" s="106"/>
      <c r="BI20" s="106"/>
      <c r="BJ20" s="106"/>
      <c r="BK20" s="106"/>
      <c r="BL20" s="106"/>
      <c r="BM20" s="106"/>
      <c r="BN20" s="106"/>
      <c r="BO20" s="106"/>
      <c r="BP20" s="106"/>
      <c r="BQ20" s="106"/>
      <c r="BR20" s="106"/>
      <c r="BS20" s="106"/>
      <c r="BT20" s="106"/>
      <c r="BU20" s="106"/>
      <c r="BV20" s="106"/>
      <c r="BW20" s="106"/>
      <c r="BX20" s="106"/>
      <c r="BY20" s="106"/>
      <c r="BZ20" s="106"/>
      <c r="CA20" s="106"/>
      <c r="CB20" s="106"/>
      <c r="CC20" s="106"/>
      <c r="CD20" s="106"/>
      <c r="CE20" s="106"/>
      <c r="CF20" s="106"/>
      <c r="CG20" s="106"/>
      <c r="CH20" s="106"/>
      <c r="CI20" s="106"/>
      <c r="CJ20" s="106"/>
      <c r="CK20" s="109">
        <f>+MEDIAN(M20,O20,Q20)</f>
        <v>143193.27731092437</v>
      </c>
      <c r="CL20" s="109">
        <f>+AVERAGE(M20,O20,Q20)</f>
        <v>152341.73669467788</v>
      </c>
      <c r="CM20" s="109">
        <f>+STDEV(M20,O20,Q20)</f>
        <v>21223.346366582569</v>
      </c>
      <c r="CN20" s="198">
        <f t="shared" ref="CN20:CN24" si="7">CM20/CL20</f>
        <v>0.13931406341466512</v>
      </c>
      <c r="CO20" s="5">
        <f t="shared" ref="CO20" si="8">+CQ20-CP20</f>
        <v>123397.02</v>
      </c>
      <c r="CP20" s="106">
        <f t="shared" ref="CP20" si="9">+(CQ20*19%)</f>
        <v>28944.98</v>
      </c>
      <c r="CQ20" s="106">
        <f t="shared" si="6"/>
        <v>152342</v>
      </c>
      <c r="CR20" s="122">
        <f t="shared" si="1"/>
        <v>29249664</v>
      </c>
      <c r="CS20" s="1" t="s">
        <v>731</v>
      </c>
    </row>
    <row r="21" spans="1:97" ht="87">
      <c r="A21" s="90">
        <f>+A20+1</f>
        <v>12</v>
      </c>
      <c r="B21" s="63" t="s">
        <v>46</v>
      </c>
      <c r="C21" s="1" t="s">
        <v>912</v>
      </c>
      <c r="D21" s="91" t="s">
        <v>789</v>
      </c>
      <c r="E21" s="1">
        <v>3</v>
      </c>
      <c r="F21" s="1"/>
      <c r="G21" s="106"/>
      <c r="H21" s="106"/>
      <c r="I21" s="106"/>
      <c r="J21" s="106"/>
      <c r="K21" s="106"/>
      <c r="L21" s="326">
        <v>530000</v>
      </c>
      <c r="M21" s="326">
        <f>+((L21/1.19)*23%)+L21</f>
        <v>632436.97478991596</v>
      </c>
      <c r="N21" s="326">
        <v>540000</v>
      </c>
      <c r="O21" s="326">
        <f>+((N21)*23%)+N21</f>
        <v>664200</v>
      </c>
      <c r="P21" s="326">
        <v>600000</v>
      </c>
      <c r="Q21" s="326">
        <f>+((P21)*23%)+P21</f>
        <v>738000</v>
      </c>
      <c r="R21" s="106"/>
      <c r="S21" s="106"/>
      <c r="T21" s="106"/>
      <c r="U21" s="106"/>
      <c r="V21" s="106"/>
      <c r="W21" s="106"/>
      <c r="X21" s="106"/>
      <c r="Y21" s="106"/>
      <c r="Z21" s="106"/>
      <c r="AA21" s="106"/>
      <c r="AB21" s="106"/>
      <c r="AC21" s="106"/>
      <c r="AD21" s="106"/>
      <c r="AE21" s="106"/>
      <c r="AF21" s="106"/>
      <c r="AG21" s="106"/>
      <c r="AH21" s="106"/>
      <c r="AI21" s="106"/>
      <c r="AJ21" s="106"/>
      <c r="AK21" s="106"/>
      <c r="AL21" s="106"/>
      <c r="AM21" s="106"/>
      <c r="AN21" s="106"/>
      <c r="AO21" s="106"/>
      <c r="AP21" s="106"/>
      <c r="AQ21" s="106"/>
      <c r="AR21" s="106"/>
      <c r="AS21" s="106"/>
      <c r="AT21" s="106"/>
      <c r="AU21" s="106"/>
      <c r="AV21" s="106"/>
      <c r="AW21" s="106"/>
      <c r="AX21" s="106"/>
      <c r="AY21" s="106"/>
      <c r="AZ21" s="106"/>
      <c r="BA21" s="106"/>
      <c r="BB21" s="106"/>
      <c r="BC21" s="106"/>
      <c r="BD21" s="106"/>
      <c r="BE21" s="106"/>
      <c r="BF21" s="106"/>
      <c r="BG21" s="106"/>
      <c r="BH21" s="106"/>
      <c r="BI21" s="106"/>
      <c r="BJ21" s="106"/>
      <c r="BK21" s="106"/>
      <c r="BL21" s="106"/>
      <c r="BM21" s="106"/>
      <c r="BN21" s="106"/>
      <c r="BO21" s="106"/>
      <c r="BP21" s="106"/>
      <c r="BQ21" s="106"/>
      <c r="BR21" s="106"/>
      <c r="BS21" s="106"/>
      <c r="BT21" s="106"/>
      <c r="BU21" s="106"/>
      <c r="BV21" s="106"/>
      <c r="BW21" s="106"/>
      <c r="BX21" s="106"/>
      <c r="BY21" s="106"/>
      <c r="BZ21" s="106"/>
      <c r="CA21" s="106"/>
      <c r="CB21" s="106"/>
      <c r="CC21" s="106"/>
      <c r="CD21" s="106"/>
      <c r="CE21" s="106"/>
      <c r="CF21" s="106"/>
      <c r="CG21" s="106"/>
      <c r="CH21" s="106"/>
      <c r="CI21" s="106"/>
      <c r="CJ21" s="106"/>
      <c r="CK21" s="109">
        <f>+MEDIAN(M21,O21,Q21)</f>
        <v>664200</v>
      </c>
      <c r="CL21" s="109">
        <f>+AVERAGE(M21,O21,Q21)</f>
        <v>678212.32492997206</v>
      </c>
      <c r="CM21" s="109">
        <f>+STDEV(M21,O21,Q21)</f>
        <v>54158.53589540199</v>
      </c>
      <c r="CN21" s="103">
        <f t="shared" si="7"/>
        <v>7.985483882351159E-2</v>
      </c>
      <c r="CO21" s="5">
        <f>+CQ21</f>
        <v>678213</v>
      </c>
      <c r="CP21" s="106">
        <v>0</v>
      </c>
      <c r="CQ21" s="106">
        <f t="shared" si="6"/>
        <v>678213</v>
      </c>
      <c r="CR21" s="122">
        <f t="shared" ref="CR21:CR52" si="10">+CQ21*E21</f>
        <v>2034639</v>
      </c>
      <c r="CS21" s="89" t="s">
        <v>731</v>
      </c>
    </row>
    <row r="22" spans="1:97" ht="77.650000000000006" customHeight="1">
      <c r="A22" s="90">
        <f t="shared" si="2"/>
        <v>13</v>
      </c>
      <c r="B22" s="63" t="s">
        <v>299</v>
      </c>
      <c r="C22" s="1" t="s">
        <v>737</v>
      </c>
      <c r="D22" s="91" t="s">
        <v>727</v>
      </c>
      <c r="E22" s="1">
        <v>200</v>
      </c>
      <c r="F22" s="1"/>
      <c r="G22" s="106"/>
      <c r="H22" s="106"/>
      <c r="I22" s="106"/>
      <c r="J22" s="106"/>
      <c r="K22" s="106"/>
      <c r="L22" s="106"/>
      <c r="M22" s="106"/>
      <c r="N22" s="106"/>
      <c r="O22" s="106"/>
      <c r="P22" s="106"/>
      <c r="Q22" s="106"/>
      <c r="R22" s="106"/>
      <c r="S22" s="106"/>
      <c r="T22" s="106"/>
      <c r="U22" s="106"/>
      <c r="V22" s="106"/>
      <c r="W22" s="106"/>
      <c r="X22" s="106">
        <v>9811</v>
      </c>
      <c r="Y22" s="106">
        <v>12000</v>
      </c>
      <c r="Z22" s="106">
        <v>13500</v>
      </c>
      <c r="AA22" s="106"/>
      <c r="AB22" s="106"/>
      <c r="AC22" s="106"/>
      <c r="AD22" s="106"/>
      <c r="AE22" s="106"/>
      <c r="AF22" s="106"/>
      <c r="AG22" s="106"/>
      <c r="AH22" s="106"/>
      <c r="AI22" s="106"/>
      <c r="AJ22" s="106"/>
      <c r="AK22" s="106"/>
      <c r="AL22" s="106"/>
      <c r="AM22" s="106"/>
      <c r="AN22" s="106"/>
      <c r="AO22" s="106"/>
      <c r="AP22" s="106"/>
      <c r="AQ22" s="106"/>
      <c r="AR22" s="106"/>
      <c r="AS22" s="106"/>
      <c r="AT22" s="106"/>
      <c r="AU22" s="106"/>
      <c r="AV22" s="106"/>
      <c r="AW22" s="106"/>
      <c r="AX22" s="106"/>
      <c r="AY22" s="106"/>
      <c r="AZ22" s="106"/>
      <c r="BA22" s="106"/>
      <c r="BB22" s="106"/>
      <c r="BC22" s="106"/>
      <c r="BD22" s="106"/>
      <c r="BE22" s="106"/>
      <c r="BF22" s="106"/>
      <c r="BG22" s="106"/>
      <c r="BH22" s="106"/>
      <c r="BI22" s="106"/>
      <c r="BJ22" s="106"/>
      <c r="BK22" s="106"/>
      <c r="BL22" s="106"/>
      <c r="BM22" s="106"/>
      <c r="BN22" s="106"/>
      <c r="BO22" s="106"/>
      <c r="BP22" s="106"/>
      <c r="BQ22" s="106"/>
      <c r="BR22" s="106"/>
      <c r="BS22" s="106"/>
      <c r="BT22" s="106"/>
      <c r="BU22" s="106"/>
      <c r="BV22" s="106"/>
      <c r="BW22" s="106"/>
      <c r="BX22" s="106"/>
      <c r="BY22" s="106"/>
      <c r="BZ22" s="106"/>
      <c r="CA22" s="106"/>
      <c r="CB22" s="106"/>
      <c r="CC22" s="106"/>
      <c r="CD22" s="106"/>
      <c r="CE22" s="106"/>
      <c r="CF22" s="106"/>
      <c r="CG22" s="106"/>
      <c r="CH22" s="106"/>
      <c r="CI22" s="106"/>
      <c r="CJ22" s="106"/>
      <c r="CK22" s="109">
        <f t="shared" ref="CK22:CK53" si="11">+MEDIAN(H22,I22,J22,K22,M22,M22,M22,O22,O22,Q22,S22,U22,W22,X22,Y22,Z22,AA22,AC22,AE22,AG22,AH22,AI22,AJ22,AK22,AL22,AM22,AO22,AP22,AQ22,AS22,AU22,AX22,AZ22,BB22,BC22,BE22,BG22,BH22,BI22,BK22,BL22,BM22,BN22,BP22,BR22,BT22,BV22)</f>
        <v>12000</v>
      </c>
      <c r="CL22" s="109">
        <f t="shared" ref="CL22:CL53" si="12">+AVERAGE(H22,I22,J22,K22,M22,M22,M22,O22,O22,Q22,S22,U22,W22,X22,Y22,Z22,AA22,AC22,AE22,AG22,AH22,AI22,AJ22,AK22,AL22,AM22,AO22,AP22,AQ22,AS22,AU22,AX22,AZ22,BB22,BC22,BE22,BG22,BH22,BI22,BK22,BL22,BM22,BN22,BP22,BR22,BT22,BV22)</f>
        <v>11770.333333333334</v>
      </c>
      <c r="CM22" s="109">
        <f t="shared" ref="CM22:CM53" si="13">+STDEV(H22,I22,J22,K22,M22,M22,M22,O22,O22,Q22,S22,U22,W22,X22,Y22,Z22,AA22,AC22,AE22,AG22,AH22,AI22,AJ22,AK22,AL22,AM22,AO22,AP22,AQ22,AS22,AU22,AX22,AZ22,BB22,BC22,BE22,BG22,BH22,BI22,BK22,BL22,BM22,BN22,BP22,BR22,BT22,BV22)</f>
        <v>1855.1928021996375</v>
      </c>
      <c r="CN22" s="103">
        <f t="shared" si="7"/>
        <v>0.15761599520259728</v>
      </c>
      <c r="CO22" s="110">
        <f t="shared" si="4"/>
        <v>10084.033613445379</v>
      </c>
      <c r="CP22" s="107">
        <f t="shared" si="5"/>
        <v>1915.966386554622</v>
      </c>
      <c r="CQ22" s="106">
        <f t="shared" si="6"/>
        <v>12000</v>
      </c>
      <c r="CR22" s="122">
        <f t="shared" si="10"/>
        <v>2400000</v>
      </c>
      <c r="CS22" s="89" t="s">
        <v>380</v>
      </c>
    </row>
    <row r="23" spans="1:97" ht="87.65" customHeight="1">
      <c r="A23" s="90">
        <f t="shared" si="2"/>
        <v>14</v>
      </c>
      <c r="B23" s="63" t="s">
        <v>301</v>
      </c>
      <c r="C23" s="1" t="s">
        <v>300</v>
      </c>
      <c r="D23" s="91" t="s">
        <v>11</v>
      </c>
      <c r="E23" s="1">
        <v>200</v>
      </c>
      <c r="F23" s="1"/>
      <c r="G23" s="106"/>
      <c r="H23" s="106"/>
      <c r="I23" s="106"/>
      <c r="J23" s="106"/>
      <c r="K23" s="106"/>
      <c r="L23" s="106"/>
      <c r="M23" s="106"/>
      <c r="N23" s="106"/>
      <c r="O23" s="106"/>
      <c r="P23" s="106"/>
      <c r="Q23" s="106"/>
      <c r="R23" s="106"/>
      <c r="S23" s="106"/>
      <c r="T23" s="106"/>
      <c r="U23" s="106"/>
      <c r="V23" s="106"/>
      <c r="W23" s="106"/>
      <c r="X23" s="106">
        <v>9000</v>
      </c>
      <c r="Y23" s="106">
        <v>10500</v>
      </c>
      <c r="Z23" s="106">
        <v>12000</v>
      </c>
      <c r="AA23" s="106"/>
      <c r="AB23" s="106"/>
      <c r="AC23" s="106"/>
      <c r="AD23" s="106"/>
      <c r="AE23" s="106"/>
      <c r="AF23" s="106"/>
      <c r="AG23" s="106"/>
      <c r="AH23" s="106"/>
      <c r="AI23" s="106"/>
      <c r="AJ23" s="106"/>
      <c r="AK23" s="106"/>
      <c r="AL23" s="106"/>
      <c r="AM23" s="106"/>
      <c r="AN23" s="106"/>
      <c r="AO23" s="106"/>
      <c r="AP23" s="106"/>
      <c r="AQ23" s="106"/>
      <c r="AR23" s="106"/>
      <c r="AS23" s="106"/>
      <c r="AT23" s="106"/>
      <c r="AU23" s="106"/>
      <c r="AV23" s="106"/>
      <c r="AW23" s="106"/>
      <c r="AX23" s="106"/>
      <c r="AY23" s="106"/>
      <c r="AZ23" s="106"/>
      <c r="BA23" s="106"/>
      <c r="BB23" s="106"/>
      <c r="BC23" s="106"/>
      <c r="BD23" s="106"/>
      <c r="BE23" s="106"/>
      <c r="BF23" s="106"/>
      <c r="BG23" s="106"/>
      <c r="BH23" s="106"/>
      <c r="BI23" s="106"/>
      <c r="BJ23" s="106"/>
      <c r="BK23" s="106"/>
      <c r="BL23" s="106"/>
      <c r="BM23" s="106"/>
      <c r="BN23" s="106"/>
      <c r="BO23" s="106"/>
      <c r="BP23" s="106"/>
      <c r="BQ23" s="106"/>
      <c r="BR23" s="106"/>
      <c r="BS23" s="106"/>
      <c r="BT23" s="106"/>
      <c r="BU23" s="106"/>
      <c r="BV23" s="106"/>
      <c r="BW23" s="106"/>
      <c r="BX23" s="106"/>
      <c r="BY23" s="106"/>
      <c r="BZ23" s="106"/>
      <c r="CA23" s="106"/>
      <c r="CB23" s="106"/>
      <c r="CC23" s="106"/>
      <c r="CD23" s="106"/>
      <c r="CE23" s="106"/>
      <c r="CF23" s="106"/>
      <c r="CG23" s="106"/>
      <c r="CH23" s="106"/>
      <c r="CI23" s="106"/>
      <c r="CJ23" s="106"/>
      <c r="CK23" s="109">
        <f t="shared" si="11"/>
        <v>10500</v>
      </c>
      <c r="CL23" s="109">
        <f t="shared" si="12"/>
        <v>10500</v>
      </c>
      <c r="CM23" s="109">
        <f t="shared" si="13"/>
        <v>1500</v>
      </c>
      <c r="CN23" s="103">
        <f t="shared" si="7"/>
        <v>0.14285714285714285</v>
      </c>
      <c r="CO23" s="110">
        <f t="shared" si="4"/>
        <v>8823.5294117647063</v>
      </c>
      <c r="CP23" s="107">
        <f t="shared" si="5"/>
        <v>1676.4705882352941</v>
      </c>
      <c r="CQ23" s="106">
        <f t="shared" si="6"/>
        <v>10500</v>
      </c>
      <c r="CR23" s="122">
        <f t="shared" si="10"/>
        <v>2100000</v>
      </c>
      <c r="CS23" s="89" t="s">
        <v>732</v>
      </c>
    </row>
    <row r="24" spans="1:97" ht="93" customHeight="1">
      <c r="A24" s="90">
        <f t="shared" si="2"/>
        <v>15</v>
      </c>
      <c r="B24" s="63" t="s">
        <v>302</v>
      </c>
      <c r="C24" s="1" t="s">
        <v>751</v>
      </c>
      <c r="D24" s="91" t="s">
        <v>11</v>
      </c>
      <c r="E24" s="1">
        <v>200</v>
      </c>
      <c r="F24" s="1"/>
      <c r="G24" s="106"/>
      <c r="H24" s="106"/>
      <c r="I24" s="106"/>
      <c r="J24" s="106"/>
      <c r="K24" s="106"/>
      <c r="L24" s="106"/>
      <c r="M24" s="106"/>
      <c r="N24" s="106"/>
      <c r="O24" s="106"/>
      <c r="P24" s="106"/>
      <c r="Q24" s="106"/>
      <c r="R24" s="106"/>
      <c r="S24" s="106"/>
      <c r="T24" s="106"/>
      <c r="U24" s="106"/>
      <c r="V24" s="106"/>
      <c r="W24" s="106"/>
      <c r="X24" s="106">
        <v>10900</v>
      </c>
      <c r="Y24" s="106">
        <v>14000</v>
      </c>
      <c r="Z24" s="106">
        <v>15500</v>
      </c>
      <c r="AA24" s="106"/>
      <c r="AB24" s="106"/>
      <c r="AC24" s="106"/>
      <c r="AD24" s="106"/>
      <c r="AE24" s="106"/>
      <c r="AF24" s="106"/>
      <c r="AG24" s="106"/>
      <c r="AH24" s="106"/>
      <c r="AI24" s="106"/>
      <c r="AJ24" s="106"/>
      <c r="AK24" s="106"/>
      <c r="AL24" s="106"/>
      <c r="AM24" s="106"/>
      <c r="AN24" s="106"/>
      <c r="AO24" s="106"/>
      <c r="AP24" s="106"/>
      <c r="AQ24" s="106"/>
      <c r="AR24" s="106"/>
      <c r="AS24" s="106"/>
      <c r="AT24" s="106"/>
      <c r="AU24" s="106"/>
      <c r="AV24" s="106"/>
      <c r="AW24" s="106"/>
      <c r="AX24" s="106"/>
      <c r="AY24" s="106"/>
      <c r="AZ24" s="106"/>
      <c r="BA24" s="106"/>
      <c r="BB24" s="106"/>
      <c r="BC24" s="106"/>
      <c r="BD24" s="106"/>
      <c r="BE24" s="106"/>
      <c r="BF24" s="106"/>
      <c r="BG24" s="106"/>
      <c r="BH24" s="106"/>
      <c r="BI24" s="106"/>
      <c r="BJ24" s="106"/>
      <c r="BK24" s="106"/>
      <c r="BL24" s="106"/>
      <c r="BM24" s="106"/>
      <c r="BN24" s="106"/>
      <c r="BO24" s="106"/>
      <c r="BP24" s="106"/>
      <c r="BQ24" s="106"/>
      <c r="BR24" s="106"/>
      <c r="BS24" s="106"/>
      <c r="BT24" s="106"/>
      <c r="BU24" s="106"/>
      <c r="BV24" s="106"/>
      <c r="BW24" s="106"/>
      <c r="BX24" s="106"/>
      <c r="BY24" s="106"/>
      <c r="BZ24" s="106"/>
      <c r="CA24" s="106"/>
      <c r="CB24" s="106"/>
      <c r="CC24" s="106"/>
      <c r="CD24" s="106"/>
      <c r="CE24" s="106"/>
      <c r="CF24" s="106"/>
      <c r="CG24" s="106"/>
      <c r="CH24" s="106"/>
      <c r="CI24" s="106"/>
      <c r="CJ24" s="106"/>
      <c r="CK24" s="109">
        <f t="shared" si="11"/>
        <v>14000</v>
      </c>
      <c r="CL24" s="109">
        <f t="shared" si="12"/>
        <v>13466.666666666666</v>
      </c>
      <c r="CM24" s="109">
        <f t="shared" si="13"/>
        <v>2345.9184413217167</v>
      </c>
      <c r="CN24" s="103">
        <f t="shared" si="7"/>
        <v>0.17420186445458294</v>
      </c>
      <c r="CO24" s="110">
        <f t="shared" si="4"/>
        <v>11764.705882352942</v>
      </c>
      <c r="CP24" s="107">
        <f t="shared" si="5"/>
        <v>2235.294117647059</v>
      </c>
      <c r="CQ24" s="106">
        <f t="shared" si="6"/>
        <v>14000</v>
      </c>
      <c r="CR24" s="122">
        <f t="shared" si="10"/>
        <v>2800000</v>
      </c>
      <c r="CS24" s="89" t="s">
        <v>380</v>
      </c>
    </row>
    <row r="25" spans="1:97" ht="85.4" customHeight="1">
      <c r="A25" s="90">
        <f t="shared" si="2"/>
        <v>16</v>
      </c>
      <c r="B25" s="63" t="s">
        <v>303</v>
      </c>
      <c r="C25" s="1" t="s">
        <v>304</v>
      </c>
      <c r="D25" s="91" t="s">
        <v>4</v>
      </c>
      <c r="E25" s="1">
        <v>200</v>
      </c>
      <c r="F25" s="1"/>
      <c r="G25" s="106"/>
      <c r="H25" s="106"/>
      <c r="I25" s="106"/>
      <c r="J25" s="106"/>
      <c r="K25" s="106"/>
      <c r="L25" s="106"/>
      <c r="M25" s="106"/>
      <c r="N25" s="106"/>
      <c r="O25" s="106"/>
      <c r="P25" s="106"/>
      <c r="Q25" s="106"/>
      <c r="R25" s="106"/>
      <c r="S25" s="106"/>
      <c r="T25" s="106"/>
      <c r="U25" s="106"/>
      <c r="V25" s="106"/>
      <c r="W25" s="106"/>
      <c r="X25" s="106">
        <v>4300</v>
      </c>
      <c r="Y25" s="106">
        <v>5700</v>
      </c>
      <c r="Z25" s="106">
        <v>5300</v>
      </c>
      <c r="AA25" s="106"/>
      <c r="AB25" s="106"/>
      <c r="AC25" s="106"/>
      <c r="AD25" s="106"/>
      <c r="AE25" s="106"/>
      <c r="AF25" s="106"/>
      <c r="AG25" s="106"/>
      <c r="AH25" s="106"/>
      <c r="AI25" s="106"/>
      <c r="AJ25" s="106"/>
      <c r="AK25" s="106"/>
      <c r="AL25" s="106"/>
      <c r="AM25" s="106"/>
      <c r="AN25" s="106"/>
      <c r="AO25" s="106"/>
      <c r="AP25" s="106"/>
      <c r="AQ25" s="106"/>
      <c r="AR25" s="106"/>
      <c r="AS25" s="106"/>
      <c r="AT25" s="106"/>
      <c r="AU25" s="106"/>
      <c r="AV25" s="106"/>
      <c r="AW25" s="106"/>
      <c r="AX25" s="106"/>
      <c r="AY25" s="106"/>
      <c r="AZ25" s="106"/>
      <c r="BA25" s="106"/>
      <c r="BB25" s="106"/>
      <c r="BC25" s="106"/>
      <c r="BD25" s="106"/>
      <c r="BE25" s="106"/>
      <c r="BF25" s="106"/>
      <c r="BG25" s="106"/>
      <c r="BH25" s="106"/>
      <c r="BI25" s="106"/>
      <c r="BJ25" s="106"/>
      <c r="BK25" s="106"/>
      <c r="BL25" s="106"/>
      <c r="BM25" s="106"/>
      <c r="BN25" s="106"/>
      <c r="BO25" s="106"/>
      <c r="BP25" s="106"/>
      <c r="BQ25" s="106"/>
      <c r="BR25" s="106"/>
      <c r="BS25" s="106"/>
      <c r="BT25" s="106"/>
      <c r="BU25" s="106"/>
      <c r="BV25" s="106"/>
      <c r="BW25" s="106"/>
      <c r="BX25" s="106"/>
      <c r="BY25" s="106"/>
      <c r="BZ25" s="106"/>
      <c r="CA25" s="106"/>
      <c r="CB25" s="106"/>
      <c r="CC25" s="106"/>
      <c r="CD25" s="106"/>
      <c r="CE25" s="106"/>
      <c r="CF25" s="106"/>
      <c r="CG25" s="106"/>
      <c r="CH25" s="106"/>
      <c r="CI25" s="106"/>
      <c r="CJ25" s="106"/>
      <c r="CK25" s="109">
        <f t="shared" si="11"/>
        <v>5300</v>
      </c>
      <c r="CL25" s="109">
        <f t="shared" si="12"/>
        <v>5100</v>
      </c>
      <c r="CM25" s="109">
        <f t="shared" si="13"/>
        <v>721.11025509279784</v>
      </c>
      <c r="CN25" s="103">
        <f t="shared" ref="CN25:CN81" si="14">CM25/CL25</f>
        <v>0.14139416766525448</v>
      </c>
      <c r="CO25" s="110">
        <f t="shared" si="4"/>
        <v>4285.7142857142862</v>
      </c>
      <c r="CP25" s="107">
        <f t="shared" si="5"/>
        <v>814.28571428571445</v>
      </c>
      <c r="CQ25" s="106">
        <f t="shared" si="6"/>
        <v>5100</v>
      </c>
      <c r="CR25" s="122">
        <f t="shared" si="10"/>
        <v>1020000</v>
      </c>
      <c r="CS25" s="89" t="s">
        <v>732</v>
      </c>
    </row>
    <row r="26" spans="1:97" ht="88.5" customHeight="1">
      <c r="A26" s="90">
        <f t="shared" si="2"/>
        <v>17</v>
      </c>
      <c r="B26" s="63" t="s">
        <v>696</v>
      </c>
      <c r="C26" s="1" t="s">
        <v>305</v>
      </c>
      <c r="D26" s="91" t="s">
        <v>269</v>
      </c>
      <c r="E26" s="1">
        <v>200</v>
      </c>
      <c r="F26" s="1"/>
      <c r="G26" s="106"/>
      <c r="H26" s="106"/>
      <c r="I26" s="106"/>
      <c r="J26" s="106"/>
      <c r="K26" s="106"/>
      <c r="L26" s="106"/>
      <c r="M26" s="106"/>
      <c r="N26" s="106"/>
      <c r="O26" s="106"/>
      <c r="P26" s="106"/>
      <c r="Q26" s="106"/>
      <c r="R26" s="106"/>
      <c r="S26" s="106"/>
      <c r="T26" s="106"/>
      <c r="U26" s="106"/>
      <c r="V26" s="106"/>
      <c r="W26" s="106"/>
      <c r="X26" s="106">
        <v>16900</v>
      </c>
      <c r="Y26" s="106">
        <v>18000</v>
      </c>
      <c r="Z26" s="106">
        <v>19000</v>
      </c>
      <c r="AA26" s="106"/>
      <c r="AB26" s="106"/>
      <c r="AC26" s="106"/>
      <c r="AD26" s="106"/>
      <c r="AE26" s="106"/>
      <c r="AF26" s="106"/>
      <c r="AG26" s="106"/>
      <c r="AH26" s="106"/>
      <c r="AI26" s="106"/>
      <c r="AJ26" s="106"/>
      <c r="AK26" s="106"/>
      <c r="AL26" s="106"/>
      <c r="AM26" s="106"/>
      <c r="AN26" s="106"/>
      <c r="AO26" s="106"/>
      <c r="AP26" s="106"/>
      <c r="AQ26" s="106"/>
      <c r="AR26" s="106"/>
      <c r="AS26" s="106"/>
      <c r="AT26" s="106"/>
      <c r="AU26" s="106"/>
      <c r="AV26" s="106"/>
      <c r="AW26" s="106"/>
      <c r="AX26" s="106"/>
      <c r="AY26" s="106"/>
      <c r="AZ26" s="106"/>
      <c r="BA26" s="106"/>
      <c r="BB26" s="106"/>
      <c r="BC26" s="106"/>
      <c r="BD26" s="106"/>
      <c r="BE26" s="106"/>
      <c r="BF26" s="106"/>
      <c r="BG26" s="106"/>
      <c r="BH26" s="106"/>
      <c r="BI26" s="106"/>
      <c r="BJ26" s="106"/>
      <c r="BK26" s="106"/>
      <c r="BL26" s="106"/>
      <c r="BM26" s="106"/>
      <c r="BN26" s="106"/>
      <c r="BO26" s="106"/>
      <c r="BP26" s="106"/>
      <c r="BQ26" s="106"/>
      <c r="BR26" s="106"/>
      <c r="BS26" s="106"/>
      <c r="BT26" s="106"/>
      <c r="BU26" s="106"/>
      <c r="BV26" s="106"/>
      <c r="BW26" s="106"/>
      <c r="BX26" s="106"/>
      <c r="BY26" s="106"/>
      <c r="BZ26" s="106"/>
      <c r="CA26" s="106"/>
      <c r="CB26" s="106"/>
      <c r="CC26" s="106"/>
      <c r="CD26" s="106"/>
      <c r="CE26" s="106"/>
      <c r="CF26" s="106"/>
      <c r="CG26" s="106"/>
      <c r="CH26" s="106"/>
      <c r="CI26" s="106"/>
      <c r="CJ26" s="106"/>
      <c r="CK26" s="109">
        <f t="shared" si="11"/>
        <v>18000</v>
      </c>
      <c r="CL26" s="109">
        <f t="shared" si="12"/>
        <v>17966.666666666668</v>
      </c>
      <c r="CM26" s="109">
        <f t="shared" si="13"/>
        <v>1050.3967504392488</v>
      </c>
      <c r="CN26" s="103">
        <f t="shared" si="14"/>
        <v>5.8463641026303269E-2</v>
      </c>
      <c r="CO26" s="110">
        <f t="shared" si="4"/>
        <v>15098.319327731093</v>
      </c>
      <c r="CP26" s="107">
        <f t="shared" si="5"/>
        <v>2868.6806722689075</v>
      </c>
      <c r="CQ26" s="106">
        <f t="shared" si="6"/>
        <v>17967</v>
      </c>
      <c r="CR26" s="122">
        <f t="shared" si="10"/>
        <v>3593400</v>
      </c>
      <c r="CS26" s="89" t="s">
        <v>732</v>
      </c>
    </row>
    <row r="27" spans="1:97" ht="85.9" customHeight="1">
      <c r="A27" s="90">
        <f t="shared" si="2"/>
        <v>18</v>
      </c>
      <c r="B27" s="63" t="s">
        <v>312</v>
      </c>
      <c r="C27" s="1" t="s">
        <v>752</v>
      </c>
      <c r="D27" s="91" t="s">
        <v>11</v>
      </c>
      <c r="E27" s="1">
        <v>200</v>
      </c>
      <c r="F27" s="1"/>
      <c r="G27" s="106"/>
      <c r="H27" s="106"/>
      <c r="I27" s="106"/>
      <c r="J27" s="106"/>
      <c r="K27" s="106"/>
      <c r="L27" s="106"/>
      <c r="M27" s="106"/>
      <c r="N27" s="106"/>
      <c r="O27" s="106"/>
      <c r="P27" s="106"/>
      <c r="Q27" s="106"/>
      <c r="R27" s="106"/>
      <c r="S27" s="106"/>
      <c r="T27" s="106"/>
      <c r="U27" s="106"/>
      <c r="V27" s="106"/>
      <c r="W27" s="106"/>
      <c r="X27" s="106">
        <v>38000</v>
      </c>
      <c r="Y27" s="106">
        <v>51000</v>
      </c>
      <c r="Z27" s="106">
        <v>50000</v>
      </c>
      <c r="AA27" s="106"/>
      <c r="AB27" s="106"/>
      <c r="AC27" s="106"/>
      <c r="AD27" s="106"/>
      <c r="AE27" s="106"/>
      <c r="AF27" s="106"/>
      <c r="AG27" s="106"/>
      <c r="AH27" s="106"/>
      <c r="AI27" s="106"/>
      <c r="AJ27" s="106"/>
      <c r="AK27" s="106"/>
      <c r="AL27" s="106"/>
      <c r="AM27" s="106"/>
      <c r="AN27" s="106"/>
      <c r="AO27" s="106"/>
      <c r="AP27" s="106"/>
      <c r="AQ27" s="106"/>
      <c r="AR27" s="106"/>
      <c r="AS27" s="106"/>
      <c r="AT27" s="106"/>
      <c r="AU27" s="106"/>
      <c r="AV27" s="106"/>
      <c r="AW27" s="106"/>
      <c r="AX27" s="106"/>
      <c r="AY27" s="106"/>
      <c r="AZ27" s="106"/>
      <c r="BA27" s="106"/>
      <c r="BB27" s="106"/>
      <c r="BC27" s="106"/>
      <c r="BD27" s="106"/>
      <c r="BE27" s="106"/>
      <c r="BF27" s="106"/>
      <c r="BG27" s="106"/>
      <c r="BH27" s="106"/>
      <c r="BI27" s="106"/>
      <c r="BJ27" s="106"/>
      <c r="BK27" s="106"/>
      <c r="BL27" s="106"/>
      <c r="BM27" s="106"/>
      <c r="BN27" s="106"/>
      <c r="BO27" s="106"/>
      <c r="BP27" s="106"/>
      <c r="BQ27" s="106"/>
      <c r="BR27" s="106"/>
      <c r="BS27" s="106"/>
      <c r="BT27" s="106"/>
      <c r="BU27" s="106"/>
      <c r="BV27" s="106"/>
      <c r="BW27" s="106"/>
      <c r="BX27" s="106"/>
      <c r="BY27" s="106"/>
      <c r="BZ27" s="106"/>
      <c r="CA27" s="106"/>
      <c r="CB27" s="106"/>
      <c r="CC27" s="106"/>
      <c r="CD27" s="106"/>
      <c r="CE27" s="106"/>
      <c r="CF27" s="106"/>
      <c r="CG27" s="106"/>
      <c r="CH27" s="106"/>
      <c r="CI27" s="106"/>
      <c r="CJ27" s="106"/>
      <c r="CK27" s="109">
        <f t="shared" si="11"/>
        <v>50000</v>
      </c>
      <c r="CL27" s="109">
        <f t="shared" si="12"/>
        <v>46333.333333333336</v>
      </c>
      <c r="CM27" s="109">
        <f t="shared" si="13"/>
        <v>7234.178138070246</v>
      </c>
      <c r="CN27" s="103">
        <f t="shared" si="14"/>
        <v>0.15613334110942975</v>
      </c>
      <c r="CO27" s="110">
        <f t="shared" si="4"/>
        <v>42016.806722689078</v>
      </c>
      <c r="CP27" s="107">
        <f t="shared" si="5"/>
        <v>7983.1932773109247</v>
      </c>
      <c r="CQ27" s="106">
        <f t="shared" si="6"/>
        <v>50000</v>
      </c>
      <c r="CR27" s="122">
        <f t="shared" si="10"/>
        <v>10000000</v>
      </c>
      <c r="CS27" s="89" t="s">
        <v>380</v>
      </c>
    </row>
    <row r="28" spans="1:97" ht="85.9" customHeight="1">
      <c r="A28" s="90">
        <f t="shared" si="2"/>
        <v>19</v>
      </c>
      <c r="B28" s="63" t="s">
        <v>313</v>
      </c>
      <c r="C28" s="1" t="s">
        <v>753</v>
      </c>
      <c r="D28" s="91" t="s">
        <v>4</v>
      </c>
      <c r="E28" s="1">
        <v>200</v>
      </c>
      <c r="F28" s="1"/>
      <c r="G28" s="106"/>
      <c r="H28" s="106"/>
      <c r="I28" s="106"/>
      <c r="J28" s="106"/>
      <c r="K28" s="106"/>
      <c r="L28" s="106"/>
      <c r="M28" s="106"/>
      <c r="N28" s="106"/>
      <c r="O28" s="106"/>
      <c r="P28" s="106"/>
      <c r="Q28" s="106"/>
      <c r="R28" s="106"/>
      <c r="S28" s="106"/>
      <c r="T28" s="106"/>
      <c r="U28" s="106"/>
      <c r="V28" s="106"/>
      <c r="W28" s="106"/>
      <c r="X28" s="106"/>
      <c r="Y28" s="106">
        <v>10000</v>
      </c>
      <c r="Z28" s="106"/>
      <c r="AA28" s="106">
        <v>11000</v>
      </c>
      <c r="AB28" s="106"/>
      <c r="AC28" s="106"/>
      <c r="AD28" s="106"/>
      <c r="AE28" s="106"/>
      <c r="AF28" s="106"/>
      <c r="AG28" s="106"/>
      <c r="AH28" s="106"/>
      <c r="AI28" s="106"/>
      <c r="AJ28" s="106"/>
      <c r="AK28" s="106"/>
      <c r="AL28" s="106"/>
      <c r="AM28" s="106"/>
      <c r="AN28" s="106"/>
      <c r="AO28" s="106"/>
      <c r="AP28" s="106"/>
      <c r="AQ28" s="106"/>
      <c r="AR28" s="106"/>
      <c r="AS28" s="106"/>
      <c r="AT28" s="106"/>
      <c r="AU28" s="106"/>
      <c r="AV28" s="106"/>
      <c r="AW28" s="106"/>
      <c r="AX28" s="106"/>
      <c r="AY28" s="106"/>
      <c r="AZ28" s="106"/>
      <c r="BA28" s="106"/>
      <c r="BB28" s="106"/>
      <c r="BC28" s="106"/>
      <c r="BD28" s="106"/>
      <c r="BE28" s="106"/>
      <c r="BF28" s="106"/>
      <c r="BG28" s="106"/>
      <c r="BH28" s="106"/>
      <c r="BI28" s="106"/>
      <c r="BJ28" s="106"/>
      <c r="BK28" s="106"/>
      <c r="BL28" s="106"/>
      <c r="BM28" s="106"/>
      <c r="BN28" s="106"/>
      <c r="BO28" s="106"/>
      <c r="BP28" s="106"/>
      <c r="BQ28" s="106"/>
      <c r="BR28" s="106"/>
      <c r="BS28" s="106"/>
      <c r="BT28" s="106"/>
      <c r="BU28" s="106"/>
      <c r="BV28" s="106"/>
      <c r="BW28" s="106"/>
      <c r="BX28" s="106"/>
      <c r="BY28" s="106"/>
      <c r="BZ28" s="106"/>
      <c r="CA28" s="106"/>
      <c r="CB28" s="106"/>
      <c r="CC28" s="106"/>
      <c r="CD28" s="106"/>
      <c r="CE28" s="106"/>
      <c r="CF28" s="106"/>
      <c r="CG28" s="106"/>
      <c r="CH28" s="106"/>
      <c r="CI28" s="106"/>
      <c r="CJ28" s="106"/>
      <c r="CK28" s="109">
        <f t="shared" si="11"/>
        <v>10500</v>
      </c>
      <c r="CL28" s="109">
        <f t="shared" si="12"/>
        <v>10500</v>
      </c>
      <c r="CM28" s="109">
        <f t="shared" si="13"/>
        <v>707.10678118654755</v>
      </c>
      <c r="CN28" s="103">
        <f>CM28/CL28</f>
        <v>6.7343502970147393E-2</v>
      </c>
      <c r="CO28" s="110">
        <f>CQ28/1.19</f>
        <v>8823.5294117647063</v>
      </c>
      <c r="CP28" s="107">
        <f t="shared" si="5"/>
        <v>1676.4705882352941</v>
      </c>
      <c r="CQ28" s="106">
        <f t="shared" si="6"/>
        <v>10500</v>
      </c>
      <c r="CR28" s="122">
        <f t="shared" si="10"/>
        <v>2100000</v>
      </c>
      <c r="CS28" s="89" t="s">
        <v>732</v>
      </c>
    </row>
    <row r="29" spans="1:97" ht="85.9" customHeight="1">
      <c r="A29" s="90">
        <f t="shared" si="2"/>
        <v>20</v>
      </c>
      <c r="B29" s="63" t="s">
        <v>314</v>
      </c>
      <c r="C29" s="1" t="s">
        <v>315</v>
      </c>
      <c r="D29" s="91" t="s">
        <v>4</v>
      </c>
      <c r="E29" s="1">
        <v>200</v>
      </c>
      <c r="F29" s="1"/>
      <c r="G29" s="106"/>
      <c r="H29" s="106"/>
      <c r="I29" s="106"/>
      <c r="J29" s="106"/>
      <c r="K29" s="106"/>
      <c r="L29" s="106"/>
      <c r="M29" s="106"/>
      <c r="N29" s="106"/>
      <c r="O29" s="106"/>
      <c r="P29" s="106"/>
      <c r="Q29" s="106"/>
      <c r="R29" s="106"/>
      <c r="S29" s="106"/>
      <c r="T29" s="106"/>
      <c r="U29" s="106"/>
      <c r="V29" s="106"/>
      <c r="W29" s="106"/>
      <c r="X29" s="106">
        <v>8300</v>
      </c>
      <c r="Y29" s="106">
        <v>11400</v>
      </c>
      <c r="Z29" s="106">
        <v>12000</v>
      </c>
      <c r="AA29" s="106"/>
      <c r="AB29" s="106"/>
      <c r="AC29" s="106"/>
      <c r="AD29" s="106"/>
      <c r="AE29" s="106"/>
      <c r="AF29" s="106"/>
      <c r="AG29" s="106"/>
      <c r="AH29" s="106"/>
      <c r="AI29" s="106"/>
      <c r="AJ29" s="106"/>
      <c r="AK29" s="106"/>
      <c r="AL29" s="106"/>
      <c r="AM29" s="106"/>
      <c r="AN29" s="106"/>
      <c r="AO29" s="106"/>
      <c r="AP29" s="106"/>
      <c r="AQ29" s="106"/>
      <c r="AR29" s="106"/>
      <c r="AS29" s="106"/>
      <c r="AT29" s="106"/>
      <c r="AU29" s="106"/>
      <c r="AV29" s="106"/>
      <c r="AW29" s="106"/>
      <c r="AX29" s="106"/>
      <c r="AY29" s="106"/>
      <c r="AZ29" s="106"/>
      <c r="BA29" s="106"/>
      <c r="BB29" s="106"/>
      <c r="BC29" s="106"/>
      <c r="BD29" s="106"/>
      <c r="BE29" s="106"/>
      <c r="BF29" s="106"/>
      <c r="BG29" s="106"/>
      <c r="BH29" s="106"/>
      <c r="BI29" s="106"/>
      <c r="BJ29" s="106"/>
      <c r="BK29" s="106"/>
      <c r="BL29" s="106"/>
      <c r="BM29" s="106"/>
      <c r="BN29" s="106"/>
      <c r="BO29" s="106"/>
      <c r="BP29" s="106"/>
      <c r="BQ29" s="106"/>
      <c r="BR29" s="106"/>
      <c r="BS29" s="106"/>
      <c r="BT29" s="106"/>
      <c r="BU29" s="106"/>
      <c r="BV29" s="106"/>
      <c r="BW29" s="106"/>
      <c r="BX29" s="106"/>
      <c r="BY29" s="106"/>
      <c r="BZ29" s="106"/>
      <c r="CA29" s="106"/>
      <c r="CB29" s="106"/>
      <c r="CC29" s="106"/>
      <c r="CD29" s="106"/>
      <c r="CE29" s="106"/>
      <c r="CF29" s="106"/>
      <c r="CG29" s="106"/>
      <c r="CH29" s="106"/>
      <c r="CI29" s="106"/>
      <c r="CJ29" s="106"/>
      <c r="CK29" s="109">
        <f t="shared" si="11"/>
        <v>11400</v>
      </c>
      <c r="CL29" s="109">
        <f t="shared" si="12"/>
        <v>10566.666666666666</v>
      </c>
      <c r="CM29" s="109">
        <f t="shared" si="13"/>
        <v>1985.7828011475331</v>
      </c>
      <c r="CN29" s="103">
        <f t="shared" si="14"/>
        <v>0.18792897171743217</v>
      </c>
      <c r="CO29" s="110">
        <f t="shared" si="4"/>
        <v>9579.8319327731097</v>
      </c>
      <c r="CP29" s="107">
        <f t="shared" si="5"/>
        <v>1820.1680672268908</v>
      </c>
      <c r="CQ29" s="106">
        <f t="shared" si="6"/>
        <v>11400</v>
      </c>
      <c r="CR29" s="122">
        <f t="shared" si="10"/>
        <v>2280000</v>
      </c>
      <c r="CS29" s="89" t="s">
        <v>380</v>
      </c>
    </row>
    <row r="30" spans="1:97" ht="89.65" customHeight="1">
      <c r="A30" s="90">
        <f t="shared" si="2"/>
        <v>21</v>
      </c>
      <c r="B30" s="63" t="s">
        <v>316</v>
      </c>
      <c r="C30" s="8" t="s">
        <v>317</v>
      </c>
      <c r="D30" s="91" t="s">
        <v>4</v>
      </c>
      <c r="E30" s="1">
        <v>200</v>
      </c>
      <c r="F30" s="1"/>
      <c r="G30" s="106"/>
      <c r="H30" s="106"/>
      <c r="I30" s="106"/>
      <c r="J30" s="106"/>
      <c r="K30" s="106"/>
      <c r="L30" s="106"/>
      <c r="M30" s="106"/>
      <c r="N30" s="106"/>
      <c r="O30" s="106"/>
      <c r="P30" s="106"/>
      <c r="Q30" s="106"/>
      <c r="R30" s="106"/>
      <c r="S30" s="106"/>
      <c r="T30" s="106"/>
      <c r="U30" s="106"/>
      <c r="V30" s="106"/>
      <c r="W30" s="106"/>
      <c r="X30" s="106">
        <v>16900</v>
      </c>
      <c r="Y30" s="106">
        <v>18000</v>
      </c>
      <c r="Z30" s="106">
        <v>19500</v>
      </c>
      <c r="AA30" s="106"/>
      <c r="AB30" s="106"/>
      <c r="AC30" s="106"/>
      <c r="AD30" s="106"/>
      <c r="AE30" s="106"/>
      <c r="AF30" s="106"/>
      <c r="AG30" s="106"/>
      <c r="AH30" s="106"/>
      <c r="AI30" s="106"/>
      <c r="AJ30" s="106"/>
      <c r="AK30" s="106"/>
      <c r="AL30" s="106"/>
      <c r="AM30" s="106"/>
      <c r="AN30" s="106"/>
      <c r="AO30" s="106"/>
      <c r="AP30" s="106"/>
      <c r="AQ30" s="106"/>
      <c r="AR30" s="106"/>
      <c r="AS30" s="106"/>
      <c r="AT30" s="106"/>
      <c r="AU30" s="106"/>
      <c r="AV30" s="106"/>
      <c r="AW30" s="106"/>
      <c r="AX30" s="106"/>
      <c r="AY30" s="106"/>
      <c r="AZ30" s="106"/>
      <c r="BA30" s="106"/>
      <c r="BB30" s="106"/>
      <c r="BC30" s="106"/>
      <c r="BD30" s="106"/>
      <c r="BE30" s="106"/>
      <c r="BF30" s="106"/>
      <c r="BG30" s="106"/>
      <c r="BH30" s="106"/>
      <c r="BI30" s="106"/>
      <c r="BJ30" s="106"/>
      <c r="BK30" s="106"/>
      <c r="BL30" s="106"/>
      <c r="BM30" s="106"/>
      <c r="BN30" s="106"/>
      <c r="BO30" s="106"/>
      <c r="BP30" s="106"/>
      <c r="BQ30" s="106"/>
      <c r="BR30" s="106"/>
      <c r="BS30" s="106"/>
      <c r="BT30" s="106"/>
      <c r="BU30" s="106"/>
      <c r="BV30" s="106"/>
      <c r="BW30" s="106"/>
      <c r="BX30" s="106"/>
      <c r="BY30" s="106"/>
      <c r="BZ30" s="106"/>
      <c r="CA30" s="106"/>
      <c r="CB30" s="106"/>
      <c r="CC30" s="106"/>
      <c r="CD30" s="106"/>
      <c r="CE30" s="106"/>
      <c r="CF30" s="106"/>
      <c r="CG30" s="106"/>
      <c r="CH30" s="106"/>
      <c r="CI30" s="106"/>
      <c r="CJ30" s="106"/>
      <c r="CK30" s="109">
        <f t="shared" si="11"/>
        <v>18000</v>
      </c>
      <c r="CL30" s="109">
        <f t="shared" si="12"/>
        <v>18133.333333333332</v>
      </c>
      <c r="CM30" s="109">
        <f t="shared" si="13"/>
        <v>1305.1181300301262</v>
      </c>
      <c r="CN30" s="103">
        <f t="shared" si="14"/>
        <v>7.1973426288426082E-2</v>
      </c>
      <c r="CO30" s="110">
        <f t="shared" si="4"/>
        <v>15238.655462184875</v>
      </c>
      <c r="CP30" s="107">
        <f t="shared" si="5"/>
        <v>2895.3445378151264</v>
      </c>
      <c r="CQ30" s="106">
        <f t="shared" si="6"/>
        <v>18134</v>
      </c>
      <c r="CR30" s="122">
        <f t="shared" si="10"/>
        <v>3626800</v>
      </c>
      <c r="CS30" s="89" t="s">
        <v>732</v>
      </c>
    </row>
    <row r="31" spans="1:97" ht="92.65" customHeight="1">
      <c r="A31" s="90">
        <f t="shared" si="2"/>
        <v>22</v>
      </c>
      <c r="B31" s="63" t="s">
        <v>318</v>
      </c>
      <c r="C31" s="1" t="s">
        <v>756</v>
      </c>
      <c r="D31" s="91" t="s">
        <v>11</v>
      </c>
      <c r="E31" s="1">
        <v>6</v>
      </c>
      <c r="F31" s="1"/>
      <c r="G31" s="106"/>
      <c r="H31" s="106"/>
      <c r="I31" s="106"/>
      <c r="J31" s="106"/>
      <c r="K31" s="106"/>
      <c r="L31" s="106"/>
      <c r="M31" s="106"/>
      <c r="N31" s="106"/>
      <c r="O31" s="106"/>
      <c r="P31" s="106"/>
      <c r="Q31" s="106"/>
      <c r="R31" s="106"/>
      <c r="S31" s="106"/>
      <c r="T31" s="106"/>
      <c r="U31" s="106"/>
      <c r="V31" s="106"/>
      <c r="W31" s="106"/>
      <c r="X31" s="106">
        <v>54000</v>
      </c>
      <c r="Y31" s="106">
        <v>57300</v>
      </c>
      <c r="Z31" s="106">
        <v>58000</v>
      </c>
      <c r="AA31" s="106"/>
      <c r="AB31" s="106"/>
      <c r="AC31" s="106"/>
      <c r="AD31" s="106"/>
      <c r="AE31" s="106"/>
      <c r="AF31" s="106"/>
      <c r="AG31" s="106"/>
      <c r="AH31" s="106"/>
      <c r="AI31" s="106"/>
      <c r="AJ31" s="106"/>
      <c r="AK31" s="106"/>
      <c r="AL31" s="106"/>
      <c r="AM31" s="106"/>
      <c r="AN31" s="106"/>
      <c r="AO31" s="106"/>
      <c r="AP31" s="106"/>
      <c r="AQ31" s="106"/>
      <c r="AR31" s="106"/>
      <c r="AS31" s="106"/>
      <c r="AT31" s="106"/>
      <c r="AU31" s="106"/>
      <c r="AV31" s="106"/>
      <c r="AW31" s="106"/>
      <c r="AX31" s="106"/>
      <c r="AY31" s="106"/>
      <c r="AZ31" s="106"/>
      <c r="BA31" s="106"/>
      <c r="BB31" s="106"/>
      <c r="BC31" s="106"/>
      <c r="BD31" s="106"/>
      <c r="BE31" s="106"/>
      <c r="BF31" s="106"/>
      <c r="BG31" s="106"/>
      <c r="BH31" s="106"/>
      <c r="BI31" s="106"/>
      <c r="BJ31" s="106"/>
      <c r="BK31" s="106"/>
      <c r="BL31" s="106"/>
      <c r="BM31" s="106"/>
      <c r="BN31" s="106"/>
      <c r="BO31" s="106"/>
      <c r="BP31" s="106"/>
      <c r="BQ31" s="106"/>
      <c r="BR31" s="106"/>
      <c r="BS31" s="106"/>
      <c r="BT31" s="106"/>
      <c r="BU31" s="106"/>
      <c r="BV31" s="106"/>
      <c r="BW31" s="106"/>
      <c r="BX31" s="106"/>
      <c r="BY31" s="106"/>
      <c r="BZ31" s="106"/>
      <c r="CA31" s="106"/>
      <c r="CB31" s="106"/>
      <c r="CC31" s="106"/>
      <c r="CD31" s="106"/>
      <c r="CE31" s="106"/>
      <c r="CF31" s="106"/>
      <c r="CG31" s="106"/>
      <c r="CH31" s="106"/>
      <c r="CI31" s="106"/>
      <c r="CJ31" s="106"/>
      <c r="CK31" s="109">
        <f t="shared" si="11"/>
        <v>57300</v>
      </c>
      <c r="CL31" s="109">
        <f t="shared" si="12"/>
        <v>56433.333333333336</v>
      </c>
      <c r="CM31" s="109">
        <f t="shared" si="13"/>
        <v>2136.1959960016156</v>
      </c>
      <c r="CN31" s="103">
        <f t="shared" si="14"/>
        <v>3.7853443520406656E-2</v>
      </c>
      <c r="CO31" s="110">
        <f t="shared" si="4"/>
        <v>47423.529411764706</v>
      </c>
      <c r="CP31" s="107">
        <f t="shared" si="5"/>
        <v>9010.4705882352937</v>
      </c>
      <c r="CQ31" s="106">
        <f t="shared" si="6"/>
        <v>56434</v>
      </c>
      <c r="CR31" s="122">
        <f t="shared" si="10"/>
        <v>338604</v>
      </c>
      <c r="CS31" s="89" t="s">
        <v>732</v>
      </c>
    </row>
    <row r="32" spans="1:97" ht="152.65" customHeight="1">
      <c r="A32" s="90">
        <f t="shared" si="2"/>
        <v>23</v>
      </c>
      <c r="B32" s="63" t="s">
        <v>319</v>
      </c>
      <c r="C32" s="1" t="s">
        <v>913</v>
      </c>
      <c r="D32" s="91" t="s">
        <v>4</v>
      </c>
      <c r="E32" s="1">
        <v>50</v>
      </c>
      <c r="F32" s="1"/>
      <c r="G32" s="106"/>
      <c r="H32" s="106"/>
      <c r="I32" s="106"/>
      <c r="J32" s="106"/>
      <c r="K32" s="106"/>
      <c r="L32" s="106"/>
      <c r="M32" s="106"/>
      <c r="N32" s="106"/>
      <c r="O32" s="106"/>
      <c r="P32" s="106"/>
      <c r="Q32" s="106"/>
      <c r="R32" s="106"/>
      <c r="S32" s="106"/>
      <c r="T32" s="106"/>
      <c r="U32" s="106"/>
      <c r="V32" s="106"/>
      <c r="W32" s="106"/>
      <c r="X32" s="106">
        <v>555000</v>
      </c>
      <c r="Y32" s="106">
        <v>710000</v>
      </c>
      <c r="Z32" s="106">
        <v>720000</v>
      </c>
      <c r="AA32" s="106"/>
      <c r="AB32" s="106"/>
      <c r="AC32" s="106"/>
      <c r="AD32" s="106"/>
      <c r="AE32" s="106"/>
      <c r="AF32" s="106"/>
      <c r="AG32" s="106"/>
      <c r="AH32" s="106"/>
      <c r="AI32" s="106"/>
      <c r="AJ32" s="106"/>
      <c r="AK32" s="106"/>
      <c r="AL32" s="106"/>
      <c r="AM32" s="106"/>
      <c r="AN32" s="106"/>
      <c r="AO32" s="106"/>
      <c r="AP32" s="106"/>
      <c r="AQ32" s="106"/>
      <c r="AR32" s="106"/>
      <c r="AS32" s="106"/>
      <c r="AT32" s="106"/>
      <c r="AU32" s="106"/>
      <c r="AV32" s="106"/>
      <c r="AW32" s="106"/>
      <c r="AX32" s="106"/>
      <c r="AY32" s="106"/>
      <c r="AZ32" s="106"/>
      <c r="BA32" s="106"/>
      <c r="BB32" s="106"/>
      <c r="BC32" s="106"/>
      <c r="BD32" s="106"/>
      <c r="BE32" s="106"/>
      <c r="BF32" s="106"/>
      <c r="BG32" s="106"/>
      <c r="BH32" s="106"/>
      <c r="BI32" s="106"/>
      <c r="BJ32" s="106"/>
      <c r="BK32" s="106"/>
      <c r="BL32" s="106"/>
      <c r="BM32" s="106"/>
      <c r="BN32" s="106"/>
      <c r="BO32" s="106"/>
      <c r="BP32" s="106"/>
      <c r="BQ32" s="106"/>
      <c r="BR32" s="106"/>
      <c r="BS32" s="106"/>
      <c r="BT32" s="106"/>
      <c r="BU32" s="106"/>
      <c r="BV32" s="106"/>
      <c r="BW32" s="106"/>
      <c r="BX32" s="106"/>
      <c r="BY32" s="106"/>
      <c r="BZ32" s="106"/>
      <c r="CA32" s="106"/>
      <c r="CB32" s="106"/>
      <c r="CC32" s="106"/>
      <c r="CD32" s="106"/>
      <c r="CE32" s="106"/>
      <c r="CF32" s="106"/>
      <c r="CG32" s="106"/>
      <c r="CH32" s="106"/>
      <c r="CI32" s="106"/>
      <c r="CJ32" s="106"/>
      <c r="CK32" s="109">
        <f t="shared" si="11"/>
        <v>710000</v>
      </c>
      <c r="CL32" s="109">
        <f t="shared" si="12"/>
        <v>661666.66666666663</v>
      </c>
      <c r="CM32" s="109">
        <f t="shared" si="13"/>
        <v>92511.260575852997</v>
      </c>
      <c r="CN32" s="103">
        <f t="shared" si="14"/>
        <v>0.13981550716753602</v>
      </c>
      <c r="CO32" s="110">
        <f t="shared" si="4"/>
        <v>556022.68907563027</v>
      </c>
      <c r="CP32" s="107">
        <f t="shared" si="5"/>
        <v>105644.31092436975</v>
      </c>
      <c r="CQ32" s="106">
        <f t="shared" si="6"/>
        <v>661667</v>
      </c>
      <c r="CR32" s="122">
        <f t="shared" si="10"/>
        <v>33083350</v>
      </c>
      <c r="CS32" s="89" t="s">
        <v>732</v>
      </c>
    </row>
    <row r="33" spans="1:97" ht="85.9" customHeight="1">
      <c r="A33" s="90">
        <f t="shared" si="2"/>
        <v>24</v>
      </c>
      <c r="B33" s="80" t="s">
        <v>320</v>
      </c>
      <c r="C33" s="8" t="s">
        <v>321</v>
      </c>
      <c r="D33" s="91" t="s">
        <v>4</v>
      </c>
      <c r="E33" s="1">
        <v>100</v>
      </c>
      <c r="F33" s="1"/>
      <c r="G33" s="106"/>
      <c r="H33" s="106"/>
      <c r="I33" s="106"/>
      <c r="J33" s="106"/>
      <c r="K33" s="106"/>
      <c r="L33" s="106"/>
      <c r="M33" s="106"/>
      <c r="N33" s="106"/>
      <c r="O33" s="106"/>
      <c r="P33" s="106"/>
      <c r="Q33" s="106"/>
      <c r="R33" s="106"/>
      <c r="S33" s="106"/>
      <c r="T33" s="106"/>
      <c r="U33" s="106"/>
      <c r="V33" s="106"/>
      <c r="W33" s="106"/>
      <c r="X33" s="106">
        <v>125000</v>
      </c>
      <c r="Y33" s="106">
        <v>130000</v>
      </c>
      <c r="Z33" s="106">
        <v>125000</v>
      </c>
      <c r="AA33" s="106"/>
      <c r="AB33" s="106"/>
      <c r="AC33" s="106"/>
      <c r="AD33" s="106"/>
      <c r="AE33" s="106"/>
      <c r="AF33" s="106"/>
      <c r="AG33" s="106"/>
      <c r="AH33" s="106"/>
      <c r="AI33" s="106"/>
      <c r="AJ33" s="106"/>
      <c r="AK33" s="106"/>
      <c r="AL33" s="106"/>
      <c r="AM33" s="106"/>
      <c r="AN33" s="106"/>
      <c r="AO33" s="106"/>
      <c r="AP33" s="106"/>
      <c r="AQ33" s="106"/>
      <c r="AR33" s="106"/>
      <c r="AS33" s="106"/>
      <c r="AT33" s="106"/>
      <c r="AU33" s="106"/>
      <c r="AV33" s="106"/>
      <c r="AW33" s="106"/>
      <c r="AX33" s="106"/>
      <c r="AY33" s="106"/>
      <c r="AZ33" s="106"/>
      <c r="BA33" s="106"/>
      <c r="BB33" s="106"/>
      <c r="BC33" s="106"/>
      <c r="BD33" s="106"/>
      <c r="BE33" s="106"/>
      <c r="BF33" s="106"/>
      <c r="BG33" s="106"/>
      <c r="BH33" s="106"/>
      <c r="BI33" s="106"/>
      <c r="BJ33" s="106"/>
      <c r="BK33" s="106"/>
      <c r="BL33" s="106"/>
      <c r="BM33" s="106"/>
      <c r="BN33" s="106"/>
      <c r="BO33" s="106"/>
      <c r="BP33" s="106"/>
      <c r="BQ33" s="106"/>
      <c r="BR33" s="106"/>
      <c r="BS33" s="106"/>
      <c r="BT33" s="106"/>
      <c r="BU33" s="106"/>
      <c r="BV33" s="106"/>
      <c r="BW33" s="106"/>
      <c r="BX33" s="106"/>
      <c r="BY33" s="106"/>
      <c r="BZ33" s="106"/>
      <c r="CA33" s="106"/>
      <c r="CB33" s="106"/>
      <c r="CC33" s="106"/>
      <c r="CD33" s="106"/>
      <c r="CE33" s="106"/>
      <c r="CF33" s="106"/>
      <c r="CG33" s="106"/>
      <c r="CH33" s="106"/>
      <c r="CI33" s="106"/>
      <c r="CJ33" s="106"/>
      <c r="CK33" s="109">
        <f t="shared" si="11"/>
        <v>125000</v>
      </c>
      <c r="CL33" s="109">
        <f t="shared" si="12"/>
        <v>126666.66666666667</v>
      </c>
      <c r="CM33" s="109">
        <f t="shared" si="13"/>
        <v>2886.7513459481288</v>
      </c>
      <c r="CN33" s="103">
        <f t="shared" si="14"/>
        <v>2.2790142204853647E-2</v>
      </c>
      <c r="CO33" s="110">
        <f t="shared" si="4"/>
        <v>106442.85714285714</v>
      </c>
      <c r="CP33" s="107">
        <f t="shared" si="5"/>
        <v>20224.142857142859</v>
      </c>
      <c r="CQ33" s="106">
        <f t="shared" si="6"/>
        <v>126667</v>
      </c>
      <c r="CR33" s="122">
        <f t="shared" si="10"/>
        <v>12666700</v>
      </c>
      <c r="CS33" s="89" t="s">
        <v>732</v>
      </c>
    </row>
    <row r="34" spans="1:97" s="68" customFormat="1" ht="104.65" customHeight="1">
      <c r="A34" s="90">
        <f t="shared" si="2"/>
        <v>25</v>
      </c>
      <c r="B34" s="63" t="s">
        <v>322</v>
      </c>
      <c r="C34" s="10" t="s">
        <v>914</v>
      </c>
      <c r="D34" s="91" t="s">
        <v>4</v>
      </c>
      <c r="E34" s="1">
        <v>50</v>
      </c>
      <c r="F34" s="9"/>
      <c r="G34" s="327"/>
      <c r="H34" s="327"/>
      <c r="I34" s="327"/>
      <c r="J34" s="327"/>
      <c r="K34" s="327"/>
      <c r="L34" s="106"/>
      <c r="M34" s="106"/>
      <c r="N34" s="106"/>
      <c r="O34" s="106"/>
      <c r="P34" s="106"/>
      <c r="Q34" s="327"/>
      <c r="R34" s="327"/>
      <c r="S34" s="327"/>
      <c r="T34" s="327"/>
      <c r="U34" s="327"/>
      <c r="V34" s="327"/>
      <c r="W34" s="327"/>
      <c r="X34" s="106">
        <v>450000</v>
      </c>
      <c r="Y34" s="106">
        <v>550000</v>
      </c>
      <c r="Z34" s="106">
        <v>570000</v>
      </c>
      <c r="AA34" s="106"/>
      <c r="AB34" s="106"/>
      <c r="AC34" s="106"/>
      <c r="AD34" s="106"/>
      <c r="AE34" s="106"/>
      <c r="AF34" s="106"/>
      <c r="AG34" s="106"/>
      <c r="AH34" s="106"/>
      <c r="AI34" s="106"/>
      <c r="AJ34" s="106"/>
      <c r="AK34" s="106"/>
      <c r="AL34" s="106"/>
      <c r="AM34" s="106"/>
      <c r="AN34" s="106"/>
      <c r="AO34" s="106"/>
      <c r="AP34" s="106"/>
      <c r="AQ34" s="106"/>
      <c r="AR34" s="106"/>
      <c r="AS34" s="106"/>
      <c r="AT34" s="106"/>
      <c r="AU34" s="106"/>
      <c r="AV34" s="106"/>
      <c r="AW34" s="106"/>
      <c r="AX34" s="106"/>
      <c r="AY34" s="106"/>
      <c r="AZ34" s="106"/>
      <c r="BA34" s="106"/>
      <c r="BB34" s="106"/>
      <c r="BC34" s="106"/>
      <c r="BD34" s="106"/>
      <c r="BE34" s="106"/>
      <c r="BF34" s="106"/>
      <c r="BG34" s="106"/>
      <c r="BH34" s="106"/>
      <c r="BI34" s="106"/>
      <c r="BJ34" s="106"/>
      <c r="BK34" s="106"/>
      <c r="BL34" s="106"/>
      <c r="BM34" s="106"/>
      <c r="BN34" s="106"/>
      <c r="BO34" s="106"/>
      <c r="BP34" s="106"/>
      <c r="BQ34" s="106"/>
      <c r="BR34" s="106"/>
      <c r="BS34" s="106"/>
      <c r="BT34" s="106"/>
      <c r="BU34" s="106"/>
      <c r="BV34" s="106"/>
      <c r="BW34" s="106"/>
      <c r="BX34" s="106"/>
      <c r="BY34" s="106"/>
      <c r="BZ34" s="106"/>
      <c r="CA34" s="106"/>
      <c r="CB34" s="106"/>
      <c r="CC34" s="106"/>
      <c r="CD34" s="106"/>
      <c r="CE34" s="106"/>
      <c r="CF34" s="106"/>
      <c r="CG34" s="106"/>
      <c r="CH34" s="106"/>
      <c r="CI34" s="106"/>
      <c r="CJ34" s="106"/>
      <c r="CK34" s="109">
        <f t="shared" si="11"/>
        <v>550000</v>
      </c>
      <c r="CL34" s="109">
        <f t="shared" si="12"/>
        <v>523333.33333333331</v>
      </c>
      <c r="CM34" s="109">
        <f t="shared" si="13"/>
        <v>64291.005073286367</v>
      </c>
      <c r="CN34" s="103">
        <f t="shared" si="14"/>
        <v>0.12284905428016504</v>
      </c>
      <c r="CO34" s="110">
        <f t="shared" si="4"/>
        <v>439776.4705882353</v>
      </c>
      <c r="CP34" s="107">
        <f t="shared" si="5"/>
        <v>83557.529411764714</v>
      </c>
      <c r="CQ34" s="106">
        <f t="shared" si="6"/>
        <v>523334</v>
      </c>
      <c r="CR34" s="122">
        <f t="shared" si="10"/>
        <v>26166700</v>
      </c>
      <c r="CS34" s="89" t="s">
        <v>732</v>
      </c>
    </row>
    <row r="35" spans="1:97" s="68" customFormat="1" ht="85.9" customHeight="1">
      <c r="A35" s="90">
        <f t="shared" si="2"/>
        <v>26</v>
      </c>
      <c r="B35" s="63" t="s">
        <v>323</v>
      </c>
      <c r="C35" s="10" t="s">
        <v>324</v>
      </c>
      <c r="D35" s="91" t="s">
        <v>757</v>
      </c>
      <c r="E35" s="1">
        <v>50</v>
      </c>
      <c r="F35" s="9"/>
      <c r="G35" s="327"/>
      <c r="H35" s="327"/>
      <c r="I35" s="327"/>
      <c r="J35" s="327"/>
      <c r="K35" s="327"/>
      <c r="L35" s="106"/>
      <c r="M35" s="106"/>
      <c r="N35" s="106"/>
      <c r="O35" s="106"/>
      <c r="P35" s="106"/>
      <c r="Q35" s="327"/>
      <c r="R35" s="327"/>
      <c r="S35" s="327"/>
      <c r="T35" s="327"/>
      <c r="U35" s="327"/>
      <c r="V35" s="327"/>
      <c r="W35" s="327"/>
      <c r="X35" s="106">
        <v>71900</v>
      </c>
      <c r="Y35" s="106">
        <v>84300</v>
      </c>
      <c r="Z35" s="106">
        <v>85500</v>
      </c>
      <c r="AA35" s="106"/>
      <c r="AB35" s="106"/>
      <c r="AC35" s="106"/>
      <c r="AD35" s="106"/>
      <c r="AE35" s="106"/>
      <c r="AF35" s="106"/>
      <c r="AG35" s="106"/>
      <c r="AH35" s="106"/>
      <c r="AI35" s="106"/>
      <c r="AJ35" s="106"/>
      <c r="AK35" s="106"/>
      <c r="AL35" s="106"/>
      <c r="AM35" s="106"/>
      <c r="AN35" s="106"/>
      <c r="AO35" s="106"/>
      <c r="AP35" s="106"/>
      <c r="AQ35" s="106"/>
      <c r="AR35" s="106"/>
      <c r="AS35" s="106"/>
      <c r="AT35" s="106"/>
      <c r="AU35" s="106"/>
      <c r="AV35" s="106"/>
      <c r="AW35" s="106"/>
      <c r="AX35" s="106"/>
      <c r="AY35" s="106"/>
      <c r="AZ35" s="106"/>
      <c r="BA35" s="106"/>
      <c r="BB35" s="106"/>
      <c r="BC35" s="106"/>
      <c r="BD35" s="106"/>
      <c r="BE35" s="106"/>
      <c r="BF35" s="106"/>
      <c r="BG35" s="106"/>
      <c r="BH35" s="106"/>
      <c r="BI35" s="106"/>
      <c r="BJ35" s="106"/>
      <c r="BK35" s="106"/>
      <c r="BL35" s="106"/>
      <c r="BM35" s="106"/>
      <c r="BN35" s="106"/>
      <c r="BO35" s="106"/>
      <c r="BP35" s="106"/>
      <c r="BQ35" s="106"/>
      <c r="BR35" s="106"/>
      <c r="BS35" s="106"/>
      <c r="BT35" s="106"/>
      <c r="BU35" s="106"/>
      <c r="BV35" s="106"/>
      <c r="BW35" s="106"/>
      <c r="BX35" s="106"/>
      <c r="BY35" s="106"/>
      <c r="BZ35" s="106"/>
      <c r="CA35" s="106"/>
      <c r="CB35" s="106"/>
      <c r="CC35" s="106"/>
      <c r="CD35" s="106"/>
      <c r="CE35" s="106"/>
      <c r="CF35" s="106"/>
      <c r="CG35" s="106"/>
      <c r="CH35" s="106"/>
      <c r="CI35" s="106"/>
      <c r="CJ35" s="106"/>
      <c r="CK35" s="109">
        <f t="shared" si="11"/>
        <v>84300</v>
      </c>
      <c r="CL35" s="109">
        <f t="shared" si="12"/>
        <v>80566.666666666672</v>
      </c>
      <c r="CM35" s="109">
        <f t="shared" si="13"/>
        <v>7529.4975485309333</v>
      </c>
      <c r="CN35" s="103">
        <f t="shared" si="14"/>
        <v>9.3456734156362423E-2</v>
      </c>
      <c r="CO35" s="110">
        <f t="shared" si="4"/>
        <v>67703.361344537814</v>
      </c>
      <c r="CP35" s="107">
        <f t="shared" si="5"/>
        <v>12863.638655462184</v>
      </c>
      <c r="CQ35" s="106">
        <f t="shared" si="6"/>
        <v>80567</v>
      </c>
      <c r="CR35" s="122">
        <f t="shared" si="10"/>
        <v>4028350</v>
      </c>
      <c r="CS35" s="89" t="s">
        <v>732</v>
      </c>
    </row>
    <row r="36" spans="1:97" ht="99.65" customHeight="1">
      <c r="A36" s="90">
        <f t="shared" si="2"/>
        <v>27</v>
      </c>
      <c r="B36" s="63" t="s">
        <v>325</v>
      </c>
      <c r="C36" s="1" t="s">
        <v>758</v>
      </c>
      <c r="D36" s="91" t="s">
        <v>4</v>
      </c>
      <c r="E36" s="1">
        <v>100</v>
      </c>
      <c r="F36" s="1"/>
      <c r="G36" s="106"/>
      <c r="H36" s="106"/>
      <c r="I36" s="106"/>
      <c r="J36" s="106"/>
      <c r="K36" s="106"/>
      <c r="L36" s="106"/>
      <c r="M36" s="106"/>
      <c r="N36" s="106"/>
      <c r="O36" s="106"/>
      <c r="P36" s="106"/>
      <c r="Q36" s="106"/>
      <c r="R36" s="106"/>
      <c r="S36" s="106"/>
      <c r="T36" s="106"/>
      <c r="U36" s="106"/>
      <c r="V36" s="106"/>
      <c r="W36" s="106"/>
      <c r="X36" s="106"/>
      <c r="Y36" s="106">
        <v>100000</v>
      </c>
      <c r="Z36" s="106"/>
      <c r="AA36" s="106">
        <v>115000</v>
      </c>
      <c r="AB36" s="106"/>
      <c r="AC36" s="106"/>
      <c r="AD36" s="106"/>
      <c r="AE36" s="106"/>
      <c r="AF36" s="106"/>
      <c r="AG36" s="106"/>
      <c r="AH36" s="106"/>
      <c r="AI36" s="106"/>
      <c r="AJ36" s="106"/>
      <c r="AK36" s="106"/>
      <c r="AL36" s="106"/>
      <c r="AM36" s="106"/>
      <c r="AN36" s="106"/>
      <c r="AO36" s="106"/>
      <c r="AP36" s="106"/>
      <c r="AQ36" s="106"/>
      <c r="AR36" s="106"/>
      <c r="AS36" s="106"/>
      <c r="AT36" s="106"/>
      <c r="AU36" s="106"/>
      <c r="AV36" s="106"/>
      <c r="AW36" s="106"/>
      <c r="AX36" s="106"/>
      <c r="AY36" s="106"/>
      <c r="AZ36" s="106"/>
      <c r="BA36" s="106"/>
      <c r="BB36" s="106"/>
      <c r="BC36" s="106"/>
      <c r="BD36" s="106"/>
      <c r="BE36" s="106"/>
      <c r="BF36" s="106"/>
      <c r="BG36" s="106"/>
      <c r="BH36" s="106"/>
      <c r="BI36" s="106"/>
      <c r="BJ36" s="106"/>
      <c r="BK36" s="106"/>
      <c r="BL36" s="106"/>
      <c r="BM36" s="106"/>
      <c r="BN36" s="106"/>
      <c r="BO36" s="106"/>
      <c r="BP36" s="106"/>
      <c r="BQ36" s="106"/>
      <c r="BR36" s="106"/>
      <c r="BS36" s="106"/>
      <c r="BT36" s="106"/>
      <c r="BU36" s="106"/>
      <c r="BV36" s="106"/>
      <c r="BW36" s="106"/>
      <c r="BX36" s="106"/>
      <c r="BY36" s="106"/>
      <c r="BZ36" s="106"/>
      <c r="CA36" s="106"/>
      <c r="CB36" s="106"/>
      <c r="CC36" s="106"/>
      <c r="CD36" s="106"/>
      <c r="CE36" s="106"/>
      <c r="CF36" s="106"/>
      <c r="CG36" s="106"/>
      <c r="CH36" s="106"/>
      <c r="CI36" s="106"/>
      <c r="CJ36" s="106"/>
      <c r="CK36" s="109">
        <f t="shared" si="11"/>
        <v>107500</v>
      </c>
      <c r="CL36" s="109">
        <f t="shared" si="12"/>
        <v>107500</v>
      </c>
      <c r="CM36" s="109">
        <f t="shared" si="13"/>
        <v>10606.601717798212</v>
      </c>
      <c r="CN36" s="103">
        <f t="shared" si="14"/>
        <v>9.8666062491146164E-2</v>
      </c>
      <c r="CO36" s="110">
        <f t="shared" si="4"/>
        <v>90336.134453781517</v>
      </c>
      <c r="CP36" s="107">
        <f t="shared" si="5"/>
        <v>17163.865546218487</v>
      </c>
      <c r="CQ36" s="106">
        <f t="shared" si="6"/>
        <v>107500</v>
      </c>
      <c r="CR36" s="122">
        <f t="shared" si="10"/>
        <v>10750000</v>
      </c>
      <c r="CS36" s="89" t="s">
        <v>732</v>
      </c>
    </row>
    <row r="37" spans="1:97" ht="111.65" customHeight="1">
      <c r="A37" s="90">
        <f t="shared" si="2"/>
        <v>28</v>
      </c>
      <c r="B37" s="63" t="s">
        <v>326</v>
      </c>
      <c r="C37" s="1" t="s">
        <v>915</v>
      </c>
      <c r="D37" s="91" t="s">
        <v>4</v>
      </c>
      <c r="E37" s="1">
        <v>50</v>
      </c>
      <c r="F37" s="1"/>
      <c r="G37" s="106"/>
      <c r="H37" s="106"/>
      <c r="I37" s="106"/>
      <c r="J37" s="106"/>
      <c r="K37" s="106"/>
      <c r="L37" s="106"/>
      <c r="M37" s="106"/>
      <c r="N37" s="106"/>
      <c r="O37" s="106"/>
      <c r="P37" s="106"/>
      <c r="Q37" s="106"/>
      <c r="R37" s="106"/>
      <c r="S37" s="106"/>
      <c r="T37" s="106"/>
      <c r="U37" s="106"/>
      <c r="V37" s="106"/>
      <c r="W37" s="106"/>
      <c r="X37" s="106">
        <v>299900</v>
      </c>
      <c r="Y37" s="106">
        <v>345500</v>
      </c>
      <c r="Z37" s="106">
        <v>350000</v>
      </c>
      <c r="AA37" s="106"/>
      <c r="AB37" s="106"/>
      <c r="AC37" s="106"/>
      <c r="AD37" s="106"/>
      <c r="AE37" s="106"/>
      <c r="AF37" s="106"/>
      <c r="AG37" s="106"/>
      <c r="AH37" s="106"/>
      <c r="AI37" s="106"/>
      <c r="AJ37" s="106"/>
      <c r="AK37" s="106"/>
      <c r="AL37" s="106"/>
      <c r="AM37" s="106"/>
      <c r="AN37" s="106"/>
      <c r="AO37" s="106"/>
      <c r="AP37" s="106"/>
      <c r="AQ37" s="106"/>
      <c r="AR37" s="106"/>
      <c r="AS37" s="106"/>
      <c r="AT37" s="106"/>
      <c r="AU37" s="106"/>
      <c r="AV37" s="106"/>
      <c r="AW37" s="106"/>
      <c r="AX37" s="106"/>
      <c r="AY37" s="106"/>
      <c r="AZ37" s="106"/>
      <c r="BA37" s="106"/>
      <c r="BB37" s="106"/>
      <c r="BC37" s="106"/>
      <c r="BD37" s="106"/>
      <c r="BE37" s="106"/>
      <c r="BF37" s="106"/>
      <c r="BG37" s="106"/>
      <c r="BH37" s="106"/>
      <c r="BI37" s="106"/>
      <c r="BJ37" s="106"/>
      <c r="BK37" s="106"/>
      <c r="BL37" s="106"/>
      <c r="BM37" s="106"/>
      <c r="BN37" s="106"/>
      <c r="BO37" s="106"/>
      <c r="BP37" s="106"/>
      <c r="BQ37" s="106"/>
      <c r="BR37" s="106"/>
      <c r="BS37" s="106"/>
      <c r="BT37" s="106"/>
      <c r="BU37" s="106"/>
      <c r="BV37" s="106"/>
      <c r="BW37" s="106"/>
      <c r="BX37" s="106"/>
      <c r="BY37" s="106"/>
      <c r="BZ37" s="106"/>
      <c r="CA37" s="106"/>
      <c r="CB37" s="106"/>
      <c r="CC37" s="106"/>
      <c r="CD37" s="106"/>
      <c r="CE37" s="106"/>
      <c r="CF37" s="106"/>
      <c r="CG37" s="106"/>
      <c r="CH37" s="106"/>
      <c r="CI37" s="106"/>
      <c r="CJ37" s="106"/>
      <c r="CK37" s="109">
        <f t="shared" si="11"/>
        <v>345500</v>
      </c>
      <c r="CL37" s="109">
        <f t="shared" si="12"/>
        <v>331800</v>
      </c>
      <c r="CM37" s="109">
        <f t="shared" si="13"/>
        <v>27717.683885923801</v>
      </c>
      <c r="CN37" s="103">
        <f t="shared" si="14"/>
        <v>8.3537323345159134E-2</v>
      </c>
      <c r="CO37" s="110">
        <f t="shared" si="4"/>
        <v>278823.5294117647</v>
      </c>
      <c r="CP37" s="107">
        <f t="shared" si="5"/>
        <v>52976.470588235294</v>
      </c>
      <c r="CQ37" s="106">
        <f t="shared" si="6"/>
        <v>331800</v>
      </c>
      <c r="CR37" s="122">
        <f t="shared" si="10"/>
        <v>16590000</v>
      </c>
      <c r="CS37" s="89" t="s">
        <v>732</v>
      </c>
    </row>
    <row r="38" spans="1:97" ht="117.65" customHeight="1">
      <c r="A38" s="90">
        <f t="shared" si="2"/>
        <v>29</v>
      </c>
      <c r="B38" s="63" t="s">
        <v>327</v>
      </c>
      <c r="C38" s="1" t="s">
        <v>328</v>
      </c>
      <c r="D38" s="91" t="s">
        <v>4</v>
      </c>
      <c r="E38" s="1">
        <v>100</v>
      </c>
      <c r="F38" s="1"/>
      <c r="G38" s="106"/>
      <c r="H38" s="106"/>
      <c r="I38" s="106"/>
      <c r="J38" s="106"/>
      <c r="K38" s="106"/>
      <c r="L38" s="106"/>
      <c r="M38" s="106"/>
      <c r="N38" s="106"/>
      <c r="O38" s="106"/>
      <c r="P38" s="106"/>
      <c r="Q38" s="106"/>
      <c r="R38" s="106"/>
      <c r="S38" s="106"/>
      <c r="T38" s="106"/>
      <c r="U38" s="106"/>
      <c r="V38" s="106"/>
      <c r="W38" s="106"/>
      <c r="X38" s="106">
        <v>98000</v>
      </c>
      <c r="Y38" s="106">
        <v>92000</v>
      </c>
      <c r="Z38" s="106">
        <v>92000</v>
      </c>
      <c r="AA38" s="106"/>
      <c r="AB38" s="106"/>
      <c r="AC38" s="106"/>
      <c r="AD38" s="106"/>
      <c r="AE38" s="106"/>
      <c r="AF38" s="106"/>
      <c r="AG38" s="106"/>
      <c r="AH38" s="106"/>
      <c r="AI38" s="106"/>
      <c r="AJ38" s="106"/>
      <c r="AK38" s="106"/>
      <c r="AL38" s="106"/>
      <c r="AM38" s="106"/>
      <c r="AN38" s="106"/>
      <c r="AO38" s="106"/>
      <c r="AP38" s="106"/>
      <c r="AQ38" s="106"/>
      <c r="AR38" s="106"/>
      <c r="AS38" s="106"/>
      <c r="AT38" s="106"/>
      <c r="AU38" s="106"/>
      <c r="AV38" s="106"/>
      <c r="AW38" s="106"/>
      <c r="AX38" s="106"/>
      <c r="AY38" s="106"/>
      <c r="AZ38" s="106"/>
      <c r="BA38" s="106"/>
      <c r="BB38" s="106"/>
      <c r="BC38" s="106"/>
      <c r="BD38" s="106"/>
      <c r="BE38" s="106"/>
      <c r="BF38" s="106"/>
      <c r="BG38" s="106"/>
      <c r="BH38" s="106"/>
      <c r="BI38" s="106"/>
      <c r="BJ38" s="106"/>
      <c r="BK38" s="106"/>
      <c r="BL38" s="106"/>
      <c r="BM38" s="106"/>
      <c r="BN38" s="106"/>
      <c r="BO38" s="106"/>
      <c r="BP38" s="106"/>
      <c r="BQ38" s="106"/>
      <c r="BR38" s="106"/>
      <c r="BS38" s="106"/>
      <c r="BT38" s="106"/>
      <c r="BU38" s="106"/>
      <c r="BV38" s="106"/>
      <c r="BW38" s="106"/>
      <c r="BX38" s="106"/>
      <c r="BY38" s="106"/>
      <c r="BZ38" s="106"/>
      <c r="CA38" s="106"/>
      <c r="CB38" s="106"/>
      <c r="CC38" s="106"/>
      <c r="CD38" s="106"/>
      <c r="CE38" s="106"/>
      <c r="CF38" s="106"/>
      <c r="CG38" s="106"/>
      <c r="CH38" s="106"/>
      <c r="CI38" s="106"/>
      <c r="CJ38" s="106"/>
      <c r="CK38" s="109">
        <f t="shared" si="11"/>
        <v>92000</v>
      </c>
      <c r="CL38" s="109">
        <f t="shared" si="12"/>
        <v>94000</v>
      </c>
      <c r="CM38" s="109">
        <f t="shared" si="13"/>
        <v>3464.1016151377544</v>
      </c>
      <c r="CN38" s="103">
        <f t="shared" si="14"/>
        <v>3.6852144841891005E-2</v>
      </c>
      <c r="CO38" s="110">
        <f t="shared" si="4"/>
        <v>78991.596638655465</v>
      </c>
      <c r="CP38" s="107">
        <f t="shared" si="5"/>
        <v>15008.403361344539</v>
      </c>
      <c r="CQ38" s="106">
        <f t="shared" si="6"/>
        <v>94000</v>
      </c>
      <c r="CR38" s="122">
        <f t="shared" si="10"/>
        <v>9400000</v>
      </c>
      <c r="CS38" s="89" t="s">
        <v>732</v>
      </c>
    </row>
    <row r="39" spans="1:97" ht="108" customHeight="1">
      <c r="A39" s="90">
        <f t="shared" si="2"/>
        <v>30</v>
      </c>
      <c r="B39" s="63" t="s">
        <v>329</v>
      </c>
      <c r="C39" s="1" t="s">
        <v>330</v>
      </c>
      <c r="D39" s="91" t="s">
        <v>757</v>
      </c>
      <c r="E39" s="1">
        <v>80</v>
      </c>
      <c r="F39" s="1"/>
      <c r="G39" s="106"/>
      <c r="H39" s="106"/>
      <c r="I39" s="106"/>
      <c r="J39" s="106"/>
      <c r="K39" s="106"/>
      <c r="L39" s="106"/>
      <c r="M39" s="106"/>
      <c r="N39" s="106"/>
      <c r="O39" s="106"/>
      <c r="P39" s="106"/>
      <c r="Q39" s="106"/>
      <c r="R39" s="106"/>
      <c r="S39" s="106"/>
      <c r="T39" s="106"/>
      <c r="U39" s="106"/>
      <c r="V39" s="106"/>
      <c r="W39" s="106"/>
      <c r="X39" s="106">
        <v>80000</v>
      </c>
      <c r="Y39" s="106">
        <v>72000</v>
      </c>
      <c r="Z39" s="106">
        <v>73000</v>
      </c>
      <c r="AA39" s="106"/>
      <c r="AB39" s="106"/>
      <c r="AC39" s="106"/>
      <c r="AD39" s="106"/>
      <c r="AE39" s="106"/>
      <c r="AF39" s="106"/>
      <c r="AG39" s="106"/>
      <c r="AH39" s="106"/>
      <c r="AI39" s="106"/>
      <c r="AJ39" s="106"/>
      <c r="AK39" s="106"/>
      <c r="AL39" s="106"/>
      <c r="AM39" s="106"/>
      <c r="AN39" s="106"/>
      <c r="AO39" s="106"/>
      <c r="AP39" s="106"/>
      <c r="AQ39" s="106"/>
      <c r="AR39" s="106"/>
      <c r="AS39" s="106"/>
      <c r="AT39" s="106"/>
      <c r="AU39" s="106"/>
      <c r="AV39" s="106"/>
      <c r="AW39" s="106"/>
      <c r="AX39" s="106"/>
      <c r="AY39" s="106"/>
      <c r="AZ39" s="106"/>
      <c r="BA39" s="106"/>
      <c r="BB39" s="106"/>
      <c r="BC39" s="106"/>
      <c r="BD39" s="106"/>
      <c r="BE39" s="106"/>
      <c r="BF39" s="106"/>
      <c r="BG39" s="106"/>
      <c r="BH39" s="106"/>
      <c r="BI39" s="106"/>
      <c r="BJ39" s="106"/>
      <c r="BK39" s="106"/>
      <c r="BL39" s="106"/>
      <c r="BM39" s="106"/>
      <c r="BN39" s="106"/>
      <c r="BO39" s="106"/>
      <c r="BP39" s="106"/>
      <c r="BQ39" s="106"/>
      <c r="BR39" s="106"/>
      <c r="BS39" s="106"/>
      <c r="BT39" s="106"/>
      <c r="BU39" s="106"/>
      <c r="BV39" s="106"/>
      <c r="BW39" s="106"/>
      <c r="BX39" s="106"/>
      <c r="BY39" s="106"/>
      <c r="BZ39" s="106"/>
      <c r="CA39" s="106"/>
      <c r="CB39" s="106"/>
      <c r="CC39" s="106"/>
      <c r="CD39" s="106"/>
      <c r="CE39" s="106"/>
      <c r="CF39" s="106"/>
      <c r="CG39" s="106"/>
      <c r="CH39" s="106"/>
      <c r="CI39" s="106"/>
      <c r="CJ39" s="106"/>
      <c r="CK39" s="109">
        <f t="shared" si="11"/>
        <v>73000</v>
      </c>
      <c r="CL39" s="109">
        <f t="shared" si="12"/>
        <v>75000</v>
      </c>
      <c r="CM39" s="109">
        <f t="shared" si="13"/>
        <v>4358.8989435406738</v>
      </c>
      <c r="CN39" s="103">
        <f t="shared" si="14"/>
        <v>5.8118652580542315E-2</v>
      </c>
      <c r="CO39" s="110">
        <f t="shared" si="4"/>
        <v>63025.210084033613</v>
      </c>
      <c r="CP39" s="107">
        <f t="shared" si="5"/>
        <v>11974.789915966387</v>
      </c>
      <c r="CQ39" s="106">
        <f t="shared" si="6"/>
        <v>75000</v>
      </c>
      <c r="CR39" s="122">
        <f t="shared" si="10"/>
        <v>6000000</v>
      </c>
      <c r="CS39" s="89" t="s">
        <v>732</v>
      </c>
    </row>
    <row r="40" spans="1:97" ht="119.65" customHeight="1">
      <c r="A40" s="90">
        <f t="shared" si="2"/>
        <v>31</v>
      </c>
      <c r="B40" s="63" t="s">
        <v>331</v>
      </c>
      <c r="C40" s="1" t="s">
        <v>916</v>
      </c>
      <c r="D40" s="91" t="s">
        <v>4</v>
      </c>
      <c r="E40" s="1">
        <v>50</v>
      </c>
      <c r="F40" s="1"/>
      <c r="G40" s="106"/>
      <c r="H40" s="106"/>
      <c r="I40" s="106"/>
      <c r="J40" s="106"/>
      <c r="K40" s="106"/>
      <c r="L40" s="106"/>
      <c r="M40" s="106"/>
      <c r="N40" s="106"/>
      <c r="O40" s="106"/>
      <c r="P40" s="106"/>
      <c r="Q40" s="106"/>
      <c r="R40" s="106"/>
      <c r="S40" s="106"/>
      <c r="T40" s="106"/>
      <c r="U40" s="106"/>
      <c r="V40" s="106"/>
      <c r="W40" s="106"/>
      <c r="X40" s="106">
        <v>76985</v>
      </c>
      <c r="Y40" s="106">
        <v>63000</v>
      </c>
      <c r="Z40" s="106">
        <v>63500</v>
      </c>
      <c r="AA40" s="106"/>
      <c r="AB40" s="106"/>
      <c r="AC40" s="106"/>
      <c r="AD40" s="106"/>
      <c r="AE40" s="106"/>
      <c r="AF40" s="106"/>
      <c r="AG40" s="106"/>
      <c r="AH40" s="106"/>
      <c r="AI40" s="106"/>
      <c r="AJ40" s="106"/>
      <c r="AK40" s="106"/>
      <c r="AL40" s="106"/>
      <c r="AM40" s="106"/>
      <c r="AN40" s="106"/>
      <c r="AO40" s="106"/>
      <c r="AP40" s="106"/>
      <c r="AQ40" s="106"/>
      <c r="AR40" s="106"/>
      <c r="AS40" s="106"/>
      <c r="AT40" s="106"/>
      <c r="AU40" s="106"/>
      <c r="AV40" s="106"/>
      <c r="AW40" s="106"/>
      <c r="AX40" s="106"/>
      <c r="AY40" s="106"/>
      <c r="AZ40" s="106"/>
      <c r="BA40" s="106"/>
      <c r="BB40" s="106"/>
      <c r="BC40" s="106"/>
      <c r="BD40" s="106"/>
      <c r="BE40" s="106"/>
      <c r="BF40" s="106"/>
      <c r="BG40" s="106"/>
      <c r="BH40" s="106"/>
      <c r="BI40" s="106"/>
      <c r="BJ40" s="106"/>
      <c r="BK40" s="106"/>
      <c r="BL40" s="106"/>
      <c r="BM40" s="106"/>
      <c r="BN40" s="106"/>
      <c r="BO40" s="106"/>
      <c r="BP40" s="106"/>
      <c r="BQ40" s="106"/>
      <c r="BR40" s="106"/>
      <c r="BS40" s="106"/>
      <c r="BT40" s="106"/>
      <c r="BU40" s="106"/>
      <c r="BV40" s="106"/>
      <c r="BW40" s="106"/>
      <c r="BX40" s="106"/>
      <c r="BY40" s="106"/>
      <c r="BZ40" s="106"/>
      <c r="CA40" s="106"/>
      <c r="CB40" s="106"/>
      <c r="CC40" s="106"/>
      <c r="CD40" s="106"/>
      <c r="CE40" s="106"/>
      <c r="CF40" s="106"/>
      <c r="CG40" s="106"/>
      <c r="CH40" s="106"/>
      <c r="CI40" s="106"/>
      <c r="CJ40" s="106"/>
      <c r="CK40" s="109">
        <f t="shared" si="11"/>
        <v>63500</v>
      </c>
      <c r="CL40" s="109">
        <f t="shared" si="12"/>
        <v>67828.333333333328</v>
      </c>
      <c r="CM40" s="109">
        <f t="shared" si="13"/>
        <v>7933.8457467569497</v>
      </c>
      <c r="CN40" s="103">
        <f t="shared" si="14"/>
        <v>0.11696949278949727</v>
      </c>
      <c r="CO40" s="110">
        <f t="shared" si="4"/>
        <v>56999.159663865546</v>
      </c>
      <c r="CP40" s="107">
        <f t="shared" si="5"/>
        <v>10829.840336134454</v>
      </c>
      <c r="CQ40" s="106">
        <f t="shared" si="6"/>
        <v>67829</v>
      </c>
      <c r="CR40" s="122">
        <f t="shared" si="10"/>
        <v>3391450</v>
      </c>
      <c r="CS40" s="89" t="s">
        <v>732</v>
      </c>
    </row>
    <row r="41" spans="1:97" ht="96.65" customHeight="1">
      <c r="A41" s="90">
        <f t="shared" si="2"/>
        <v>32</v>
      </c>
      <c r="B41" s="63" t="s">
        <v>332</v>
      </c>
      <c r="C41" s="1" t="s">
        <v>333</v>
      </c>
      <c r="D41" s="91" t="s">
        <v>4</v>
      </c>
      <c r="E41" s="8">
        <v>30</v>
      </c>
      <c r="F41" s="1"/>
      <c r="G41" s="106"/>
      <c r="H41" s="106"/>
      <c r="I41" s="106"/>
      <c r="J41" s="106"/>
      <c r="K41" s="106"/>
      <c r="L41" s="106"/>
      <c r="M41" s="106"/>
      <c r="N41" s="106"/>
      <c r="O41" s="106"/>
      <c r="P41" s="106"/>
      <c r="Q41" s="106"/>
      <c r="R41" s="106"/>
      <c r="S41" s="106"/>
      <c r="T41" s="106"/>
      <c r="U41" s="106"/>
      <c r="V41" s="106"/>
      <c r="W41" s="106"/>
      <c r="X41" s="106">
        <v>38900</v>
      </c>
      <c r="Y41" s="106">
        <v>50000</v>
      </c>
      <c r="Z41" s="106">
        <v>52000</v>
      </c>
      <c r="AA41" s="106"/>
      <c r="AB41" s="106"/>
      <c r="AC41" s="106"/>
      <c r="AD41" s="106"/>
      <c r="AE41" s="106"/>
      <c r="AF41" s="106"/>
      <c r="AG41" s="106"/>
      <c r="AH41" s="106"/>
      <c r="AI41" s="106"/>
      <c r="AJ41" s="106"/>
      <c r="AK41" s="106"/>
      <c r="AL41" s="106"/>
      <c r="AM41" s="106"/>
      <c r="AN41" s="106"/>
      <c r="AO41" s="106"/>
      <c r="AP41" s="106"/>
      <c r="AQ41" s="106"/>
      <c r="AR41" s="106"/>
      <c r="AS41" s="106"/>
      <c r="AT41" s="106"/>
      <c r="AU41" s="106"/>
      <c r="AV41" s="106"/>
      <c r="AW41" s="106"/>
      <c r="AX41" s="106"/>
      <c r="AY41" s="106"/>
      <c r="AZ41" s="106"/>
      <c r="BA41" s="106"/>
      <c r="BB41" s="106"/>
      <c r="BC41" s="106"/>
      <c r="BD41" s="106"/>
      <c r="BE41" s="106"/>
      <c r="BF41" s="106"/>
      <c r="BG41" s="106"/>
      <c r="BH41" s="106"/>
      <c r="BI41" s="106"/>
      <c r="BJ41" s="106"/>
      <c r="BK41" s="106"/>
      <c r="BL41" s="106"/>
      <c r="BM41" s="106"/>
      <c r="BN41" s="106"/>
      <c r="BO41" s="106"/>
      <c r="BP41" s="106"/>
      <c r="BQ41" s="106"/>
      <c r="BR41" s="106"/>
      <c r="BS41" s="106"/>
      <c r="BT41" s="106"/>
      <c r="BU41" s="106"/>
      <c r="BV41" s="106"/>
      <c r="BW41" s="106"/>
      <c r="BX41" s="106"/>
      <c r="BY41" s="106"/>
      <c r="BZ41" s="106"/>
      <c r="CA41" s="106"/>
      <c r="CB41" s="106"/>
      <c r="CC41" s="106"/>
      <c r="CD41" s="106"/>
      <c r="CE41" s="106"/>
      <c r="CF41" s="106"/>
      <c r="CG41" s="106"/>
      <c r="CH41" s="106"/>
      <c r="CI41" s="106"/>
      <c r="CJ41" s="106"/>
      <c r="CK41" s="109">
        <f t="shared" si="11"/>
        <v>50000</v>
      </c>
      <c r="CL41" s="109">
        <f t="shared" si="12"/>
        <v>46966.666666666664</v>
      </c>
      <c r="CM41" s="109">
        <f t="shared" si="13"/>
        <v>7057.1476768828843</v>
      </c>
      <c r="CN41" s="103">
        <f t="shared" si="14"/>
        <v>0.15025864464619343</v>
      </c>
      <c r="CO41" s="110">
        <f t="shared" si="4"/>
        <v>42016.806722689078</v>
      </c>
      <c r="CP41" s="107">
        <f t="shared" si="5"/>
        <v>7983.1932773109247</v>
      </c>
      <c r="CQ41" s="106">
        <f t="shared" si="6"/>
        <v>50000</v>
      </c>
      <c r="CR41" s="122">
        <f t="shared" si="10"/>
        <v>1500000</v>
      </c>
      <c r="CS41" s="89" t="s">
        <v>732</v>
      </c>
    </row>
    <row r="42" spans="1:97" ht="98.15" customHeight="1">
      <c r="A42" s="90">
        <f t="shared" si="2"/>
        <v>33</v>
      </c>
      <c r="B42" s="63" t="s">
        <v>332</v>
      </c>
      <c r="C42" s="1" t="s">
        <v>334</v>
      </c>
      <c r="D42" s="91" t="s">
        <v>4</v>
      </c>
      <c r="E42" s="8">
        <v>30</v>
      </c>
      <c r="F42" s="1"/>
      <c r="G42" s="106"/>
      <c r="H42" s="106"/>
      <c r="I42" s="106"/>
      <c r="J42" s="106"/>
      <c r="K42" s="106"/>
      <c r="L42" s="106"/>
      <c r="M42" s="106"/>
      <c r="N42" s="106"/>
      <c r="O42" s="106"/>
      <c r="P42" s="106"/>
      <c r="Q42" s="106"/>
      <c r="R42" s="106"/>
      <c r="S42" s="106"/>
      <c r="T42" s="106"/>
      <c r="U42" s="106"/>
      <c r="V42" s="106"/>
      <c r="W42" s="106"/>
      <c r="X42" s="106">
        <v>38900</v>
      </c>
      <c r="Y42" s="106">
        <v>50000</v>
      </c>
      <c r="Z42" s="106">
        <v>52000</v>
      </c>
      <c r="AA42" s="106"/>
      <c r="AB42" s="106"/>
      <c r="AC42" s="106"/>
      <c r="AD42" s="106"/>
      <c r="AE42" s="106"/>
      <c r="AF42" s="106"/>
      <c r="AG42" s="106"/>
      <c r="AH42" s="106"/>
      <c r="AI42" s="106"/>
      <c r="AJ42" s="106"/>
      <c r="AK42" s="106"/>
      <c r="AL42" s="106"/>
      <c r="AM42" s="106"/>
      <c r="AN42" s="106"/>
      <c r="AO42" s="106"/>
      <c r="AP42" s="106"/>
      <c r="AQ42" s="106"/>
      <c r="AR42" s="106"/>
      <c r="AS42" s="106"/>
      <c r="AT42" s="106"/>
      <c r="AU42" s="106"/>
      <c r="AV42" s="106"/>
      <c r="AW42" s="106"/>
      <c r="AX42" s="106"/>
      <c r="AY42" s="106"/>
      <c r="AZ42" s="106"/>
      <c r="BA42" s="106"/>
      <c r="BB42" s="106"/>
      <c r="BC42" s="106"/>
      <c r="BD42" s="106"/>
      <c r="BE42" s="106"/>
      <c r="BF42" s="106"/>
      <c r="BG42" s="106"/>
      <c r="BH42" s="106"/>
      <c r="BI42" s="106"/>
      <c r="BJ42" s="106"/>
      <c r="BK42" s="106"/>
      <c r="BL42" s="106"/>
      <c r="BM42" s="106"/>
      <c r="BN42" s="106"/>
      <c r="BO42" s="106"/>
      <c r="BP42" s="106"/>
      <c r="BQ42" s="106"/>
      <c r="BR42" s="106"/>
      <c r="BS42" s="106"/>
      <c r="BT42" s="106"/>
      <c r="BU42" s="106"/>
      <c r="BV42" s="106"/>
      <c r="BW42" s="106"/>
      <c r="BX42" s="106"/>
      <c r="BY42" s="106"/>
      <c r="BZ42" s="106"/>
      <c r="CA42" s="106"/>
      <c r="CB42" s="106"/>
      <c r="CC42" s="106"/>
      <c r="CD42" s="106"/>
      <c r="CE42" s="106"/>
      <c r="CF42" s="106"/>
      <c r="CG42" s="106"/>
      <c r="CH42" s="106"/>
      <c r="CI42" s="106"/>
      <c r="CJ42" s="106"/>
      <c r="CK42" s="109">
        <f t="shared" si="11"/>
        <v>50000</v>
      </c>
      <c r="CL42" s="109">
        <f t="shared" si="12"/>
        <v>46966.666666666664</v>
      </c>
      <c r="CM42" s="109">
        <f t="shared" si="13"/>
        <v>7057.1476768828843</v>
      </c>
      <c r="CN42" s="103">
        <f t="shared" si="14"/>
        <v>0.15025864464619343</v>
      </c>
      <c r="CO42" s="110">
        <f t="shared" si="4"/>
        <v>42016.806722689078</v>
      </c>
      <c r="CP42" s="107">
        <f t="shared" si="5"/>
        <v>7983.1932773109247</v>
      </c>
      <c r="CQ42" s="106">
        <f t="shared" si="6"/>
        <v>50000</v>
      </c>
      <c r="CR42" s="122">
        <f t="shared" si="10"/>
        <v>1500000</v>
      </c>
      <c r="CS42" s="89" t="s">
        <v>380</v>
      </c>
    </row>
    <row r="43" spans="1:97" ht="84" customHeight="1">
      <c r="A43" s="90">
        <f t="shared" si="2"/>
        <v>34</v>
      </c>
      <c r="B43" s="63" t="s">
        <v>335</v>
      </c>
      <c r="C43" s="1" t="s">
        <v>93</v>
      </c>
      <c r="D43" s="91" t="s">
        <v>4</v>
      </c>
      <c r="E43" s="8">
        <v>500</v>
      </c>
      <c r="F43" s="1"/>
      <c r="G43" s="106"/>
      <c r="H43" s="106"/>
      <c r="I43" s="106"/>
      <c r="J43" s="106"/>
      <c r="K43" s="106"/>
      <c r="L43" s="106"/>
      <c r="M43" s="106"/>
      <c r="N43" s="106"/>
      <c r="O43" s="106"/>
      <c r="P43" s="106"/>
      <c r="Q43" s="106"/>
      <c r="R43" s="106"/>
      <c r="S43" s="106"/>
      <c r="T43" s="106"/>
      <c r="U43" s="106"/>
      <c r="V43" s="106"/>
      <c r="W43" s="106"/>
      <c r="X43" s="106">
        <v>40000</v>
      </c>
      <c r="Y43" s="106">
        <v>50000</v>
      </c>
      <c r="Z43" s="106">
        <v>52000</v>
      </c>
      <c r="AA43" s="106"/>
      <c r="AB43" s="106"/>
      <c r="AC43" s="106"/>
      <c r="AD43" s="106"/>
      <c r="AE43" s="106"/>
      <c r="AF43" s="106"/>
      <c r="AG43" s="106"/>
      <c r="AH43" s="106"/>
      <c r="AI43" s="106"/>
      <c r="AJ43" s="106"/>
      <c r="AK43" s="106"/>
      <c r="AL43" s="106"/>
      <c r="AM43" s="106"/>
      <c r="AN43" s="106"/>
      <c r="AO43" s="106"/>
      <c r="AP43" s="106"/>
      <c r="AQ43" s="106"/>
      <c r="AR43" s="106"/>
      <c r="AS43" s="106"/>
      <c r="AT43" s="106"/>
      <c r="AU43" s="106"/>
      <c r="AV43" s="106"/>
      <c r="AW43" s="106"/>
      <c r="AX43" s="106"/>
      <c r="AY43" s="106"/>
      <c r="AZ43" s="106"/>
      <c r="BA43" s="106"/>
      <c r="BB43" s="106"/>
      <c r="BC43" s="106"/>
      <c r="BD43" s="106"/>
      <c r="BE43" s="106"/>
      <c r="BF43" s="106"/>
      <c r="BG43" s="106"/>
      <c r="BH43" s="106"/>
      <c r="BI43" s="106"/>
      <c r="BJ43" s="106"/>
      <c r="BK43" s="106"/>
      <c r="BL43" s="106"/>
      <c r="BM43" s="106"/>
      <c r="BN43" s="106"/>
      <c r="BO43" s="106"/>
      <c r="BP43" s="106"/>
      <c r="BQ43" s="106"/>
      <c r="BR43" s="106"/>
      <c r="BS43" s="106"/>
      <c r="BT43" s="106"/>
      <c r="BU43" s="106"/>
      <c r="BV43" s="106"/>
      <c r="BW43" s="106"/>
      <c r="BX43" s="106"/>
      <c r="BY43" s="106"/>
      <c r="BZ43" s="106"/>
      <c r="CA43" s="106"/>
      <c r="CB43" s="106"/>
      <c r="CC43" s="106"/>
      <c r="CD43" s="106"/>
      <c r="CE43" s="106"/>
      <c r="CF43" s="106"/>
      <c r="CG43" s="106"/>
      <c r="CH43" s="106"/>
      <c r="CI43" s="106"/>
      <c r="CJ43" s="106"/>
      <c r="CK43" s="109">
        <f t="shared" si="11"/>
        <v>50000</v>
      </c>
      <c r="CL43" s="109">
        <f t="shared" si="12"/>
        <v>47333.333333333336</v>
      </c>
      <c r="CM43" s="109">
        <f t="shared" si="13"/>
        <v>6429.1005073286487</v>
      </c>
      <c r="CN43" s="103">
        <f t="shared" si="14"/>
        <v>0.13582606705623906</v>
      </c>
      <c r="CO43" s="110">
        <f t="shared" si="4"/>
        <v>39776.470588235294</v>
      </c>
      <c r="CP43" s="107">
        <f t="shared" si="5"/>
        <v>7557.5294117647063</v>
      </c>
      <c r="CQ43" s="106">
        <f t="shared" si="6"/>
        <v>47334</v>
      </c>
      <c r="CR43" s="122">
        <f t="shared" si="10"/>
        <v>23667000</v>
      </c>
      <c r="CS43" s="89" t="s">
        <v>732</v>
      </c>
    </row>
    <row r="44" spans="1:97" ht="102" customHeight="1">
      <c r="A44" s="90">
        <f t="shared" si="2"/>
        <v>35</v>
      </c>
      <c r="B44" s="63" t="s">
        <v>905</v>
      </c>
      <c r="C44" s="1" t="s">
        <v>759</v>
      </c>
      <c r="D44" s="91" t="s">
        <v>4</v>
      </c>
      <c r="E44" s="8">
        <v>50</v>
      </c>
      <c r="F44" s="1"/>
      <c r="G44" s="106"/>
      <c r="H44" s="106"/>
      <c r="I44" s="106"/>
      <c r="J44" s="106"/>
      <c r="K44" s="106"/>
      <c r="L44" s="106"/>
      <c r="M44" s="106"/>
      <c r="N44" s="106"/>
      <c r="O44" s="106"/>
      <c r="P44" s="106"/>
      <c r="Q44" s="106"/>
      <c r="R44" s="106"/>
      <c r="S44" s="106"/>
      <c r="T44" s="106"/>
      <c r="U44" s="106"/>
      <c r="V44" s="106"/>
      <c r="W44" s="106"/>
      <c r="X44" s="106">
        <v>97722</v>
      </c>
      <c r="Y44" s="106">
        <v>81000</v>
      </c>
      <c r="Z44" s="106">
        <v>83000</v>
      </c>
      <c r="AA44" s="106"/>
      <c r="AB44" s="106"/>
      <c r="AC44" s="106"/>
      <c r="AD44" s="106"/>
      <c r="AE44" s="106"/>
      <c r="AF44" s="106"/>
      <c r="AG44" s="106"/>
      <c r="AH44" s="106"/>
      <c r="AI44" s="106"/>
      <c r="AJ44" s="106"/>
      <c r="AK44" s="106"/>
      <c r="AL44" s="106"/>
      <c r="AM44" s="106"/>
      <c r="AN44" s="106"/>
      <c r="AO44" s="106"/>
      <c r="AP44" s="106"/>
      <c r="AQ44" s="106"/>
      <c r="AR44" s="106"/>
      <c r="AS44" s="106"/>
      <c r="AT44" s="106"/>
      <c r="AU44" s="106"/>
      <c r="AV44" s="106"/>
      <c r="AW44" s="106"/>
      <c r="AX44" s="106"/>
      <c r="AY44" s="106"/>
      <c r="AZ44" s="106"/>
      <c r="BA44" s="106"/>
      <c r="BB44" s="106"/>
      <c r="BC44" s="106"/>
      <c r="BD44" s="106"/>
      <c r="BE44" s="106"/>
      <c r="BF44" s="106"/>
      <c r="BG44" s="106"/>
      <c r="BH44" s="106"/>
      <c r="BI44" s="106"/>
      <c r="BJ44" s="106"/>
      <c r="BK44" s="106"/>
      <c r="BL44" s="106"/>
      <c r="BM44" s="106"/>
      <c r="BN44" s="106"/>
      <c r="BO44" s="106"/>
      <c r="BP44" s="106"/>
      <c r="BQ44" s="106"/>
      <c r="BR44" s="106"/>
      <c r="BS44" s="106"/>
      <c r="BT44" s="106"/>
      <c r="BU44" s="106"/>
      <c r="BV44" s="106"/>
      <c r="BW44" s="106"/>
      <c r="BX44" s="106"/>
      <c r="BY44" s="106"/>
      <c r="BZ44" s="106"/>
      <c r="CA44" s="106"/>
      <c r="CB44" s="106"/>
      <c r="CC44" s="106"/>
      <c r="CD44" s="106"/>
      <c r="CE44" s="106"/>
      <c r="CF44" s="106"/>
      <c r="CG44" s="106"/>
      <c r="CH44" s="106"/>
      <c r="CI44" s="106"/>
      <c r="CJ44" s="106"/>
      <c r="CK44" s="109">
        <f t="shared" si="11"/>
        <v>83000</v>
      </c>
      <c r="CL44" s="109">
        <f t="shared" si="12"/>
        <v>87240.666666666672</v>
      </c>
      <c r="CM44" s="109">
        <f t="shared" si="13"/>
        <v>9132.0184698309349</v>
      </c>
      <c r="CN44" s="103">
        <f t="shared" si="14"/>
        <v>0.10467616558597598</v>
      </c>
      <c r="CO44" s="110">
        <f t="shared" si="4"/>
        <v>73311.76470588235</v>
      </c>
      <c r="CP44" s="107">
        <f t="shared" si="5"/>
        <v>13929.235294117647</v>
      </c>
      <c r="CQ44" s="106">
        <f t="shared" si="6"/>
        <v>87241</v>
      </c>
      <c r="CR44" s="122">
        <f t="shared" si="10"/>
        <v>4362050</v>
      </c>
      <c r="CS44" s="89" t="s">
        <v>732</v>
      </c>
    </row>
    <row r="45" spans="1:97" ht="95.15" customHeight="1">
      <c r="A45" s="90">
        <f t="shared" si="2"/>
        <v>36</v>
      </c>
      <c r="B45" s="63" t="s">
        <v>336</v>
      </c>
      <c r="C45" s="1" t="s">
        <v>337</v>
      </c>
      <c r="D45" s="91" t="s">
        <v>4</v>
      </c>
      <c r="E45" s="8">
        <v>50</v>
      </c>
      <c r="F45" s="1"/>
      <c r="G45" s="106"/>
      <c r="H45" s="106"/>
      <c r="I45" s="106"/>
      <c r="J45" s="106"/>
      <c r="K45" s="106"/>
      <c r="L45" s="106"/>
      <c r="M45" s="106"/>
      <c r="N45" s="106"/>
      <c r="O45" s="106"/>
      <c r="P45" s="106"/>
      <c r="Q45" s="106"/>
      <c r="R45" s="106"/>
      <c r="S45" s="106"/>
      <c r="T45" s="106"/>
      <c r="U45" s="106"/>
      <c r="V45" s="106"/>
      <c r="W45" s="106"/>
      <c r="X45" s="106">
        <v>19900</v>
      </c>
      <c r="Y45" s="106">
        <v>22000</v>
      </c>
      <c r="Z45" s="106">
        <v>23000</v>
      </c>
      <c r="AA45" s="106"/>
      <c r="AB45" s="106"/>
      <c r="AC45" s="106"/>
      <c r="AD45" s="106"/>
      <c r="AE45" s="106"/>
      <c r="AF45" s="106"/>
      <c r="AG45" s="106"/>
      <c r="AH45" s="106"/>
      <c r="AI45" s="106"/>
      <c r="AJ45" s="106"/>
      <c r="AK45" s="106"/>
      <c r="AL45" s="106"/>
      <c r="AM45" s="106"/>
      <c r="AN45" s="106"/>
      <c r="AO45" s="106"/>
      <c r="AP45" s="106"/>
      <c r="AQ45" s="106"/>
      <c r="AR45" s="106"/>
      <c r="AS45" s="106"/>
      <c r="AT45" s="106"/>
      <c r="AU45" s="106"/>
      <c r="AV45" s="106"/>
      <c r="AW45" s="106"/>
      <c r="AX45" s="106"/>
      <c r="AY45" s="106"/>
      <c r="AZ45" s="106"/>
      <c r="BA45" s="106"/>
      <c r="BB45" s="106"/>
      <c r="BC45" s="106"/>
      <c r="BD45" s="106"/>
      <c r="BE45" s="106"/>
      <c r="BF45" s="106"/>
      <c r="BG45" s="106"/>
      <c r="BH45" s="106"/>
      <c r="BI45" s="106"/>
      <c r="BJ45" s="106"/>
      <c r="BK45" s="106"/>
      <c r="BL45" s="106"/>
      <c r="BM45" s="106"/>
      <c r="BN45" s="106"/>
      <c r="BO45" s="106"/>
      <c r="BP45" s="106"/>
      <c r="BQ45" s="106"/>
      <c r="BR45" s="106"/>
      <c r="BS45" s="106"/>
      <c r="BT45" s="106"/>
      <c r="BU45" s="106"/>
      <c r="BV45" s="106"/>
      <c r="BW45" s="106"/>
      <c r="BX45" s="106"/>
      <c r="BY45" s="106"/>
      <c r="BZ45" s="106"/>
      <c r="CA45" s="106"/>
      <c r="CB45" s="106"/>
      <c r="CC45" s="106"/>
      <c r="CD45" s="106"/>
      <c r="CE45" s="106"/>
      <c r="CF45" s="106"/>
      <c r="CG45" s="106"/>
      <c r="CH45" s="106"/>
      <c r="CI45" s="106"/>
      <c r="CJ45" s="106"/>
      <c r="CK45" s="109">
        <f t="shared" si="11"/>
        <v>22000</v>
      </c>
      <c r="CL45" s="109">
        <f t="shared" si="12"/>
        <v>21633.333333333332</v>
      </c>
      <c r="CM45" s="109">
        <f t="shared" si="13"/>
        <v>1582.1925715074424</v>
      </c>
      <c r="CN45" s="103">
        <f t="shared" si="14"/>
        <v>7.3136790670605967E-2</v>
      </c>
      <c r="CO45" s="110">
        <f t="shared" ref="CO45:CO74" si="15">CQ45/1.19</f>
        <v>18179.831932773111</v>
      </c>
      <c r="CP45" s="107">
        <f t="shared" ref="CP45:CP74" si="16">CO45*19%</f>
        <v>3454.1680672268913</v>
      </c>
      <c r="CQ45" s="106">
        <f t="shared" si="6"/>
        <v>21634</v>
      </c>
      <c r="CR45" s="122">
        <f t="shared" si="10"/>
        <v>1081700</v>
      </c>
      <c r="CS45" s="89" t="s">
        <v>732</v>
      </c>
    </row>
    <row r="46" spans="1:97" ht="85.9" customHeight="1">
      <c r="A46" s="90">
        <f t="shared" si="2"/>
        <v>37</v>
      </c>
      <c r="B46" s="63" t="s">
        <v>738</v>
      </c>
      <c r="C46" s="1" t="s">
        <v>760</v>
      </c>
      <c r="D46" s="91" t="s">
        <v>4</v>
      </c>
      <c r="E46" s="8">
        <v>50</v>
      </c>
      <c r="F46" s="1"/>
      <c r="G46" s="106"/>
      <c r="H46" s="106"/>
      <c r="I46" s="106"/>
      <c r="J46" s="106"/>
      <c r="K46" s="106"/>
      <c r="L46" s="106"/>
      <c r="M46" s="106"/>
      <c r="N46" s="106"/>
      <c r="O46" s="106"/>
      <c r="P46" s="106"/>
      <c r="Q46" s="106"/>
      <c r="R46" s="106"/>
      <c r="S46" s="106"/>
      <c r="T46" s="106"/>
      <c r="U46" s="106"/>
      <c r="V46" s="106"/>
      <c r="W46" s="106"/>
      <c r="X46" s="106">
        <v>19500</v>
      </c>
      <c r="Y46" s="106">
        <v>23400</v>
      </c>
      <c r="Z46" s="106">
        <v>24500</v>
      </c>
      <c r="AA46" s="106"/>
      <c r="AB46" s="106"/>
      <c r="AC46" s="106"/>
      <c r="AD46" s="106"/>
      <c r="AE46" s="106"/>
      <c r="AF46" s="106"/>
      <c r="AG46" s="106"/>
      <c r="AH46" s="106"/>
      <c r="AI46" s="106"/>
      <c r="AJ46" s="106"/>
      <c r="AK46" s="106"/>
      <c r="AL46" s="106"/>
      <c r="AM46" s="106"/>
      <c r="AN46" s="106"/>
      <c r="AO46" s="106"/>
      <c r="AP46" s="106"/>
      <c r="AQ46" s="106"/>
      <c r="AR46" s="106"/>
      <c r="AS46" s="106"/>
      <c r="AT46" s="106"/>
      <c r="AU46" s="106"/>
      <c r="AV46" s="106"/>
      <c r="AW46" s="106"/>
      <c r="AX46" s="106"/>
      <c r="AY46" s="106"/>
      <c r="AZ46" s="106"/>
      <c r="BA46" s="106"/>
      <c r="BB46" s="106"/>
      <c r="BC46" s="106"/>
      <c r="BD46" s="106"/>
      <c r="BE46" s="106"/>
      <c r="BF46" s="106"/>
      <c r="BG46" s="106"/>
      <c r="BH46" s="106"/>
      <c r="BI46" s="106"/>
      <c r="BJ46" s="106"/>
      <c r="BK46" s="106"/>
      <c r="BL46" s="106"/>
      <c r="BM46" s="106"/>
      <c r="BN46" s="106"/>
      <c r="BO46" s="106"/>
      <c r="BP46" s="106"/>
      <c r="BQ46" s="106"/>
      <c r="BR46" s="106"/>
      <c r="BS46" s="106"/>
      <c r="BT46" s="106"/>
      <c r="BU46" s="106"/>
      <c r="BV46" s="106"/>
      <c r="BW46" s="106"/>
      <c r="BX46" s="106"/>
      <c r="BY46" s="106"/>
      <c r="BZ46" s="106"/>
      <c r="CA46" s="106"/>
      <c r="CB46" s="106"/>
      <c r="CC46" s="106"/>
      <c r="CD46" s="106"/>
      <c r="CE46" s="106"/>
      <c r="CF46" s="106"/>
      <c r="CG46" s="106"/>
      <c r="CH46" s="106"/>
      <c r="CI46" s="106"/>
      <c r="CJ46" s="106"/>
      <c r="CK46" s="109">
        <f t="shared" si="11"/>
        <v>23400</v>
      </c>
      <c r="CL46" s="109">
        <f t="shared" si="12"/>
        <v>22466.666666666668</v>
      </c>
      <c r="CM46" s="109">
        <f t="shared" si="13"/>
        <v>2627.4195198584734</v>
      </c>
      <c r="CN46" s="103">
        <f t="shared" si="14"/>
        <v>0.11694745637352255</v>
      </c>
      <c r="CO46" s="110">
        <f t="shared" si="15"/>
        <v>18879.831932773111</v>
      </c>
      <c r="CP46" s="107">
        <f t="shared" si="16"/>
        <v>3587.1680672268913</v>
      </c>
      <c r="CQ46" s="106">
        <f t="shared" si="6"/>
        <v>22467</v>
      </c>
      <c r="CR46" s="122">
        <f t="shared" si="10"/>
        <v>1123350</v>
      </c>
      <c r="CS46" s="89" t="s">
        <v>732</v>
      </c>
    </row>
    <row r="47" spans="1:97" ht="91.9" customHeight="1">
      <c r="A47" s="90">
        <f t="shared" si="2"/>
        <v>38</v>
      </c>
      <c r="B47" s="63" t="s">
        <v>339</v>
      </c>
      <c r="C47" s="1" t="s">
        <v>338</v>
      </c>
      <c r="D47" s="91" t="s">
        <v>4</v>
      </c>
      <c r="E47" s="8">
        <v>50</v>
      </c>
      <c r="F47" s="1"/>
      <c r="G47" s="106"/>
      <c r="H47" s="106"/>
      <c r="I47" s="106"/>
      <c r="J47" s="106"/>
      <c r="K47" s="106"/>
      <c r="L47" s="106"/>
      <c r="M47" s="106"/>
      <c r="N47" s="106"/>
      <c r="O47" s="106"/>
      <c r="P47" s="106"/>
      <c r="Q47" s="106"/>
      <c r="R47" s="106"/>
      <c r="S47" s="106"/>
      <c r="T47" s="106"/>
      <c r="U47" s="106"/>
      <c r="V47" s="106"/>
      <c r="W47" s="106"/>
      <c r="X47" s="106">
        <v>58900</v>
      </c>
      <c r="Y47" s="106">
        <v>50000</v>
      </c>
      <c r="Z47" s="106">
        <v>52000</v>
      </c>
      <c r="AA47" s="106"/>
      <c r="AB47" s="106"/>
      <c r="AC47" s="106"/>
      <c r="AD47" s="106"/>
      <c r="AE47" s="106"/>
      <c r="AF47" s="106"/>
      <c r="AG47" s="106"/>
      <c r="AH47" s="106"/>
      <c r="AI47" s="106"/>
      <c r="AJ47" s="106"/>
      <c r="AK47" s="106"/>
      <c r="AL47" s="106"/>
      <c r="AM47" s="106"/>
      <c r="AN47" s="106"/>
      <c r="AO47" s="106"/>
      <c r="AP47" s="106"/>
      <c r="AQ47" s="106"/>
      <c r="AR47" s="106"/>
      <c r="AS47" s="106"/>
      <c r="AT47" s="106"/>
      <c r="AU47" s="106"/>
      <c r="AV47" s="106"/>
      <c r="AW47" s="106"/>
      <c r="AX47" s="106"/>
      <c r="AY47" s="106"/>
      <c r="AZ47" s="106"/>
      <c r="BA47" s="106"/>
      <c r="BB47" s="106"/>
      <c r="BC47" s="106"/>
      <c r="BD47" s="106"/>
      <c r="BE47" s="106"/>
      <c r="BF47" s="106"/>
      <c r="BG47" s="106"/>
      <c r="BH47" s="106"/>
      <c r="BI47" s="106"/>
      <c r="BJ47" s="106"/>
      <c r="BK47" s="106"/>
      <c r="BL47" s="106"/>
      <c r="BM47" s="106"/>
      <c r="BN47" s="106"/>
      <c r="BO47" s="106"/>
      <c r="BP47" s="106"/>
      <c r="BQ47" s="106"/>
      <c r="BR47" s="106"/>
      <c r="BS47" s="106"/>
      <c r="BT47" s="106"/>
      <c r="BU47" s="106"/>
      <c r="BV47" s="106"/>
      <c r="BW47" s="106"/>
      <c r="BX47" s="106"/>
      <c r="BY47" s="106"/>
      <c r="BZ47" s="106"/>
      <c r="CA47" s="106"/>
      <c r="CB47" s="106"/>
      <c r="CC47" s="106"/>
      <c r="CD47" s="106"/>
      <c r="CE47" s="106"/>
      <c r="CF47" s="106"/>
      <c r="CG47" s="106"/>
      <c r="CH47" s="106"/>
      <c r="CI47" s="106"/>
      <c r="CJ47" s="106"/>
      <c r="CK47" s="109">
        <f t="shared" si="11"/>
        <v>52000</v>
      </c>
      <c r="CL47" s="109">
        <f t="shared" si="12"/>
        <v>53633.333333333336</v>
      </c>
      <c r="CM47" s="109">
        <f t="shared" si="13"/>
        <v>4669.4039591079854</v>
      </c>
      <c r="CN47" s="103">
        <f t="shared" si="14"/>
        <v>8.7061602717986047E-2</v>
      </c>
      <c r="CO47" s="110">
        <f t="shared" si="15"/>
        <v>45070.588235294119</v>
      </c>
      <c r="CP47" s="107">
        <f t="shared" si="16"/>
        <v>8563.4117647058829</v>
      </c>
      <c r="CQ47" s="106">
        <f t="shared" si="6"/>
        <v>53634</v>
      </c>
      <c r="CR47" s="122">
        <f t="shared" si="10"/>
        <v>2681700</v>
      </c>
      <c r="CS47" s="89" t="s">
        <v>732</v>
      </c>
    </row>
    <row r="48" spans="1:97" ht="145.5" customHeight="1">
      <c r="A48" s="90">
        <f t="shared" si="2"/>
        <v>39</v>
      </c>
      <c r="B48" s="63" t="s">
        <v>340</v>
      </c>
      <c r="C48" s="1" t="s">
        <v>761</v>
      </c>
      <c r="D48" s="91" t="s">
        <v>4</v>
      </c>
      <c r="E48" s="8">
        <v>40</v>
      </c>
      <c r="F48" s="1"/>
      <c r="G48" s="106"/>
      <c r="H48" s="106"/>
      <c r="I48" s="106"/>
      <c r="J48" s="106"/>
      <c r="K48" s="106"/>
      <c r="L48" s="106"/>
      <c r="M48" s="106"/>
      <c r="N48" s="106"/>
      <c r="O48" s="106"/>
      <c r="P48" s="106"/>
      <c r="Q48" s="106"/>
      <c r="R48" s="106"/>
      <c r="S48" s="106"/>
      <c r="T48" s="106"/>
      <c r="U48" s="106"/>
      <c r="V48" s="106"/>
      <c r="W48" s="106"/>
      <c r="X48" s="106">
        <v>1267350</v>
      </c>
      <c r="Y48" s="106">
        <v>1132500</v>
      </c>
      <c r="Z48" s="106">
        <v>1142500</v>
      </c>
      <c r="AA48" s="106"/>
      <c r="AB48" s="106"/>
      <c r="AC48" s="106"/>
      <c r="AD48" s="106"/>
      <c r="AE48" s="106"/>
      <c r="AF48" s="106"/>
      <c r="AG48" s="106"/>
      <c r="AH48" s="106"/>
      <c r="AI48" s="106"/>
      <c r="AJ48" s="106"/>
      <c r="AK48" s="106"/>
      <c r="AL48" s="106"/>
      <c r="AM48" s="106"/>
      <c r="AN48" s="106"/>
      <c r="AO48" s="106"/>
      <c r="AP48" s="106"/>
      <c r="AQ48" s="106"/>
      <c r="AR48" s="106"/>
      <c r="AS48" s="106"/>
      <c r="AT48" s="106"/>
      <c r="AU48" s="106"/>
      <c r="AV48" s="106"/>
      <c r="AW48" s="106"/>
      <c r="AX48" s="106"/>
      <c r="AY48" s="106"/>
      <c r="AZ48" s="106"/>
      <c r="BA48" s="106"/>
      <c r="BB48" s="106"/>
      <c r="BC48" s="106"/>
      <c r="BD48" s="106"/>
      <c r="BE48" s="106"/>
      <c r="BF48" s="106"/>
      <c r="BG48" s="106"/>
      <c r="BH48" s="106"/>
      <c r="BI48" s="106"/>
      <c r="BJ48" s="106"/>
      <c r="BK48" s="106"/>
      <c r="BL48" s="106"/>
      <c r="BM48" s="106"/>
      <c r="BN48" s="106"/>
      <c r="BO48" s="106"/>
      <c r="BP48" s="106"/>
      <c r="BQ48" s="106"/>
      <c r="BR48" s="106"/>
      <c r="BS48" s="106"/>
      <c r="BT48" s="106"/>
      <c r="BU48" s="106"/>
      <c r="BV48" s="106"/>
      <c r="BW48" s="106"/>
      <c r="BX48" s="106"/>
      <c r="BY48" s="106"/>
      <c r="BZ48" s="106"/>
      <c r="CA48" s="106"/>
      <c r="CB48" s="106"/>
      <c r="CC48" s="106"/>
      <c r="CD48" s="106"/>
      <c r="CE48" s="106"/>
      <c r="CF48" s="106"/>
      <c r="CG48" s="106"/>
      <c r="CH48" s="106"/>
      <c r="CI48" s="106"/>
      <c r="CJ48" s="106"/>
      <c r="CK48" s="109">
        <f t="shared" si="11"/>
        <v>1142500</v>
      </c>
      <c r="CL48" s="109">
        <f t="shared" si="12"/>
        <v>1180783.3333333333</v>
      </c>
      <c r="CM48" s="109">
        <f t="shared" si="13"/>
        <v>75135.483184267432</v>
      </c>
      <c r="CN48" s="103">
        <f t="shared" si="14"/>
        <v>6.3631896778354E-2</v>
      </c>
      <c r="CO48" s="110">
        <f t="shared" si="15"/>
        <v>992255.46218487399</v>
      </c>
      <c r="CP48" s="107">
        <f t="shared" si="16"/>
        <v>188528.53781512607</v>
      </c>
      <c r="CQ48" s="106">
        <f t="shared" si="6"/>
        <v>1180784</v>
      </c>
      <c r="CR48" s="122">
        <f t="shared" si="10"/>
        <v>47231360</v>
      </c>
      <c r="CS48" s="89" t="s">
        <v>732</v>
      </c>
    </row>
    <row r="49" spans="1:97" ht="119.15" customHeight="1">
      <c r="A49" s="90">
        <f t="shared" si="2"/>
        <v>40</v>
      </c>
      <c r="B49" s="63" t="s">
        <v>341</v>
      </c>
      <c r="C49" s="1" t="s">
        <v>762</v>
      </c>
      <c r="D49" s="91" t="s">
        <v>4</v>
      </c>
      <c r="E49" s="8">
        <v>40</v>
      </c>
      <c r="F49" s="1"/>
      <c r="G49" s="106"/>
      <c r="H49" s="106"/>
      <c r="I49" s="106"/>
      <c r="J49" s="106"/>
      <c r="K49" s="106"/>
      <c r="L49" s="106"/>
      <c r="M49" s="106"/>
      <c r="N49" s="106"/>
      <c r="O49" s="106"/>
      <c r="P49" s="106"/>
      <c r="Q49" s="106"/>
      <c r="R49" s="106"/>
      <c r="S49" s="106"/>
      <c r="T49" s="106"/>
      <c r="U49" s="106"/>
      <c r="V49" s="106"/>
      <c r="W49" s="106"/>
      <c r="X49" s="106"/>
      <c r="Y49" s="106">
        <v>250000</v>
      </c>
      <c r="Z49" s="106"/>
      <c r="AA49" s="106">
        <v>235000</v>
      </c>
      <c r="AB49" s="106"/>
      <c r="AC49" s="106"/>
      <c r="AD49" s="106"/>
      <c r="AE49" s="106"/>
      <c r="AF49" s="106"/>
      <c r="AG49" s="106"/>
      <c r="AH49" s="106"/>
      <c r="AI49" s="106"/>
      <c r="AJ49" s="106"/>
      <c r="AK49" s="106"/>
      <c r="AL49" s="106"/>
      <c r="AM49" s="106"/>
      <c r="AN49" s="106"/>
      <c r="AO49" s="106"/>
      <c r="AP49" s="106"/>
      <c r="AQ49" s="106"/>
      <c r="AR49" s="106"/>
      <c r="AS49" s="106"/>
      <c r="AT49" s="106"/>
      <c r="AU49" s="106"/>
      <c r="AV49" s="106"/>
      <c r="AW49" s="106"/>
      <c r="AX49" s="106"/>
      <c r="AY49" s="106"/>
      <c r="AZ49" s="106"/>
      <c r="BA49" s="106"/>
      <c r="BB49" s="106"/>
      <c r="BC49" s="106"/>
      <c r="BD49" s="106"/>
      <c r="BE49" s="106"/>
      <c r="BF49" s="106"/>
      <c r="BG49" s="106"/>
      <c r="BH49" s="106"/>
      <c r="BI49" s="106"/>
      <c r="BJ49" s="106"/>
      <c r="BK49" s="106"/>
      <c r="BL49" s="106"/>
      <c r="BM49" s="106"/>
      <c r="BN49" s="106"/>
      <c r="BO49" s="106"/>
      <c r="BP49" s="106"/>
      <c r="BQ49" s="106"/>
      <c r="BR49" s="106"/>
      <c r="BS49" s="106"/>
      <c r="BT49" s="106"/>
      <c r="BU49" s="106"/>
      <c r="BV49" s="106"/>
      <c r="BW49" s="106"/>
      <c r="BX49" s="106"/>
      <c r="BY49" s="106"/>
      <c r="BZ49" s="106"/>
      <c r="CA49" s="106"/>
      <c r="CB49" s="106"/>
      <c r="CC49" s="106"/>
      <c r="CD49" s="106"/>
      <c r="CE49" s="106"/>
      <c r="CF49" s="106"/>
      <c r="CG49" s="106"/>
      <c r="CH49" s="106"/>
      <c r="CI49" s="106"/>
      <c r="CJ49" s="106"/>
      <c r="CK49" s="109">
        <f t="shared" si="11"/>
        <v>242500</v>
      </c>
      <c r="CL49" s="109">
        <f t="shared" si="12"/>
        <v>242500</v>
      </c>
      <c r="CM49" s="109">
        <f t="shared" si="13"/>
        <v>10606.601717798212</v>
      </c>
      <c r="CN49" s="103">
        <f t="shared" si="14"/>
        <v>4.3738563784734896E-2</v>
      </c>
      <c r="CO49" s="110">
        <f t="shared" si="15"/>
        <v>203781.51260504202</v>
      </c>
      <c r="CP49" s="107">
        <f t="shared" si="16"/>
        <v>38718.487394957985</v>
      </c>
      <c r="CQ49" s="106">
        <f t="shared" si="6"/>
        <v>242500</v>
      </c>
      <c r="CR49" s="122">
        <f t="shared" si="10"/>
        <v>9700000</v>
      </c>
      <c r="CS49" s="89" t="s">
        <v>732</v>
      </c>
    </row>
    <row r="50" spans="1:97" ht="84.65" customHeight="1">
      <c r="A50" s="90">
        <f t="shared" si="2"/>
        <v>41</v>
      </c>
      <c r="B50" s="63" t="s">
        <v>342</v>
      </c>
      <c r="C50" s="1" t="s">
        <v>343</v>
      </c>
      <c r="D50" s="63" t="s">
        <v>4</v>
      </c>
      <c r="E50" s="8">
        <v>64</v>
      </c>
      <c r="F50" s="1"/>
      <c r="G50" s="106"/>
      <c r="H50" s="106"/>
      <c r="I50" s="106"/>
      <c r="J50" s="106"/>
      <c r="K50" s="106"/>
      <c r="L50" s="106"/>
      <c r="M50" s="106"/>
      <c r="N50" s="106"/>
      <c r="O50" s="106"/>
      <c r="P50" s="106"/>
      <c r="Q50" s="106"/>
      <c r="R50" s="106"/>
      <c r="S50" s="106"/>
      <c r="T50" s="106"/>
      <c r="U50" s="106"/>
      <c r="V50" s="106"/>
      <c r="W50" s="106"/>
      <c r="X50" s="106">
        <v>198000</v>
      </c>
      <c r="Y50" s="106">
        <v>170000</v>
      </c>
      <c r="Z50" s="106">
        <v>165000</v>
      </c>
      <c r="AA50" s="106"/>
      <c r="AB50" s="106"/>
      <c r="AC50" s="106"/>
      <c r="AD50" s="106"/>
      <c r="AE50" s="106"/>
      <c r="AF50" s="106"/>
      <c r="AG50" s="106"/>
      <c r="AH50" s="106"/>
      <c r="AI50" s="106"/>
      <c r="AJ50" s="106"/>
      <c r="AK50" s="106"/>
      <c r="AL50" s="106"/>
      <c r="AM50" s="106"/>
      <c r="AN50" s="106"/>
      <c r="AO50" s="106"/>
      <c r="AP50" s="106"/>
      <c r="AQ50" s="106"/>
      <c r="AR50" s="106"/>
      <c r="AS50" s="106"/>
      <c r="AT50" s="106"/>
      <c r="AU50" s="106"/>
      <c r="AV50" s="106"/>
      <c r="AW50" s="106"/>
      <c r="AX50" s="106"/>
      <c r="AY50" s="106"/>
      <c r="AZ50" s="106"/>
      <c r="BA50" s="106"/>
      <c r="BB50" s="106"/>
      <c r="BC50" s="106"/>
      <c r="BD50" s="106"/>
      <c r="BE50" s="106"/>
      <c r="BF50" s="106"/>
      <c r="BG50" s="106"/>
      <c r="BH50" s="106"/>
      <c r="BI50" s="106"/>
      <c r="BJ50" s="106"/>
      <c r="BK50" s="106"/>
      <c r="BL50" s="106"/>
      <c r="BM50" s="106"/>
      <c r="BN50" s="106"/>
      <c r="BO50" s="106"/>
      <c r="BP50" s="106"/>
      <c r="BQ50" s="106"/>
      <c r="BR50" s="106"/>
      <c r="BS50" s="106"/>
      <c r="BT50" s="106"/>
      <c r="BU50" s="106"/>
      <c r="BV50" s="106"/>
      <c r="BW50" s="106"/>
      <c r="BX50" s="106"/>
      <c r="BY50" s="106"/>
      <c r="BZ50" s="106"/>
      <c r="CA50" s="106"/>
      <c r="CB50" s="106"/>
      <c r="CC50" s="106"/>
      <c r="CD50" s="106"/>
      <c r="CE50" s="106"/>
      <c r="CF50" s="106"/>
      <c r="CG50" s="106"/>
      <c r="CH50" s="106"/>
      <c r="CI50" s="106"/>
      <c r="CJ50" s="106"/>
      <c r="CK50" s="109">
        <f t="shared" si="11"/>
        <v>170000</v>
      </c>
      <c r="CL50" s="109">
        <f t="shared" si="12"/>
        <v>177666.66666666666</v>
      </c>
      <c r="CM50" s="109">
        <f t="shared" si="13"/>
        <v>17785.7620959388</v>
      </c>
      <c r="CN50" s="103">
        <f t="shared" si="14"/>
        <v>0.10010747896400826</v>
      </c>
      <c r="CO50" s="110">
        <f t="shared" si="15"/>
        <v>149300</v>
      </c>
      <c r="CP50" s="107">
        <f t="shared" si="16"/>
        <v>28367</v>
      </c>
      <c r="CQ50" s="106">
        <f t="shared" ref="CQ50:CQ81" si="17">ROUNDUP(IF(CN50&lt;15%,CL50,CK50),0)</f>
        <v>177667</v>
      </c>
      <c r="CR50" s="122">
        <f t="shared" si="10"/>
        <v>11370688</v>
      </c>
      <c r="CS50" s="89" t="s">
        <v>732</v>
      </c>
    </row>
    <row r="51" spans="1:97" ht="102.65" customHeight="1">
      <c r="A51" s="90">
        <f t="shared" si="2"/>
        <v>42</v>
      </c>
      <c r="B51" s="63" t="s">
        <v>344</v>
      </c>
      <c r="C51" s="1" t="s">
        <v>103</v>
      </c>
      <c r="D51" s="63" t="s">
        <v>4</v>
      </c>
      <c r="E51" s="8">
        <v>500</v>
      </c>
      <c r="F51" s="1"/>
      <c r="G51" s="106"/>
      <c r="H51" s="106"/>
      <c r="I51" s="106"/>
      <c r="J51" s="106"/>
      <c r="K51" s="106"/>
      <c r="L51" s="106"/>
      <c r="M51" s="106"/>
      <c r="N51" s="106"/>
      <c r="O51" s="106"/>
      <c r="P51" s="106"/>
      <c r="Q51" s="106"/>
      <c r="R51" s="106"/>
      <c r="S51" s="106"/>
      <c r="T51" s="106"/>
      <c r="U51" s="106"/>
      <c r="V51" s="106"/>
      <c r="W51" s="106"/>
      <c r="X51" s="106">
        <v>34900</v>
      </c>
      <c r="Y51" s="106">
        <v>50000</v>
      </c>
      <c r="Z51" s="106">
        <v>52000</v>
      </c>
      <c r="AA51" s="106"/>
      <c r="AB51" s="106"/>
      <c r="AC51" s="106"/>
      <c r="AD51" s="106"/>
      <c r="AE51" s="106"/>
      <c r="AF51" s="106"/>
      <c r="AG51" s="106"/>
      <c r="AH51" s="106"/>
      <c r="AI51" s="106"/>
      <c r="AJ51" s="106"/>
      <c r="AK51" s="106"/>
      <c r="AL51" s="106"/>
      <c r="AM51" s="106"/>
      <c r="AN51" s="106"/>
      <c r="AO51" s="106"/>
      <c r="AP51" s="106"/>
      <c r="AQ51" s="106"/>
      <c r="AR51" s="106"/>
      <c r="AS51" s="106"/>
      <c r="AT51" s="106"/>
      <c r="AU51" s="106"/>
      <c r="AV51" s="106"/>
      <c r="AW51" s="106"/>
      <c r="AX51" s="106"/>
      <c r="AY51" s="106"/>
      <c r="AZ51" s="106"/>
      <c r="BA51" s="106"/>
      <c r="BB51" s="106"/>
      <c r="BC51" s="106"/>
      <c r="BD51" s="106"/>
      <c r="BE51" s="106"/>
      <c r="BF51" s="106"/>
      <c r="BG51" s="106"/>
      <c r="BH51" s="106"/>
      <c r="BI51" s="106"/>
      <c r="BJ51" s="106"/>
      <c r="BK51" s="106"/>
      <c r="BL51" s="106"/>
      <c r="BM51" s="106"/>
      <c r="BN51" s="106"/>
      <c r="BO51" s="106"/>
      <c r="BP51" s="106"/>
      <c r="BQ51" s="106"/>
      <c r="BR51" s="106"/>
      <c r="BS51" s="106"/>
      <c r="BT51" s="106"/>
      <c r="BU51" s="106"/>
      <c r="BV51" s="106"/>
      <c r="BW51" s="106"/>
      <c r="BX51" s="106"/>
      <c r="BY51" s="106"/>
      <c r="BZ51" s="106"/>
      <c r="CA51" s="106"/>
      <c r="CB51" s="106"/>
      <c r="CC51" s="106"/>
      <c r="CD51" s="106"/>
      <c r="CE51" s="106"/>
      <c r="CF51" s="106"/>
      <c r="CG51" s="106"/>
      <c r="CH51" s="106"/>
      <c r="CI51" s="106"/>
      <c r="CJ51" s="106"/>
      <c r="CK51" s="109">
        <f t="shared" si="11"/>
        <v>50000</v>
      </c>
      <c r="CL51" s="109">
        <f t="shared" si="12"/>
        <v>45633.333333333336</v>
      </c>
      <c r="CM51" s="109">
        <f t="shared" si="13"/>
        <v>9348.9749883788591</v>
      </c>
      <c r="CN51" s="103">
        <f t="shared" si="14"/>
        <v>0.20487162136695819</v>
      </c>
      <c r="CO51" s="110">
        <f t="shared" si="15"/>
        <v>42016.806722689078</v>
      </c>
      <c r="CP51" s="107">
        <f t="shared" si="16"/>
        <v>7983.1932773109247</v>
      </c>
      <c r="CQ51" s="106">
        <f t="shared" si="17"/>
        <v>50000</v>
      </c>
      <c r="CR51" s="122">
        <f t="shared" si="10"/>
        <v>25000000</v>
      </c>
      <c r="CS51" s="89" t="s">
        <v>380</v>
      </c>
    </row>
    <row r="52" spans="1:97" ht="98.65" customHeight="1">
      <c r="A52" s="90">
        <f t="shared" si="2"/>
        <v>43</v>
      </c>
      <c r="B52" s="63" t="s">
        <v>740</v>
      </c>
      <c r="C52" s="1" t="s">
        <v>739</v>
      </c>
      <c r="D52" s="63" t="s">
        <v>289</v>
      </c>
      <c r="E52" s="8">
        <v>10</v>
      </c>
      <c r="F52" s="1"/>
      <c r="G52" s="106"/>
      <c r="H52" s="106"/>
      <c r="I52" s="106"/>
      <c r="J52" s="106"/>
      <c r="K52" s="106"/>
      <c r="L52" s="106"/>
      <c r="M52" s="106"/>
      <c r="N52" s="106"/>
      <c r="O52" s="106"/>
      <c r="P52" s="106"/>
      <c r="Q52" s="106"/>
      <c r="R52" s="106"/>
      <c r="S52" s="106"/>
      <c r="T52" s="106"/>
      <c r="U52" s="106"/>
      <c r="V52" s="106"/>
      <c r="W52" s="106"/>
      <c r="X52" s="106">
        <v>37400</v>
      </c>
      <c r="Y52" s="106">
        <v>50000</v>
      </c>
      <c r="Z52" s="106">
        <v>52000</v>
      </c>
      <c r="AA52" s="106"/>
      <c r="AB52" s="106"/>
      <c r="AC52" s="106"/>
      <c r="AD52" s="106"/>
      <c r="AE52" s="106"/>
      <c r="AF52" s="106"/>
      <c r="AG52" s="106"/>
      <c r="AH52" s="106"/>
      <c r="AI52" s="106"/>
      <c r="AJ52" s="106"/>
      <c r="AK52" s="106"/>
      <c r="AL52" s="106"/>
      <c r="AM52" s="106"/>
      <c r="AN52" s="106"/>
      <c r="AO52" s="106"/>
      <c r="AP52" s="106"/>
      <c r="AQ52" s="106"/>
      <c r="AR52" s="106"/>
      <c r="AS52" s="106"/>
      <c r="AT52" s="106"/>
      <c r="AU52" s="106"/>
      <c r="AV52" s="106"/>
      <c r="AW52" s="106"/>
      <c r="AX52" s="106"/>
      <c r="AY52" s="106"/>
      <c r="AZ52" s="106"/>
      <c r="BA52" s="106"/>
      <c r="BB52" s="106"/>
      <c r="BC52" s="106"/>
      <c r="BD52" s="106"/>
      <c r="BE52" s="106"/>
      <c r="BF52" s="106"/>
      <c r="BG52" s="106"/>
      <c r="BH52" s="106"/>
      <c r="BI52" s="106"/>
      <c r="BJ52" s="106"/>
      <c r="BK52" s="106"/>
      <c r="BL52" s="106"/>
      <c r="BM52" s="106"/>
      <c r="BN52" s="106"/>
      <c r="BO52" s="106"/>
      <c r="BP52" s="106"/>
      <c r="BQ52" s="106"/>
      <c r="BR52" s="106"/>
      <c r="BS52" s="106"/>
      <c r="BT52" s="106"/>
      <c r="BU52" s="106"/>
      <c r="BV52" s="106"/>
      <c r="BW52" s="106"/>
      <c r="BX52" s="106"/>
      <c r="BY52" s="106"/>
      <c r="BZ52" s="106"/>
      <c r="CA52" s="106"/>
      <c r="CB52" s="106"/>
      <c r="CC52" s="106"/>
      <c r="CD52" s="106"/>
      <c r="CE52" s="106"/>
      <c r="CF52" s="106"/>
      <c r="CG52" s="106"/>
      <c r="CH52" s="106"/>
      <c r="CI52" s="106"/>
      <c r="CJ52" s="106"/>
      <c r="CK52" s="109">
        <f t="shared" si="11"/>
        <v>50000</v>
      </c>
      <c r="CL52" s="109">
        <f t="shared" si="12"/>
        <v>46466.666666666664</v>
      </c>
      <c r="CM52" s="109">
        <f t="shared" si="13"/>
        <v>7915.3858613041402</v>
      </c>
      <c r="CN52" s="103">
        <f t="shared" si="14"/>
        <v>0.17034546329922828</v>
      </c>
      <c r="CO52" s="110">
        <f t="shared" si="15"/>
        <v>42016.806722689078</v>
      </c>
      <c r="CP52" s="107">
        <f t="shared" si="16"/>
        <v>7983.1932773109247</v>
      </c>
      <c r="CQ52" s="106">
        <f t="shared" si="17"/>
        <v>50000</v>
      </c>
      <c r="CR52" s="122">
        <f t="shared" si="10"/>
        <v>500000</v>
      </c>
      <c r="CS52" s="89" t="s">
        <v>380</v>
      </c>
    </row>
    <row r="53" spans="1:97" ht="88.9" customHeight="1">
      <c r="A53" s="90">
        <f t="shared" si="2"/>
        <v>44</v>
      </c>
      <c r="B53" s="63" t="s">
        <v>695</v>
      </c>
      <c r="C53" s="1" t="s">
        <v>741</v>
      </c>
      <c r="D53" s="63" t="s">
        <v>4</v>
      </c>
      <c r="E53" s="64">
        <v>1500</v>
      </c>
      <c r="F53" s="1"/>
      <c r="G53" s="106"/>
      <c r="H53" s="106"/>
      <c r="I53" s="106"/>
      <c r="J53" s="106"/>
      <c r="K53" s="106"/>
      <c r="L53" s="106"/>
      <c r="M53" s="106"/>
      <c r="N53" s="106"/>
      <c r="O53" s="106"/>
      <c r="P53" s="106"/>
      <c r="Q53" s="106"/>
      <c r="R53" s="106"/>
      <c r="S53" s="106"/>
      <c r="T53" s="106"/>
      <c r="U53" s="106"/>
      <c r="V53" s="106"/>
      <c r="W53" s="106"/>
      <c r="X53" s="106">
        <v>10000</v>
      </c>
      <c r="Y53" s="106">
        <v>14800</v>
      </c>
      <c r="Z53" s="106">
        <v>16000</v>
      </c>
      <c r="AA53" s="106"/>
      <c r="AB53" s="106"/>
      <c r="AC53" s="106"/>
      <c r="AD53" s="106"/>
      <c r="AE53" s="106"/>
      <c r="AF53" s="106"/>
      <c r="AG53" s="106"/>
      <c r="AH53" s="106"/>
      <c r="AI53" s="106"/>
      <c r="AJ53" s="106"/>
      <c r="AK53" s="106"/>
      <c r="AL53" s="106"/>
      <c r="AM53" s="106"/>
      <c r="AN53" s="106"/>
      <c r="AO53" s="106"/>
      <c r="AP53" s="106"/>
      <c r="AQ53" s="106"/>
      <c r="AR53" s="106"/>
      <c r="AS53" s="106"/>
      <c r="AT53" s="106"/>
      <c r="AU53" s="106"/>
      <c r="AV53" s="106"/>
      <c r="AW53" s="106"/>
      <c r="AX53" s="106"/>
      <c r="AY53" s="106"/>
      <c r="AZ53" s="106"/>
      <c r="BA53" s="106"/>
      <c r="BB53" s="106"/>
      <c r="BC53" s="106"/>
      <c r="BD53" s="106"/>
      <c r="BE53" s="106"/>
      <c r="BF53" s="106"/>
      <c r="BG53" s="106"/>
      <c r="BH53" s="106"/>
      <c r="BI53" s="106"/>
      <c r="BJ53" s="106"/>
      <c r="BK53" s="106"/>
      <c r="BL53" s="106"/>
      <c r="BM53" s="106"/>
      <c r="BN53" s="106"/>
      <c r="BO53" s="106"/>
      <c r="BP53" s="106"/>
      <c r="BQ53" s="106"/>
      <c r="BR53" s="106"/>
      <c r="BS53" s="106"/>
      <c r="BT53" s="106"/>
      <c r="BU53" s="106"/>
      <c r="BV53" s="106"/>
      <c r="BW53" s="106"/>
      <c r="BX53" s="106"/>
      <c r="BY53" s="106"/>
      <c r="BZ53" s="106"/>
      <c r="CA53" s="106"/>
      <c r="CB53" s="106"/>
      <c r="CC53" s="106"/>
      <c r="CD53" s="106"/>
      <c r="CE53" s="106"/>
      <c r="CF53" s="106"/>
      <c r="CG53" s="106"/>
      <c r="CH53" s="106"/>
      <c r="CI53" s="106"/>
      <c r="CJ53" s="106"/>
      <c r="CK53" s="109">
        <f t="shared" si="11"/>
        <v>14800</v>
      </c>
      <c r="CL53" s="109">
        <f t="shared" si="12"/>
        <v>13600</v>
      </c>
      <c r="CM53" s="109">
        <f t="shared" si="13"/>
        <v>3174.9015732775088</v>
      </c>
      <c r="CN53" s="103">
        <f t="shared" si="14"/>
        <v>0.23344864509393448</v>
      </c>
      <c r="CO53" s="110">
        <f t="shared" si="15"/>
        <v>12436.974789915967</v>
      </c>
      <c r="CP53" s="107">
        <f t="shared" si="16"/>
        <v>2363.0252100840335</v>
      </c>
      <c r="CQ53" s="106">
        <f t="shared" si="17"/>
        <v>14800</v>
      </c>
      <c r="CR53" s="122">
        <f t="shared" ref="CR53:CR81" si="18">+CQ53*E53</f>
        <v>22200000</v>
      </c>
      <c r="CS53" s="89" t="s">
        <v>380</v>
      </c>
    </row>
    <row r="54" spans="1:97" ht="84" customHeight="1">
      <c r="A54" s="90">
        <f t="shared" si="2"/>
        <v>45</v>
      </c>
      <c r="B54" s="63" t="s">
        <v>903</v>
      </c>
      <c r="C54" s="1" t="s">
        <v>345</v>
      </c>
      <c r="D54" s="63" t="s">
        <v>4</v>
      </c>
      <c r="E54" s="8">
        <v>160</v>
      </c>
      <c r="F54" s="1"/>
      <c r="G54" s="106"/>
      <c r="H54" s="106"/>
      <c r="I54" s="106"/>
      <c r="J54" s="106"/>
      <c r="K54" s="106"/>
      <c r="L54" s="106"/>
      <c r="M54" s="106"/>
      <c r="N54" s="106"/>
      <c r="O54" s="106"/>
      <c r="P54" s="106"/>
      <c r="Q54" s="106"/>
      <c r="R54" s="106"/>
      <c r="S54" s="106"/>
      <c r="T54" s="106"/>
      <c r="U54" s="106"/>
      <c r="V54" s="106"/>
      <c r="W54" s="106"/>
      <c r="X54" s="106">
        <v>31600</v>
      </c>
      <c r="Y54" s="106">
        <v>43000</v>
      </c>
      <c r="Z54" s="106">
        <v>44000</v>
      </c>
      <c r="AA54" s="106"/>
      <c r="AB54" s="106"/>
      <c r="AC54" s="106"/>
      <c r="AD54" s="106"/>
      <c r="AE54" s="106"/>
      <c r="AF54" s="106"/>
      <c r="AG54" s="106"/>
      <c r="AH54" s="106"/>
      <c r="AI54" s="106"/>
      <c r="AJ54" s="106"/>
      <c r="AK54" s="106"/>
      <c r="AL54" s="106"/>
      <c r="AM54" s="106"/>
      <c r="AN54" s="106"/>
      <c r="AO54" s="106"/>
      <c r="AP54" s="106"/>
      <c r="AQ54" s="106"/>
      <c r="AR54" s="106"/>
      <c r="AS54" s="106"/>
      <c r="AT54" s="106"/>
      <c r="AU54" s="106"/>
      <c r="AV54" s="106"/>
      <c r="AW54" s="106"/>
      <c r="AX54" s="106"/>
      <c r="AY54" s="106"/>
      <c r="AZ54" s="106"/>
      <c r="BA54" s="106"/>
      <c r="BB54" s="106"/>
      <c r="BC54" s="106"/>
      <c r="BD54" s="106"/>
      <c r="BE54" s="106"/>
      <c r="BF54" s="106"/>
      <c r="BG54" s="106"/>
      <c r="BH54" s="106"/>
      <c r="BI54" s="106"/>
      <c r="BJ54" s="106"/>
      <c r="BK54" s="106"/>
      <c r="BL54" s="106"/>
      <c r="BM54" s="106"/>
      <c r="BN54" s="106"/>
      <c r="BO54" s="106"/>
      <c r="BP54" s="106"/>
      <c r="BQ54" s="106"/>
      <c r="BR54" s="106"/>
      <c r="BS54" s="106"/>
      <c r="BT54" s="106"/>
      <c r="BU54" s="106"/>
      <c r="BV54" s="106"/>
      <c r="BW54" s="106"/>
      <c r="BX54" s="106"/>
      <c r="BY54" s="106"/>
      <c r="BZ54" s="106"/>
      <c r="CA54" s="106"/>
      <c r="CB54" s="106"/>
      <c r="CC54" s="106"/>
      <c r="CD54" s="106"/>
      <c r="CE54" s="106"/>
      <c r="CF54" s="106"/>
      <c r="CG54" s="106"/>
      <c r="CH54" s="106"/>
      <c r="CI54" s="106"/>
      <c r="CJ54" s="106"/>
      <c r="CK54" s="109">
        <f t="shared" ref="CK54:CK81" si="19">+MEDIAN(H54,I54,J54,K54,M54,M54,M54,O54,O54,Q54,S54,U54,W54,X54,Y54,Z54,AA54,AC54,AE54,AG54,AH54,AI54,AJ54,AK54,AL54,AM54,AO54,AP54,AQ54,AS54,AU54,AX54,AZ54,BB54,BC54,BE54,BG54,BH54,BI54,BK54,BL54,BM54,BN54,BP54,BR54,BT54,BV54)</f>
        <v>43000</v>
      </c>
      <c r="CL54" s="109">
        <f t="shared" ref="CL54:CL81" si="20">+AVERAGE(H54,I54,J54,K54,M54,M54,M54,O54,O54,Q54,S54,U54,W54,X54,Y54,Z54,AA54,AC54,AE54,AG54,AH54,AI54,AJ54,AK54,AL54,AM54,AO54,AP54,AQ54,AS54,AU54,AX54,AZ54,BB54,BC54,BE54,BG54,BH54,BI54,BK54,BL54,BM54,BN54,BP54,BR54,BT54,BV54)</f>
        <v>39533.333333333336</v>
      </c>
      <c r="CM54" s="109">
        <f t="shared" ref="CM54:CM81" si="21">+STDEV(H54,I54,J54,K54,M54,M54,M54,O54,O54,Q54,S54,U54,W54,X54,Y54,Z54,AA54,AC54,AE54,AG54,AH54,AI54,AJ54,AK54,AL54,AM54,AO54,AP54,AQ54,AS54,AU54,AX54,AZ54,BB54,BC54,BE54,BG54,BH54,BI54,BK54,BL54,BM54,BN54,BP54,BR54,BT54,BV54)</f>
        <v>6888.6379882625197</v>
      </c>
      <c r="CN54" s="103">
        <f t="shared" si="14"/>
        <v>0.17424885299146339</v>
      </c>
      <c r="CO54" s="110">
        <f t="shared" si="15"/>
        <v>36134.45378151261</v>
      </c>
      <c r="CP54" s="107">
        <f t="shared" si="16"/>
        <v>6865.5462184873959</v>
      </c>
      <c r="CQ54" s="106">
        <f t="shared" si="17"/>
        <v>43000</v>
      </c>
      <c r="CR54" s="122">
        <f t="shared" si="18"/>
        <v>6880000</v>
      </c>
      <c r="CS54" s="89" t="s">
        <v>380</v>
      </c>
    </row>
    <row r="55" spans="1:97" ht="93" customHeight="1">
      <c r="A55" s="90">
        <f t="shared" si="2"/>
        <v>46</v>
      </c>
      <c r="B55" s="63" t="s">
        <v>346</v>
      </c>
      <c r="C55" s="1" t="s">
        <v>763</v>
      </c>
      <c r="D55" s="63" t="s">
        <v>4</v>
      </c>
      <c r="E55" s="8">
        <v>16</v>
      </c>
      <c r="F55" s="1"/>
      <c r="G55" s="106"/>
      <c r="H55" s="106"/>
      <c r="I55" s="106"/>
      <c r="J55" s="106"/>
      <c r="K55" s="106"/>
      <c r="L55" s="106"/>
      <c r="M55" s="106"/>
      <c r="N55" s="106"/>
      <c r="O55" s="106"/>
      <c r="P55" s="106"/>
      <c r="Q55" s="106"/>
      <c r="R55" s="106"/>
      <c r="S55" s="106"/>
      <c r="T55" s="106"/>
      <c r="U55" s="106"/>
      <c r="V55" s="106"/>
      <c r="W55" s="106"/>
      <c r="X55" s="106">
        <v>25000</v>
      </c>
      <c r="Y55" s="106">
        <v>31500</v>
      </c>
      <c r="Z55" s="106">
        <v>32500</v>
      </c>
      <c r="AA55" s="106"/>
      <c r="AB55" s="106"/>
      <c r="AC55" s="106"/>
      <c r="AD55" s="106"/>
      <c r="AE55" s="106"/>
      <c r="AF55" s="106"/>
      <c r="AG55" s="106"/>
      <c r="AH55" s="106"/>
      <c r="AI55" s="106"/>
      <c r="AJ55" s="106"/>
      <c r="AK55" s="106"/>
      <c r="AL55" s="106"/>
      <c r="AM55" s="106"/>
      <c r="AN55" s="106"/>
      <c r="AO55" s="106"/>
      <c r="AP55" s="106"/>
      <c r="AQ55" s="106"/>
      <c r="AR55" s="106"/>
      <c r="AS55" s="106"/>
      <c r="AT55" s="106"/>
      <c r="AU55" s="106"/>
      <c r="AV55" s="106"/>
      <c r="AW55" s="106"/>
      <c r="AX55" s="106"/>
      <c r="AY55" s="106"/>
      <c r="AZ55" s="106"/>
      <c r="BA55" s="106"/>
      <c r="BB55" s="106"/>
      <c r="BC55" s="106"/>
      <c r="BD55" s="106"/>
      <c r="BE55" s="106"/>
      <c r="BF55" s="106"/>
      <c r="BG55" s="106"/>
      <c r="BH55" s="106"/>
      <c r="BI55" s="106"/>
      <c r="BJ55" s="106"/>
      <c r="BK55" s="106"/>
      <c r="BL55" s="106"/>
      <c r="BM55" s="106"/>
      <c r="BN55" s="106"/>
      <c r="BO55" s="106"/>
      <c r="BP55" s="106"/>
      <c r="BQ55" s="106"/>
      <c r="BR55" s="106"/>
      <c r="BS55" s="106"/>
      <c r="BT55" s="106"/>
      <c r="BU55" s="106"/>
      <c r="BV55" s="106"/>
      <c r="BW55" s="106"/>
      <c r="BX55" s="106"/>
      <c r="BY55" s="106"/>
      <c r="BZ55" s="106"/>
      <c r="CA55" s="106"/>
      <c r="CB55" s="106"/>
      <c r="CC55" s="106"/>
      <c r="CD55" s="106"/>
      <c r="CE55" s="106"/>
      <c r="CF55" s="106"/>
      <c r="CG55" s="106"/>
      <c r="CH55" s="106"/>
      <c r="CI55" s="106"/>
      <c r="CJ55" s="106"/>
      <c r="CK55" s="109">
        <f t="shared" si="19"/>
        <v>31500</v>
      </c>
      <c r="CL55" s="109">
        <f t="shared" si="20"/>
        <v>29666.666666666668</v>
      </c>
      <c r="CM55" s="109">
        <f t="shared" si="21"/>
        <v>4072.2639076235291</v>
      </c>
      <c r="CN55" s="103">
        <f t="shared" si="14"/>
        <v>0.13726732272888301</v>
      </c>
      <c r="CO55" s="110">
        <f t="shared" si="15"/>
        <v>24930.252100840338</v>
      </c>
      <c r="CP55" s="107">
        <f t="shared" si="16"/>
        <v>4736.7478991596645</v>
      </c>
      <c r="CQ55" s="106">
        <f t="shared" si="17"/>
        <v>29667</v>
      </c>
      <c r="CR55" s="122">
        <f t="shared" si="18"/>
        <v>474672</v>
      </c>
      <c r="CS55" s="89" t="s">
        <v>732</v>
      </c>
    </row>
    <row r="56" spans="1:97" ht="96" customHeight="1">
      <c r="A56" s="90">
        <f t="shared" si="2"/>
        <v>47</v>
      </c>
      <c r="B56" s="63" t="s">
        <v>36</v>
      </c>
      <c r="C56" s="1" t="s">
        <v>917</v>
      </c>
      <c r="D56" s="63" t="s">
        <v>4</v>
      </c>
      <c r="E56" s="8">
        <v>35</v>
      </c>
      <c r="F56" s="1"/>
      <c r="G56" s="106"/>
      <c r="H56" s="106"/>
      <c r="I56" s="106"/>
      <c r="J56" s="106"/>
      <c r="K56" s="106"/>
      <c r="L56" s="106"/>
      <c r="M56" s="106"/>
      <c r="N56" s="106"/>
      <c r="O56" s="106"/>
      <c r="P56" s="106"/>
      <c r="Q56" s="106"/>
      <c r="R56" s="106"/>
      <c r="S56" s="106"/>
      <c r="T56" s="106"/>
      <c r="U56" s="106"/>
      <c r="V56" s="106"/>
      <c r="W56" s="106"/>
      <c r="X56" s="106"/>
      <c r="Y56" s="106">
        <v>14000</v>
      </c>
      <c r="Z56" s="106"/>
      <c r="AA56" s="106">
        <v>15000</v>
      </c>
      <c r="AB56" s="106"/>
      <c r="AC56" s="106"/>
      <c r="AD56" s="106"/>
      <c r="AE56" s="106"/>
      <c r="AF56" s="106"/>
      <c r="AG56" s="106"/>
      <c r="AH56" s="106"/>
      <c r="AI56" s="106"/>
      <c r="AJ56" s="106"/>
      <c r="AK56" s="106"/>
      <c r="AL56" s="106"/>
      <c r="AM56" s="106"/>
      <c r="AN56" s="106"/>
      <c r="AO56" s="106"/>
      <c r="AP56" s="106"/>
      <c r="AQ56" s="106"/>
      <c r="AR56" s="106"/>
      <c r="AS56" s="106"/>
      <c r="AT56" s="106"/>
      <c r="AU56" s="106"/>
      <c r="AV56" s="106"/>
      <c r="AW56" s="106"/>
      <c r="AX56" s="106"/>
      <c r="AY56" s="106"/>
      <c r="AZ56" s="106"/>
      <c r="BA56" s="106"/>
      <c r="BB56" s="106"/>
      <c r="BC56" s="106"/>
      <c r="BD56" s="106"/>
      <c r="BE56" s="106"/>
      <c r="BF56" s="106"/>
      <c r="BG56" s="106"/>
      <c r="BH56" s="106"/>
      <c r="BI56" s="106"/>
      <c r="BJ56" s="106"/>
      <c r="BK56" s="106"/>
      <c r="BL56" s="106"/>
      <c r="BM56" s="106"/>
      <c r="BN56" s="106"/>
      <c r="BO56" s="106"/>
      <c r="BP56" s="106"/>
      <c r="BQ56" s="106"/>
      <c r="BR56" s="106"/>
      <c r="BS56" s="106"/>
      <c r="BT56" s="106"/>
      <c r="BU56" s="106"/>
      <c r="BV56" s="106"/>
      <c r="BW56" s="106"/>
      <c r="BX56" s="106"/>
      <c r="BY56" s="106"/>
      <c r="BZ56" s="106"/>
      <c r="CA56" s="106"/>
      <c r="CB56" s="106"/>
      <c r="CC56" s="106"/>
      <c r="CD56" s="106"/>
      <c r="CE56" s="106"/>
      <c r="CF56" s="106"/>
      <c r="CG56" s="106"/>
      <c r="CH56" s="106"/>
      <c r="CI56" s="106"/>
      <c r="CJ56" s="106"/>
      <c r="CK56" s="109">
        <f t="shared" si="19"/>
        <v>14500</v>
      </c>
      <c r="CL56" s="109">
        <f t="shared" si="20"/>
        <v>14500</v>
      </c>
      <c r="CM56" s="109">
        <f t="shared" si="21"/>
        <v>707.10678118654755</v>
      </c>
      <c r="CN56" s="103">
        <f t="shared" si="14"/>
        <v>4.8765984909417075E-2</v>
      </c>
      <c r="CO56" s="110">
        <f t="shared" si="15"/>
        <v>12184.873949579833</v>
      </c>
      <c r="CP56" s="107">
        <f t="shared" si="16"/>
        <v>2315.1260504201682</v>
      </c>
      <c r="CQ56" s="106">
        <f t="shared" si="17"/>
        <v>14500</v>
      </c>
      <c r="CR56" s="122">
        <f t="shared" si="18"/>
        <v>507500</v>
      </c>
      <c r="CS56" s="79" t="s">
        <v>731</v>
      </c>
    </row>
    <row r="57" spans="1:97" ht="72.650000000000006" customHeight="1">
      <c r="A57" s="90">
        <f t="shared" si="2"/>
        <v>48</v>
      </c>
      <c r="B57" s="63" t="s">
        <v>347</v>
      </c>
      <c r="C57" s="1" t="s">
        <v>764</v>
      </c>
      <c r="D57" s="63" t="s">
        <v>4</v>
      </c>
      <c r="E57" s="8">
        <v>25</v>
      </c>
      <c r="F57" s="1"/>
      <c r="G57" s="106"/>
      <c r="H57" s="106"/>
      <c r="I57" s="106"/>
      <c r="J57" s="106"/>
      <c r="K57" s="106"/>
      <c r="L57" s="106"/>
      <c r="M57" s="106"/>
      <c r="N57" s="106"/>
      <c r="O57" s="106"/>
      <c r="P57" s="106"/>
      <c r="Q57" s="106"/>
      <c r="R57" s="106"/>
      <c r="S57" s="106"/>
      <c r="T57" s="106"/>
      <c r="U57" s="106"/>
      <c r="V57" s="106"/>
      <c r="W57" s="106"/>
      <c r="X57" s="106"/>
      <c r="Y57" s="106">
        <v>18050</v>
      </c>
      <c r="Z57" s="106"/>
      <c r="AA57" s="106">
        <v>15000</v>
      </c>
      <c r="AB57" s="106"/>
      <c r="AC57" s="106"/>
      <c r="AD57" s="106"/>
      <c r="AE57" s="106"/>
      <c r="AF57" s="106"/>
      <c r="AG57" s="106"/>
      <c r="AH57" s="106"/>
      <c r="AI57" s="106"/>
      <c r="AJ57" s="106"/>
      <c r="AK57" s="106"/>
      <c r="AL57" s="106"/>
      <c r="AM57" s="106"/>
      <c r="AN57" s="106"/>
      <c r="AO57" s="106"/>
      <c r="AP57" s="106"/>
      <c r="AQ57" s="106"/>
      <c r="AR57" s="106"/>
      <c r="AS57" s="106"/>
      <c r="AT57" s="106"/>
      <c r="AU57" s="106"/>
      <c r="AV57" s="106"/>
      <c r="AW57" s="106"/>
      <c r="AX57" s="106"/>
      <c r="AY57" s="106"/>
      <c r="AZ57" s="106"/>
      <c r="BA57" s="106"/>
      <c r="BB57" s="106"/>
      <c r="BC57" s="106"/>
      <c r="BD57" s="106"/>
      <c r="BE57" s="106"/>
      <c r="BF57" s="106"/>
      <c r="BG57" s="106"/>
      <c r="BH57" s="106"/>
      <c r="BI57" s="106"/>
      <c r="BJ57" s="106"/>
      <c r="BK57" s="106"/>
      <c r="BL57" s="106"/>
      <c r="BM57" s="106"/>
      <c r="BN57" s="106"/>
      <c r="BO57" s="106"/>
      <c r="BP57" s="106"/>
      <c r="BQ57" s="106"/>
      <c r="BR57" s="106"/>
      <c r="BS57" s="106"/>
      <c r="BT57" s="106"/>
      <c r="BU57" s="106"/>
      <c r="BV57" s="106"/>
      <c r="BW57" s="106"/>
      <c r="BX57" s="106"/>
      <c r="BY57" s="106"/>
      <c r="BZ57" s="106"/>
      <c r="CA57" s="106"/>
      <c r="CB57" s="106"/>
      <c r="CC57" s="106"/>
      <c r="CD57" s="106"/>
      <c r="CE57" s="106"/>
      <c r="CF57" s="106"/>
      <c r="CG57" s="106"/>
      <c r="CH57" s="106"/>
      <c r="CI57" s="106"/>
      <c r="CJ57" s="106"/>
      <c r="CK57" s="109">
        <f t="shared" si="19"/>
        <v>16525</v>
      </c>
      <c r="CL57" s="109">
        <f t="shared" si="20"/>
        <v>16525</v>
      </c>
      <c r="CM57" s="109">
        <f t="shared" si="21"/>
        <v>2156.6756826189699</v>
      </c>
      <c r="CN57" s="103">
        <f t="shared" si="14"/>
        <v>0.13050987489373495</v>
      </c>
      <c r="CO57" s="110">
        <f t="shared" si="15"/>
        <v>13886.55462184874</v>
      </c>
      <c r="CP57" s="107">
        <f t="shared" si="16"/>
        <v>2638.4453781512607</v>
      </c>
      <c r="CQ57" s="106">
        <f t="shared" si="17"/>
        <v>16525</v>
      </c>
      <c r="CR57" s="122">
        <f t="shared" si="18"/>
        <v>413125</v>
      </c>
      <c r="CS57" s="79" t="s">
        <v>731</v>
      </c>
    </row>
    <row r="58" spans="1:97" ht="71.650000000000006" customHeight="1">
      <c r="A58" s="90">
        <f t="shared" si="2"/>
        <v>49</v>
      </c>
      <c r="B58" s="63" t="s">
        <v>348</v>
      </c>
      <c r="C58" s="1" t="s">
        <v>349</v>
      </c>
      <c r="D58" s="63" t="s">
        <v>4</v>
      </c>
      <c r="E58" s="8">
        <v>35</v>
      </c>
      <c r="F58" s="1"/>
      <c r="G58" s="106"/>
      <c r="H58" s="106"/>
      <c r="I58" s="106"/>
      <c r="J58" s="106"/>
      <c r="K58" s="106"/>
      <c r="L58" s="106"/>
      <c r="M58" s="106"/>
      <c r="N58" s="106"/>
      <c r="O58" s="106"/>
      <c r="P58" s="106"/>
      <c r="Q58" s="106"/>
      <c r="R58" s="106"/>
      <c r="S58" s="106"/>
      <c r="T58" s="106"/>
      <c r="U58" s="106"/>
      <c r="V58" s="106"/>
      <c r="W58" s="106"/>
      <c r="X58" s="106">
        <v>35000</v>
      </c>
      <c r="Y58" s="106">
        <v>50000</v>
      </c>
      <c r="Z58" s="106">
        <v>52000</v>
      </c>
      <c r="AA58" s="112"/>
      <c r="AB58" s="112"/>
      <c r="AC58" s="112"/>
      <c r="AD58" s="112"/>
      <c r="AE58" s="112"/>
      <c r="AF58" s="112"/>
      <c r="AG58" s="112"/>
      <c r="AH58" s="112"/>
      <c r="AI58" s="112"/>
      <c r="AJ58" s="112"/>
      <c r="AK58" s="112"/>
      <c r="AL58" s="112"/>
      <c r="AM58" s="112"/>
      <c r="AN58" s="112"/>
      <c r="AO58" s="112"/>
      <c r="AP58" s="112"/>
      <c r="AQ58" s="112"/>
      <c r="AR58" s="112"/>
      <c r="AS58" s="112"/>
      <c r="AT58" s="112"/>
      <c r="AU58" s="112"/>
      <c r="AV58" s="112"/>
      <c r="AW58" s="112"/>
      <c r="AX58" s="112"/>
      <c r="AY58" s="112"/>
      <c r="AZ58" s="112"/>
      <c r="BA58" s="112"/>
      <c r="BB58" s="112"/>
      <c r="BC58" s="112"/>
      <c r="BD58" s="112"/>
      <c r="BE58" s="112"/>
      <c r="BF58" s="112"/>
      <c r="BG58" s="112"/>
      <c r="BH58" s="112"/>
      <c r="BI58" s="112"/>
      <c r="BJ58" s="112"/>
      <c r="BK58" s="112"/>
      <c r="BL58" s="112"/>
      <c r="BM58" s="112"/>
      <c r="BN58" s="112"/>
      <c r="BO58" s="112"/>
      <c r="BP58" s="112"/>
      <c r="BQ58" s="112"/>
      <c r="BR58" s="112"/>
      <c r="BS58" s="112"/>
      <c r="BT58" s="112"/>
      <c r="BU58" s="112"/>
      <c r="BV58" s="112"/>
      <c r="BW58" s="112"/>
      <c r="BX58" s="112"/>
      <c r="BY58" s="112"/>
      <c r="BZ58" s="112"/>
      <c r="CA58" s="112"/>
      <c r="CB58" s="112"/>
      <c r="CC58" s="112"/>
      <c r="CD58" s="112"/>
      <c r="CE58" s="112"/>
      <c r="CF58" s="112"/>
      <c r="CG58" s="112"/>
      <c r="CH58" s="112"/>
      <c r="CI58" s="112"/>
      <c r="CJ58" s="112"/>
      <c r="CK58" s="109">
        <f t="shared" si="19"/>
        <v>50000</v>
      </c>
      <c r="CL58" s="109">
        <f t="shared" si="20"/>
        <v>45666.666666666664</v>
      </c>
      <c r="CM58" s="109">
        <f t="shared" si="21"/>
        <v>9291.5732431775778</v>
      </c>
      <c r="CN58" s="103">
        <f t="shared" si="14"/>
        <v>0.20346510751483748</v>
      </c>
      <c r="CO58" s="110">
        <f t="shared" si="15"/>
        <v>42016.806722689078</v>
      </c>
      <c r="CP58" s="107">
        <f t="shared" si="16"/>
        <v>7983.1932773109247</v>
      </c>
      <c r="CQ58" s="106">
        <f t="shared" si="17"/>
        <v>50000</v>
      </c>
      <c r="CR58" s="122">
        <f t="shared" si="18"/>
        <v>1750000</v>
      </c>
      <c r="CS58" s="89" t="s">
        <v>380</v>
      </c>
    </row>
    <row r="59" spans="1:97" ht="103.9" customHeight="1">
      <c r="A59" s="90">
        <f t="shared" si="2"/>
        <v>50</v>
      </c>
      <c r="B59" s="63" t="s">
        <v>112</v>
      </c>
      <c r="C59" s="1" t="s">
        <v>350</v>
      </c>
      <c r="D59" s="63" t="s">
        <v>4</v>
      </c>
      <c r="E59" s="8">
        <v>160</v>
      </c>
      <c r="F59" s="1"/>
      <c r="G59" s="106"/>
      <c r="H59" s="106"/>
      <c r="I59" s="106"/>
      <c r="J59" s="106"/>
      <c r="K59" s="106"/>
      <c r="L59" s="106"/>
      <c r="M59" s="106"/>
      <c r="N59" s="106"/>
      <c r="O59" s="106"/>
      <c r="P59" s="106"/>
      <c r="Q59" s="106"/>
      <c r="R59" s="106"/>
      <c r="S59" s="106"/>
      <c r="T59" s="106"/>
      <c r="U59" s="106"/>
      <c r="V59" s="106"/>
      <c r="W59" s="106"/>
      <c r="X59" s="106"/>
      <c r="Y59" s="106"/>
      <c r="Z59" s="106"/>
      <c r="AA59" s="106"/>
      <c r="AB59" s="106">
        <v>16832</v>
      </c>
      <c r="AC59" s="106">
        <v>17690</v>
      </c>
      <c r="AD59" s="106">
        <v>18963</v>
      </c>
      <c r="AE59" s="106">
        <v>19930</v>
      </c>
      <c r="AF59" s="106">
        <v>15100</v>
      </c>
      <c r="AG59" s="106">
        <v>15870</v>
      </c>
      <c r="AH59" s="106"/>
      <c r="AI59" s="106"/>
      <c r="AJ59" s="106"/>
      <c r="AK59" s="106"/>
      <c r="AL59" s="106"/>
      <c r="AM59" s="106"/>
      <c r="AN59" s="106"/>
      <c r="AO59" s="106"/>
      <c r="AP59" s="106"/>
      <c r="AQ59" s="106"/>
      <c r="AR59" s="106"/>
      <c r="AS59" s="106"/>
      <c r="AT59" s="106"/>
      <c r="AU59" s="106"/>
      <c r="AV59" s="106"/>
      <c r="AW59" s="106"/>
      <c r="AX59" s="106"/>
      <c r="AY59" s="106"/>
      <c r="AZ59" s="106"/>
      <c r="BA59" s="106"/>
      <c r="BB59" s="106"/>
      <c r="BC59" s="106"/>
      <c r="BD59" s="106"/>
      <c r="BE59" s="106"/>
      <c r="BF59" s="106"/>
      <c r="BG59" s="106"/>
      <c r="BH59" s="106"/>
      <c r="BI59" s="106"/>
      <c r="BJ59" s="106"/>
      <c r="BK59" s="106"/>
      <c r="BL59" s="106"/>
      <c r="BM59" s="106"/>
      <c r="BN59" s="106"/>
      <c r="BO59" s="106"/>
      <c r="BP59" s="106"/>
      <c r="BQ59" s="106"/>
      <c r="BR59" s="106"/>
      <c r="BS59" s="106"/>
      <c r="BT59" s="106"/>
      <c r="BU59" s="106"/>
      <c r="BV59" s="106"/>
      <c r="BW59" s="106"/>
      <c r="BX59" s="106"/>
      <c r="BY59" s="106"/>
      <c r="BZ59" s="106"/>
      <c r="CA59" s="106"/>
      <c r="CB59" s="106"/>
      <c r="CC59" s="106"/>
      <c r="CD59" s="106"/>
      <c r="CE59" s="106"/>
      <c r="CF59" s="106"/>
      <c r="CG59" s="106"/>
      <c r="CH59" s="106"/>
      <c r="CI59" s="106"/>
      <c r="CJ59" s="106"/>
      <c r="CK59" s="109">
        <f t="shared" si="19"/>
        <v>17690</v>
      </c>
      <c r="CL59" s="109">
        <f t="shared" si="20"/>
        <v>17830</v>
      </c>
      <c r="CM59" s="109">
        <f t="shared" si="21"/>
        <v>2033.6174664867531</v>
      </c>
      <c r="CN59" s="103">
        <f t="shared" si="14"/>
        <v>0.11405594315685659</v>
      </c>
      <c r="CO59" s="110">
        <f t="shared" si="15"/>
        <v>14983.193277310926</v>
      </c>
      <c r="CP59" s="107">
        <f t="shared" si="16"/>
        <v>2846.8067226890757</v>
      </c>
      <c r="CQ59" s="106">
        <f t="shared" si="17"/>
        <v>17830</v>
      </c>
      <c r="CR59" s="122">
        <f t="shared" si="18"/>
        <v>2852800</v>
      </c>
      <c r="CS59" s="89" t="s">
        <v>731</v>
      </c>
    </row>
    <row r="60" spans="1:97" ht="90.65" customHeight="1">
      <c r="A60" s="90">
        <f t="shared" si="2"/>
        <v>51</v>
      </c>
      <c r="B60" s="63" t="s">
        <v>351</v>
      </c>
      <c r="C60" s="1" t="s">
        <v>352</v>
      </c>
      <c r="D60" s="63" t="s">
        <v>6</v>
      </c>
      <c r="E60" s="8">
        <v>32</v>
      </c>
      <c r="F60" s="1"/>
      <c r="G60" s="106"/>
      <c r="H60" s="106"/>
      <c r="I60" s="106"/>
      <c r="J60" s="106"/>
      <c r="K60" s="106"/>
      <c r="L60" s="106"/>
      <c r="M60" s="106"/>
      <c r="N60" s="106"/>
      <c r="O60" s="106"/>
      <c r="P60" s="106"/>
      <c r="Q60" s="106"/>
      <c r="R60" s="106"/>
      <c r="S60" s="106"/>
      <c r="T60" s="106"/>
      <c r="U60" s="106"/>
      <c r="V60" s="106"/>
      <c r="W60" s="106"/>
      <c r="X60" s="106"/>
      <c r="Y60" s="106"/>
      <c r="Z60" s="106"/>
      <c r="AA60" s="106"/>
      <c r="AB60" s="106"/>
      <c r="AC60" s="106"/>
      <c r="AD60" s="106"/>
      <c r="AE60" s="106"/>
      <c r="AF60" s="106"/>
      <c r="AG60" s="106"/>
      <c r="AH60" s="106">
        <v>199000</v>
      </c>
      <c r="AI60" s="106">
        <v>195000</v>
      </c>
      <c r="AJ60" s="106">
        <v>198000</v>
      </c>
      <c r="AK60" s="106"/>
      <c r="AL60" s="106"/>
      <c r="AM60" s="106"/>
      <c r="AN60" s="106"/>
      <c r="AO60" s="106"/>
      <c r="AP60" s="106"/>
      <c r="AQ60" s="106"/>
      <c r="AR60" s="106"/>
      <c r="AS60" s="106"/>
      <c r="AT60" s="106"/>
      <c r="AU60" s="106"/>
      <c r="AV60" s="106"/>
      <c r="AW60" s="106"/>
      <c r="AX60" s="106"/>
      <c r="AY60" s="106"/>
      <c r="AZ60" s="106"/>
      <c r="BA60" s="106"/>
      <c r="BB60" s="106"/>
      <c r="BC60" s="106"/>
      <c r="BD60" s="106"/>
      <c r="BE60" s="106"/>
      <c r="BF60" s="106"/>
      <c r="BG60" s="106"/>
      <c r="BH60" s="106"/>
      <c r="BI60" s="106"/>
      <c r="BJ60" s="106"/>
      <c r="BK60" s="106"/>
      <c r="BL60" s="106"/>
      <c r="BM60" s="106"/>
      <c r="BN60" s="106"/>
      <c r="BO60" s="106"/>
      <c r="BP60" s="106"/>
      <c r="BQ60" s="106"/>
      <c r="BR60" s="106"/>
      <c r="BS60" s="106"/>
      <c r="BT60" s="106"/>
      <c r="BU60" s="106"/>
      <c r="BV60" s="106"/>
      <c r="BW60" s="106"/>
      <c r="BX60" s="106"/>
      <c r="BY60" s="106"/>
      <c r="BZ60" s="106"/>
      <c r="CA60" s="106"/>
      <c r="CB60" s="106"/>
      <c r="CC60" s="106"/>
      <c r="CD60" s="106"/>
      <c r="CE60" s="106"/>
      <c r="CF60" s="106"/>
      <c r="CG60" s="106"/>
      <c r="CH60" s="106"/>
      <c r="CI60" s="106"/>
      <c r="CJ60" s="106"/>
      <c r="CK60" s="109">
        <f t="shared" si="19"/>
        <v>198000</v>
      </c>
      <c r="CL60" s="109">
        <f t="shared" si="20"/>
        <v>197333.33333333334</v>
      </c>
      <c r="CM60" s="109">
        <f t="shared" si="21"/>
        <v>2081.6659994661327</v>
      </c>
      <c r="CN60" s="103">
        <f t="shared" si="14"/>
        <v>1.0548983105402698E-2</v>
      </c>
      <c r="CO60" s="110">
        <f t="shared" si="15"/>
        <v>165826.89075630254</v>
      </c>
      <c r="CP60" s="107">
        <f t="shared" si="16"/>
        <v>31507.109243697483</v>
      </c>
      <c r="CQ60" s="106">
        <f t="shared" si="17"/>
        <v>197334</v>
      </c>
      <c r="CR60" s="122">
        <f t="shared" si="18"/>
        <v>6314688</v>
      </c>
      <c r="CS60" s="79" t="s">
        <v>731</v>
      </c>
    </row>
    <row r="61" spans="1:97" ht="67.900000000000006" customHeight="1">
      <c r="A61" s="90">
        <f t="shared" si="2"/>
        <v>52</v>
      </c>
      <c r="B61" s="63" t="s">
        <v>755</v>
      </c>
      <c r="C61" s="1" t="s">
        <v>353</v>
      </c>
      <c r="D61" s="63" t="s">
        <v>4</v>
      </c>
      <c r="E61" s="8">
        <v>160</v>
      </c>
      <c r="F61" s="1"/>
      <c r="G61" s="106"/>
      <c r="H61" s="106"/>
      <c r="I61" s="106"/>
      <c r="J61" s="106"/>
      <c r="K61" s="106"/>
      <c r="L61" s="106"/>
      <c r="M61" s="106"/>
      <c r="N61" s="106"/>
      <c r="O61" s="106"/>
      <c r="P61" s="106"/>
      <c r="Q61" s="106"/>
      <c r="R61" s="106"/>
      <c r="S61" s="106"/>
      <c r="T61" s="106"/>
      <c r="U61" s="106"/>
      <c r="V61" s="106"/>
      <c r="W61" s="106"/>
      <c r="X61" s="106"/>
      <c r="Y61" s="106">
        <v>2800</v>
      </c>
      <c r="Z61" s="106"/>
      <c r="AA61" s="106">
        <v>3000</v>
      </c>
      <c r="AB61" s="106"/>
      <c r="AC61" s="106"/>
      <c r="AD61" s="106"/>
      <c r="AE61" s="106"/>
      <c r="AF61" s="106"/>
      <c r="AG61" s="106"/>
      <c r="AH61" s="106"/>
      <c r="AI61" s="106"/>
      <c r="AJ61" s="106"/>
      <c r="AK61" s="106"/>
      <c r="AL61" s="106"/>
      <c r="AM61" s="106"/>
      <c r="AN61" s="106"/>
      <c r="AO61" s="106"/>
      <c r="AP61" s="106"/>
      <c r="AQ61" s="106"/>
      <c r="AR61" s="106"/>
      <c r="AS61" s="106"/>
      <c r="AT61" s="106"/>
      <c r="AU61" s="106"/>
      <c r="AV61" s="106"/>
      <c r="AW61" s="106"/>
      <c r="AX61" s="106"/>
      <c r="AY61" s="106"/>
      <c r="AZ61" s="106"/>
      <c r="BA61" s="106"/>
      <c r="BB61" s="106"/>
      <c r="BC61" s="106"/>
      <c r="BD61" s="106"/>
      <c r="BE61" s="106"/>
      <c r="BF61" s="106"/>
      <c r="BG61" s="106"/>
      <c r="BH61" s="106"/>
      <c r="BI61" s="106"/>
      <c r="BJ61" s="106"/>
      <c r="BK61" s="106"/>
      <c r="BL61" s="106"/>
      <c r="BM61" s="106"/>
      <c r="BN61" s="106"/>
      <c r="BO61" s="106"/>
      <c r="BP61" s="106"/>
      <c r="BQ61" s="106"/>
      <c r="BR61" s="106"/>
      <c r="BS61" s="106"/>
      <c r="BT61" s="106"/>
      <c r="BU61" s="106"/>
      <c r="BV61" s="106"/>
      <c r="BW61" s="106"/>
      <c r="BX61" s="106"/>
      <c r="BY61" s="106"/>
      <c r="BZ61" s="106"/>
      <c r="CA61" s="106"/>
      <c r="CB61" s="106"/>
      <c r="CC61" s="106"/>
      <c r="CD61" s="106"/>
      <c r="CE61" s="106"/>
      <c r="CF61" s="106"/>
      <c r="CG61" s="106"/>
      <c r="CH61" s="106"/>
      <c r="CI61" s="106"/>
      <c r="CJ61" s="106"/>
      <c r="CK61" s="109">
        <f t="shared" si="19"/>
        <v>2900</v>
      </c>
      <c r="CL61" s="109">
        <f t="shared" si="20"/>
        <v>2900</v>
      </c>
      <c r="CM61" s="109">
        <f t="shared" si="21"/>
        <v>141.42135623730951</v>
      </c>
      <c r="CN61" s="103">
        <f t="shared" si="14"/>
        <v>4.8765984909417075E-2</v>
      </c>
      <c r="CO61" s="110">
        <f t="shared" si="15"/>
        <v>2436.9747899159665</v>
      </c>
      <c r="CP61" s="107">
        <f t="shared" si="16"/>
        <v>463.02521008403363</v>
      </c>
      <c r="CQ61" s="106">
        <f t="shared" si="17"/>
        <v>2900</v>
      </c>
      <c r="CR61" s="122">
        <f t="shared" si="18"/>
        <v>464000</v>
      </c>
      <c r="CS61" s="79" t="s">
        <v>731</v>
      </c>
    </row>
    <row r="62" spans="1:97" ht="99" customHeight="1">
      <c r="A62" s="90">
        <f t="shared" si="2"/>
        <v>53</v>
      </c>
      <c r="B62" s="63" t="s">
        <v>354</v>
      </c>
      <c r="C62" s="1" t="s">
        <v>355</v>
      </c>
      <c r="D62" s="63" t="s">
        <v>4</v>
      </c>
      <c r="E62" s="8">
        <v>1200</v>
      </c>
      <c r="F62" s="1"/>
      <c r="G62" s="106"/>
      <c r="H62" s="106"/>
      <c r="I62" s="106"/>
      <c r="J62" s="106"/>
      <c r="K62" s="106"/>
      <c r="L62" s="106"/>
      <c r="M62" s="106"/>
      <c r="N62" s="106"/>
      <c r="O62" s="106"/>
      <c r="P62" s="106"/>
      <c r="Q62" s="106"/>
      <c r="R62" s="106"/>
      <c r="S62" s="106"/>
      <c r="T62" s="106"/>
      <c r="U62" s="106"/>
      <c r="V62" s="106"/>
      <c r="W62" s="106"/>
      <c r="X62" s="106"/>
      <c r="Y62" s="106"/>
      <c r="Z62" s="106"/>
      <c r="AA62" s="106"/>
      <c r="AB62" s="106"/>
      <c r="AC62" s="106"/>
      <c r="AD62" s="106"/>
      <c r="AE62" s="106"/>
      <c r="AF62" s="106"/>
      <c r="AG62" s="106"/>
      <c r="AH62" s="106"/>
      <c r="AI62" s="106"/>
      <c r="AJ62" s="106"/>
      <c r="AK62" s="109">
        <v>17800</v>
      </c>
      <c r="AL62" s="109">
        <v>24000</v>
      </c>
      <c r="AM62" s="109">
        <v>22610</v>
      </c>
      <c r="AN62" s="109"/>
      <c r="AO62" s="109"/>
      <c r="AP62" s="109"/>
      <c r="AQ62" s="109"/>
      <c r="AR62" s="109"/>
      <c r="AS62" s="109"/>
      <c r="AT62" s="109"/>
      <c r="AU62" s="109"/>
      <c r="AV62" s="109"/>
      <c r="AW62" s="109"/>
      <c r="AX62" s="109"/>
      <c r="AY62" s="109"/>
      <c r="AZ62" s="109"/>
      <c r="BA62" s="109"/>
      <c r="BB62" s="109"/>
      <c r="BC62" s="109"/>
      <c r="BD62" s="109"/>
      <c r="BE62" s="109"/>
      <c r="BF62" s="109"/>
      <c r="BG62" s="109"/>
      <c r="BH62" s="109"/>
      <c r="BI62" s="109"/>
      <c r="BJ62" s="109"/>
      <c r="BK62" s="109"/>
      <c r="BL62" s="109"/>
      <c r="BM62" s="109"/>
      <c r="BN62" s="109"/>
      <c r="BO62" s="109"/>
      <c r="BP62" s="109"/>
      <c r="BQ62" s="109"/>
      <c r="BR62" s="109"/>
      <c r="BS62" s="109"/>
      <c r="BT62" s="109"/>
      <c r="BU62" s="109"/>
      <c r="BV62" s="109"/>
      <c r="BW62" s="109"/>
      <c r="BX62" s="109"/>
      <c r="BY62" s="109"/>
      <c r="BZ62" s="109"/>
      <c r="CA62" s="109"/>
      <c r="CB62" s="109"/>
      <c r="CC62" s="109"/>
      <c r="CD62" s="109"/>
      <c r="CE62" s="109"/>
      <c r="CF62" s="109"/>
      <c r="CG62" s="109"/>
      <c r="CH62" s="109"/>
      <c r="CI62" s="109"/>
      <c r="CJ62" s="109"/>
      <c r="CK62" s="109">
        <f t="shared" si="19"/>
        <v>22610</v>
      </c>
      <c r="CL62" s="109">
        <f t="shared" si="20"/>
        <v>21470</v>
      </c>
      <c r="CM62" s="109">
        <f t="shared" si="21"/>
        <v>3253.4135919061996</v>
      </c>
      <c r="CN62" s="103">
        <f t="shared" si="14"/>
        <v>0.1515330038149138</v>
      </c>
      <c r="CO62" s="110">
        <f t="shared" si="15"/>
        <v>19000</v>
      </c>
      <c r="CP62" s="107">
        <f t="shared" si="16"/>
        <v>3610</v>
      </c>
      <c r="CQ62" s="106">
        <f t="shared" si="17"/>
        <v>22610</v>
      </c>
      <c r="CR62" s="122">
        <f t="shared" si="18"/>
        <v>27132000</v>
      </c>
      <c r="CS62" s="79" t="s">
        <v>731</v>
      </c>
    </row>
    <row r="63" spans="1:97" ht="116.25" customHeight="1">
      <c r="A63" s="90">
        <f t="shared" si="2"/>
        <v>54</v>
      </c>
      <c r="B63" s="63" t="s">
        <v>766</v>
      </c>
      <c r="C63" s="1" t="s">
        <v>765</v>
      </c>
      <c r="D63" s="91" t="s">
        <v>6</v>
      </c>
      <c r="E63" s="8">
        <v>50</v>
      </c>
      <c r="F63" s="1"/>
      <c r="G63" s="106"/>
      <c r="H63" s="106"/>
      <c r="I63" s="106"/>
      <c r="J63" s="106"/>
      <c r="K63" s="106"/>
      <c r="L63" s="106"/>
      <c r="M63" s="106"/>
      <c r="N63" s="106"/>
      <c r="O63" s="106"/>
      <c r="P63" s="106"/>
      <c r="Q63" s="106"/>
      <c r="R63" s="106"/>
      <c r="S63" s="106"/>
      <c r="T63" s="106"/>
      <c r="U63" s="106"/>
      <c r="V63" s="106"/>
      <c r="W63" s="106"/>
      <c r="X63" s="106">
        <v>35000</v>
      </c>
      <c r="Y63" s="106">
        <v>50000</v>
      </c>
      <c r="Z63" s="106">
        <v>52000</v>
      </c>
      <c r="AA63" s="106">
        <v>32000</v>
      </c>
      <c r="AB63" s="112"/>
      <c r="AC63" s="112"/>
      <c r="AD63" s="112"/>
      <c r="AE63" s="112"/>
      <c r="AF63" s="112"/>
      <c r="AG63" s="112"/>
      <c r="AH63" s="112"/>
      <c r="AI63" s="112"/>
      <c r="AJ63" s="112"/>
      <c r="AK63" s="112"/>
      <c r="AL63" s="112"/>
      <c r="AM63" s="112"/>
      <c r="AN63" s="112"/>
      <c r="AO63" s="112"/>
      <c r="AP63" s="112"/>
      <c r="AQ63" s="112"/>
      <c r="AR63" s="112"/>
      <c r="AS63" s="112"/>
      <c r="AT63" s="112"/>
      <c r="AU63" s="112"/>
      <c r="AV63" s="112"/>
      <c r="AW63" s="112"/>
      <c r="AX63" s="112"/>
      <c r="AY63" s="112"/>
      <c r="AZ63" s="112"/>
      <c r="BA63" s="112"/>
      <c r="BB63" s="112"/>
      <c r="BC63" s="112"/>
      <c r="BD63" s="112"/>
      <c r="BE63" s="112"/>
      <c r="BF63" s="112"/>
      <c r="BG63" s="112"/>
      <c r="BH63" s="112"/>
      <c r="BI63" s="112"/>
      <c r="BJ63" s="112"/>
      <c r="BK63" s="112"/>
      <c r="BL63" s="112"/>
      <c r="BM63" s="112"/>
      <c r="BN63" s="112"/>
      <c r="BO63" s="112"/>
      <c r="BP63" s="112"/>
      <c r="BQ63" s="112"/>
      <c r="BR63" s="112"/>
      <c r="BS63" s="112"/>
      <c r="BT63" s="112"/>
      <c r="BU63" s="112"/>
      <c r="BV63" s="112"/>
      <c r="BW63" s="112"/>
      <c r="BX63" s="112"/>
      <c r="BY63" s="112"/>
      <c r="BZ63" s="112"/>
      <c r="CA63" s="112"/>
      <c r="CB63" s="112"/>
      <c r="CC63" s="112"/>
      <c r="CD63" s="112"/>
      <c r="CE63" s="112"/>
      <c r="CF63" s="112"/>
      <c r="CG63" s="112"/>
      <c r="CH63" s="112"/>
      <c r="CI63" s="112"/>
      <c r="CJ63" s="112"/>
      <c r="CK63" s="109">
        <f t="shared" si="19"/>
        <v>42500</v>
      </c>
      <c r="CL63" s="109">
        <f t="shared" si="20"/>
        <v>42250</v>
      </c>
      <c r="CM63" s="109">
        <f t="shared" si="21"/>
        <v>10210.288928331069</v>
      </c>
      <c r="CN63" s="103">
        <f t="shared" si="14"/>
        <v>0.24166364327410814</v>
      </c>
      <c r="CO63" s="110">
        <f>CQ63</f>
        <v>42500</v>
      </c>
      <c r="CP63" s="107">
        <f t="shared" si="16"/>
        <v>8075</v>
      </c>
      <c r="CQ63" s="106">
        <f t="shared" si="17"/>
        <v>42500</v>
      </c>
      <c r="CR63" s="122">
        <f t="shared" si="18"/>
        <v>2125000</v>
      </c>
      <c r="CS63" s="89" t="s">
        <v>380</v>
      </c>
    </row>
    <row r="64" spans="1:97" ht="55.5" customHeight="1">
      <c r="A64" s="90">
        <f t="shared" si="2"/>
        <v>55</v>
      </c>
      <c r="B64" s="63" t="s">
        <v>356</v>
      </c>
      <c r="C64" s="1" t="s">
        <v>767</v>
      </c>
      <c r="D64" s="63" t="s">
        <v>4</v>
      </c>
      <c r="E64" s="8">
        <v>160</v>
      </c>
      <c r="F64" s="1"/>
      <c r="G64" s="106"/>
      <c r="H64" s="106"/>
      <c r="I64" s="106"/>
      <c r="J64" s="106"/>
      <c r="K64" s="106"/>
      <c r="L64" s="106"/>
      <c r="M64" s="106"/>
      <c r="N64" s="106"/>
      <c r="O64" s="106"/>
      <c r="P64" s="106"/>
      <c r="Q64" s="106"/>
      <c r="R64" s="106"/>
      <c r="S64" s="106"/>
      <c r="T64" s="106"/>
      <c r="U64" s="106"/>
      <c r="V64" s="106"/>
      <c r="W64" s="106"/>
      <c r="X64" s="106"/>
      <c r="Y64" s="106">
        <v>10050</v>
      </c>
      <c r="Z64" s="106"/>
      <c r="AA64" s="106">
        <v>9600</v>
      </c>
      <c r="AB64" s="106"/>
      <c r="AC64" s="106"/>
      <c r="AD64" s="106"/>
      <c r="AE64" s="106"/>
      <c r="AF64" s="106"/>
      <c r="AG64" s="106"/>
      <c r="AH64" s="106"/>
      <c r="AI64" s="106"/>
      <c r="AJ64" s="106"/>
      <c r="AK64" s="106"/>
      <c r="AL64" s="106"/>
      <c r="AM64" s="106"/>
      <c r="AN64" s="106"/>
      <c r="AO64" s="106"/>
      <c r="AP64" s="106"/>
      <c r="AQ64" s="106"/>
      <c r="AR64" s="106"/>
      <c r="AS64" s="106"/>
      <c r="AT64" s="106"/>
      <c r="AU64" s="106"/>
      <c r="AV64" s="106"/>
      <c r="AW64" s="106"/>
      <c r="AX64" s="106"/>
      <c r="AY64" s="106"/>
      <c r="AZ64" s="106"/>
      <c r="BA64" s="106"/>
      <c r="BB64" s="106"/>
      <c r="BC64" s="106"/>
      <c r="BD64" s="106"/>
      <c r="BE64" s="106"/>
      <c r="BF64" s="106"/>
      <c r="BG64" s="106"/>
      <c r="BH64" s="106"/>
      <c r="BI64" s="106"/>
      <c r="BJ64" s="106"/>
      <c r="BK64" s="106"/>
      <c r="BL64" s="106"/>
      <c r="BM64" s="106"/>
      <c r="BN64" s="106"/>
      <c r="BO64" s="106"/>
      <c r="BP64" s="106"/>
      <c r="BQ64" s="106"/>
      <c r="BR64" s="106"/>
      <c r="BS64" s="106"/>
      <c r="BT64" s="106"/>
      <c r="BU64" s="106"/>
      <c r="BV64" s="106"/>
      <c r="BW64" s="106"/>
      <c r="BX64" s="106"/>
      <c r="BY64" s="106"/>
      <c r="BZ64" s="106"/>
      <c r="CA64" s="106"/>
      <c r="CB64" s="106"/>
      <c r="CC64" s="106"/>
      <c r="CD64" s="106"/>
      <c r="CE64" s="106"/>
      <c r="CF64" s="106"/>
      <c r="CG64" s="106"/>
      <c r="CH64" s="106"/>
      <c r="CI64" s="106"/>
      <c r="CJ64" s="106"/>
      <c r="CK64" s="109">
        <f t="shared" si="19"/>
        <v>9825</v>
      </c>
      <c r="CL64" s="109">
        <f t="shared" si="20"/>
        <v>9825</v>
      </c>
      <c r="CM64" s="109">
        <f t="shared" si="21"/>
        <v>318.1980515339464</v>
      </c>
      <c r="CN64" s="103">
        <f t="shared" si="14"/>
        <v>3.2386570130681566E-2</v>
      </c>
      <c r="CO64" s="110">
        <f t="shared" si="15"/>
        <v>8256.3025210084033</v>
      </c>
      <c r="CP64" s="107">
        <f t="shared" si="16"/>
        <v>1568.6974789915967</v>
      </c>
      <c r="CQ64" s="106">
        <f t="shared" si="17"/>
        <v>9825</v>
      </c>
      <c r="CR64" s="122">
        <f t="shared" si="18"/>
        <v>1572000</v>
      </c>
      <c r="CS64" s="79" t="s">
        <v>731</v>
      </c>
    </row>
    <row r="65" spans="1:97" ht="54" customHeight="1">
      <c r="A65" s="90">
        <f t="shared" si="2"/>
        <v>56</v>
      </c>
      <c r="B65" s="63" t="s">
        <v>742</v>
      </c>
      <c r="C65" s="1" t="s">
        <v>743</v>
      </c>
      <c r="D65" s="63" t="s">
        <v>4</v>
      </c>
      <c r="E65" s="1">
        <v>160</v>
      </c>
      <c r="F65" s="1"/>
      <c r="G65" s="106"/>
      <c r="H65" s="106"/>
      <c r="I65" s="106"/>
      <c r="J65" s="106"/>
      <c r="K65" s="106"/>
      <c r="L65" s="106"/>
      <c r="M65" s="106"/>
      <c r="N65" s="106"/>
      <c r="O65" s="106"/>
      <c r="P65" s="106"/>
      <c r="Q65" s="106"/>
      <c r="R65" s="106"/>
      <c r="S65" s="106"/>
      <c r="T65" s="106"/>
      <c r="U65" s="106"/>
      <c r="V65" s="106"/>
      <c r="W65" s="106"/>
      <c r="X65" s="106"/>
      <c r="Y65" s="106">
        <v>14500</v>
      </c>
      <c r="Z65" s="106"/>
      <c r="AA65" s="106">
        <v>16000</v>
      </c>
      <c r="AB65" s="106"/>
      <c r="AC65" s="106"/>
      <c r="AD65" s="106"/>
      <c r="AE65" s="106"/>
      <c r="AF65" s="106"/>
      <c r="AG65" s="106"/>
      <c r="AH65" s="106"/>
      <c r="AI65" s="106"/>
      <c r="AJ65" s="106"/>
      <c r="AK65" s="106"/>
      <c r="AL65" s="106"/>
      <c r="AM65" s="106"/>
      <c r="AN65" s="106"/>
      <c r="AO65" s="106"/>
      <c r="AP65" s="106"/>
      <c r="AQ65" s="106"/>
      <c r="AR65" s="106"/>
      <c r="AS65" s="106"/>
      <c r="AT65" s="106"/>
      <c r="AU65" s="106"/>
      <c r="AV65" s="106"/>
      <c r="AW65" s="106"/>
      <c r="AX65" s="106"/>
      <c r="AY65" s="106"/>
      <c r="AZ65" s="106"/>
      <c r="BA65" s="106"/>
      <c r="BB65" s="106"/>
      <c r="BC65" s="106"/>
      <c r="BD65" s="106"/>
      <c r="BE65" s="106"/>
      <c r="BF65" s="106"/>
      <c r="BG65" s="106"/>
      <c r="BH65" s="106"/>
      <c r="BI65" s="106"/>
      <c r="BJ65" s="106"/>
      <c r="BK65" s="106"/>
      <c r="BL65" s="106"/>
      <c r="BM65" s="106"/>
      <c r="BN65" s="106"/>
      <c r="BO65" s="106"/>
      <c r="BP65" s="106"/>
      <c r="BQ65" s="106"/>
      <c r="BR65" s="106"/>
      <c r="BS65" s="106"/>
      <c r="BT65" s="106"/>
      <c r="BU65" s="106"/>
      <c r="BV65" s="106"/>
      <c r="BW65" s="106"/>
      <c r="BX65" s="106"/>
      <c r="BY65" s="106"/>
      <c r="BZ65" s="106"/>
      <c r="CA65" s="106"/>
      <c r="CB65" s="106"/>
      <c r="CC65" s="106"/>
      <c r="CD65" s="106"/>
      <c r="CE65" s="106"/>
      <c r="CF65" s="106"/>
      <c r="CG65" s="106"/>
      <c r="CH65" s="106"/>
      <c r="CI65" s="106"/>
      <c r="CJ65" s="106"/>
      <c r="CK65" s="109">
        <f t="shared" si="19"/>
        <v>15250</v>
      </c>
      <c r="CL65" s="109">
        <f t="shared" si="20"/>
        <v>15250</v>
      </c>
      <c r="CM65" s="109">
        <f t="shared" si="21"/>
        <v>1060.6601717798212</v>
      </c>
      <c r="CN65" s="103">
        <f t="shared" si="14"/>
        <v>6.9551486674086643E-2</v>
      </c>
      <c r="CO65" s="110">
        <f t="shared" si="15"/>
        <v>12815.126050420169</v>
      </c>
      <c r="CP65" s="107">
        <f t="shared" si="16"/>
        <v>2434.8739495798322</v>
      </c>
      <c r="CQ65" s="106">
        <f t="shared" si="17"/>
        <v>15250</v>
      </c>
      <c r="CR65" s="122">
        <f t="shared" si="18"/>
        <v>2440000</v>
      </c>
      <c r="CS65" s="79" t="s">
        <v>731</v>
      </c>
    </row>
    <row r="66" spans="1:97" ht="58.4" customHeight="1">
      <c r="A66" s="90">
        <f t="shared" si="2"/>
        <v>57</v>
      </c>
      <c r="B66" s="63" t="s">
        <v>696</v>
      </c>
      <c r="C66" s="1" t="s">
        <v>700</v>
      </c>
      <c r="D66" s="63" t="s">
        <v>269</v>
      </c>
      <c r="E66" s="1">
        <v>160</v>
      </c>
      <c r="F66" s="1"/>
      <c r="G66" s="106"/>
      <c r="H66" s="106"/>
      <c r="I66" s="106"/>
      <c r="J66" s="106"/>
      <c r="K66" s="106"/>
      <c r="L66" s="106"/>
      <c r="M66" s="106"/>
      <c r="N66" s="106"/>
      <c r="O66" s="106"/>
      <c r="P66" s="106"/>
      <c r="Q66" s="106"/>
      <c r="R66" s="106"/>
      <c r="S66" s="106"/>
      <c r="T66" s="106"/>
      <c r="U66" s="106"/>
      <c r="V66" s="106"/>
      <c r="W66" s="106"/>
      <c r="X66" s="106">
        <v>16900</v>
      </c>
      <c r="Y66" s="106">
        <v>18000</v>
      </c>
      <c r="Z66" s="106">
        <v>19000</v>
      </c>
      <c r="AA66" s="106"/>
      <c r="AB66" s="106"/>
      <c r="AC66" s="106"/>
      <c r="AD66" s="106"/>
      <c r="AE66" s="106"/>
      <c r="AF66" s="106"/>
      <c r="AG66" s="106"/>
      <c r="AH66" s="106"/>
      <c r="AI66" s="106"/>
      <c r="AJ66" s="106"/>
      <c r="AK66" s="106"/>
      <c r="AL66" s="106"/>
      <c r="AM66" s="106"/>
      <c r="AN66" s="106"/>
      <c r="AO66" s="106"/>
      <c r="AP66" s="106"/>
      <c r="AQ66" s="106"/>
      <c r="AR66" s="106"/>
      <c r="AS66" s="106"/>
      <c r="AT66" s="106"/>
      <c r="AU66" s="106"/>
      <c r="AV66" s="106"/>
      <c r="AW66" s="106"/>
      <c r="AX66" s="106"/>
      <c r="AY66" s="106"/>
      <c r="AZ66" s="106"/>
      <c r="BA66" s="106"/>
      <c r="BB66" s="106"/>
      <c r="BC66" s="106"/>
      <c r="BD66" s="106"/>
      <c r="BE66" s="106"/>
      <c r="BF66" s="106"/>
      <c r="BG66" s="106"/>
      <c r="BH66" s="106"/>
      <c r="BI66" s="106"/>
      <c r="BJ66" s="106"/>
      <c r="BK66" s="106"/>
      <c r="BL66" s="106"/>
      <c r="BM66" s="106"/>
      <c r="BN66" s="106"/>
      <c r="BO66" s="106"/>
      <c r="BP66" s="106"/>
      <c r="BQ66" s="106"/>
      <c r="BR66" s="106"/>
      <c r="BS66" s="106"/>
      <c r="BT66" s="106"/>
      <c r="BU66" s="106"/>
      <c r="BV66" s="106"/>
      <c r="BW66" s="106"/>
      <c r="BX66" s="106"/>
      <c r="BY66" s="106"/>
      <c r="BZ66" s="106"/>
      <c r="CA66" s="106"/>
      <c r="CB66" s="106"/>
      <c r="CC66" s="106"/>
      <c r="CD66" s="106"/>
      <c r="CE66" s="106"/>
      <c r="CF66" s="106"/>
      <c r="CG66" s="106"/>
      <c r="CH66" s="106"/>
      <c r="CI66" s="106"/>
      <c r="CJ66" s="106"/>
      <c r="CK66" s="109">
        <f t="shared" si="19"/>
        <v>18000</v>
      </c>
      <c r="CL66" s="109">
        <f t="shared" si="20"/>
        <v>17966.666666666668</v>
      </c>
      <c r="CM66" s="109">
        <f t="shared" si="21"/>
        <v>1050.3967504392488</v>
      </c>
      <c r="CN66" s="103">
        <f t="shared" si="14"/>
        <v>5.8463641026303269E-2</v>
      </c>
      <c r="CO66" s="110">
        <f t="shared" si="15"/>
        <v>15098.319327731093</v>
      </c>
      <c r="CP66" s="107">
        <f t="shared" si="16"/>
        <v>2868.6806722689075</v>
      </c>
      <c r="CQ66" s="106">
        <f t="shared" si="17"/>
        <v>17967</v>
      </c>
      <c r="CR66" s="122">
        <f t="shared" si="18"/>
        <v>2874720</v>
      </c>
      <c r="CS66" s="89" t="s">
        <v>732</v>
      </c>
    </row>
    <row r="67" spans="1:97" ht="81.650000000000006" customHeight="1">
      <c r="A67" s="90">
        <f t="shared" si="2"/>
        <v>58</v>
      </c>
      <c r="B67" s="63" t="s">
        <v>697</v>
      </c>
      <c r="C67" s="1" t="s">
        <v>699</v>
      </c>
      <c r="D67" s="63" t="s">
        <v>4</v>
      </c>
      <c r="E67" s="1">
        <v>160</v>
      </c>
      <c r="F67" s="1"/>
      <c r="G67" s="106"/>
      <c r="H67" s="106"/>
      <c r="I67" s="106"/>
      <c r="J67" s="106"/>
      <c r="K67" s="106"/>
      <c r="L67" s="106"/>
      <c r="M67" s="106"/>
      <c r="N67" s="106"/>
      <c r="O67" s="106"/>
      <c r="P67" s="106"/>
      <c r="Q67" s="106"/>
      <c r="R67" s="106"/>
      <c r="S67" s="106"/>
      <c r="T67" s="106"/>
      <c r="U67" s="106"/>
      <c r="V67" s="106"/>
      <c r="W67" s="106"/>
      <c r="X67" s="106">
        <v>250000</v>
      </c>
      <c r="Y67" s="106">
        <v>210000</v>
      </c>
      <c r="Z67" s="106">
        <v>230000</v>
      </c>
      <c r="AA67" s="112"/>
      <c r="AB67" s="112"/>
      <c r="AC67" s="112"/>
      <c r="AD67" s="112"/>
      <c r="AE67" s="112"/>
      <c r="AF67" s="112"/>
      <c r="AG67" s="112"/>
      <c r="AH67" s="112"/>
      <c r="AI67" s="112"/>
      <c r="AJ67" s="112"/>
      <c r="AK67" s="112"/>
      <c r="AL67" s="112"/>
      <c r="AM67" s="112"/>
      <c r="AN67" s="112"/>
      <c r="AO67" s="112"/>
      <c r="AP67" s="112"/>
      <c r="AQ67" s="112"/>
      <c r="AR67" s="112"/>
      <c r="AS67" s="112"/>
      <c r="AT67" s="112"/>
      <c r="AU67" s="112"/>
      <c r="AV67" s="112"/>
      <c r="AW67" s="112"/>
      <c r="AX67" s="112"/>
      <c r="AY67" s="112"/>
      <c r="AZ67" s="112"/>
      <c r="BA67" s="112"/>
      <c r="BB67" s="112"/>
      <c r="BC67" s="112"/>
      <c r="BD67" s="112"/>
      <c r="BE67" s="112"/>
      <c r="BF67" s="112"/>
      <c r="BG67" s="112"/>
      <c r="BH67" s="112"/>
      <c r="BI67" s="112"/>
      <c r="BJ67" s="112"/>
      <c r="BK67" s="112"/>
      <c r="BL67" s="112"/>
      <c r="BM67" s="112"/>
      <c r="BN67" s="112"/>
      <c r="BO67" s="112"/>
      <c r="BP67" s="112"/>
      <c r="BQ67" s="112"/>
      <c r="BR67" s="112"/>
      <c r="BS67" s="112"/>
      <c r="BT67" s="112"/>
      <c r="BU67" s="112"/>
      <c r="BV67" s="112"/>
      <c r="BW67" s="112"/>
      <c r="BX67" s="112"/>
      <c r="BY67" s="112"/>
      <c r="BZ67" s="112"/>
      <c r="CA67" s="112"/>
      <c r="CB67" s="112"/>
      <c r="CC67" s="112"/>
      <c r="CD67" s="112"/>
      <c r="CE67" s="112"/>
      <c r="CF67" s="112"/>
      <c r="CG67" s="112"/>
      <c r="CH67" s="112"/>
      <c r="CI67" s="112"/>
      <c r="CJ67" s="112"/>
      <c r="CK67" s="109">
        <f t="shared" si="19"/>
        <v>230000</v>
      </c>
      <c r="CL67" s="109">
        <f t="shared" si="20"/>
        <v>230000</v>
      </c>
      <c r="CM67" s="109">
        <f t="shared" si="21"/>
        <v>20000</v>
      </c>
      <c r="CN67" s="103">
        <f t="shared" si="14"/>
        <v>8.6956521739130432E-2</v>
      </c>
      <c r="CO67" s="110">
        <f t="shared" si="15"/>
        <v>193277.31092436975</v>
      </c>
      <c r="CP67" s="107">
        <f t="shared" si="16"/>
        <v>36722.689075630253</v>
      </c>
      <c r="CQ67" s="106">
        <f t="shared" si="17"/>
        <v>230000</v>
      </c>
      <c r="CR67" s="122">
        <f t="shared" si="18"/>
        <v>36800000</v>
      </c>
      <c r="CS67" s="89" t="s">
        <v>732</v>
      </c>
    </row>
    <row r="68" spans="1:97" ht="56.65" customHeight="1">
      <c r="A68" s="90">
        <f t="shared" si="2"/>
        <v>59</v>
      </c>
      <c r="B68" s="63" t="s">
        <v>698</v>
      </c>
      <c r="C68" s="1" t="s">
        <v>768</v>
      </c>
      <c r="D68" s="63" t="s">
        <v>6</v>
      </c>
      <c r="E68" s="1">
        <v>160</v>
      </c>
      <c r="F68" s="1"/>
      <c r="G68" s="106"/>
      <c r="H68" s="106"/>
      <c r="I68" s="106"/>
      <c r="J68" s="106"/>
      <c r="K68" s="106"/>
      <c r="L68" s="106"/>
      <c r="M68" s="106"/>
      <c r="N68" s="106"/>
      <c r="O68" s="106"/>
      <c r="P68" s="106"/>
      <c r="Q68" s="106"/>
      <c r="R68" s="106"/>
      <c r="S68" s="106"/>
      <c r="T68" s="106"/>
      <c r="U68" s="106"/>
      <c r="V68" s="106"/>
      <c r="W68" s="106"/>
      <c r="X68" s="106"/>
      <c r="Y68" s="106">
        <v>53000</v>
      </c>
      <c r="Z68" s="106"/>
      <c r="AA68" s="106">
        <v>55000</v>
      </c>
      <c r="AB68" s="106"/>
      <c r="AC68" s="106"/>
      <c r="AD68" s="106"/>
      <c r="AE68" s="106"/>
      <c r="AF68" s="106"/>
      <c r="AG68" s="106"/>
      <c r="AH68" s="106"/>
      <c r="AI68" s="106"/>
      <c r="AJ68" s="106"/>
      <c r="AK68" s="106"/>
      <c r="AL68" s="106"/>
      <c r="AM68" s="106"/>
      <c r="AN68" s="106"/>
      <c r="AO68" s="106"/>
      <c r="AP68" s="106"/>
      <c r="AQ68" s="106"/>
      <c r="AR68" s="106"/>
      <c r="AS68" s="106"/>
      <c r="AT68" s="106"/>
      <c r="AU68" s="106"/>
      <c r="AV68" s="106"/>
      <c r="AW68" s="106"/>
      <c r="AX68" s="106"/>
      <c r="AY68" s="106"/>
      <c r="AZ68" s="106"/>
      <c r="BA68" s="106"/>
      <c r="BB68" s="106"/>
      <c r="BC68" s="106"/>
      <c r="BD68" s="106"/>
      <c r="BE68" s="106"/>
      <c r="BF68" s="106"/>
      <c r="BG68" s="106"/>
      <c r="BH68" s="106"/>
      <c r="BI68" s="106"/>
      <c r="BJ68" s="106"/>
      <c r="BK68" s="106"/>
      <c r="BL68" s="106"/>
      <c r="BM68" s="106"/>
      <c r="BN68" s="106"/>
      <c r="BO68" s="106"/>
      <c r="BP68" s="106"/>
      <c r="BQ68" s="106"/>
      <c r="BR68" s="106"/>
      <c r="BS68" s="106"/>
      <c r="BT68" s="106"/>
      <c r="BU68" s="106"/>
      <c r="BV68" s="106"/>
      <c r="BW68" s="106"/>
      <c r="BX68" s="106"/>
      <c r="BY68" s="106"/>
      <c r="BZ68" s="106"/>
      <c r="CA68" s="106"/>
      <c r="CB68" s="106"/>
      <c r="CC68" s="106"/>
      <c r="CD68" s="106"/>
      <c r="CE68" s="106"/>
      <c r="CF68" s="106"/>
      <c r="CG68" s="106"/>
      <c r="CH68" s="106"/>
      <c r="CI68" s="106"/>
      <c r="CJ68" s="106"/>
      <c r="CK68" s="109">
        <f t="shared" si="19"/>
        <v>54000</v>
      </c>
      <c r="CL68" s="109">
        <f t="shared" si="20"/>
        <v>54000</v>
      </c>
      <c r="CM68" s="109">
        <f t="shared" si="21"/>
        <v>1414.2135623730951</v>
      </c>
      <c r="CN68" s="103">
        <f t="shared" si="14"/>
        <v>2.6189140043946204E-2</v>
      </c>
      <c r="CO68" s="110">
        <f t="shared" si="15"/>
        <v>45378.151260504201</v>
      </c>
      <c r="CP68" s="107">
        <f t="shared" si="16"/>
        <v>8621.8487394957974</v>
      </c>
      <c r="CQ68" s="106">
        <f t="shared" si="17"/>
        <v>54000</v>
      </c>
      <c r="CR68" s="122">
        <f t="shared" si="18"/>
        <v>8640000</v>
      </c>
      <c r="CS68" s="79" t="s">
        <v>731</v>
      </c>
    </row>
    <row r="69" spans="1:97" ht="67.5" customHeight="1">
      <c r="A69" s="90">
        <f t="shared" si="2"/>
        <v>60</v>
      </c>
      <c r="B69" s="63" t="s">
        <v>701</v>
      </c>
      <c r="C69" s="1" t="s">
        <v>769</v>
      </c>
      <c r="D69" s="91" t="s">
        <v>11</v>
      </c>
      <c r="E69" s="1">
        <v>160</v>
      </c>
      <c r="F69" s="1"/>
      <c r="G69" s="106"/>
      <c r="H69" s="106"/>
      <c r="I69" s="106"/>
      <c r="J69" s="106"/>
      <c r="K69" s="106"/>
      <c r="L69" s="106"/>
      <c r="M69" s="106"/>
      <c r="N69" s="106"/>
      <c r="O69" s="106"/>
      <c r="P69" s="106"/>
      <c r="Q69" s="106"/>
      <c r="R69" s="106"/>
      <c r="S69" s="106"/>
      <c r="T69" s="106"/>
      <c r="U69" s="106"/>
      <c r="V69" s="106"/>
      <c r="W69" s="106"/>
      <c r="X69" s="106"/>
      <c r="Y69" s="106"/>
      <c r="Z69" s="106"/>
      <c r="AA69" s="106"/>
      <c r="AB69" s="106"/>
      <c r="AC69" s="106"/>
      <c r="AD69" s="106"/>
      <c r="AE69" s="106"/>
      <c r="AF69" s="106"/>
      <c r="AG69" s="106"/>
      <c r="AH69" s="106">
        <v>4400</v>
      </c>
      <c r="AI69" s="106">
        <v>3500</v>
      </c>
      <c r="AJ69" s="106"/>
      <c r="AK69" s="106"/>
      <c r="AL69" s="106"/>
      <c r="AM69" s="106"/>
      <c r="AN69" s="106"/>
      <c r="AO69" s="106"/>
      <c r="AP69" s="106"/>
      <c r="AQ69" s="106"/>
      <c r="AR69" s="106"/>
      <c r="AS69" s="106"/>
      <c r="AT69" s="106"/>
      <c r="AU69" s="106"/>
      <c r="AV69" s="106"/>
      <c r="AW69" s="106"/>
      <c r="AX69" s="106"/>
      <c r="AY69" s="106"/>
      <c r="AZ69" s="106"/>
      <c r="BA69" s="106"/>
      <c r="BB69" s="106"/>
      <c r="BC69" s="106"/>
      <c r="BD69" s="106"/>
      <c r="BE69" s="106"/>
      <c r="BF69" s="106"/>
      <c r="BG69" s="106"/>
      <c r="BH69" s="106"/>
      <c r="BI69" s="106"/>
      <c r="BJ69" s="106"/>
      <c r="BK69" s="106"/>
      <c r="BL69" s="106"/>
      <c r="BM69" s="106"/>
      <c r="BN69" s="106"/>
      <c r="BO69" s="106"/>
      <c r="BP69" s="106"/>
      <c r="BQ69" s="106"/>
      <c r="BR69" s="106"/>
      <c r="BS69" s="106"/>
      <c r="BT69" s="106"/>
      <c r="BU69" s="106"/>
      <c r="BV69" s="106"/>
      <c r="BW69" s="106"/>
      <c r="BX69" s="106"/>
      <c r="BY69" s="106"/>
      <c r="BZ69" s="106"/>
      <c r="CA69" s="106"/>
      <c r="CB69" s="106"/>
      <c r="CC69" s="106"/>
      <c r="CD69" s="106"/>
      <c r="CE69" s="106"/>
      <c r="CF69" s="106"/>
      <c r="CG69" s="106"/>
      <c r="CH69" s="106"/>
      <c r="CI69" s="106"/>
      <c r="CJ69" s="106"/>
      <c r="CK69" s="109">
        <f t="shared" si="19"/>
        <v>3950</v>
      </c>
      <c r="CL69" s="109">
        <f t="shared" si="20"/>
        <v>3950</v>
      </c>
      <c r="CM69" s="109">
        <f t="shared" si="21"/>
        <v>636.3961030678928</v>
      </c>
      <c r="CN69" s="103">
        <f t="shared" si="14"/>
        <v>0.16111293748554248</v>
      </c>
      <c r="CO69" s="110">
        <f t="shared" si="15"/>
        <v>3319.3277310924373</v>
      </c>
      <c r="CP69" s="107">
        <f t="shared" si="16"/>
        <v>630.67226890756308</v>
      </c>
      <c r="CQ69" s="106">
        <f t="shared" si="17"/>
        <v>3950</v>
      </c>
      <c r="CR69" s="122">
        <f t="shared" si="18"/>
        <v>632000</v>
      </c>
      <c r="CS69" s="79" t="s">
        <v>731</v>
      </c>
    </row>
    <row r="70" spans="1:97" ht="38.25" customHeight="1">
      <c r="A70" s="90">
        <f t="shared" si="2"/>
        <v>61</v>
      </c>
      <c r="B70" s="63" t="s">
        <v>351</v>
      </c>
      <c r="C70" s="1" t="s">
        <v>352</v>
      </c>
      <c r="D70" s="63" t="s">
        <v>6</v>
      </c>
      <c r="E70" s="8">
        <v>32</v>
      </c>
      <c r="F70" s="1"/>
      <c r="G70" s="106"/>
      <c r="H70" s="106"/>
      <c r="I70" s="106"/>
      <c r="J70" s="106"/>
      <c r="K70" s="106"/>
      <c r="L70" s="106"/>
      <c r="M70" s="106"/>
      <c r="N70" s="106"/>
      <c r="O70" s="106"/>
      <c r="P70" s="106"/>
      <c r="Q70" s="106"/>
      <c r="R70" s="106"/>
      <c r="S70" s="106"/>
      <c r="T70" s="106"/>
      <c r="U70" s="106"/>
      <c r="V70" s="106"/>
      <c r="W70" s="106"/>
      <c r="X70" s="106"/>
      <c r="Y70" s="106"/>
      <c r="Z70" s="106"/>
      <c r="AA70" s="106"/>
      <c r="AB70" s="106"/>
      <c r="AC70" s="106"/>
      <c r="AD70" s="106"/>
      <c r="AE70" s="106"/>
      <c r="AF70" s="106"/>
      <c r="AG70" s="106"/>
      <c r="AH70" s="106">
        <v>199000</v>
      </c>
      <c r="AI70" s="106">
        <v>195000</v>
      </c>
      <c r="AJ70" s="106">
        <v>198000</v>
      </c>
      <c r="AK70" s="106"/>
      <c r="AL70" s="106"/>
      <c r="AM70" s="106"/>
      <c r="AN70" s="106"/>
      <c r="AO70" s="106"/>
      <c r="AP70" s="106"/>
      <c r="AQ70" s="106"/>
      <c r="AR70" s="106"/>
      <c r="AS70" s="106"/>
      <c r="AT70" s="106"/>
      <c r="AU70" s="106"/>
      <c r="AV70" s="106"/>
      <c r="AW70" s="106"/>
      <c r="AX70" s="106"/>
      <c r="AY70" s="106"/>
      <c r="AZ70" s="106"/>
      <c r="BA70" s="106"/>
      <c r="BB70" s="106"/>
      <c r="BC70" s="106"/>
      <c r="BD70" s="106"/>
      <c r="BE70" s="106"/>
      <c r="BF70" s="106"/>
      <c r="BG70" s="106"/>
      <c r="BH70" s="106"/>
      <c r="BI70" s="106"/>
      <c r="BJ70" s="106"/>
      <c r="BK70" s="106"/>
      <c r="BL70" s="106"/>
      <c r="BM70" s="106"/>
      <c r="BN70" s="106"/>
      <c r="BO70" s="106"/>
      <c r="BP70" s="106"/>
      <c r="BQ70" s="106"/>
      <c r="BR70" s="106"/>
      <c r="BS70" s="106"/>
      <c r="BT70" s="106"/>
      <c r="BU70" s="106"/>
      <c r="BV70" s="106"/>
      <c r="BW70" s="106"/>
      <c r="BX70" s="106"/>
      <c r="BY70" s="106"/>
      <c r="BZ70" s="106"/>
      <c r="CA70" s="106"/>
      <c r="CB70" s="106"/>
      <c r="CC70" s="106"/>
      <c r="CD70" s="106"/>
      <c r="CE70" s="106"/>
      <c r="CF70" s="106"/>
      <c r="CG70" s="106"/>
      <c r="CH70" s="106"/>
      <c r="CI70" s="106"/>
      <c r="CJ70" s="106"/>
      <c r="CK70" s="109">
        <f t="shared" si="19"/>
        <v>198000</v>
      </c>
      <c r="CL70" s="109">
        <f t="shared" si="20"/>
        <v>197333.33333333334</v>
      </c>
      <c r="CM70" s="109">
        <f t="shared" si="21"/>
        <v>2081.6659994661327</v>
      </c>
      <c r="CN70" s="103">
        <f t="shared" ref="CN70" si="22">CM70/CL70</f>
        <v>1.0548983105402698E-2</v>
      </c>
      <c r="CO70" s="110">
        <f t="shared" ref="CO70" si="23">CQ70/1.19</f>
        <v>165826.89075630254</v>
      </c>
      <c r="CP70" s="107">
        <f t="shared" ref="CP70" si="24">CO70*19%</f>
        <v>31507.109243697483</v>
      </c>
      <c r="CQ70" s="106">
        <f t="shared" si="17"/>
        <v>197334</v>
      </c>
      <c r="CR70" s="122">
        <f t="shared" si="18"/>
        <v>6314688</v>
      </c>
      <c r="CS70" s="89" t="s">
        <v>732</v>
      </c>
    </row>
    <row r="71" spans="1:97" ht="67.900000000000006" customHeight="1">
      <c r="A71" s="90">
        <f t="shared" si="2"/>
        <v>62</v>
      </c>
      <c r="B71" s="63" t="s">
        <v>702</v>
      </c>
      <c r="C71" s="1" t="s">
        <v>771</v>
      </c>
      <c r="D71" s="63" t="s">
        <v>4</v>
      </c>
      <c r="E71" s="1">
        <v>200</v>
      </c>
      <c r="F71" s="1"/>
      <c r="G71" s="106"/>
      <c r="H71" s="106"/>
      <c r="I71" s="106"/>
      <c r="J71" s="106"/>
      <c r="K71" s="106"/>
      <c r="L71" s="106"/>
      <c r="M71" s="106"/>
      <c r="N71" s="106"/>
      <c r="O71" s="106"/>
      <c r="P71" s="106"/>
      <c r="Q71" s="106"/>
      <c r="R71" s="106"/>
      <c r="S71" s="106"/>
      <c r="T71" s="106"/>
      <c r="U71" s="106"/>
      <c r="V71" s="106"/>
      <c r="W71" s="106"/>
      <c r="X71" s="106">
        <v>79900</v>
      </c>
      <c r="Y71" s="106">
        <v>67000</v>
      </c>
      <c r="Z71" s="106">
        <v>66500</v>
      </c>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12"/>
      <c r="BS71" s="112"/>
      <c r="BT71" s="112"/>
      <c r="BU71" s="112"/>
      <c r="BV71" s="112"/>
      <c r="BW71" s="112"/>
      <c r="BX71" s="112"/>
      <c r="BY71" s="112"/>
      <c r="BZ71" s="112"/>
      <c r="CA71" s="112"/>
      <c r="CB71" s="112"/>
      <c r="CC71" s="112"/>
      <c r="CD71" s="112"/>
      <c r="CE71" s="112"/>
      <c r="CF71" s="112"/>
      <c r="CG71" s="112"/>
      <c r="CH71" s="112"/>
      <c r="CI71" s="112"/>
      <c r="CJ71" s="112"/>
      <c r="CK71" s="109">
        <f t="shared" si="19"/>
        <v>67000</v>
      </c>
      <c r="CL71" s="109">
        <f t="shared" si="20"/>
        <v>71133.333333333328</v>
      </c>
      <c r="CM71" s="109">
        <f t="shared" si="21"/>
        <v>7596.2710150002767</v>
      </c>
      <c r="CN71" s="103">
        <f t="shared" si="14"/>
        <v>0.1067891895267143</v>
      </c>
      <c r="CO71" s="110">
        <f t="shared" si="15"/>
        <v>59776.470588235294</v>
      </c>
      <c r="CP71" s="107">
        <f t="shared" si="16"/>
        <v>11357.529411764706</v>
      </c>
      <c r="CQ71" s="106">
        <f t="shared" si="17"/>
        <v>71134</v>
      </c>
      <c r="CR71" s="122">
        <f t="shared" si="18"/>
        <v>14226800</v>
      </c>
      <c r="CS71" s="89" t="s">
        <v>732</v>
      </c>
    </row>
    <row r="72" spans="1:97" ht="72.650000000000006" customHeight="1">
      <c r="A72" s="90">
        <f t="shared" si="2"/>
        <v>63</v>
      </c>
      <c r="B72" s="63" t="s">
        <v>703</v>
      </c>
      <c r="C72" s="1" t="s">
        <v>744</v>
      </c>
      <c r="D72" s="63" t="s">
        <v>4</v>
      </c>
      <c r="E72" s="1">
        <v>200</v>
      </c>
      <c r="F72" s="1"/>
      <c r="G72" s="106"/>
      <c r="H72" s="106"/>
      <c r="I72" s="106"/>
      <c r="J72" s="106"/>
      <c r="K72" s="106"/>
      <c r="L72" s="106"/>
      <c r="M72" s="106"/>
      <c r="N72" s="106"/>
      <c r="O72" s="106"/>
      <c r="P72" s="106"/>
      <c r="Q72" s="106"/>
      <c r="R72" s="106"/>
      <c r="S72" s="106"/>
      <c r="T72" s="106"/>
      <c r="U72" s="106"/>
      <c r="V72" s="106"/>
      <c r="W72" s="106"/>
      <c r="X72" s="106">
        <v>150000</v>
      </c>
      <c r="Y72" s="106">
        <v>162000</v>
      </c>
      <c r="Z72" s="106">
        <v>164000</v>
      </c>
      <c r="AA72" s="112"/>
      <c r="AB72" s="112"/>
      <c r="AC72" s="112"/>
      <c r="AD72" s="112"/>
      <c r="AE72" s="112"/>
      <c r="AF72" s="112"/>
      <c r="AG72" s="112"/>
      <c r="AH72" s="112"/>
      <c r="AI72" s="112"/>
      <c r="AJ72" s="112"/>
      <c r="AK72" s="112"/>
      <c r="AL72" s="112"/>
      <c r="AM72" s="112"/>
      <c r="AN72" s="112"/>
      <c r="AO72" s="112"/>
      <c r="AP72" s="112"/>
      <c r="AQ72" s="112"/>
      <c r="AR72" s="112"/>
      <c r="AS72" s="112"/>
      <c r="AT72" s="112"/>
      <c r="AU72" s="112"/>
      <c r="AV72" s="112"/>
      <c r="AW72" s="112"/>
      <c r="AX72" s="112"/>
      <c r="AY72" s="112"/>
      <c r="AZ72" s="112"/>
      <c r="BA72" s="112"/>
      <c r="BB72" s="112"/>
      <c r="BC72" s="112"/>
      <c r="BD72" s="112"/>
      <c r="BE72" s="112"/>
      <c r="BF72" s="112"/>
      <c r="BG72" s="112"/>
      <c r="BH72" s="112"/>
      <c r="BI72" s="112"/>
      <c r="BJ72" s="112"/>
      <c r="BK72" s="112"/>
      <c r="BL72" s="112"/>
      <c r="BM72" s="112"/>
      <c r="BN72" s="112"/>
      <c r="BO72" s="112"/>
      <c r="BP72" s="112"/>
      <c r="BQ72" s="112"/>
      <c r="BR72" s="112"/>
      <c r="BS72" s="112"/>
      <c r="BT72" s="112"/>
      <c r="BU72" s="112"/>
      <c r="BV72" s="112"/>
      <c r="BW72" s="112"/>
      <c r="BX72" s="112"/>
      <c r="BY72" s="112"/>
      <c r="BZ72" s="112"/>
      <c r="CA72" s="112"/>
      <c r="CB72" s="112"/>
      <c r="CC72" s="112"/>
      <c r="CD72" s="112"/>
      <c r="CE72" s="112"/>
      <c r="CF72" s="112"/>
      <c r="CG72" s="112"/>
      <c r="CH72" s="112"/>
      <c r="CI72" s="112"/>
      <c r="CJ72" s="112"/>
      <c r="CK72" s="109">
        <f t="shared" si="19"/>
        <v>162000</v>
      </c>
      <c r="CL72" s="109">
        <f t="shared" si="20"/>
        <v>158666.66666666666</v>
      </c>
      <c r="CM72" s="109">
        <f t="shared" si="21"/>
        <v>7571.877794400365</v>
      </c>
      <c r="CN72" s="103">
        <f t="shared" si="14"/>
        <v>4.7721918872271209E-2</v>
      </c>
      <c r="CO72" s="110">
        <f t="shared" si="15"/>
        <v>133333.61344537817</v>
      </c>
      <c r="CP72" s="107">
        <f t="shared" si="16"/>
        <v>25333.386554621851</v>
      </c>
      <c r="CQ72" s="106">
        <f t="shared" si="17"/>
        <v>158667</v>
      </c>
      <c r="CR72" s="122">
        <f t="shared" si="18"/>
        <v>31733400</v>
      </c>
      <c r="CS72" s="89" t="s">
        <v>732</v>
      </c>
    </row>
    <row r="73" spans="1:97" ht="72.650000000000006" customHeight="1">
      <c r="A73" s="90">
        <f t="shared" si="2"/>
        <v>64</v>
      </c>
      <c r="B73" s="63" t="s">
        <v>704</v>
      </c>
      <c r="C73" s="1" t="s">
        <v>770</v>
      </c>
      <c r="D73" s="63" t="s">
        <v>4</v>
      </c>
      <c r="E73" s="1">
        <v>200</v>
      </c>
      <c r="F73" s="1"/>
      <c r="G73" s="106"/>
      <c r="H73" s="106"/>
      <c r="I73" s="106"/>
      <c r="J73" s="106"/>
      <c r="K73" s="106"/>
      <c r="L73" s="106"/>
      <c r="M73" s="106"/>
      <c r="N73" s="106"/>
      <c r="O73" s="106"/>
      <c r="P73" s="106"/>
      <c r="Q73" s="106"/>
      <c r="R73" s="106"/>
      <c r="S73" s="106"/>
      <c r="T73" s="106"/>
      <c r="U73" s="106"/>
      <c r="V73" s="106"/>
      <c r="W73" s="106"/>
      <c r="X73" s="106">
        <v>96000</v>
      </c>
      <c r="Y73" s="106">
        <v>91000</v>
      </c>
      <c r="Z73" s="106">
        <v>93000</v>
      </c>
      <c r="AA73" s="112"/>
      <c r="AB73" s="112"/>
      <c r="AC73" s="112"/>
      <c r="AD73" s="112"/>
      <c r="AE73" s="112"/>
      <c r="AF73" s="112"/>
      <c r="AG73" s="112"/>
      <c r="AH73" s="112"/>
      <c r="AI73" s="112"/>
      <c r="AJ73" s="112"/>
      <c r="AK73" s="112"/>
      <c r="AL73" s="112"/>
      <c r="AM73" s="112"/>
      <c r="AN73" s="112"/>
      <c r="AO73" s="112"/>
      <c r="AP73" s="112"/>
      <c r="AQ73" s="112"/>
      <c r="AR73" s="112"/>
      <c r="AS73" s="112"/>
      <c r="AT73" s="112"/>
      <c r="AU73" s="112"/>
      <c r="AV73" s="112"/>
      <c r="AW73" s="112"/>
      <c r="AX73" s="112"/>
      <c r="AY73" s="112"/>
      <c r="AZ73" s="112"/>
      <c r="BA73" s="112"/>
      <c r="BB73" s="112"/>
      <c r="BC73" s="112"/>
      <c r="BD73" s="112"/>
      <c r="BE73" s="112"/>
      <c r="BF73" s="112"/>
      <c r="BG73" s="112"/>
      <c r="BH73" s="112"/>
      <c r="BI73" s="112"/>
      <c r="BJ73" s="112"/>
      <c r="BK73" s="112"/>
      <c r="BL73" s="112"/>
      <c r="BM73" s="112"/>
      <c r="BN73" s="112"/>
      <c r="BO73" s="112"/>
      <c r="BP73" s="112"/>
      <c r="BQ73" s="112"/>
      <c r="BR73" s="112"/>
      <c r="BS73" s="112"/>
      <c r="BT73" s="112"/>
      <c r="BU73" s="112"/>
      <c r="BV73" s="112"/>
      <c r="BW73" s="112"/>
      <c r="BX73" s="112"/>
      <c r="BY73" s="112"/>
      <c r="BZ73" s="112"/>
      <c r="CA73" s="112"/>
      <c r="CB73" s="112"/>
      <c r="CC73" s="112"/>
      <c r="CD73" s="112"/>
      <c r="CE73" s="112"/>
      <c r="CF73" s="112"/>
      <c r="CG73" s="112"/>
      <c r="CH73" s="112"/>
      <c r="CI73" s="112"/>
      <c r="CJ73" s="112"/>
      <c r="CK73" s="109">
        <f t="shared" si="19"/>
        <v>93000</v>
      </c>
      <c r="CL73" s="109">
        <f t="shared" si="20"/>
        <v>93333.333333333328</v>
      </c>
      <c r="CM73" s="109">
        <f t="shared" si="21"/>
        <v>2516.6114784235833</v>
      </c>
      <c r="CN73" s="103">
        <f t="shared" si="14"/>
        <v>2.6963694411681251E-2</v>
      </c>
      <c r="CO73" s="110">
        <f t="shared" si="15"/>
        <v>78431.932773109249</v>
      </c>
      <c r="CP73" s="107">
        <f t="shared" si="16"/>
        <v>14902.067226890758</v>
      </c>
      <c r="CQ73" s="106">
        <f t="shared" si="17"/>
        <v>93334</v>
      </c>
      <c r="CR73" s="122">
        <f t="shared" si="18"/>
        <v>18666800</v>
      </c>
      <c r="CS73" s="89" t="s">
        <v>732</v>
      </c>
    </row>
    <row r="74" spans="1:97" ht="72.650000000000006" customHeight="1">
      <c r="A74" s="90">
        <f t="shared" si="2"/>
        <v>65</v>
      </c>
      <c r="B74" s="63" t="s">
        <v>705</v>
      </c>
      <c r="C74" s="1" t="s">
        <v>288</v>
      </c>
      <c r="D74" s="63" t="s">
        <v>4</v>
      </c>
      <c r="E74" s="1">
        <v>200</v>
      </c>
      <c r="F74" s="1"/>
      <c r="G74" s="106"/>
      <c r="H74" s="106"/>
      <c r="I74" s="106"/>
      <c r="J74" s="106"/>
      <c r="K74" s="106"/>
      <c r="L74" s="106"/>
      <c r="M74" s="106"/>
      <c r="N74" s="106"/>
      <c r="O74" s="106"/>
      <c r="P74" s="106"/>
      <c r="Q74" s="106"/>
      <c r="R74" s="106"/>
      <c r="S74" s="106"/>
      <c r="T74" s="106"/>
      <c r="U74" s="106"/>
      <c r="V74" s="106"/>
      <c r="W74" s="106"/>
      <c r="X74" s="106"/>
      <c r="Y74" s="106">
        <v>48000</v>
      </c>
      <c r="Z74" s="106"/>
      <c r="AA74" s="112">
        <v>45000</v>
      </c>
      <c r="AB74" s="112"/>
      <c r="AC74" s="112"/>
      <c r="AD74" s="112"/>
      <c r="AE74" s="112"/>
      <c r="AF74" s="112"/>
      <c r="AG74" s="112"/>
      <c r="AH74" s="112"/>
      <c r="AI74" s="112"/>
      <c r="AJ74" s="112"/>
      <c r="AK74" s="112"/>
      <c r="AL74" s="112"/>
      <c r="AM74" s="112"/>
      <c r="AN74" s="112"/>
      <c r="AO74" s="112"/>
      <c r="AP74" s="112"/>
      <c r="AQ74" s="112"/>
      <c r="AR74" s="112"/>
      <c r="AS74" s="112"/>
      <c r="AT74" s="112"/>
      <c r="AU74" s="112"/>
      <c r="AV74" s="112"/>
      <c r="AW74" s="112"/>
      <c r="AX74" s="112"/>
      <c r="AY74" s="112"/>
      <c r="AZ74" s="112"/>
      <c r="BA74" s="112"/>
      <c r="BB74" s="112"/>
      <c r="BC74" s="112"/>
      <c r="BD74" s="112"/>
      <c r="BE74" s="112"/>
      <c r="BF74" s="112"/>
      <c r="BG74" s="112"/>
      <c r="BH74" s="112"/>
      <c r="BI74" s="112"/>
      <c r="BJ74" s="112"/>
      <c r="BK74" s="112"/>
      <c r="BL74" s="112"/>
      <c r="BM74" s="112"/>
      <c r="BN74" s="112"/>
      <c r="BO74" s="112"/>
      <c r="BP74" s="112"/>
      <c r="BQ74" s="112"/>
      <c r="BR74" s="112"/>
      <c r="BS74" s="112"/>
      <c r="BT74" s="112"/>
      <c r="BU74" s="112"/>
      <c r="BV74" s="112"/>
      <c r="BW74" s="112"/>
      <c r="BX74" s="112"/>
      <c r="BY74" s="112"/>
      <c r="BZ74" s="112"/>
      <c r="CA74" s="112"/>
      <c r="CB74" s="112"/>
      <c r="CC74" s="112"/>
      <c r="CD74" s="112"/>
      <c r="CE74" s="112"/>
      <c r="CF74" s="112"/>
      <c r="CG74" s="112"/>
      <c r="CH74" s="112"/>
      <c r="CI74" s="112"/>
      <c r="CJ74" s="112"/>
      <c r="CK74" s="109">
        <f t="shared" si="19"/>
        <v>46500</v>
      </c>
      <c r="CL74" s="109">
        <f t="shared" si="20"/>
        <v>46500</v>
      </c>
      <c r="CM74" s="109">
        <f t="shared" si="21"/>
        <v>2121.3203435596424</v>
      </c>
      <c r="CN74" s="103">
        <f t="shared" si="14"/>
        <v>4.5619792334615966E-2</v>
      </c>
      <c r="CO74" s="110">
        <f t="shared" si="15"/>
        <v>39075.63025210084</v>
      </c>
      <c r="CP74" s="107">
        <f t="shared" si="16"/>
        <v>7424.3697478991598</v>
      </c>
      <c r="CQ74" s="106">
        <f t="shared" si="17"/>
        <v>46500</v>
      </c>
      <c r="CR74" s="122">
        <f t="shared" si="18"/>
        <v>9300000</v>
      </c>
      <c r="CS74" s="89" t="s">
        <v>732</v>
      </c>
    </row>
    <row r="75" spans="1:97" ht="72.650000000000006" customHeight="1">
      <c r="A75" s="90">
        <f t="shared" si="2"/>
        <v>66</v>
      </c>
      <c r="B75" s="63" t="s">
        <v>706</v>
      </c>
      <c r="C75" s="1" t="s">
        <v>707</v>
      </c>
      <c r="D75" s="63" t="s">
        <v>4</v>
      </c>
      <c r="E75" s="1">
        <v>200</v>
      </c>
      <c r="F75" s="1"/>
      <c r="G75" s="106"/>
      <c r="H75" s="106"/>
      <c r="I75" s="106"/>
      <c r="J75" s="106"/>
      <c r="K75" s="106"/>
      <c r="L75" s="106"/>
      <c r="M75" s="106"/>
      <c r="N75" s="106"/>
      <c r="O75" s="106"/>
      <c r="P75" s="106"/>
      <c r="Q75" s="106"/>
      <c r="R75" s="106"/>
      <c r="S75" s="106"/>
      <c r="T75" s="106"/>
      <c r="U75" s="106"/>
      <c r="V75" s="106"/>
      <c r="W75" s="106"/>
      <c r="X75" s="106">
        <v>10900</v>
      </c>
      <c r="Y75" s="106">
        <v>15000</v>
      </c>
      <c r="Z75" s="106">
        <v>16500</v>
      </c>
      <c r="AA75" s="112"/>
      <c r="AB75" s="112"/>
      <c r="AC75" s="112"/>
      <c r="AD75" s="112"/>
      <c r="AE75" s="112"/>
      <c r="AF75" s="112"/>
      <c r="AG75" s="112"/>
      <c r="AH75" s="112"/>
      <c r="AI75" s="112"/>
      <c r="AJ75" s="112"/>
      <c r="AK75" s="112"/>
      <c r="AL75" s="112"/>
      <c r="AM75" s="112"/>
      <c r="AN75" s="112"/>
      <c r="AO75" s="112"/>
      <c r="AP75" s="112"/>
      <c r="AQ75" s="112"/>
      <c r="AR75" s="112"/>
      <c r="AS75" s="112"/>
      <c r="AT75" s="112"/>
      <c r="AU75" s="112"/>
      <c r="AV75" s="112"/>
      <c r="AW75" s="112"/>
      <c r="AX75" s="112"/>
      <c r="AY75" s="112"/>
      <c r="AZ75" s="112"/>
      <c r="BA75" s="112"/>
      <c r="BB75" s="112"/>
      <c r="BC75" s="112"/>
      <c r="BD75" s="112"/>
      <c r="BE75" s="112"/>
      <c r="BF75" s="112"/>
      <c r="BG75" s="112"/>
      <c r="BH75" s="112"/>
      <c r="BI75" s="112"/>
      <c r="BJ75" s="112"/>
      <c r="BK75" s="112"/>
      <c r="BL75" s="112"/>
      <c r="BM75" s="112"/>
      <c r="BN75" s="112"/>
      <c r="BO75" s="112"/>
      <c r="BP75" s="112"/>
      <c r="BQ75" s="112"/>
      <c r="BR75" s="112"/>
      <c r="BS75" s="112"/>
      <c r="BT75" s="112"/>
      <c r="BU75" s="112"/>
      <c r="BV75" s="112"/>
      <c r="BW75" s="112"/>
      <c r="BX75" s="112"/>
      <c r="BY75" s="112"/>
      <c r="BZ75" s="112"/>
      <c r="CA75" s="112"/>
      <c r="CB75" s="112"/>
      <c r="CC75" s="112"/>
      <c r="CD75" s="112"/>
      <c r="CE75" s="112"/>
      <c r="CF75" s="112"/>
      <c r="CG75" s="112"/>
      <c r="CH75" s="112"/>
      <c r="CI75" s="112"/>
      <c r="CJ75" s="112"/>
      <c r="CK75" s="109">
        <f t="shared" si="19"/>
        <v>15000</v>
      </c>
      <c r="CL75" s="109">
        <f t="shared" si="20"/>
        <v>14133.333333333334</v>
      </c>
      <c r="CM75" s="109">
        <f t="shared" si="21"/>
        <v>2898.8503468329154</v>
      </c>
      <c r="CN75" s="103">
        <f t="shared" si="14"/>
        <v>0.20510733586081947</v>
      </c>
      <c r="CO75" s="110">
        <f t="shared" ref="CO75:CO103" si="25">CQ75/1.19</f>
        <v>12605.042016806723</v>
      </c>
      <c r="CP75" s="107">
        <f t="shared" ref="CP75:CP103" si="26">CO75*19%</f>
        <v>2394.9579831932774</v>
      </c>
      <c r="CQ75" s="106">
        <f t="shared" si="17"/>
        <v>15000</v>
      </c>
      <c r="CR75" s="122">
        <f t="shared" si="18"/>
        <v>3000000</v>
      </c>
      <c r="CS75" s="89" t="s">
        <v>380</v>
      </c>
    </row>
    <row r="76" spans="1:97" ht="72.650000000000006" customHeight="1">
      <c r="A76" s="90">
        <f t="shared" si="2"/>
        <v>67</v>
      </c>
      <c r="B76" s="88" t="s">
        <v>420</v>
      </c>
      <c r="C76" s="8" t="s">
        <v>290</v>
      </c>
      <c r="D76" s="63" t="s">
        <v>4</v>
      </c>
      <c r="E76" s="1">
        <v>100</v>
      </c>
      <c r="F76" s="1"/>
      <c r="G76" s="106"/>
      <c r="H76" s="106"/>
      <c r="I76" s="106"/>
      <c r="J76" s="106"/>
      <c r="K76" s="106"/>
      <c r="L76" s="106"/>
      <c r="M76" s="106"/>
      <c r="N76" s="106"/>
      <c r="O76" s="106"/>
      <c r="P76" s="106"/>
      <c r="Q76" s="106"/>
      <c r="R76" s="106"/>
      <c r="S76" s="106"/>
      <c r="T76" s="106"/>
      <c r="U76" s="106"/>
      <c r="V76" s="106"/>
      <c r="W76" s="106"/>
      <c r="X76" s="112">
        <v>150000</v>
      </c>
      <c r="Y76" s="112">
        <v>162000</v>
      </c>
      <c r="Z76" s="112">
        <v>172000</v>
      </c>
      <c r="AA76" s="112"/>
      <c r="AB76" s="112"/>
      <c r="AC76" s="112"/>
      <c r="AD76" s="112"/>
      <c r="AE76" s="112"/>
      <c r="AF76" s="112"/>
      <c r="AG76" s="112"/>
      <c r="AH76" s="112"/>
      <c r="AI76" s="112"/>
      <c r="AJ76" s="112"/>
      <c r="AK76" s="112"/>
      <c r="AL76" s="112"/>
      <c r="AM76" s="112"/>
      <c r="AN76" s="112"/>
      <c r="AO76" s="112"/>
      <c r="AP76" s="112"/>
      <c r="AQ76" s="112"/>
      <c r="AR76" s="112"/>
      <c r="AS76" s="112"/>
      <c r="AT76" s="112"/>
      <c r="AU76" s="112"/>
      <c r="AV76" s="112"/>
      <c r="AW76" s="112"/>
      <c r="AX76" s="112"/>
      <c r="AY76" s="112"/>
      <c r="AZ76" s="112"/>
      <c r="BA76" s="112"/>
      <c r="BB76" s="112"/>
      <c r="BC76" s="112"/>
      <c r="BD76" s="112"/>
      <c r="BE76" s="112"/>
      <c r="BF76" s="112"/>
      <c r="BG76" s="112"/>
      <c r="BH76" s="112"/>
      <c r="BI76" s="112"/>
      <c r="BJ76" s="112"/>
      <c r="BK76" s="112"/>
      <c r="BL76" s="112"/>
      <c r="BM76" s="112"/>
      <c r="BN76" s="112"/>
      <c r="BO76" s="112"/>
      <c r="BP76" s="112"/>
      <c r="BQ76" s="112"/>
      <c r="BR76" s="112"/>
      <c r="BS76" s="112"/>
      <c r="BT76" s="112"/>
      <c r="BU76" s="112"/>
      <c r="BV76" s="112"/>
      <c r="BW76" s="112"/>
      <c r="BX76" s="112"/>
      <c r="BY76" s="112"/>
      <c r="BZ76" s="112"/>
      <c r="CA76" s="112"/>
      <c r="CB76" s="112"/>
      <c r="CC76" s="112"/>
      <c r="CD76" s="112"/>
      <c r="CE76" s="112"/>
      <c r="CF76" s="112"/>
      <c r="CG76" s="112"/>
      <c r="CH76" s="112"/>
      <c r="CI76" s="112"/>
      <c r="CJ76" s="112"/>
      <c r="CK76" s="109">
        <f t="shared" si="19"/>
        <v>162000</v>
      </c>
      <c r="CL76" s="109">
        <f t="shared" si="20"/>
        <v>161333.33333333334</v>
      </c>
      <c r="CM76" s="109">
        <f t="shared" si="21"/>
        <v>11015.141094572204</v>
      </c>
      <c r="CN76" s="103">
        <f t="shared" si="14"/>
        <v>6.8275667941563242E-2</v>
      </c>
      <c r="CO76" s="110">
        <f t="shared" si="25"/>
        <v>135574.78991596639</v>
      </c>
      <c r="CP76" s="107">
        <f t="shared" si="26"/>
        <v>25759.210084033613</v>
      </c>
      <c r="CQ76" s="106">
        <f t="shared" si="17"/>
        <v>161334</v>
      </c>
      <c r="CR76" s="122">
        <f t="shared" si="18"/>
        <v>16133400</v>
      </c>
      <c r="CS76" s="89" t="s">
        <v>732</v>
      </c>
    </row>
    <row r="77" spans="1:97" ht="122.65" customHeight="1">
      <c r="A77" s="90">
        <f t="shared" si="2"/>
        <v>68</v>
      </c>
      <c r="B77" s="88" t="s">
        <v>421</v>
      </c>
      <c r="C77" s="8" t="s">
        <v>422</v>
      </c>
      <c r="D77" s="63" t="s">
        <v>4</v>
      </c>
      <c r="E77" s="8">
        <v>100</v>
      </c>
      <c r="F77" s="1"/>
      <c r="G77" s="106"/>
      <c r="H77" s="106"/>
      <c r="I77" s="106"/>
      <c r="J77" s="106"/>
      <c r="K77" s="106"/>
      <c r="L77" s="106"/>
      <c r="M77" s="106"/>
      <c r="N77" s="5">
        <v>390000</v>
      </c>
      <c r="O77" s="5">
        <f>+(N77*5.1%)+N77</f>
        <v>409890</v>
      </c>
      <c r="P77" s="106"/>
      <c r="Q77" s="106"/>
      <c r="R77" s="106"/>
      <c r="S77" s="106"/>
      <c r="T77" s="106"/>
      <c r="U77" s="106"/>
      <c r="V77" s="106"/>
      <c r="W77" s="106"/>
      <c r="X77" s="106"/>
      <c r="Y77" s="106"/>
      <c r="Z77" s="106"/>
      <c r="AA77" s="112"/>
      <c r="AB77" s="112"/>
      <c r="AC77" s="112"/>
      <c r="AD77" s="112"/>
      <c r="AE77" s="112"/>
      <c r="AF77" s="112"/>
      <c r="AG77" s="112"/>
      <c r="AH77" s="112"/>
      <c r="AI77" s="112"/>
      <c r="AJ77" s="112"/>
      <c r="AK77" s="112"/>
      <c r="AL77" s="112"/>
      <c r="AM77" s="328">
        <v>348000</v>
      </c>
      <c r="AN77" s="112"/>
      <c r="AO77" s="112"/>
      <c r="AP77" s="112"/>
      <c r="AQ77" s="112"/>
      <c r="AR77" s="112"/>
      <c r="AS77" s="112"/>
      <c r="AT77" s="112"/>
      <c r="AU77" s="112"/>
      <c r="AV77" s="112"/>
      <c r="AW77" s="112"/>
      <c r="AX77" s="112"/>
      <c r="AY77" s="112"/>
      <c r="AZ77" s="112"/>
      <c r="BA77" s="112"/>
      <c r="BB77" s="112"/>
      <c r="BC77" s="112"/>
      <c r="BD77" s="112"/>
      <c r="BE77" s="112"/>
      <c r="BF77" s="112"/>
      <c r="BG77" s="112"/>
      <c r="BH77" s="112"/>
      <c r="BI77" s="112"/>
      <c r="BJ77" s="112"/>
      <c r="BK77" s="112"/>
      <c r="BL77" s="112"/>
      <c r="BM77" s="112"/>
      <c r="BN77" s="112"/>
      <c r="BO77" s="112"/>
      <c r="BP77" s="112"/>
      <c r="BQ77" s="112"/>
      <c r="BR77" s="112"/>
      <c r="BS77" s="112"/>
      <c r="BT77" s="112"/>
      <c r="BU77" s="112"/>
      <c r="BV77" s="112"/>
      <c r="BW77" s="112"/>
      <c r="BX77" s="112"/>
      <c r="BY77" s="112"/>
      <c r="BZ77" s="112"/>
      <c r="CA77" s="112"/>
      <c r="CB77" s="112"/>
      <c r="CC77" s="112"/>
      <c r="CD77" s="112"/>
      <c r="CE77" s="112"/>
      <c r="CF77" s="112"/>
      <c r="CG77" s="112"/>
      <c r="CH77" s="112"/>
      <c r="CI77" s="112"/>
      <c r="CJ77" s="112"/>
      <c r="CK77" s="109">
        <f t="shared" si="19"/>
        <v>409890</v>
      </c>
      <c r="CL77" s="109">
        <f t="shared" si="20"/>
        <v>389260</v>
      </c>
      <c r="CM77" s="109">
        <f t="shared" si="21"/>
        <v>35732.208160145936</v>
      </c>
      <c r="CN77" s="103">
        <f t="shared" si="14"/>
        <v>9.1795222114129216E-2</v>
      </c>
      <c r="CO77" s="110">
        <f t="shared" si="25"/>
        <v>327109.24369747902</v>
      </c>
      <c r="CP77" s="107">
        <f t="shared" si="26"/>
        <v>62150.756302521011</v>
      </c>
      <c r="CQ77" s="106">
        <f t="shared" si="17"/>
        <v>389260</v>
      </c>
      <c r="CR77" s="122">
        <f t="shared" si="18"/>
        <v>38926000</v>
      </c>
      <c r="CS77" s="79" t="s">
        <v>731</v>
      </c>
    </row>
    <row r="78" spans="1:97" ht="48.65" customHeight="1">
      <c r="A78" s="90">
        <f t="shared" si="2"/>
        <v>69</v>
      </c>
      <c r="B78" s="88" t="s">
        <v>708</v>
      </c>
      <c r="C78" s="1" t="s">
        <v>745</v>
      </c>
      <c r="D78" s="63" t="s">
        <v>4</v>
      </c>
      <c r="E78" s="1">
        <v>200</v>
      </c>
      <c r="F78" s="1"/>
      <c r="G78" s="106"/>
      <c r="H78" s="106"/>
      <c r="I78" s="106"/>
      <c r="J78" s="106"/>
      <c r="K78" s="106"/>
      <c r="L78" s="106"/>
      <c r="M78" s="106"/>
      <c r="N78" s="106"/>
      <c r="O78" s="106"/>
      <c r="P78" s="106"/>
      <c r="Q78" s="106"/>
      <c r="R78" s="106"/>
      <c r="S78" s="106"/>
      <c r="T78" s="106"/>
      <c r="U78" s="106"/>
      <c r="V78" s="106"/>
      <c r="W78" s="106"/>
      <c r="X78" s="106">
        <v>40000</v>
      </c>
      <c r="Y78" s="106">
        <v>34900</v>
      </c>
      <c r="Z78" s="106">
        <v>35500</v>
      </c>
      <c r="AA78" s="112"/>
      <c r="AB78" s="112"/>
      <c r="AC78" s="112"/>
      <c r="AD78" s="112"/>
      <c r="AE78" s="112"/>
      <c r="AF78" s="112"/>
      <c r="AG78" s="112"/>
      <c r="AH78" s="112"/>
      <c r="AI78" s="112"/>
      <c r="AJ78" s="112"/>
      <c r="AK78" s="112"/>
      <c r="AL78" s="112"/>
      <c r="AM78" s="112"/>
      <c r="AN78" s="112"/>
      <c r="AO78" s="112"/>
      <c r="AP78" s="112"/>
      <c r="AQ78" s="112"/>
      <c r="AR78" s="112"/>
      <c r="AS78" s="112"/>
      <c r="AT78" s="112"/>
      <c r="AU78" s="112"/>
      <c r="AV78" s="112"/>
      <c r="AW78" s="112"/>
      <c r="AX78" s="112"/>
      <c r="AY78" s="112"/>
      <c r="AZ78" s="112"/>
      <c r="BA78" s="112"/>
      <c r="BB78" s="112"/>
      <c r="BC78" s="112"/>
      <c r="BD78" s="112"/>
      <c r="BE78" s="112"/>
      <c r="BF78" s="112"/>
      <c r="BG78" s="112"/>
      <c r="BH78" s="112"/>
      <c r="BI78" s="112"/>
      <c r="BJ78" s="112"/>
      <c r="BK78" s="112"/>
      <c r="BL78" s="112"/>
      <c r="BM78" s="112"/>
      <c r="BN78" s="112"/>
      <c r="BO78" s="112"/>
      <c r="BP78" s="112"/>
      <c r="BQ78" s="112"/>
      <c r="BR78" s="112"/>
      <c r="BS78" s="112"/>
      <c r="BT78" s="112"/>
      <c r="BU78" s="112"/>
      <c r="BV78" s="112"/>
      <c r="BW78" s="112"/>
      <c r="BX78" s="112"/>
      <c r="BY78" s="112"/>
      <c r="BZ78" s="112"/>
      <c r="CA78" s="112"/>
      <c r="CB78" s="112"/>
      <c r="CC78" s="112"/>
      <c r="CD78" s="112"/>
      <c r="CE78" s="112"/>
      <c r="CF78" s="112"/>
      <c r="CG78" s="112"/>
      <c r="CH78" s="112"/>
      <c r="CI78" s="112"/>
      <c r="CJ78" s="112"/>
      <c r="CK78" s="109">
        <f t="shared" si="19"/>
        <v>35500</v>
      </c>
      <c r="CL78" s="109">
        <f t="shared" si="20"/>
        <v>36800</v>
      </c>
      <c r="CM78" s="109">
        <f t="shared" si="21"/>
        <v>2787.4719729532708</v>
      </c>
      <c r="CN78" s="103">
        <f t="shared" si="14"/>
        <v>7.5746521004164971E-2</v>
      </c>
      <c r="CO78" s="110">
        <f t="shared" si="25"/>
        <v>30924.36974789916</v>
      </c>
      <c r="CP78" s="107">
        <f t="shared" si="26"/>
        <v>5875.6302521008402</v>
      </c>
      <c r="CQ78" s="106">
        <f t="shared" si="17"/>
        <v>36800</v>
      </c>
      <c r="CR78" s="122">
        <f t="shared" si="18"/>
        <v>7360000</v>
      </c>
      <c r="CS78" s="89" t="s">
        <v>732</v>
      </c>
    </row>
    <row r="79" spans="1:97" ht="107.65" customHeight="1">
      <c r="A79" s="90">
        <f t="shared" si="2"/>
        <v>70</v>
      </c>
      <c r="B79" s="88" t="s">
        <v>423</v>
      </c>
      <c r="C79" s="8" t="s">
        <v>291</v>
      </c>
      <c r="D79" s="63" t="s">
        <v>4</v>
      </c>
      <c r="E79" s="1">
        <v>100</v>
      </c>
      <c r="F79" s="1"/>
      <c r="G79" s="106"/>
      <c r="H79" s="106"/>
      <c r="I79" s="106"/>
      <c r="J79" s="106"/>
      <c r="K79" s="106"/>
      <c r="L79" s="106"/>
      <c r="M79" s="106"/>
      <c r="N79" s="106"/>
      <c r="O79" s="106"/>
      <c r="P79" s="106"/>
      <c r="Q79" s="106"/>
      <c r="R79" s="106"/>
      <c r="S79" s="106"/>
      <c r="T79" s="106"/>
      <c r="U79" s="106"/>
      <c r="V79" s="106"/>
      <c r="W79" s="106"/>
      <c r="X79" s="106">
        <v>76000</v>
      </c>
      <c r="Y79" s="106">
        <v>80000</v>
      </c>
      <c r="Z79" s="106">
        <v>82000</v>
      </c>
      <c r="AA79" s="112"/>
      <c r="AB79" s="112"/>
      <c r="AC79" s="112"/>
      <c r="AD79" s="112"/>
      <c r="AE79" s="112"/>
      <c r="AF79" s="112"/>
      <c r="AG79" s="112"/>
      <c r="AH79" s="112"/>
      <c r="AI79" s="112"/>
      <c r="AJ79" s="112"/>
      <c r="AK79" s="112"/>
      <c r="AL79" s="112"/>
      <c r="AM79" s="112"/>
      <c r="AN79" s="112"/>
      <c r="AO79" s="112"/>
      <c r="AP79" s="112"/>
      <c r="AQ79" s="112"/>
      <c r="AR79" s="112"/>
      <c r="AS79" s="112"/>
      <c r="AT79" s="112"/>
      <c r="AU79" s="112"/>
      <c r="AV79" s="112"/>
      <c r="AW79" s="112"/>
      <c r="AX79" s="112"/>
      <c r="AY79" s="112"/>
      <c r="AZ79" s="112"/>
      <c r="BA79" s="112"/>
      <c r="BB79" s="112"/>
      <c r="BC79" s="112"/>
      <c r="BD79" s="112"/>
      <c r="BE79" s="112"/>
      <c r="BF79" s="112"/>
      <c r="BG79" s="112"/>
      <c r="BH79" s="112"/>
      <c r="BI79" s="112"/>
      <c r="BJ79" s="112"/>
      <c r="BK79" s="112"/>
      <c r="BL79" s="112"/>
      <c r="BM79" s="112"/>
      <c r="BN79" s="112"/>
      <c r="BO79" s="112"/>
      <c r="BP79" s="112"/>
      <c r="BQ79" s="112"/>
      <c r="BR79" s="112"/>
      <c r="BS79" s="112"/>
      <c r="BT79" s="112"/>
      <c r="BU79" s="112"/>
      <c r="BV79" s="112"/>
      <c r="BW79" s="112"/>
      <c r="BX79" s="112"/>
      <c r="BY79" s="112"/>
      <c r="BZ79" s="112"/>
      <c r="CA79" s="112"/>
      <c r="CB79" s="112"/>
      <c r="CC79" s="112"/>
      <c r="CD79" s="112"/>
      <c r="CE79" s="112"/>
      <c r="CF79" s="112"/>
      <c r="CG79" s="112"/>
      <c r="CH79" s="112"/>
      <c r="CI79" s="112"/>
      <c r="CJ79" s="112"/>
      <c r="CK79" s="109">
        <f t="shared" si="19"/>
        <v>80000</v>
      </c>
      <c r="CL79" s="109">
        <f t="shared" si="20"/>
        <v>79333.333333333328</v>
      </c>
      <c r="CM79" s="109">
        <f t="shared" si="21"/>
        <v>3055.0504633038936</v>
      </c>
      <c r="CN79" s="103">
        <f t="shared" si="14"/>
        <v>3.8509039453410429E-2</v>
      </c>
      <c r="CO79" s="110">
        <f t="shared" si="25"/>
        <v>66667.226890756312</v>
      </c>
      <c r="CP79" s="107">
        <f t="shared" si="26"/>
        <v>12666.773109243699</v>
      </c>
      <c r="CQ79" s="106">
        <f t="shared" si="17"/>
        <v>79334</v>
      </c>
      <c r="CR79" s="122">
        <f t="shared" si="18"/>
        <v>7933400</v>
      </c>
      <c r="CS79" s="89" t="s">
        <v>732</v>
      </c>
    </row>
    <row r="80" spans="1:97" ht="101.65" customHeight="1">
      <c r="A80" s="90">
        <f t="shared" ref="A80:A103" si="27">+A79+1</f>
        <v>71</v>
      </c>
      <c r="B80" s="88" t="s">
        <v>424</v>
      </c>
      <c r="C80" s="8" t="s">
        <v>425</v>
      </c>
      <c r="D80" s="63" t="s">
        <v>4</v>
      </c>
      <c r="E80" s="1">
        <v>200</v>
      </c>
      <c r="F80" s="1"/>
      <c r="G80" s="106"/>
      <c r="H80" s="106"/>
      <c r="I80" s="106"/>
      <c r="J80" s="106"/>
      <c r="K80" s="106"/>
      <c r="L80" s="106"/>
      <c r="M80" s="106"/>
      <c r="N80" s="106"/>
      <c r="O80" s="106"/>
      <c r="P80" s="106"/>
      <c r="Q80" s="106"/>
      <c r="R80" s="106"/>
      <c r="S80" s="106"/>
      <c r="T80" s="106"/>
      <c r="U80" s="106"/>
      <c r="V80" s="106"/>
      <c r="W80" s="106"/>
      <c r="X80" s="106">
        <v>24000</v>
      </c>
      <c r="Y80" s="106">
        <v>28100</v>
      </c>
      <c r="Z80" s="106">
        <v>29500</v>
      </c>
      <c r="AA80" s="112"/>
      <c r="AB80" s="112"/>
      <c r="AC80" s="112"/>
      <c r="AD80" s="112"/>
      <c r="AE80" s="112"/>
      <c r="AF80" s="112"/>
      <c r="AG80" s="112"/>
      <c r="AH80" s="112"/>
      <c r="AI80" s="112"/>
      <c r="AJ80" s="112"/>
      <c r="AK80" s="112"/>
      <c r="AL80" s="112"/>
      <c r="AM80" s="112"/>
      <c r="AN80" s="112"/>
      <c r="AO80" s="112"/>
      <c r="AP80" s="112"/>
      <c r="AQ80" s="112"/>
      <c r="AR80" s="112"/>
      <c r="AS80" s="112"/>
      <c r="AT80" s="112"/>
      <c r="AU80" s="112"/>
      <c r="AV80" s="112"/>
      <c r="AW80" s="112"/>
      <c r="AX80" s="112"/>
      <c r="AY80" s="112"/>
      <c r="AZ80" s="112"/>
      <c r="BA80" s="112"/>
      <c r="BB80" s="112"/>
      <c r="BC80" s="112"/>
      <c r="BD80" s="112"/>
      <c r="BE80" s="112"/>
      <c r="BF80" s="112"/>
      <c r="BG80" s="112"/>
      <c r="BH80" s="112"/>
      <c r="BI80" s="112"/>
      <c r="BJ80" s="112"/>
      <c r="BK80" s="112"/>
      <c r="BL80" s="112"/>
      <c r="BM80" s="112"/>
      <c r="BN80" s="112"/>
      <c r="BO80" s="112"/>
      <c r="BP80" s="112"/>
      <c r="BQ80" s="112"/>
      <c r="BR80" s="112"/>
      <c r="BS80" s="112"/>
      <c r="BT80" s="112"/>
      <c r="BU80" s="112"/>
      <c r="BV80" s="112"/>
      <c r="BW80" s="112"/>
      <c r="BX80" s="112"/>
      <c r="BY80" s="112"/>
      <c r="BZ80" s="112"/>
      <c r="CA80" s="112"/>
      <c r="CB80" s="112"/>
      <c r="CC80" s="112"/>
      <c r="CD80" s="112"/>
      <c r="CE80" s="112"/>
      <c r="CF80" s="112"/>
      <c r="CG80" s="112"/>
      <c r="CH80" s="112"/>
      <c r="CI80" s="112"/>
      <c r="CJ80" s="112"/>
      <c r="CK80" s="109">
        <f t="shared" si="19"/>
        <v>28100</v>
      </c>
      <c r="CL80" s="109">
        <f t="shared" si="20"/>
        <v>27200</v>
      </c>
      <c r="CM80" s="109">
        <f t="shared" si="21"/>
        <v>2858.3211855912905</v>
      </c>
      <c r="CN80" s="103">
        <f t="shared" si="14"/>
        <v>0.10508533770556215</v>
      </c>
      <c r="CO80" s="110">
        <f t="shared" si="25"/>
        <v>22857.142857142859</v>
      </c>
      <c r="CP80" s="107">
        <f t="shared" si="26"/>
        <v>4342.8571428571431</v>
      </c>
      <c r="CQ80" s="106">
        <f t="shared" si="17"/>
        <v>27200</v>
      </c>
      <c r="CR80" s="122">
        <f t="shared" si="18"/>
        <v>5440000</v>
      </c>
      <c r="CS80" s="89" t="s">
        <v>732</v>
      </c>
    </row>
    <row r="81" spans="1:97" ht="88.9" customHeight="1">
      <c r="A81" s="90">
        <f t="shared" si="27"/>
        <v>72</v>
      </c>
      <c r="B81" s="88" t="s">
        <v>426</v>
      </c>
      <c r="C81" s="8" t="s">
        <v>427</v>
      </c>
      <c r="D81" s="63" t="s">
        <v>757</v>
      </c>
      <c r="E81" s="1">
        <v>200</v>
      </c>
      <c r="F81" s="1"/>
      <c r="G81" s="106"/>
      <c r="H81" s="106"/>
      <c r="I81" s="106"/>
      <c r="J81" s="106"/>
      <c r="K81" s="106"/>
      <c r="L81" s="106"/>
      <c r="M81" s="106"/>
      <c r="N81" s="106"/>
      <c r="O81" s="106"/>
      <c r="P81" s="106"/>
      <c r="Q81" s="106"/>
      <c r="R81" s="106"/>
      <c r="S81" s="106"/>
      <c r="T81" s="106"/>
      <c r="U81" s="106"/>
      <c r="V81" s="106"/>
      <c r="W81" s="106"/>
      <c r="X81" s="106">
        <v>45000</v>
      </c>
      <c r="Y81" s="112">
        <v>61000</v>
      </c>
      <c r="Z81" s="112">
        <v>62000</v>
      </c>
      <c r="AA81" s="112"/>
      <c r="AB81" s="112"/>
      <c r="AC81" s="112"/>
      <c r="AD81" s="112"/>
      <c r="AE81" s="112"/>
      <c r="AF81" s="112"/>
      <c r="AG81" s="112"/>
      <c r="AH81" s="112"/>
      <c r="AI81" s="112"/>
      <c r="AJ81" s="112"/>
      <c r="AK81" s="112"/>
      <c r="AL81" s="112"/>
      <c r="AM81" s="112"/>
      <c r="AN81" s="112"/>
      <c r="AO81" s="112"/>
      <c r="AP81" s="112"/>
      <c r="AQ81" s="112"/>
      <c r="AR81" s="112"/>
      <c r="AS81" s="112"/>
      <c r="AT81" s="112"/>
      <c r="AU81" s="112"/>
      <c r="AV81" s="112"/>
      <c r="AW81" s="112"/>
      <c r="AX81" s="112"/>
      <c r="AY81" s="112"/>
      <c r="AZ81" s="112"/>
      <c r="BA81" s="112"/>
      <c r="BB81" s="112"/>
      <c r="BC81" s="112"/>
      <c r="BD81" s="112"/>
      <c r="BE81" s="112"/>
      <c r="BF81" s="112"/>
      <c r="BG81" s="112"/>
      <c r="BH81" s="112"/>
      <c r="BI81" s="112"/>
      <c r="BJ81" s="112"/>
      <c r="BK81" s="112"/>
      <c r="BL81" s="112"/>
      <c r="BM81" s="112"/>
      <c r="BN81" s="112"/>
      <c r="BO81" s="112"/>
      <c r="BP81" s="112"/>
      <c r="BQ81" s="112"/>
      <c r="BR81" s="112"/>
      <c r="BS81" s="112"/>
      <c r="BT81" s="112"/>
      <c r="BU81" s="112"/>
      <c r="BV81" s="112"/>
      <c r="BW81" s="112"/>
      <c r="BX81" s="112"/>
      <c r="BY81" s="112"/>
      <c r="BZ81" s="112"/>
      <c r="CA81" s="112"/>
      <c r="CB81" s="112"/>
      <c r="CC81" s="112"/>
      <c r="CD81" s="112"/>
      <c r="CE81" s="112"/>
      <c r="CF81" s="112"/>
      <c r="CG81" s="112"/>
      <c r="CH81" s="112"/>
      <c r="CI81" s="112"/>
      <c r="CJ81" s="112"/>
      <c r="CK81" s="109">
        <f t="shared" si="19"/>
        <v>61000</v>
      </c>
      <c r="CL81" s="109">
        <f t="shared" si="20"/>
        <v>56000</v>
      </c>
      <c r="CM81" s="109">
        <f t="shared" si="21"/>
        <v>9539.3920141694562</v>
      </c>
      <c r="CN81" s="103">
        <f t="shared" si="14"/>
        <v>0.17034628596731172</v>
      </c>
      <c r="CO81" s="110">
        <f t="shared" si="25"/>
        <v>51260.504201680676</v>
      </c>
      <c r="CP81" s="107">
        <f t="shared" si="26"/>
        <v>9739.495798319329</v>
      </c>
      <c r="CQ81" s="106">
        <f t="shared" si="17"/>
        <v>61000</v>
      </c>
      <c r="CR81" s="122">
        <f t="shared" si="18"/>
        <v>12200000</v>
      </c>
      <c r="CS81" s="89" t="s">
        <v>380</v>
      </c>
    </row>
    <row r="82" spans="1:97" s="265" customFormat="1" ht="199.5" customHeight="1">
      <c r="A82" s="247">
        <f t="shared" si="27"/>
        <v>73</v>
      </c>
      <c r="B82" s="248" t="s">
        <v>772</v>
      </c>
      <c r="C82" s="262" t="s">
        <v>898</v>
      </c>
      <c r="D82" s="248" t="s">
        <v>419</v>
      </c>
      <c r="E82" s="263">
        <v>1</v>
      </c>
      <c r="F82" s="263"/>
      <c r="G82" s="252"/>
      <c r="H82" s="252"/>
      <c r="I82" s="252"/>
      <c r="J82" s="252"/>
      <c r="K82" s="252"/>
      <c r="L82" s="252"/>
      <c r="M82" s="252"/>
      <c r="N82" s="252"/>
      <c r="O82" s="252"/>
      <c r="P82" s="252"/>
      <c r="Q82" s="252"/>
      <c r="R82" s="264"/>
      <c r="S82" s="264"/>
      <c r="T82" s="264"/>
      <c r="U82" s="264"/>
      <c r="V82" s="264"/>
      <c r="W82" s="264"/>
      <c r="X82" s="252"/>
      <c r="Y82" s="252"/>
      <c r="Z82" s="252"/>
      <c r="AA82" s="252"/>
      <c r="AB82" s="252"/>
      <c r="AC82" s="252"/>
      <c r="AD82" s="252"/>
      <c r="AE82" s="252"/>
      <c r="AF82" s="252"/>
      <c r="AG82" s="252"/>
      <c r="AH82" s="252"/>
      <c r="AI82" s="252"/>
      <c r="AJ82" s="252"/>
      <c r="AK82" s="252"/>
      <c r="AL82" s="252"/>
      <c r="AM82" s="252"/>
      <c r="AN82" s="252"/>
      <c r="AO82" s="252"/>
      <c r="AP82" s="252"/>
      <c r="AQ82" s="252"/>
      <c r="AR82" s="252"/>
      <c r="AS82" s="252"/>
      <c r="AT82" s="252"/>
      <c r="AU82" s="252"/>
      <c r="AV82" s="252"/>
      <c r="AW82" s="252"/>
      <c r="AX82" s="252"/>
      <c r="AY82" s="252"/>
      <c r="AZ82" s="252"/>
      <c r="BA82" s="252"/>
      <c r="BB82" s="252"/>
      <c r="BC82" s="252"/>
      <c r="BD82" s="252"/>
      <c r="BE82" s="252"/>
      <c r="BF82" s="252"/>
      <c r="BG82" s="252"/>
      <c r="BH82" s="252"/>
      <c r="BI82" s="252"/>
      <c r="BJ82" s="252"/>
      <c r="BK82" s="252"/>
      <c r="BL82" s="252"/>
      <c r="BM82" s="252"/>
      <c r="BN82" s="252"/>
      <c r="BO82" s="252"/>
      <c r="BP82" s="252"/>
      <c r="BQ82" s="252"/>
      <c r="BR82" s="252"/>
      <c r="BS82" s="252"/>
      <c r="BT82" s="252"/>
      <c r="BU82" s="252"/>
      <c r="BV82" s="252"/>
      <c r="BW82" s="252"/>
      <c r="BX82" s="252"/>
      <c r="BY82" s="252"/>
      <c r="BZ82" s="252"/>
      <c r="CA82" s="252"/>
      <c r="CB82" s="252"/>
      <c r="CC82" s="252"/>
      <c r="CD82" s="252"/>
      <c r="CE82" s="252"/>
      <c r="CF82" s="252"/>
      <c r="CG82" s="252"/>
      <c r="CH82" s="252"/>
      <c r="CI82" s="252"/>
      <c r="CJ82" s="252"/>
      <c r="CK82" s="252"/>
      <c r="CL82" s="252"/>
      <c r="CM82" s="252"/>
      <c r="CN82" s="253"/>
      <c r="CO82" s="264">
        <v>90000000</v>
      </c>
      <c r="CP82" s="252"/>
      <c r="CQ82" s="264">
        <v>90000000</v>
      </c>
      <c r="CR82" s="252">
        <f>+CQ82</f>
        <v>90000000</v>
      </c>
      <c r="CS82" s="261" t="s">
        <v>894</v>
      </c>
    </row>
    <row r="83" spans="1:97" ht="156" customHeight="1">
      <c r="A83" s="90">
        <f t="shared" si="27"/>
        <v>74</v>
      </c>
      <c r="B83" s="88" t="s">
        <v>94</v>
      </c>
      <c r="C83" s="1" t="s">
        <v>95</v>
      </c>
      <c r="D83" s="63" t="s">
        <v>4</v>
      </c>
      <c r="E83" s="62">
        <v>5613</v>
      </c>
      <c r="F83" s="1"/>
      <c r="G83" s="106"/>
      <c r="H83" s="106"/>
      <c r="I83" s="106"/>
      <c r="J83" s="106"/>
      <c r="K83" s="106"/>
      <c r="L83" s="106"/>
      <c r="M83" s="106"/>
      <c r="N83" s="106">
        <v>16000</v>
      </c>
      <c r="O83" s="5">
        <f>+(N83*5.1%)+N83</f>
        <v>16816</v>
      </c>
      <c r="P83" s="106"/>
      <c r="Q83" s="106"/>
      <c r="R83" s="106"/>
      <c r="S83" s="106"/>
      <c r="T83" s="106"/>
      <c r="U83" s="106"/>
      <c r="V83" s="106"/>
      <c r="W83" s="106"/>
      <c r="X83" s="106"/>
      <c r="Y83" s="106"/>
      <c r="Z83" s="106"/>
      <c r="AA83" s="106"/>
      <c r="AB83" s="106"/>
      <c r="AC83" s="106"/>
      <c r="AD83" s="106"/>
      <c r="AE83" s="106"/>
      <c r="AF83" s="106"/>
      <c r="AG83" s="106"/>
      <c r="AH83" s="106"/>
      <c r="AI83" s="106"/>
      <c r="AJ83" s="106"/>
      <c r="AK83" s="106"/>
      <c r="AL83" s="106"/>
      <c r="AM83" s="112">
        <v>15500</v>
      </c>
      <c r="AN83" s="106"/>
      <c r="AO83" s="106"/>
      <c r="AP83" s="106"/>
      <c r="AQ83" s="106"/>
      <c r="AR83" s="112">
        <v>17000</v>
      </c>
      <c r="AS83" s="112">
        <f>+(AR83*5.1%)+AR83</f>
        <v>17867</v>
      </c>
      <c r="AT83" s="112"/>
      <c r="AU83" s="112"/>
      <c r="AV83" s="112"/>
      <c r="AW83" s="112"/>
      <c r="AX83" s="112"/>
      <c r="AY83" s="112"/>
      <c r="AZ83" s="112"/>
      <c r="BA83" s="112"/>
      <c r="BB83" s="112"/>
      <c r="BC83" s="112"/>
      <c r="BD83" s="112"/>
      <c r="BE83" s="112"/>
      <c r="BF83" s="112"/>
      <c r="BG83" s="112"/>
      <c r="BH83" s="112"/>
      <c r="BI83" s="112"/>
      <c r="BJ83" s="112"/>
      <c r="BK83" s="112"/>
      <c r="BL83" s="112"/>
      <c r="BM83" s="112"/>
      <c r="BN83" s="112"/>
      <c r="BO83" s="112"/>
      <c r="BP83" s="112"/>
      <c r="BQ83" s="112"/>
      <c r="BR83" s="112"/>
      <c r="BS83" s="112"/>
      <c r="BT83" s="112"/>
      <c r="BU83" s="112"/>
      <c r="BV83" s="112"/>
      <c r="BW83" s="112"/>
      <c r="BX83" s="112"/>
      <c r="BY83" s="112"/>
      <c r="BZ83" s="112"/>
      <c r="CA83" s="112"/>
      <c r="CB83" s="112"/>
      <c r="CC83" s="112"/>
      <c r="CD83" s="112"/>
      <c r="CE83" s="112"/>
      <c r="CF83" s="112"/>
      <c r="CG83" s="112"/>
      <c r="CH83" s="112"/>
      <c r="CI83" s="112"/>
      <c r="CJ83" s="112"/>
      <c r="CK83" s="109">
        <f t="shared" ref="CK83:CK100" si="28">+MEDIAN(H83,I83,J83,K83,M83,M83,M83,O83,O83,Q83,S83,U83,W83,X83,Y83,Z83,AA83,AC83,AE83,AG83,AH83,AI83,AJ83,AK83,AL83,AM83,AO83,AP83,AQ83,AS83,AU83,AX83,AZ83,BB83,BC83,BE83,BG83,BH83,BI83,BK83,BL83,BM83,BN83,BP83,BR83,BT83,BV83)</f>
        <v>16816</v>
      </c>
      <c r="CL83" s="109">
        <f t="shared" ref="CL83:CL100" si="29">+AVERAGE(H83,I83,J83,K83,M83,M83,M83,O83,O83,Q83,S83,U83,W83,X83,Y83,Z83,AA83,AC83,AE83,AG83,AH83,AI83,AJ83,AK83,AL83,AM83,AO83,AP83,AQ83,AS83,AU83,AX83,AZ83,BB83,BC83,BE83,BG83,BH83,BI83,BK83,BL83,BM83,BN83,BP83,BR83,BT83,BV83)</f>
        <v>16749.75</v>
      </c>
      <c r="CM83" s="109">
        <f t="shared" ref="CM83:CM100" si="30">+STDEV(H83,I83,J83,K83,M83,M83,M83,O83,O83,Q83,S83,U83,W83,X83,Y83,Z83,AA83,AC83,AE83,AG83,AH83,AI83,AJ83,AK83,AL83,AM83,AO83,AP83,AQ83,AS83,AU83,AX83,AZ83,BB83,BC83,BE83,BG83,BH83,BI83,BK83,BL83,BM83,BN83,BP83,BR83,BT83,BV83)</f>
        <v>969.34698809731356</v>
      </c>
      <c r="CN83" s="103">
        <f>CM83/CL83</f>
        <v>5.7872325742014868E-2</v>
      </c>
      <c r="CO83" s="110">
        <f>CQ83/1.08</f>
        <v>15509.259259259259</v>
      </c>
      <c r="CP83" s="107">
        <f>CO83*8%</f>
        <v>1240.7407407407406</v>
      </c>
      <c r="CQ83" s="106">
        <f t="shared" ref="CQ83:CQ99" si="31">ROUNDUP(IF(CN83&lt;15%,CL83,CK83),0)</f>
        <v>16750</v>
      </c>
      <c r="CR83" s="122">
        <f t="shared" ref="CR83:CR97" si="32">+CQ83*E83</f>
        <v>94017750</v>
      </c>
      <c r="CS83" s="79" t="s">
        <v>731</v>
      </c>
    </row>
    <row r="84" spans="1:97" ht="101.65" customHeight="1">
      <c r="A84" s="90">
        <f t="shared" si="27"/>
        <v>75</v>
      </c>
      <c r="B84" s="88" t="s">
        <v>61</v>
      </c>
      <c r="C84" s="1" t="s">
        <v>62</v>
      </c>
      <c r="D84" s="91" t="s">
        <v>4</v>
      </c>
      <c r="E84" s="1">
        <v>1000</v>
      </c>
      <c r="F84" s="1"/>
      <c r="G84" s="106"/>
      <c r="H84" s="106"/>
      <c r="I84" s="106"/>
      <c r="J84" s="106"/>
      <c r="K84" s="112"/>
      <c r="L84" s="106"/>
      <c r="M84" s="106"/>
      <c r="N84" s="106"/>
      <c r="O84" s="106"/>
      <c r="P84" s="106"/>
      <c r="Q84" s="106"/>
      <c r="R84" s="106"/>
      <c r="S84" s="106"/>
      <c r="T84" s="106"/>
      <c r="U84" s="106"/>
      <c r="V84" s="106"/>
      <c r="W84" s="106"/>
      <c r="X84" s="112">
        <v>130000</v>
      </c>
      <c r="Y84" s="112">
        <v>97000</v>
      </c>
      <c r="Z84" s="112">
        <v>100000</v>
      </c>
      <c r="AA84" s="106"/>
      <c r="AB84" s="106"/>
      <c r="AC84" s="106"/>
      <c r="AD84" s="106"/>
      <c r="AE84" s="106"/>
      <c r="AF84" s="106"/>
      <c r="AG84" s="106"/>
      <c r="AH84" s="106"/>
      <c r="AI84" s="106"/>
      <c r="AJ84" s="106"/>
      <c r="AK84" s="106"/>
      <c r="AL84" s="106"/>
      <c r="AM84" s="106"/>
      <c r="AN84" s="106"/>
      <c r="AO84" s="106"/>
      <c r="AP84" s="106"/>
      <c r="AQ84" s="106"/>
      <c r="AR84" s="106"/>
      <c r="AS84" s="106"/>
      <c r="AT84" s="106"/>
      <c r="AU84" s="106"/>
      <c r="AV84" s="106"/>
      <c r="AW84" s="106"/>
      <c r="AX84" s="106"/>
      <c r="AY84" s="106"/>
      <c r="AZ84" s="106"/>
      <c r="BA84" s="106"/>
      <c r="BB84" s="106"/>
      <c r="BC84" s="106"/>
      <c r="BD84" s="106"/>
      <c r="BE84" s="106"/>
      <c r="BF84" s="106"/>
      <c r="BG84" s="106"/>
      <c r="BH84" s="106"/>
      <c r="BI84" s="106"/>
      <c r="BJ84" s="106"/>
      <c r="BK84" s="106"/>
      <c r="BL84" s="106"/>
      <c r="BM84" s="106"/>
      <c r="BN84" s="106"/>
      <c r="BO84" s="106"/>
      <c r="BP84" s="106"/>
      <c r="BQ84" s="106"/>
      <c r="BR84" s="106"/>
      <c r="BS84" s="106"/>
      <c r="BT84" s="106"/>
      <c r="BU84" s="106"/>
      <c r="BV84" s="106"/>
      <c r="BW84" s="106"/>
      <c r="BX84" s="106"/>
      <c r="BY84" s="106"/>
      <c r="BZ84" s="106"/>
      <c r="CA84" s="106"/>
      <c r="CB84" s="106"/>
      <c r="CC84" s="106"/>
      <c r="CD84" s="106"/>
      <c r="CE84" s="106"/>
      <c r="CF84" s="106"/>
      <c r="CG84" s="106"/>
      <c r="CH84" s="106"/>
      <c r="CI84" s="106"/>
      <c r="CJ84" s="106"/>
      <c r="CK84" s="109">
        <f t="shared" si="28"/>
        <v>100000</v>
      </c>
      <c r="CL84" s="109">
        <f t="shared" si="29"/>
        <v>109000</v>
      </c>
      <c r="CM84" s="109">
        <f t="shared" si="30"/>
        <v>18248.287590894659</v>
      </c>
      <c r="CN84" s="103">
        <f>CM84/CL84</f>
        <v>0.1674154824852721</v>
      </c>
      <c r="CO84" s="110">
        <f t="shared" si="25"/>
        <v>84033.613445378156</v>
      </c>
      <c r="CP84" s="107">
        <f t="shared" si="26"/>
        <v>15966.386554621849</v>
      </c>
      <c r="CQ84" s="106">
        <f t="shared" si="31"/>
        <v>100000</v>
      </c>
      <c r="CR84" s="122">
        <f t="shared" si="32"/>
        <v>100000000</v>
      </c>
      <c r="CS84" s="89" t="s">
        <v>380</v>
      </c>
    </row>
    <row r="85" spans="1:97" ht="94.9" customHeight="1">
      <c r="A85" s="90">
        <f t="shared" si="27"/>
        <v>76</v>
      </c>
      <c r="B85" s="88" t="s">
        <v>27</v>
      </c>
      <c r="C85" s="1" t="s">
        <v>10</v>
      </c>
      <c r="D85" s="91" t="s">
        <v>96</v>
      </c>
      <c r="E85" s="1">
        <v>45</v>
      </c>
      <c r="F85" s="1"/>
      <c r="G85" s="106"/>
      <c r="H85" s="106"/>
      <c r="I85" s="106"/>
      <c r="J85" s="106"/>
      <c r="K85" s="106"/>
      <c r="L85" s="106"/>
      <c r="M85" s="106"/>
      <c r="N85" s="106">
        <v>23000</v>
      </c>
      <c r="O85" s="5">
        <f>+(N85*5.1%)+N85</f>
        <v>24173</v>
      </c>
      <c r="P85" s="106"/>
      <c r="Q85" s="106"/>
      <c r="R85" s="106"/>
      <c r="S85" s="106"/>
      <c r="T85" s="106"/>
      <c r="U85" s="106"/>
      <c r="V85" s="106"/>
      <c r="W85" s="106"/>
      <c r="X85" s="106"/>
      <c r="Y85" s="106"/>
      <c r="Z85" s="106"/>
      <c r="AA85" s="106"/>
      <c r="AB85" s="106"/>
      <c r="AC85" s="106"/>
      <c r="AD85" s="106"/>
      <c r="AE85" s="106"/>
      <c r="AF85" s="106"/>
      <c r="AG85" s="106"/>
      <c r="AH85" s="106"/>
      <c r="AI85" s="106"/>
      <c r="AJ85" s="106"/>
      <c r="AK85" s="106"/>
      <c r="AL85" s="106"/>
      <c r="AM85" s="112">
        <v>21000</v>
      </c>
      <c r="AN85" s="106"/>
      <c r="AO85" s="106"/>
      <c r="AP85" s="106"/>
      <c r="AQ85" s="106"/>
      <c r="AR85" s="106"/>
      <c r="AS85" s="106"/>
      <c r="AT85" s="112">
        <v>22000</v>
      </c>
      <c r="AU85" s="112">
        <v>23122</v>
      </c>
      <c r="AV85" s="112"/>
      <c r="AW85" s="112"/>
      <c r="AX85" s="112"/>
      <c r="AY85" s="112"/>
      <c r="AZ85" s="112"/>
      <c r="BA85" s="112"/>
      <c r="BB85" s="112"/>
      <c r="BC85" s="112"/>
      <c r="BD85" s="112"/>
      <c r="BE85" s="112"/>
      <c r="BF85" s="112"/>
      <c r="BG85" s="112"/>
      <c r="BH85" s="112"/>
      <c r="BI85" s="112"/>
      <c r="BJ85" s="112"/>
      <c r="BK85" s="112"/>
      <c r="BL85" s="112"/>
      <c r="BM85" s="112"/>
      <c r="BN85" s="112"/>
      <c r="BO85" s="112"/>
      <c r="BP85" s="112"/>
      <c r="BQ85" s="112"/>
      <c r="BR85" s="112"/>
      <c r="BS85" s="112"/>
      <c r="BT85" s="112"/>
      <c r="BU85" s="112"/>
      <c r="BV85" s="112"/>
      <c r="BW85" s="112"/>
      <c r="BX85" s="112"/>
      <c r="BY85" s="112"/>
      <c r="BZ85" s="112"/>
      <c r="CA85" s="112"/>
      <c r="CB85" s="112"/>
      <c r="CC85" s="112"/>
      <c r="CD85" s="112"/>
      <c r="CE85" s="112"/>
      <c r="CF85" s="112"/>
      <c r="CG85" s="112"/>
      <c r="CH85" s="112"/>
      <c r="CI85" s="112"/>
      <c r="CJ85" s="112"/>
      <c r="CK85" s="109">
        <f t="shared" si="28"/>
        <v>23647.5</v>
      </c>
      <c r="CL85" s="109">
        <f t="shared" si="29"/>
        <v>23117</v>
      </c>
      <c r="CM85" s="109">
        <f t="shared" si="30"/>
        <v>1495.7702586515975</v>
      </c>
      <c r="CN85" s="103">
        <f t="shared" ref="CN85:CN92" si="33">CM85/CL85</f>
        <v>6.470434133545E-2</v>
      </c>
      <c r="CO85" s="110">
        <f>CQ85</f>
        <v>23117</v>
      </c>
      <c r="CP85" s="107"/>
      <c r="CQ85" s="106">
        <f t="shared" si="31"/>
        <v>23117</v>
      </c>
      <c r="CR85" s="122">
        <f t="shared" si="32"/>
        <v>1040265</v>
      </c>
      <c r="CS85" s="79" t="s">
        <v>731</v>
      </c>
    </row>
    <row r="86" spans="1:97" ht="100.9" customHeight="1">
      <c r="A86" s="90">
        <f t="shared" si="27"/>
        <v>77</v>
      </c>
      <c r="B86" s="88" t="s">
        <v>29</v>
      </c>
      <c r="C86" s="1" t="s">
        <v>292</v>
      </c>
      <c r="D86" s="91" t="s">
        <v>4</v>
      </c>
      <c r="E86" s="1">
        <v>20</v>
      </c>
      <c r="F86" s="1"/>
      <c r="G86" s="106"/>
      <c r="H86" s="106"/>
      <c r="I86" s="106"/>
      <c r="J86" s="106"/>
      <c r="K86" s="106"/>
      <c r="L86" s="106"/>
      <c r="M86" s="106"/>
      <c r="N86" s="106"/>
      <c r="O86" s="106"/>
      <c r="P86" s="106"/>
      <c r="Q86" s="106"/>
      <c r="R86" s="106"/>
      <c r="S86" s="106"/>
      <c r="T86" s="106"/>
      <c r="U86" s="106"/>
      <c r="V86" s="106"/>
      <c r="W86" s="106"/>
      <c r="X86" s="112">
        <v>313000</v>
      </c>
      <c r="Y86" s="112">
        <v>289400</v>
      </c>
      <c r="Z86" s="112">
        <v>290500</v>
      </c>
      <c r="AA86" s="112"/>
      <c r="AB86" s="112"/>
      <c r="AC86" s="112"/>
      <c r="AD86" s="112"/>
      <c r="AE86" s="112"/>
      <c r="AF86" s="112"/>
      <c r="AG86" s="112"/>
      <c r="AH86" s="112"/>
      <c r="AI86" s="112"/>
      <c r="AJ86" s="112"/>
      <c r="AK86" s="112"/>
      <c r="AL86" s="112"/>
      <c r="AM86" s="112"/>
      <c r="AN86" s="112"/>
      <c r="AO86" s="112"/>
      <c r="AP86" s="112"/>
      <c r="AQ86" s="112"/>
      <c r="AR86" s="112"/>
      <c r="AS86" s="112"/>
      <c r="AT86" s="112"/>
      <c r="AU86" s="112"/>
      <c r="AV86" s="112"/>
      <c r="AW86" s="112"/>
      <c r="AX86" s="112"/>
      <c r="AY86" s="112"/>
      <c r="AZ86" s="112"/>
      <c r="BA86" s="112"/>
      <c r="BB86" s="112"/>
      <c r="BC86" s="112"/>
      <c r="BD86" s="112"/>
      <c r="BE86" s="112"/>
      <c r="BF86" s="112"/>
      <c r="BG86" s="112"/>
      <c r="BH86" s="112"/>
      <c r="BI86" s="112"/>
      <c r="BJ86" s="112"/>
      <c r="BK86" s="112"/>
      <c r="BL86" s="112"/>
      <c r="BM86" s="112"/>
      <c r="BN86" s="112"/>
      <c r="BO86" s="112"/>
      <c r="BP86" s="112"/>
      <c r="BQ86" s="112"/>
      <c r="BR86" s="112"/>
      <c r="BS86" s="112"/>
      <c r="BT86" s="112"/>
      <c r="BU86" s="112"/>
      <c r="BV86" s="112"/>
      <c r="BW86" s="112"/>
      <c r="BX86" s="112"/>
      <c r="BY86" s="112"/>
      <c r="BZ86" s="112"/>
      <c r="CA86" s="112"/>
      <c r="CB86" s="112"/>
      <c r="CC86" s="112"/>
      <c r="CD86" s="112"/>
      <c r="CE86" s="112"/>
      <c r="CF86" s="112"/>
      <c r="CG86" s="112"/>
      <c r="CH86" s="112"/>
      <c r="CI86" s="112"/>
      <c r="CJ86" s="112"/>
      <c r="CK86" s="109">
        <f t="shared" si="28"/>
        <v>290500</v>
      </c>
      <c r="CL86" s="109">
        <f t="shared" si="29"/>
        <v>297633.33333333331</v>
      </c>
      <c r="CM86" s="109">
        <f t="shared" si="30"/>
        <v>13319.284265054686</v>
      </c>
      <c r="CN86" s="103">
        <f t="shared" si="33"/>
        <v>4.4750647099522971E-2</v>
      </c>
      <c r="CO86" s="110">
        <f t="shared" si="25"/>
        <v>250112.60504201683</v>
      </c>
      <c r="CP86" s="107">
        <f t="shared" si="26"/>
        <v>47521.394957983197</v>
      </c>
      <c r="CQ86" s="106">
        <f t="shared" si="31"/>
        <v>297634</v>
      </c>
      <c r="CR86" s="122">
        <f t="shared" si="32"/>
        <v>5952680</v>
      </c>
      <c r="CS86" s="89" t="s">
        <v>732</v>
      </c>
    </row>
    <row r="87" spans="1:97" ht="85.9" customHeight="1">
      <c r="A87" s="90">
        <f>+A86+1</f>
        <v>78</v>
      </c>
      <c r="B87" s="88" t="s">
        <v>774</v>
      </c>
      <c r="C87" s="1" t="s">
        <v>773</v>
      </c>
      <c r="D87" s="91" t="s">
        <v>138</v>
      </c>
      <c r="E87" s="1">
        <v>1</v>
      </c>
      <c r="F87" s="1"/>
      <c r="G87" s="106"/>
      <c r="H87" s="106"/>
      <c r="I87" s="106"/>
      <c r="J87" s="106"/>
      <c r="K87" s="106"/>
      <c r="L87" s="106"/>
      <c r="M87" s="106"/>
      <c r="N87" s="106"/>
      <c r="O87" s="106"/>
      <c r="P87" s="106"/>
      <c r="Q87" s="106"/>
      <c r="R87" s="106"/>
      <c r="S87" s="106"/>
      <c r="T87" s="106"/>
      <c r="U87" s="106"/>
      <c r="V87" s="106"/>
      <c r="W87" s="106"/>
      <c r="X87" s="112">
        <v>79000</v>
      </c>
      <c r="Y87" s="112">
        <v>84200</v>
      </c>
      <c r="Z87" s="112">
        <v>85500</v>
      </c>
      <c r="AA87" s="112"/>
      <c r="AB87" s="112"/>
      <c r="AC87" s="112"/>
      <c r="AD87" s="112"/>
      <c r="AE87" s="112"/>
      <c r="AF87" s="112"/>
      <c r="AG87" s="112"/>
      <c r="AH87" s="112"/>
      <c r="AI87" s="112"/>
      <c r="AJ87" s="112"/>
      <c r="AK87" s="112"/>
      <c r="AL87" s="112"/>
      <c r="AM87" s="112"/>
      <c r="AN87" s="112"/>
      <c r="AO87" s="112"/>
      <c r="AP87" s="112"/>
      <c r="AQ87" s="112"/>
      <c r="AR87" s="112"/>
      <c r="AS87" s="112"/>
      <c r="AT87" s="112"/>
      <c r="AU87" s="112"/>
      <c r="AV87" s="112"/>
      <c r="AW87" s="112"/>
      <c r="AX87" s="112"/>
      <c r="AY87" s="112"/>
      <c r="AZ87" s="112"/>
      <c r="BA87" s="112"/>
      <c r="BB87" s="112"/>
      <c r="BC87" s="112"/>
      <c r="BD87" s="112"/>
      <c r="BE87" s="112"/>
      <c r="BF87" s="112"/>
      <c r="BG87" s="112"/>
      <c r="BH87" s="112"/>
      <c r="BI87" s="112"/>
      <c r="BJ87" s="112"/>
      <c r="BK87" s="112"/>
      <c r="BL87" s="112"/>
      <c r="BM87" s="112"/>
      <c r="BN87" s="112"/>
      <c r="BO87" s="112"/>
      <c r="BP87" s="112"/>
      <c r="BQ87" s="112"/>
      <c r="BR87" s="112"/>
      <c r="BS87" s="112"/>
      <c r="BT87" s="112"/>
      <c r="BU87" s="112"/>
      <c r="BV87" s="112"/>
      <c r="BW87" s="112"/>
      <c r="BX87" s="112"/>
      <c r="BY87" s="112"/>
      <c r="BZ87" s="112"/>
      <c r="CA87" s="112"/>
      <c r="CB87" s="112"/>
      <c r="CC87" s="112"/>
      <c r="CD87" s="112"/>
      <c r="CE87" s="112"/>
      <c r="CF87" s="112"/>
      <c r="CG87" s="112"/>
      <c r="CH87" s="112"/>
      <c r="CI87" s="112"/>
      <c r="CJ87" s="112"/>
      <c r="CK87" s="109">
        <f t="shared" si="28"/>
        <v>84200</v>
      </c>
      <c r="CL87" s="109">
        <f t="shared" si="29"/>
        <v>82900</v>
      </c>
      <c r="CM87" s="109">
        <f t="shared" si="30"/>
        <v>3439.4767043839679</v>
      </c>
      <c r="CN87" s="103">
        <f t="shared" si="33"/>
        <v>4.1489465674113005E-2</v>
      </c>
      <c r="CO87" s="110">
        <f t="shared" si="25"/>
        <v>69663.865546218483</v>
      </c>
      <c r="CP87" s="107">
        <f t="shared" si="26"/>
        <v>13236.134453781511</v>
      </c>
      <c r="CQ87" s="106">
        <f t="shared" si="31"/>
        <v>82900</v>
      </c>
      <c r="CR87" s="122">
        <f t="shared" si="32"/>
        <v>82900</v>
      </c>
      <c r="CS87" s="89" t="s">
        <v>732</v>
      </c>
    </row>
    <row r="88" spans="1:97" ht="57" customHeight="1">
      <c r="A88" s="90">
        <f t="shared" si="27"/>
        <v>79</v>
      </c>
      <c r="B88" s="88" t="s">
        <v>31</v>
      </c>
      <c r="C88" s="1" t="s">
        <v>98</v>
      </c>
      <c r="D88" s="91" t="s">
        <v>4</v>
      </c>
      <c r="E88" s="1">
        <v>300</v>
      </c>
      <c r="F88" s="1"/>
      <c r="G88" s="106"/>
      <c r="H88" s="106"/>
      <c r="I88" s="106"/>
      <c r="J88" s="106"/>
      <c r="K88" s="106"/>
      <c r="L88" s="106"/>
      <c r="M88" s="106"/>
      <c r="N88" s="106"/>
      <c r="O88" s="106"/>
      <c r="P88" s="106"/>
      <c r="Q88" s="106"/>
      <c r="R88" s="106"/>
      <c r="S88" s="106"/>
      <c r="T88" s="106"/>
      <c r="U88" s="106"/>
      <c r="V88" s="106"/>
      <c r="W88" s="106"/>
      <c r="X88" s="112">
        <v>14000</v>
      </c>
      <c r="Y88" s="112">
        <v>16900</v>
      </c>
      <c r="Z88" s="112">
        <v>16900</v>
      </c>
      <c r="AA88" s="112"/>
      <c r="AB88" s="112"/>
      <c r="AC88" s="112"/>
      <c r="AD88" s="112"/>
      <c r="AE88" s="112"/>
      <c r="AF88" s="112"/>
      <c r="AG88" s="112"/>
      <c r="AH88" s="112"/>
      <c r="AI88" s="112"/>
      <c r="AJ88" s="112"/>
      <c r="AK88" s="112"/>
      <c r="AL88" s="112"/>
      <c r="AM88" s="112"/>
      <c r="AN88" s="112"/>
      <c r="AO88" s="112"/>
      <c r="AP88" s="112"/>
      <c r="AQ88" s="112"/>
      <c r="AR88" s="112"/>
      <c r="AS88" s="112"/>
      <c r="AT88" s="112"/>
      <c r="AU88" s="112"/>
      <c r="AV88" s="112"/>
      <c r="AW88" s="112"/>
      <c r="AX88" s="112"/>
      <c r="AY88" s="112"/>
      <c r="AZ88" s="112"/>
      <c r="BA88" s="112"/>
      <c r="BB88" s="112"/>
      <c r="BC88" s="112"/>
      <c r="BD88" s="112"/>
      <c r="BE88" s="112"/>
      <c r="BF88" s="112"/>
      <c r="BG88" s="112"/>
      <c r="BH88" s="112"/>
      <c r="BI88" s="112"/>
      <c r="BJ88" s="112"/>
      <c r="BK88" s="112"/>
      <c r="BL88" s="112"/>
      <c r="BM88" s="112"/>
      <c r="BN88" s="112"/>
      <c r="BO88" s="112"/>
      <c r="BP88" s="112"/>
      <c r="BQ88" s="112"/>
      <c r="BR88" s="112"/>
      <c r="BS88" s="112"/>
      <c r="BT88" s="112"/>
      <c r="BU88" s="112"/>
      <c r="BV88" s="112"/>
      <c r="BW88" s="112"/>
      <c r="BX88" s="112"/>
      <c r="BY88" s="112"/>
      <c r="BZ88" s="112"/>
      <c r="CA88" s="112"/>
      <c r="CB88" s="112"/>
      <c r="CC88" s="112"/>
      <c r="CD88" s="112"/>
      <c r="CE88" s="112"/>
      <c r="CF88" s="112"/>
      <c r="CG88" s="112"/>
      <c r="CH88" s="112"/>
      <c r="CI88" s="112"/>
      <c r="CJ88" s="112"/>
      <c r="CK88" s="109">
        <f t="shared" si="28"/>
        <v>16900</v>
      </c>
      <c r="CL88" s="109">
        <f t="shared" si="29"/>
        <v>15933.333333333334</v>
      </c>
      <c r="CM88" s="109">
        <f t="shared" si="30"/>
        <v>1674.3157806499148</v>
      </c>
      <c r="CN88" s="103">
        <f t="shared" si="33"/>
        <v>0.10508258037551767</v>
      </c>
      <c r="CO88" s="5">
        <f t="shared" si="25"/>
        <v>13389.915966386556</v>
      </c>
      <c r="CP88" s="106">
        <f t="shared" si="26"/>
        <v>2544.0840336134456</v>
      </c>
      <c r="CQ88" s="106">
        <f t="shared" si="31"/>
        <v>15934</v>
      </c>
      <c r="CR88" s="122">
        <f t="shared" si="32"/>
        <v>4780200</v>
      </c>
      <c r="CS88" s="89" t="s">
        <v>732</v>
      </c>
    </row>
    <row r="89" spans="1:97" ht="78.650000000000006" customHeight="1">
      <c r="A89" s="90">
        <f t="shared" si="27"/>
        <v>80</v>
      </c>
      <c r="B89" s="88" t="s">
        <v>32</v>
      </c>
      <c r="C89" s="1" t="s">
        <v>99</v>
      </c>
      <c r="D89" s="91" t="s">
        <v>138</v>
      </c>
      <c r="E89" s="1">
        <v>1</v>
      </c>
      <c r="F89" s="1"/>
      <c r="G89" s="106"/>
      <c r="H89" s="106"/>
      <c r="I89" s="106"/>
      <c r="J89" s="106"/>
      <c r="K89" s="106"/>
      <c r="L89" s="106"/>
      <c r="M89" s="106"/>
      <c r="N89" s="106"/>
      <c r="O89" s="106"/>
      <c r="P89" s="106"/>
      <c r="Q89" s="106"/>
      <c r="R89" s="106"/>
      <c r="S89" s="106"/>
      <c r="T89" s="106"/>
      <c r="U89" s="106"/>
      <c r="V89" s="106"/>
      <c r="W89" s="106"/>
      <c r="X89" s="112">
        <v>200000</v>
      </c>
      <c r="Y89" s="112">
        <v>230000</v>
      </c>
      <c r="Z89" s="112">
        <v>235000</v>
      </c>
      <c r="AA89" s="112"/>
      <c r="AB89" s="112"/>
      <c r="AC89" s="112"/>
      <c r="AD89" s="112"/>
      <c r="AE89" s="112"/>
      <c r="AF89" s="112"/>
      <c r="AG89" s="112"/>
      <c r="AH89" s="112"/>
      <c r="AI89" s="112"/>
      <c r="AJ89" s="112"/>
      <c r="AK89" s="112"/>
      <c r="AL89" s="112"/>
      <c r="AM89" s="112"/>
      <c r="AN89" s="112"/>
      <c r="AO89" s="112"/>
      <c r="AP89" s="112"/>
      <c r="AQ89" s="112"/>
      <c r="AR89" s="112"/>
      <c r="AS89" s="112"/>
      <c r="AT89" s="112"/>
      <c r="AU89" s="112"/>
      <c r="AV89" s="112"/>
      <c r="AW89" s="112"/>
      <c r="AX89" s="112"/>
      <c r="AY89" s="112"/>
      <c r="AZ89" s="112"/>
      <c r="BA89" s="112"/>
      <c r="BB89" s="112"/>
      <c r="BC89" s="112"/>
      <c r="BD89" s="112"/>
      <c r="BE89" s="112"/>
      <c r="BF89" s="112"/>
      <c r="BG89" s="112"/>
      <c r="BH89" s="112"/>
      <c r="BI89" s="112"/>
      <c r="BJ89" s="112"/>
      <c r="BK89" s="112"/>
      <c r="BL89" s="112"/>
      <c r="BM89" s="112"/>
      <c r="BN89" s="112"/>
      <c r="BO89" s="112"/>
      <c r="BP89" s="112"/>
      <c r="BQ89" s="112"/>
      <c r="BR89" s="112"/>
      <c r="BS89" s="112"/>
      <c r="BT89" s="112"/>
      <c r="BU89" s="112"/>
      <c r="BV89" s="112"/>
      <c r="BW89" s="112"/>
      <c r="BX89" s="112"/>
      <c r="BY89" s="112"/>
      <c r="BZ89" s="112"/>
      <c r="CA89" s="112"/>
      <c r="CB89" s="112"/>
      <c r="CC89" s="112"/>
      <c r="CD89" s="112"/>
      <c r="CE89" s="112"/>
      <c r="CF89" s="112"/>
      <c r="CG89" s="112"/>
      <c r="CH89" s="112"/>
      <c r="CI89" s="112"/>
      <c r="CJ89" s="112"/>
      <c r="CK89" s="109">
        <f t="shared" si="28"/>
        <v>230000</v>
      </c>
      <c r="CL89" s="109">
        <f t="shared" si="29"/>
        <v>221666.66666666666</v>
      </c>
      <c r="CM89" s="109">
        <f t="shared" si="30"/>
        <v>18929.69448600091</v>
      </c>
      <c r="CN89" s="103">
        <f t="shared" si="33"/>
        <v>8.5397117981958995E-2</v>
      </c>
      <c r="CO89" s="110">
        <f t="shared" si="25"/>
        <v>186274.78991596639</v>
      </c>
      <c r="CP89" s="107">
        <f t="shared" si="26"/>
        <v>35392.210084033613</v>
      </c>
      <c r="CQ89" s="106">
        <f t="shared" si="31"/>
        <v>221667</v>
      </c>
      <c r="CR89" s="122">
        <f t="shared" si="32"/>
        <v>221667</v>
      </c>
      <c r="CS89" s="89" t="s">
        <v>732</v>
      </c>
    </row>
    <row r="90" spans="1:97" ht="52.9" customHeight="1">
      <c r="A90" s="90">
        <f t="shared" si="27"/>
        <v>81</v>
      </c>
      <c r="B90" s="63" t="s">
        <v>696</v>
      </c>
      <c r="C90" s="1" t="s">
        <v>92</v>
      </c>
      <c r="D90" s="91" t="s">
        <v>269</v>
      </c>
      <c r="E90" s="1">
        <v>20</v>
      </c>
      <c r="F90" s="1"/>
      <c r="G90" s="106"/>
      <c r="H90" s="106"/>
      <c r="I90" s="106"/>
      <c r="J90" s="106"/>
      <c r="K90" s="106"/>
      <c r="L90" s="106"/>
      <c r="M90" s="106"/>
      <c r="N90" s="106"/>
      <c r="O90" s="106"/>
      <c r="P90" s="106"/>
      <c r="Q90" s="106"/>
      <c r="R90" s="106"/>
      <c r="S90" s="106"/>
      <c r="T90" s="106"/>
      <c r="U90" s="106"/>
      <c r="V90" s="106"/>
      <c r="W90" s="106"/>
      <c r="X90" s="106">
        <v>16900</v>
      </c>
      <c r="Y90" s="106">
        <v>18000</v>
      </c>
      <c r="Z90" s="106">
        <v>19000</v>
      </c>
      <c r="AA90" s="106"/>
      <c r="AB90" s="106"/>
      <c r="AC90" s="106"/>
      <c r="AD90" s="106"/>
      <c r="AE90" s="106"/>
      <c r="AF90" s="106"/>
      <c r="AG90" s="106"/>
      <c r="AH90" s="106"/>
      <c r="AI90" s="106"/>
      <c r="AJ90" s="106"/>
      <c r="AK90" s="106"/>
      <c r="AL90" s="106"/>
      <c r="AM90" s="106"/>
      <c r="AN90" s="106"/>
      <c r="AO90" s="106"/>
      <c r="AP90" s="112"/>
      <c r="AQ90" s="106"/>
      <c r="AR90" s="106"/>
      <c r="AS90" s="106"/>
      <c r="AT90" s="106"/>
      <c r="AU90" s="106"/>
      <c r="AV90" s="106"/>
      <c r="AW90" s="106"/>
      <c r="AX90" s="106"/>
      <c r="AY90" s="106"/>
      <c r="AZ90" s="106"/>
      <c r="BA90" s="106"/>
      <c r="BB90" s="106"/>
      <c r="BC90" s="106"/>
      <c r="BD90" s="106"/>
      <c r="BE90" s="106"/>
      <c r="BF90" s="106"/>
      <c r="BG90" s="106"/>
      <c r="BH90" s="106"/>
      <c r="BI90" s="106"/>
      <c r="BJ90" s="106"/>
      <c r="BK90" s="106"/>
      <c r="BL90" s="106"/>
      <c r="BM90" s="106"/>
      <c r="BN90" s="106"/>
      <c r="BO90" s="106"/>
      <c r="BP90" s="106"/>
      <c r="BQ90" s="106"/>
      <c r="BR90" s="106"/>
      <c r="BS90" s="106"/>
      <c r="BT90" s="106"/>
      <c r="BU90" s="106"/>
      <c r="BV90" s="106"/>
      <c r="BW90" s="106"/>
      <c r="BX90" s="106"/>
      <c r="BY90" s="106"/>
      <c r="BZ90" s="106"/>
      <c r="CA90" s="106"/>
      <c r="CB90" s="106"/>
      <c r="CC90" s="106"/>
      <c r="CD90" s="106"/>
      <c r="CE90" s="106"/>
      <c r="CF90" s="106"/>
      <c r="CG90" s="106"/>
      <c r="CH90" s="106"/>
      <c r="CI90" s="106"/>
      <c r="CJ90" s="106"/>
      <c r="CK90" s="109">
        <f t="shared" si="28"/>
        <v>18000</v>
      </c>
      <c r="CL90" s="109">
        <f t="shared" si="29"/>
        <v>17966.666666666668</v>
      </c>
      <c r="CM90" s="109">
        <f t="shared" si="30"/>
        <v>1050.3967504392488</v>
      </c>
      <c r="CN90" s="103">
        <f t="shared" si="33"/>
        <v>5.8463641026303269E-2</v>
      </c>
      <c r="CO90" s="110">
        <f t="shared" si="25"/>
        <v>15098.319327731093</v>
      </c>
      <c r="CP90" s="107">
        <f t="shared" si="26"/>
        <v>2868.6806722689075</v>
      </c>
      <c r="CQ90" s="106">
        <f t="shared" si="31"/>
        <v>17967</v>
      </c>
      <c r="CR90" s="122">
        <f t="shared" si="32"/>
        <v>359340</v>
      </c>
      <c r="CS90" s="89" t="s">
        <v>732</v>
      </c>
    </row>
    <row r="91" spans="1:97" ht="54.65" customHeight="1">
      <c r="A91" s="90">
        <f t="shared" si="27"/>
        <v>82</v>
      </c>
      <c r="B91" s="88" t="s">
        <v>33</v>
      </c>
      <c r="C91" s="1" t="s">
        <v>34</v>
      </c>
      <c r="D91" s="91" t="s">
        <v>4</v>
      </c>
      <c r="E91" s="1">
        <v>6</v>
      </c>
      <c r="F91" s="1"/>
      <c r="G91" s="106"/>
      <c r="H91" s="106"/>
      <c r="I91" s="106"/>
      <c r="J91" s="106"/>
      <c r="K91" s="106"/>
      <c r="L91" s="106"/>
      <c r="M91" s="106"/>
      <c r="N91" s="106"/>
      <c r="O91" s="106"/>
      <c r="P91" s="106"/>
      <c r="Q91" s="106"/>
      <c r="R91" s="106"/>
      <c r="S91" s="106"/>
      <c r="T91" s="106"/>
      <c r="U91" s="106"/>
      <c r="V91" s="106"/>
      <c r="W91" s="106"/>
      <c r="X91" s="106"/>
      <c r="Y91" s="106"/>
      <c r="Z91" s="106"/>
      <c r="AA91" s="106"/>
      <c r="AB91" s="106"/>
      <c r="AC91" s="106"/>
      <c r="AD91" s="106"/>
      <c r="AE91" s="106"/>
      <c r="AF91" s="106"/>
      <c r="AG91" s="106"/>
      <c r="AH91" s="106"/>
      <c r="AI91" s="106"/>
      <c r="AJ91" s="106"/>
      <c r="AK91" s="106"/>
      <c r="AL91" s="106"/>
      <c r="AM91" s="106"/>
      <c r="AN91" s="106"/>
      <c r="AO91" s="106"/>
      <c r="AP91" s="106"/>
      <c r="AQ91" s="106"/>
      <c r="AR91" s="106"/>
      <c r="AS91" s="106"/>
      <c r="AT91" s="106"/>
      <c r="AU91" s="106"/>
      <c r="AV91" s="329">
        <v>214900</v>
      </c>
      <c r="AW91" s="5">
        <f>AV91*19%</f>
        <v>40831</v>
      </c>
      <c r="AX91" s="5">
        <f>AV91*1.36</f>
        <v>292264</v>
      </c>
      <c r="AY91" s="329">
        <v>195000</v>
      </c>
      <c r="AZ91" s="329">
        <v>204945</v>
      </c>
      <c r="BA91" s="329">
        <v>185000</v>
      </c>
      <c r="BB91" s="112">
        <v>194435</v>
      </c>
      <c r="BC91" s="112"/>
      <c r="BD91" s="112"/>
      <c r="BE91" s="112"/>
      <c r="BF91" s="112"/>
      <c r="BG91" s="112"/>
      <c r="BH91" s="112"/>
      <c r="BI91" s="112"/>
      <c r="BJ91" s="112"/>
      <c r="BK91" s="112"/>
      <c r="BL91" s="112"/>
      <c r="BM91" s="112"/>
      <c r="BN91" s="112"/>
      <c r="BO91" s="112"/>
      <c r="BP91" s="112"/>
      <c r="BQ91" s="112"/>
      <c r="BR91" s="112"/>
      <c r="BS91" s="112"/>
      <c r="BT91" s="112"/>
      <c r="BU91" s="112"/>
      <c r="BV91" s="112"/>
      <c r="BW91" s="112"/>
      <c r="BX91" s="112"/>
      <c r="BY91" s="112"/>
      <c r="BZ91" s="112"/>
      <c r="CA91" s="112"/>
      <c r="CB91" s="112"/>
      <c r="CC91" s="112"/>
      <c r="CD91" s="112"/>
      <c r="CE91" s="112"/>
      <c r="CF91" s="112"/>
      <c r="CG91" s="112"/>
      <c r="CH91" s="112"/>
      <c r="CI91" s="112"/>
      <c r="CJ91" s="112"/>
      <c r="CK91" s="109">
        <f t="shared" si="28"/>
        <v>204945</v>
      </c>
      <c r="CL91" s="109">
        <f t="shared" si="29"/>
        <v>230548</v>
      </c>
      <c r="CM91" s="109">
        <f t="shared" si="30"/>
        <v>53705.339743828081</v>
      </c>
      <c r="CN91" s="103">
        <f t="shared" si="33"/>
        <v>0.23294645689326335</v>
      </c>
      <c r="CO91" s="110">
        <f t="shared" si="25"/>
        <v>172222.68907563025</v>
      </c>
      <c r="CP91" s="107">
        <f t="shared" si="26"/>
        <v>32722.310924369747</v>
      </c>
      <c r="CQ91" s="106">
        <f t="shared" si="31"/>
        <v>204945</v>
      </c>
      <c r="CR91" s="122">
        <f t="shared" si="32"/>
        <v>1229670</v>
      </c>
      <c r="CS91" s="79" t="s">
        <v>735</v>
      </c>
    </row>
    <row r="92" spans="1:97" ht="71.650000000000006" customHeight="1">
      <c r="A92" s="90">
        <f t="shared" si="27"/>
        <v>83</v>
      </c>
      <c r="B92" s="88" t="s">
        <v>35</v>
      </c>
      <c r="C92" s="1" t="s">
        <v>100</v>
      </c>
      <c r="D92" s="91" t="s">
        <v>268</v>
      </c>
      <c r="E92" s="1">
        <v>25</v>
      </c>
      <c r="F92" s="1"/>
      <c r="G92" s="106"/>
      <c r="H92" s="106"/>
      <c r="I92" s="106"/>
      <c r="J92" s="106"/>
      <c r="K92" s="106"/>
      <c r="L92" s="106"/>
      <c r="M92" s="106"/>
      <c r="N92" s="106"/>
      <c r="O92" s="106"/>
      <c r="P92" s="106"/>
      <c r="Q92" s="106"/>
      <c r="R92" s="106"/>
      <c r="S92" s="106"/>
      <c r="T92" s="106"/>
      <c r="U92" s="106"/>
      <c r="V92" s="106"/>
      <c r="W92" s="106"/>
      <c r="X92" s="112">
        <v>20300</v>
      </c>
      <c r="Y92" s="112">
        <v>27000</v>
      </c>
      <c r="Z92" s="112">
        <v>29000</v>
      </c>
      <c r="AA92" s="112"/>
      <c r="AB92" s="112"/>
      <c r="AC92" s="112"/>
      <c r="AD92" s="112"/>
      <c r="AE92" s="112"/>
      <c r="AF92" s="112"/>
      <c r="AG92" s="112"/>
      <c r="AH92" s="112"/>
      <c r="AI92" s="112"/>
      <c r="AJ92" s="112"/>
      <c r="AK92" s="112"/>
      <c r="AL92" s="112"/>
      <c r="AM92" s="112"/>
      <c r="AN92" s="112"/>
      <c r="AO92" s="112"/>
      <c r="AP92" s="112"/>
      <c r="AQ92" s="112"/>
      <c r="AR92" s="112"/>
      <c r="AS92" s="112"/>
      <c r="AT92" s="112"/>
      <c r="AU92" s="112"/>
      <c r="AV92" s="112"/>
      <c r="AW92" s="112"/>
      <c r="AX92" s="112"/>
      <c r="AY92" s="112"/>
      <c r="AZ92" s="112"/>
      <c r="BA92" s="112"/>
      <c r="BB92" s="112"/>
      <c r="BC92" s="112"/>
      <c r="BD92" s="112"/>
      <c r="BE92" s="112"/>
      <c r="BF92" s="112"/>
      <c r="BG92" s="112"/>
      <c r="BH92" s="112"/>
      <c r="BI92" s="112"/>
      <c r="BJ92" s="112"/>
      <c r="BK92" s="112"/>
      <c r="BL92" s="112"/>
      <c r="BM92" s="112"/>
      <c r="BN92" s="112"/>
      <c r="BO92" s="112"/>
      <c r="BP92" s="112"/>
      <c r="BQ92" s="112"/>
      <c r="BR92" s="112"/>
      <c r="BS92" s="112"/>
      <c r="BT92" s="112"/>
      <c r="BU92" s="112"/>
      <c r="BV92" s="112"/>
      <c r="BW92" s="112"/>
      <c r="BX92" s="112"/>
      <c r="BY92" s="112"/>
      <c r="BZ92" s="112"/>
      <c r="CA92" s="112"/>
      <c r="CB92" s="112"/>
      <c r="CC92" s="112"/>
      <c r="CD92" s="112"/>
      <c r="CE92" s="112"/>
      <c r="CF92" s="112"/>
      <c r="CG92" s="112"/>
      <c r="CH92" s="112"/>
      <c r="CI92" s="112"/>
      <c r="CJ92" s="112"/>
      <c r="CK92" s="109">
        <f t="shared" si="28"/>
        <v>27000</v>
      </c>
      <c r="CL92" s="109">
        <f t="shared" si="29"/>
        <v>25433.333333333332</v>
      </c>
      <c r="CM92" s="109">
        <f t="shared" si="30"/>
        <v>4556.6800780100166</v>
      </c>
      <c r="CN92" s="103">
        <f t="shared" si="33"/>
        <v>0.17916173308034142</v>
      </c>
      <c r="CO92" s="110">
        <f t="shared" si="25"/>
        <v>22689.0756302521</v>
      </c>
      <c r="CP92" s="107">
        <f t="shared" si="26"/>
        <v>4310.9243697478987</v>
      </c>
      <c r="CQ92" s="106">
        <f t="shared" si="31"/>
        <v>27000</v>
      </c>
      <c r="CR92" s="122">
        <f t="shared" si="32"/>
        <v>675000</v>
      </c>
      <c r="CS92" s="89" t="s">
        <v>380</v>
      </c>
    </row>
    <row r="93" spans="1:97" ht="69.650000000000006" customHeight="1">
      <c r="A93" s="90">
        <f t="shared" si="27"/>
        <v>84</v>
      </c>
      <c r="B93" s="88" t="s">
        <v>36</v>
      </c>
      <c r="C93" s="1" t="s">
        <v>775</v>
      </c>
      <c r="D93" s="91" t="s">
        <v>4</v>
      </c>
      <c r="E93" s="1">
        <v>28</v>
      </c>
      <c r="F93" s="1"/>
      <c r="G93" s="106"/>
      <c r="H93" s="106"/>
      <c r="I93" s="106"/>
      <c r="J93" s="106"/>
      <c r="K93" s="106"/>
      <c r="L93" s="106"/>
      <c r="M93" s="106"/>
      <c r="N93" s="106"/>
      <c r="O93" s="106"/>
      <c r="P93" s="106"/>
      <c r="Q93" s="106"/>
      <c r="R93" s="106"/>
      <c r="S93" s="106"/>
      <c r="T93" s="106"/>
      <c r="U93" s="106"/>
      <c r="V93" s="106"/>
      <c r="W93" s="106"/>
      <c r="X93" s="106"/>
      <c r="Y93" s="106"/>
      <c r="Z93" s="106"/>
      <c r="AA93" s="106"/>
      <c r="AB93" s="106"/>
      <c r="AC93" s="106"/>
      <c r="AD93" s="106"/>
      <c r="AE93" s="106"/>
      <c r="AF93" s="106"/>
      <c r="AG93" s="106"/>
      <c r="AH93" s="106"/>
      <c r="AI93" s="106"/>
      <c r="AJ93" s="106"/>
      <c r="AK93" s="106"/>
      <c r="AL93" s="106"/>
      <c r="AM93" s="106"/>
      <c r="AN93" s="106"/>
      <c r="AO93" s="106"/>
      <c r="AP93" s="106"/>
      <c r="AQ93" s="106"/>
      <c r="AR93" s="106"/>
      <c r="AS93" s="106"/>
      <c r="AT93" s="106"/>
      <c r="AU93" s="106"/>
      <c r="AV93" s="106"/>
      <c r="AW93" s="106"/>
      <c r="AX93" s="106"/>
      <c r="AY93" s="329">
        <v>8000</v>
      </c>
      <c r="AZ93" s="329">
        <v>8408</v>
      </c>
      <c r="BA93" s="329">
        <v>7500</v>
      </c>
      <c r="BB93" s="112">
        <v>7883</v>
      </c>
      <c r="BC93" s="326">
        <v>9000</v>
      </c>
      <c r="BD93" s="326"/>
      <c r="BE93" s="326"/>
      <c r="BF93" s="326"/>
      <c r="BG93" s="326"/>
      <c r="BH93" s="326"/>
      <c r="BI93" s="326"/>
      <c r="BJ93" s="326"/>
      <c r="BK93" s="326"/>
      <c r="BL93" s="326"/>
      <c r="BM93" s="326"/>
      <c r="BN93" s="326"/>
      <c r="BO93" s="326"/>
      <c r="BP93" s="326"/>
      <c r="BQ93" s="326"/>
      <c r="BR93" s="326"/>
      <c r="BS93" s="326"/>
      <c r="BT93" s="326"/>
      <c r="BU93" s="326"/>
      <c r="BV93" s="326"/>
      <c r="BW93" s="326"/>
      <c r="BX93" s="326"/>
      <c r="BY93" s="326"/>
      <c r="BZ93" s="326"/>
      <c r="CA93" s="326"/>
      <c r="CB93" s="326"/>
      <c r="CC93" s="326"/>
      <c r="CD93" s="326"/>
      <c r="CE93" s="326"/>
      <c r="CF93" s="326"/>
      <c r="CG93" s="326"/>
      <c r="CH93" s="326"/>
      <c r="CI93" s="326"/>
      <c r="CJ93" s="326"/>
      <c r="CK93" s="109">
        <f t="shared" si="28"/>
        <v>8408</v>
      </c>
      <c r="CL93" s="109">
        <f t="shared" si="29"/>
        <v>8430.3333333333339</v>
      </c>
      <c r="CM93" s="109">
        <f t="shared" si="30"/>
        <v>558.83479967995311</v>
      </c>
      <c r="CN93" s="103">
        <f t="shared" ref="CN93:CN99" si="34">CM93/CL93</f>
        <v>6.6288576926173709E-2</v>
      </c>
      <c r="CO93" s="110">
        <f t="shared" si="25"/>
        <v>7084.8739495798327</v>
      </c>
      <c r="CP93" s="107">
        <f t="shared" si="26"/>
        <v>1346.1260504201682</v>
      </c>
      <c r="CQ93" s="106">
        <f t="shared" si="31"/>
        <v>8431</v>
      </c>
      <c r="CR93" s="122">
        <f t="shared" si="32"/>
        <v>236068</v>
      </c>
      <c r="CS93" s="79" t="s">
        <v>731</v>
      </c>
    </row>
    <row r="94" spans="1:97" ht="81.650000000000006" customHeight="1">
      <c r="A94" s="90">
        <f t="shared" si="27"/>
        <v>85</v>
      </c>
      <c r="B94" s="88" t="s">
        <v>36</v>
      </c>
      <c r="C94" s="1" t="s">
        <v>776</v>
      </c>
      <c r="D94" s="91" t="s">
        <v>4</v>
      </c>
      <c r="E94" s="1">
        <v>28</v>
      </c>
      <c r="F94" s="1"/>
      <c r="G94" s="106"/>
      <c r="H94" s="106"/>
      <c r="I94" s="106"/>
      <c r="J94" s="106"/>
      <c r="K94" s="106"/>
      <c r="L94" s="106"/>
      <c r="M94" s="106"/>
      <c r="N94" s="106"/>
      <c r="O94" s="106"/>
      <c r="P94" s="106"/>
      <c r="Q94" s="106"/>
      <c r="R94" s="106"/>
      <c r="S94" s="106"/>
      <c r="T94" s="106"/>
      <c r="U94" s="106"/>
      <c r="V94" s="106"/>
      <c r="W94" s="106"/>
      <c r="X94" s="106"/>
      <c r="Y94" s="106"/>
      <c r="Z94" s="106"/>
      <c r="AA94" s="106"/>
      <c r="AB94" s="106"/>
      <c r="AC94" s="106"/>
      <c r="AD94" s="106"/>
      <c r="AE94" s="106"/>
      <c r="AF94" s="106"/>
      <c r="AG94" s="106"/>
      <c r="AH94" s="106"/>
      <c r="AI94" s="106"/>
      <c r="AJ94" s="106"/>
      <c r="AK94" s="106"/>
      <c r="AL94" s="106"/>
      <c r="AM94" s="106"/>
      <c r="AN94" s="106"/>
      <c r="AO94" s="106"/>
      <c r="AP94" s="106"/>
      <c r="AQ94" s="106"/>
      <c r="AR94" s="106"/>
      <c r="AS94" s="106"/>
      <c r="AT94" s="106"/>
      <c r="AU94" s="106"/>
      <c r="AV94" s="106"/>
      <c r="AW94" s="106"/>
      <c r="AX94" s="106"/>
      <c r="AY94" s="329">
        <v>4500</v>
      </c>
      <c r="AZ94" s="329">
        <v>4730</v>
      </c>
      <c r="BA94" s="106"/>
      <c r="BB94" s="106"/>
      <c r="BC94" s="106"/>
      <c r="BD94" s="329">
        <v>4000</v>
      </c>
      <c r="BE94" s="329">
        <v>4204</v>
      </c>
      <c r="BF94" s="329">
        <v>3782</v>
      </c>
      <c r="BG94" s="112">
        <v>3974</v>
      </c>
      <c r="BH94" s="112"/>
      <c r="BI94" s="112"/>
      <c r="BJ94" s="112"/>
      <c r="BK94" s="112"/>
      <c r="BL94" s="112"/>
      <c r="BM94" s="112"/>
      <c r="BN94" s="112"/>
      <c r="BO94" s="112"/>
      <c r="BP94" s="112"/>
      <c r="BQ94" s="112"/>
      <c r="BR94" s="112"/>
      <c r="BS94" s="112"/>
      <c r="BT94" s="112"/>
      <c r="BU94" s="112"/>
      <c r="BV94" s="112"/>
      <c r="BW94" s="112"/>
      <c r="BX94" s="112"/>
      <c r="BY94" s="112"/>
      <c r="BZ94" s="112"/>
      <c r="CA94" s="112"/>
      <c r="CB94" s="112"/>
      <c r="CC94" s="112"/>
      <c r="CD94" s="112"/>
      <c r="CE94" s="112"/>
      <c r="CF94" s="112"/>
      <c r="CG94" s="112"/>
      <c r="CH94" s="112"/>
      <c r="CI94" s="112"/>
      <c r="CJ94" s="112"/>
      <c r="CK94" s="109">
        <f t="shared" si="28"/>
        <v>4204</v>
      </c>
      <c r="CL94" s="109">
        <f t="shared" si="29"/>
        <v>4302.666666666667</v>
      </c>
      <c r="CM94" s="109">
        <f t="shared" si="30"/>
        <v>387.53752506477787</v>
      </c>
      <c r="CN94" s="103">
        <f t="shared" si="34"/>
        <v>9.0069148992433651E-2</v>
      </c>
      <c r="CO94" s="110">
        <f t="shared" si="25"/>
        <v>3615.9663865546222</v>
      </c>
      <c r="CP94" s="107">
        <f t="shared" si="26"/>
        <v>687.03361344537825</v>
      </c>
      <c r="CQ94" s="106">
        <f t="shared" si="31"/>
        <v>4303</v>
      </c>
      <c r="CR94" s="122">
        <f t="shared" si="32"/>
        <v>120484</v>
      </c>
      <c r="CS94" s="79" t="s">
        <v>731</v>
      </c>
    </row>
    <row r="95" spans="1:97" ht="92.65" customHeight="1">
      <c r="A95" s="90">
        <f t="shared" si="27"/>
        <v>86</v>
      </c>
      <c r="B95" s="63" t="s">
        <v>344</v>
      </c>
      <c r="C95" s="1" t="s">
        <v>103</v>
      </c>
      <c r="D95" s="91" t="s">
        <v>4</v>
      </c>
      <c r="E95" s="1">
        <v>44</v>
      </c>
      <c r="F95" s="1"/>
      <c r="G95" s="106"/>
      <c r="H95" s="106"/>
      <c r="I95" s="106"/>
      <c r="J95" s="106"/>
      <c r="K95" s="106"/>
      <c r="L95" s="106"/>
      <c r="M95" s="106"/>
      <c r="N95" s="106"/>
      <c r="O95" s="106"/>
      <c r="P95" s="106"/>
      <c r="Q95" s="106"/>
      <c r="R95" s="106"/>
      <c r="S95" s="106"/>
      <c r="T95" s="106"/>
      <c r="U95" s="106"/>
      <c r="V95" s="106"/>
      <c r="W95" s="106"/>
      <c r="X95" s="106">
        <v>34900</v>
      </c>
      <c r="Y95" s="106">
        <v>50000</v>
      </c>
      <c r="Z95" s="106">
        <v>52000</v>
      </c>
      <c r="AA95" s="106"/>
      <c r="AB95" s="106"/>
      <c r="AC95" s="106"/>
      <c r="AD95" s="106"/>
      <c r="AE95" s="106"/>
      <c r="AF95" s="106"/>
      <c r="AG95" s="106"/>
      <c r="AH95" s="106"/>
      <c r="AI95" s="106"/>
      <c r="AJ95" s="106"/>
      <c r="AK95" s="106"/>
      <c r="AL95" s="106"/>
      <c r="AM95" s="106"/>
      <c r="AN95" s="106"/>
      <c r="AO95" s="106"/>
      <c r="AP95" s="106"/>
      <c r="AQ95" s="106"/>
      <c r="AR95" s="106"/>
      <c r="AS95" s="106"/>
      <c r="AT95" s="106"/>
      <c r="AU95" s="106"/>
      <c r="AV95" s="106"/>
      <c r="AW95" s="106"/>
      <c r="AX95" s="106"/>
      <c r="AY95" s="329"/>
      <c r="AZ95" s="329"/>
      <c r="BA95" s="329"/>
      <c r="BB95" s="112"/>
      <c r="BC95" s="106"/>
      <c r="BD95" s="329"/>
      <c r="BE95" s="329"/>
      <c r="BF95" s="106"/>
      <c r="BG95" s="106"/>
      <c r="BH95" s="106"/>
      <c r="BI95" s="106"/>
      <c r="BJ95" s="106"/>
      <c r="BK95" s="106"/>
      <c r="BL95" s="106"/>
      <c r="BM95" s="106"/>
      <c r="BN95" s="106"/>
      <c r="BO95" s="106"/>
      <c r="BP95" s="106"/>
      <c r="BQ95" s="106"/>
      <c r="BR95" s="106"/>
      <c r="BS95" s="106"/>
      <c r="BT95" s="106"/>
      <c r="BU95" s="106"/>
      <c r="BV95" s="106"/>
      <c r="BW95" s="106"/>
      <c r="BX95" s="106"/>
      <c r="BY95" s="106"/>
      <c r="BZ95" s="106"/>
      <c r="CA95" s="106"/>
      <c r="CB95" s="106"/>
      <c r="CC95" s="106"/>
      <c r="CD95" s="106"/>
      <c r="CE95" s="106"/>
      <c r="CF95" s="106"/>
      <c r="CG95" s="106"/>
      <c r="CH95" s="106"/>
      <c r="CI95" s="106"/>
      <c r="CJ95" s="106"/>
      <c r="CK95" s="109">
        <f t="shared" si="28"/>
        <v>50000</v>
      </c>
      <c r="CL95" s="109">
        <f t="shared" si="29"/>
        <v>45633.333333333336</v>
      </c>
      <c r="CM95" s="109">
        <f t="shared" si="30"/>
        <v>9348.9749883788591</v>
      </c>
      <c r="CN95" s="103">
        <f t="shared" si="34"/>
        <v>0.20487162136695819</v>
      </c>
      <c r="CO95" s="110">
        <f t="shared" si="25"/>
        <v>42016.806722689078</v>
      </c>
      <c r="CP95" s="107">
        <f t="shared" si="26"/>
        <v>7983.1932773109247</v>
      </c>
      <c r="CQ95" s="106">
        <f t="shared" si="31"/>
        <v>50000</v>
      </c>
      <c r="CR95" s="122">
        <f t="shared" si="32"/>
        <v>2200000</v>
      </c>
      <c r="CS95" s="89" t="s">
        <v>380</v>
      </c>
    </row>
    <row r="96" spans="1:97" ht="178.9" customHeight="1">
      <c r="A96" s="90">
        <f t="shared" si="27"/>
        <v>87</v>
      </c>
      <c r="B96" s="88" t="s">
        <v>104</v>
      </c>
      <c r="C96" s="1" t="s">
        <v>105</v>
      </c>
      <c r="D96" s="91" t="s">
        <v>4</v>
      </c>
      <c r="E96" s="1">
        <v>200</v>
      </c>
      <c r="F96" s="1"/>
      <c r="G96" s="106"/>
      <c r="H96" s="106"/>
      <c r="I96" s="106"/>
      <c r="J96" s="106"/>
      <c r="K96" s="106"/>
      <c r="L96" s="106"/>
      <c r="M96" s="106"/>
      <c r="N96" s="106">
        <v>40000</v>
      </c>
      <c r="O96" s="5">
        <f>+(N96*5.1%)+N96</f>
        <v>42040</v>
      </c>
      <c r="P96" s="106"/>
      <c r="Q96" s="106"/>
      <c r="R96" s="106"/>
      <c r="S96" s="106"/>
      <c r="T96" s="106"/>
      <c r="U96" s="106"/>
      <c r="V96" s="106"/>
      <c r="W96" s="106"/>
      <c r="X96" s="106"/>
      <c r="Y96" s="106"/>
      <c r="Z96" s="106"/>
      <c r="AA96" s="106"/>
      <c r="AB96" s="106"/>
      <c r="AC96" s="106"/>
      <c r="AD96" s="106"/>
      <c r="AE96" s="106"/>
      <c r="AF96" s="106"/>
      <c r="AG96" s="106"/>
      <c r="AH96" s="106"/>
      <c r="AI96" s="106"/>
      <c r="AJ96" s="106"/>
      <c r="AK96" s="106"/>
      <c r="AL96" s="106"/>
      <c r="AM96" s="106"/>
      <c r="AN96" s="106"/>
      <c r="AO96" s="106"/>
      <c r="AP96" s="106"/>
      <c r="AQ96" s="106"/>
      <c r="AR96" s="106"/>
      <c r="AS96" s="106"/>
      <c r="AT96" s="112">
        <v>32000</v>
      </c>
      <c r="AU96" s="112">
        <v>33632</v>
      </c>
      <c r="AV96" s="106"/>
      <c r="AW96" s="106"/>
      <c r="AX96" s="106"/>
      <c r="AY96" s="106"/>
      <c r="AZ96" s="106"/>
      <c r="BA96" s="106"/>
      <c r="BB96" s="106"/>
      <c r="BC96" s="106"/>
      <c r="BD96" s="106"/>
      <c r="BE96" s="106"/>
      <c r="BF96" s="106"/>
      <c r="BG96" s="106"/>
      <c r="BH96" s="106"/>
      <c r="BI96" s="106"/>
      <c r="BJ96" s="106"/>
      <c r="BK96" s="106"/>
      <c r="BL96" s="106"/>
      <c r="BM96" s="106"/>
      <c r="BN96" s="106"/>
      <c r="BO96" s="106"/>
      <c r="BP96" s="106"/>
      <c r="BQ96" s="106"/>
      <c r="BR96" s="106"/>
      <c r="BS96" s="106"/>
      <c r="BT96" s="106"/>
      <c r="BU96" s="106"/>
      <c r="BV96" s="106"/>
      <c r="BW96" s="106"/>
      <c r="BX96" s="106"/>
      <c r="BY96" s="106"/>
      <c r="BZ96" s="106"/>
      <c r="CA96" s="106"/>
      <c r="CB96" s="106"/>
      <c r="CC96" s="106"/>
      <c r="CD96" s="106"/>
      <c r="CE96" s="106"/>
      <c r="CF96" s="106"/>
      <c r="CG96" s="106"/>
      <c r="CH96" s="106"/>
      <c r="CI96" s="106"/>
      <c r="CJ96" s="106"/>
      <c r="CK96" s="109">
        <f t="shared" si="28"/>
        <v>42040</v>
      </c>
      <c r="CL96" s="109">
        <f t="shared" si="29"/>
        <v>39237.333333333336</v>
      </c>
      <c r="CM96" s="109">
        <f t="shared" si="30"/>
        <v>4854.3610633463895</v>
      </c>
      <c r="CN96" s="103">
        <f t="shared" si="34"/>
        <v>0.12371791482634878</v>
      </c>
      <c r="CO96" s="110">
        <f>CQ96/1.08</f>
        <v>36331.481481481482</v>
      </c>
      <c r="CP96" s="107">
        <f>CO96*8%</f>
        <v>2906.5185185185187</v>
      </c>
      <c r="CQ96" s="106">
        <f t="shared" si="31"/>
        <v>39238</v>
      </c>
      <c r="CR96" s="122">
        <f t="shared" si="32"/>
        <v>7847600</v>
      </c>
      <c r="CS96" s="79" t="s">
        <v>731</v>
      </c>
    </row>
    <row r="97" spans="1:143" ht="94.9" customHeight="1">
      <c r="A97" s="90">
        <f t="shared" si="27"/>
        <v>88</v>
      </c>
      <c r="B97" s="88" t="s">
        <v>106</v>
      </c>
      <c r="C97" s="1" t="s">
        <v>777</v>
      </c>
      <c r="D97" s="91" t="s">
        <v>270</v>
      </c>
      <c r="E97" s="1">
        <v>10</v>
      </c>
      <c r="F97" s="1"/>
      <c r="G97" s="106"/>
      <c r="H97" s="106"/>
      <c r="I97" s="106"/>
      <c r="J97" s="106"/>
      <c r="K97" s="106"/>
      <c r="L97" s="106"/>
      <c r="M97" s="106"/>
      <c r="N97" s="106"/>
      <c r="O97" s="106"/>
      <c r="P97" s="106"/>
      <c r="Q97" s="106"/>
      <c r="R97" s="106"/>
      <c r="S97" s="106"/>
      <c r="T97" s="106"/>
      <c r="U97" s="106"/>
      <c r="V97" s="106"/>
      <c r="W97" s="106"/>
      <c r="X97" s="106"/>
      <c r="Y97" s="106">
        <v>350000</v>
      </c>
      <c r="Z97" s="106"/>
      <c r="AA97" s="106">
        <v>336000</v>
      </c>
      <c r="AB97" s="106"/>
      <c r="AC97" s="106"/>
      <c r="AD97" s="106"/>
      <c r="AE97" s="106"/>
      <c r="AF97" s="106"/>
      <c r="AG97" s="106"/>
      <c r="AH97" s="106"/>
      <c r="AI97" s="106"/>
      <c r="AJ97" s="106"/>
      <c r="AK97" s="106"/>
      <c r="AL97" s="106"/>
      <c r="AM97" s="106"/>
      <c r="AN97" s="106"/>
      <c r="AO97" s="106"/>
      <c r="AP97" s="106"/>
      <c r="AQ97" s="106"/>
      <c r="AR97" s="106"/>
      <c r="AS97" s="106"/>
      <c r="AT97" s="106"/>
      <c r="AU97" s="106"/>
      <c r="AV97" s="106"/>
      <c r="AW97" s="106"/>
      <c r="AX97" s="106"/>
      <c r="AY97" s="106"/>
      <c r="AZ97" s="106"/>
      <c r="BA97" s="106"/>
      <c r="BB97" s="106"/>
      <c r="BC97" s="106"/>
      <c r="BD97" s="106"/>
      <c r="BE97" s="106"/>
      <c r="BF97" s="106"/>
      <c r="BG97" s="106"/>
      <c r="BH97" s="106"/>
      <c r="BI97" s="106"/>
      <c r="BJ97" s="106"/>
      <c r="BK97" s="106"/>
      <c r="BL97" s="106"/>
      <c r="BM97" s="106"/>
      <c r="BN97" s="106"/>
      <c r="BO97" s="106"/>
      <c r="BP97" s="106"/>
      <c r="BQ97" s="106"/>
      <c r="BR97" s="106"/>
      <c r="BS97" s="106"/>
      <c r="BT97" s="106"/>
      <c r="BU97" s="106"/>
      <c r="BV97" s="106"/>
      <c r="BW97" s="106"/>
      <c r="BX97" s="106"/>
      <c r="BY97" s="106"/>
      <c r="BZ97" s="106"/>
      <c r="CA97" s="106"/>
      <c r="CB97" s="106"/>
      <c r="CC97" s="106"/>
      <c r="CD97" s="106"/>
      <c r="CE97" s="106"/>
      <c r="CF97" s="106"/>
      <c r="CG97" s="106"/>
      <c r="CH97" s="106"/>
      <c r="CI97" s="106"/>
      <c r="CJ97" s="106"/>
      <c r="CK97" s="109">
        <f t="shared" si="28"/>
        <v>343000</v>
      </c>
      <c r="CL97" s="109">
        <f t="shared" si="29"/>
        <v>343000</v>
      </c>
      <c r="CM97" s="109">
        <f t="shared" si="30"/>
        <v>9899.4949366116653</v>
      </c>
      <c r="CN97" s="103">
        <f t="shared" si="34"/>
        <v>2.8861501272920306E-2</v>
      </c>
      <c r="CO97" s="110">
        <f t="shared" si="25"/>
        <v>288235.29411764705</v>
      </c>
      <c r="CP97" s="107">
        <f t="shared" si="26"/>
        <v>54764.705882352937</v>
      </c>
      <c r="CQ97" s="106">
        <f t="shared" si="31"/>
        <v>343000</v>
      </c>
      <c r="CR97" s="122">
        <f t="shared" si="32"/>
        <v>3430000</v>
      </c>
      <c r="CS97" s="89" t="s">
        <v>732</v>
      </c>
    </row>
    <row r="98" spans="1:143" ht="75" customHeight="1">
      <c r="A98" s="90">
        <f t="shared" si="27"/>
        <v>89</v>
      </c>
      <c r="B98" s="88" t="s">
        <v>272</v>
      </c>
      <c r="C98" s="1" t="s">
        <v>271</v>
      </c>
      <c r="D98" s="91" t="s">
        <v>107</v>
      </c>
      <c r="E98" s="1">
        <v>4</v>
      </c>
      <c r="F98" s="1">
        <v>5</v>
      </c>
      <c r="G98" s="106"/>
      <c r="H98" s="106"/>
      <c r="I98" s="106"/>
      <c r="J98" s="106"/>
      <c r="K98" s="106"/>
      <c r="L98" s="106"/>
      <c r="M98" s="106"/>
      <c r="N98" s="106"/>
      <c r="O98" s="106"/>
      <c r="P98" s="106"/>
      <c r="Q98" s="106"/>
      <c r="R98" s="112">
        <v>270000</v>
      </c>
      <c r="S98" s="112">
        <v>283770</v>
      </c>
      <c r="T98" s="112">
        <v>270000</v>
      </c>
      <c r="U98" s="112">
        <v>283770</v>
      </c>
      <c r="V98" s="106"/>
      <c r="W98" s="106"/>
      <c r="X98" s="106"/>
      <c r="Y98" s="106"/>
      <c r="Z98" s="106"/>
      <c r="AA98" s="106"/>
      <c r="AB98" s="106"/>
      <c r="AC98" s="106"/>
      <c r="AD98" s="106"/>
      <c r="AE98" s="106"/>
      <c r="AF98" s="106"/>
      <c r="AG98" s="106"/>
      <c r="AH98" s="106"/>
      <c r="AI98" s="106"/>
      <c r="AJ98" s="106"/>
      <c r="AK98" s="106"/>
      <c r="AL98" s="106"/>
      <c r="AM98" s="106"/>
      <c r="AN98" s="106"/>
      <c r="AO98" s="106"/>
      <c r="AP98" s="106"/>
      <c r="AQ98" s="106"/>
      <c r="AR98" s="106"/>
      <c r="AS98" s="106"/>
      <c r="AT98" s="106"/>
      <c r="AU98" s="106"/>
      <c r="AV98" s="106"/>
      <c r="AW98" s="106"/>
      <c r="AX98" s="106"/>
      <c r="AY98" s="106"/>
      <c r="AZ98" s="106"/>
      <c r="BA98" s="106"/>
      <c r="BB98" s="106"/>
      <c r="BC98" s="106"/>
      <c r="BD98" s="106"/>
      <c r="BE98" s="106"/>
      <c r="BF98" s="106"/>
      <c r="BG98" s="106"/>
      <c r="BH98" s="106"/>
      <c r="BI98" s="106"/>
      <c r="BJ98" s="106"/>
      <c r="BK98" s="106"/>
      <c r="BL98" s="106"/>
      <c r="BM98" s="106"/>
      <c r="BN98" s="106"/>
      <c r="BO98" s="106"/>
      <c r="BP98" s="106"/>
      <c r="BQ98" s="106"/>
      <c r="BR98" s="106"/>
      <c r="BS98" s="106"/>
      <c r="BT98" s="106"/>
      <c r="BU98" s="106"/>
      <c r="BV98" s="106"/>
      <c r="BW98" s="106"/>
      <c r="BX98" s="106"/>
      <c r="BY98" s="106"/>
      <c r="BZ98" s="106"/>
      <c r="CA98" s="106"/>
      <c r="CB98" s="106"/>
      <c r="CC98" s="106"/>
      <c r="CD98" s="106"/>
      <c r="CE98" s="106"/>
      <c r="CF98" s="106"/>
      <c r="CG98" s="106"/>
      <c r="CH98" s="106"/>
      <c r="CI98" s="106"/>
      <c r="CJ98" s="106"/>
      <c r="CK98" s="109">
        <f t="shared" si="28"/>
        <v>283770</v>
      </c>
      <c r="CL98" s="109">
        <f t="shared" si="29"/>
        <v>283770</v>
      </c>
      <c r="CM98" s="109">
        <f t="shared" si="30"/>
        <v>0</v>
      </c>
      <c r="CN98" s="103">
        <f t="shared" si="34"/>
        <v>0</v>
      </c>
      <c r="CO98" s="110">
        <f t="shared" si="25"/>
        <v>238462.18487394959</v>
      </c>
      <c r="CP98" s="107">
        <f t="shared" si="26"/>
        <v>45307.815126050424</v>
      </c>
      <c r="CQ98" s="106">
        <f t="shared" si="31"/>
        <v>283770</v>
      </c>
      <c r="CR98" s="122">
        <f>+CQ98*E98*F98</f>
        <v>5675400</v>
      </c>
      <c r="CS98" s="79" t="s">
        <v>731</v>
      </c>
    </row>
    <row r="99" spans="1:143" ht="162.65" customHeight="1">
      <c r="A99" s="90">
        <f t="shared" si="27"/>
        <v>90</v>
      </c>
      <c r="B99" s="88" t="s">
        <v>709</v>
      </c>
      <c r="C99" s="1" t="s">
        <v>108</v>
      </c>
      <c r="D99" s="91" t="s">
        <v>107</v>
      </c>
      <c r="E99" s="1">
        <v>4</v>
      </c>
      <c r="F99" s="1">
        <v>5</v>
      </c>
      <c r="G99" s="106"/>
      <c r="H99" s="106"/>
      <c r="I99" s="106"/>
      <c r="J99" s="106"/>
      <c r="K99" s="106"/>
      <c r="L99" s="106"/>
      <c r="M99" s="106"/>
      <c r="N99" s="106"/>
      <c r="O99" s="106"/>
      <c r="P99" s="106"/>
      <c r="Q99" s="106"/>
      <c r="R99" s="106">
        <v>480000</v>
      </c>
      <c r="S99" s="106">
        <v>504480</v>
      </c>
      <c r="T99" s="106">
        <v>495000</v>
      </c>
      <c r="U99" s="106">
        <v>520245</v>
      </c>
      <c r="V99" s="106"/>
      <c r="W99" s="106"/>
      <c r="X99" s="106"/>
      <c r="Y99" s="106"/>
      <c r="Z99" s="106"/>
      <c r="AA99" s="106"/>
      <c r="AB99" s="106"/>
      <c r="AC99" s="106"/>
      <c r="AD99" s="106"/>
      <c r="AE99" s="106"/>
      <c r="AF99" s="106"/>
      <c r="AG99" s="106"/>
      <c r="AH99" s="106"/>
      <c r="AI99" s="106"/>
      <c r="AJ99" s="106"/>
      <c r="AK99" s="106"/>
      <c r="AL99" s="106"/>
      <c r="AM99" s="106"/>
      <c r="AN99" s="106"/>
      <c r="AO99" s="106"/>
      <c r="AP99" s="106"/>
      <c r="AQ99" s="106"/>
      <c r="AR99" s="106"/>
      <c r="AS99" s="106"/>
      <c r="AT99" s="106"/>
      <c r="AU99" s="106"/>
      <c r="AV99" s="106"/>
      <c r="AW99" s="106"/>
      <c r="AX99" s="106"/>
      <c r="AY99" s="106"/>
      <c r="AZ99" s="106"/>
      <c r="BA99" s="106"/>
      <c r="BB99" s="106"/>
      <c r="BC99" s="106"/>
      <c r="BD99" s="106"/>
      <c r="BE99" s="106"/>
      <c r="BF99" s="106"/>
      <c r="BG99" s="106"/>
      <c r="BH99" s="106"/>
      <c r="BI99" s="106"/>
      <c r="BJ99" s="106"/>
      <c r="BK99" s="106"/>
      <c r="BL99" s="106"/>
      <c r="BM99" s="106"/>
      <c r="BN99" s="106"/>
      <c r="BO99" s="106"/>
      <c r="BP99" s="106"/>
      <c r="BQ99" s="106"/>
      <c r="BR99" s="106"/>
      <c r="BS99" s="106"/>
      <c r="BT99" s="106"/>
      <c r="BU99" s="106"/>
      <c r="BV99" s="106"/>
      <c r="BW99" s="106"/>
      <c r="BX99" s="106"/>
      <c r="BY99" s="106"/>
      <c r="BZ99" s="106"/>
      <c r="CA99" s="106"/>
      <c r="CB99" s="106"/>
      <c r="CC99" s="106"/>
      <c r="CD99" s="106"/>
      <c r="CE99" s="106"/>
      <c r="CF99" s="106"/>
      <c r="CG99" s="106"/>
      <c r="CH99" s="106"/>
      <c r="CI99" s="106"/>
      <c r="CJ99" s="106"/>
      <c r="CK99" s="109">
        <f t="shared" si="28"/>
        <v>512362.5</v>
      </c>
      <c r="CL99" s="109">
        <f t="shared" si="29"/>
        <v>512362.5</v>
      </c>
      <c r="CM99" s="109">
        <f t="shared" si="30"/>
        <v>11147.538405405921</v>
      </c>
      <c r="CN99" s="103">
        <f t="shared" si="34"/>
        <v>2.1757131728816846E-2</v>
      </c>
      <c r="CO99" s="110">
        <f t="shared" si="25"/>
        <v>430557.1428571429</v>
      </c>
      <c r="CP99" s="107">
        <f t="shared" si="26"/>
        <v>81805.857142857145</v>
      </c>
      <c r="CQ99" s="106">
        <f t="shared" si="31"/>
        <v>512363</v>
      </c>
      <c r="CR99" s="122">
        <f>+CQ99*E99*F99</f>
        <v>10247260</v>
      </c>
      <c r="CS99" s="79" t="s">
        <v>731</v>
      </c>
    </row>
    <row r="100" spans="1:143" ht="189.75" customHeight="1">
      <c r="A100" s="90">
        <f>A99+1</f>
        <v>91</v>
      </c>
      <c r="B100" s="88" t="s">
        <v>779</v>
      </c>
      <c r="C100" s="1" t="s">
        <v>778</v>
      </c>
      <c r="D100" s="91" t="s">
        <v>107</v>
      </c>
      <c r="E100" s="1">
        <v>1</v>
      </c>
      <c r="F100" s="1">
        <v>1</v>
      </c>
      <c r="G100" s="106"/>
      <c r="H100" s="106"/>
      <c r="I100" s="106"/>
      <c r="J100" s="106"/>
      <c r="K100" s="106"/>
      <c r="L100" s="106"/>
      <c r="M100" s="106"/>
      <c r="N100" s="106"/>
      <c r="O100" s="106"/>
      <c r="P100" s="106"/>
      <c r="Q100" s="106"/>
      <c r="R100" s="106"/>
      <c r="S100" s="106"/>
      <c r="T100" s="106"/>
      <c r="U100" s="106"/>
      <c r="V100" s="106"/>
      <c r="W100" s="106"/>
      <c r="X100" s="112">
        <v>3200000</v>
      </c>
      <c r="Y100" s="112">
        <v>2900000</v>
      </c>
      <c r="Z100" s="112">
        <v>2950000</v>
      </c>
      <c r="AA100" s="112"/>
      <c r="AB100" s="112"/>
      <c r="AC100" s="112"/>
      <c r="AD100" s="112"/>
      <c r="AE100" s="112"/>
      <c r="AF100" s="112"/>
      <c r="AG100" s="112"/>
      <c r="AH100" s="112"/>
      <c r="AI100" s="112"/>
      <c r="AJ100" s="112"/>
      <c r="AK100" s="112"/>
      <c r="AL100" s="112"/>
      <c r="AM100" s="112"/>
      <c r="AN100" s="112"/>
      <c r="AO100" s="112"/>
      <c r="AP100" s="112"/>
      <c r="AQ100" s="112"/>
      <c r="AR100" s="112"/>
      <c r="AS100" s="112"/>
      <c r="AT100" s="112"/>
      <c r="AU100" s="112"/>
      <c r="AV100" s="112"/>
      <c r="AW100" s="112"/>
      <c r="AX100" s="112"/>
      <c r="AY100" s="112"/>
      <c r="AZ100" s="112"/>
      <c r="BA100" s="112"/>
      <c r="BB100" s="112"/>
      <c r="BC100" s="112"/>
      <c r="BD100" s="112"/>
      <c r="BE100" s="112"/>
      <c r="BF100" s="112"/>
      <c r="BG100" s="112"/>
      <c r="BH100" s="112"/>
      <c r="BI100" s="112"/>
      <c r="BJ100" s="112"/>
      <c r="BK100" s="112"/>
      <c r="BL100" s="112"/>
      <c r="BM100" s="112"/>
      <c r="BN100" s="112"/>
      <c r="BO100" s="112"/>
      <c r="BP100" s="112"/>
      <c r="BQ100" s="112"/>
      <c r="BR100" s="112"/>
      <c r="BS100" s="112"/>
      <c r="BT100" s="112"/>
      <c r="BU100" s="112"/>
      <c r="BV100" s="112"/>
      <c r="BW100" s="112"/>
      <c r="BX100" s="112"/>
      <c r="BY100" s="112"/>
      <c r="BZ100" s="112"/>
      <c r="CA100" s="112"/>
      <c r="CB100" s="112"/>
      <c r="CC100" s="112"/>
      <c r="CD100" s="112"/>
      <c r="CE100" s="112"/>
      <c r="CF100" s="112"/>
      <c r="CG100" s="112"/>
      <c r="CH100" s="112"/>
      <c r="CI100" s="112"/>
      <c r="CJ100" s="112"/>
      <c r="CK100" s="109">
        <f t="shared" si="28"/>
        <v>2950000</v>
      </c>
      <c r="CL100" s="109">
        <f t="shared" si="29"/>
        <v>3016666.6666666665</v>
      </c>
      <c r="CM100" s="109">
        <f t="shared" si="30"/>
        <v>160727.51268321593</v>
      </c>
      <c r="CN100" s="103">
        <f>CM100/CL100</f>
        <v>5.3279838458524617E-2</v>
      </c>
      <c r="CO100" s="110">
        <f t="shared" si="25"/>
        <v>2535014.2857142859</v>
      </c>
      <c r="CP100" s="107">
        <f t="shared" si="26"/>
        <v>481652.71428571432</v>
      </c>
      <c r="CQ100" s="106">
        <f>ROUNDUP(IF(CN100&lt;15%,CL100,CK100),0)</f>
        <v>3016667</v>
      </c>
      <c r="CR100" s="122">
        <f>+CQ100*E100</f>
        <v>3016667</v>
      </c>
      <c r="CS100" s="89" t="s">
        <v>732</v>
      </c>
    </row>
    <row r="101" spans="1:143" ht="148.4" customHeight="1">
      <c r="A101" s="90">
        <f>+A100+1</f>
        <v>92</v>
      </c>
      <c r="B101" s="88" t="s">
        <v>710</v>
      </c>
      <c r="C101" s="1" t="s">
        <v>428</v>
      </c>
      <c r="D101" s="92" t="s">
        <v>273</v>
      </c>
      <c r="E101" s="1">
        <v>1</v>
      </c>
      <c r="F101" s="1">
        <v>1</v>
      </c>
      <c r="G101" s="106"/>
      <c r="H101" s="106"/>
      <c r="I101" s="106"/>
      <c r="J101" s="106"/>
      <c r="K101" s="106"/>
      <c r="L101" s="106"/>
      <c r="M101" s="106"/>
      <c r="N101" s="106"/>
      <c r="O101" s="106"/>
      <c r="P101" s="106"/>
      <c r="Q101" s="106"/>
      <c r="R101" s="106"/>
      <c r="S101" s="106"/>
      <c r="T101" s="106"/>
      <c r="U101" s="106"/>
      <c r="V101" s="106"/>
      <c r="W101" s="106"/>
      <c r="X101" s="106"/>
      <c r="Y101" s="106"/>
      <c r="Z101" s="106"/>
      <c r="AA101" s="106"/>
      <c r="AB101" s="106"/>
      <c r="AC101" s="106"/>
      <c r="AD101" s="106"/>
      <c r="AE101" s="106"/>
      <c r="AF101" s="106"/>
      <c r="AG101" s="106"/>
      <c r="AH101" s="106"/>
      <c r="AI101" s="106"/>
      <c r="AJ101" s="106"/>
      <c r="AK101" s="106"/>
      <c r="AL101" s="106"/>
      <c r="AM101" s="106"/>
      <c r="AN101" s="106"/>
      <c r="AO101" s="106"/>
      <c r="AP101" s="106"/>
      <c r="AQ101" s="106"/>
      <c r="AR101" s="106"/>
      <c r="AS101" s="106"/>
      <c r="AT101" s="106"/>
      <c r="AU101" s="106"/>
      <c r="AV101" s="106"/>
      <c r="AW101" s="106"/>
      <c r="AX101" s="106"/>
      <c r="AY101" s="106"/>
      <c r="AZ101" s="106"/>
      <c r="BA101" s="106"/>
      <c r="BB101" s="106"/>
      <c r="BC101" s="106"/>
      <c r="BD101" s="106"/>
      <c r="BE101" s="106"/>
      <c r="BF101" s="106"/>
      <c r="BG101" s="106"/>
      <c r="BH101" s="112">
        <v>2350000</v>
      </c>
      <c r="BI101" s="112"/>
      <c r="BJ101" s="112"/>
      <c r="BK101" s="112"/>
      <c r="BL101" s="112"/>
      <c r="BM101" s="112"/>
      <c r="BN101" s="112"/>
      <c r="BO101" s="112"/>
      <c r="BP101" s="112"/>
      <c r="BQ101" s="112"/>
      <c r="BR101" s="112"/>
      <c r="BS101" s="112"/>
      <c r="BT101" s="112"/>
      <c r="BU101" s="112"/>
      <c r="BV101" s="112"/>
      <c r="BW101" s="112"/>
      <c r="BX101" s="112">
        <v>2000000</v>
      </c>
      <c r="BY101" s="112">
        <f>+(BX101*5.1%)+BX101</f>
        <v>2102000</v>
      </c>
      <c r="BZ101" s="112">
        <v>2460000</v>
      </c>
      <c r="CA101" s="112"/>
      <c r="CB101" s="112"/>
      <c r="CC101" s="112"/>
      <c r="CD101" s="112"/>
      <c r="CE101" s="112"/>
      <c r="CF101" s="112"/>
      <c r="CG101" s="112"/>
      <c r="CH101" s="112"/>
      <c r="CI101" s="112"/>
      <c r="CJ101" s="112"/>
      <c r="CK101" s="109">
        <f>+MEDIAN(BH101,BY101,BZ101)</f>
        <v>2350000</v>
      </c>
      <c r="CL101" s="109">
        <f>+AVERAGE(BH101,BY101,BZ101)</f>
        <v>2304000</v>
      </c>
      <c r="CM101" s="109">
        <f>+STDEV(BH101,BY101,BZ101)</f>
        <v>183379.38815472147</v>
      </c>
      <c r="CN101" s="103">
        <f t="shared" ref="CN101:CN103" si="35">CM101/CL101</f>
        <v>7.9591748331042309E-2</v>
      </c>
      <c r="CO101" s="110">
        <f t="shared" si="25"/>
        <v>1936134.4537815128</v>
      </c>
      <c r="CP101" s="107">
        <f t="shared" si="26"/>
        <v>367865.54621848743</v>
      </c>
      <c r="CQ101" s="106">
        <f>ROUNDUP(IF(CN101&lt;15%,CL101,CK101),0)</f>
        <v>2304000</v>
      </c>
      <c r="CR101" s="122">
        <f>+CQ101*E101*F101</f>
        <v>2304000</v>
      </c>
      <c r="CS101" s="79" t="s">
        <v>731</v>
      </c>
    </row>
    <row r="102" spans="1:143" ht="55.4" customHeight="1">
      <c r="A102" s="90">
        <f t="shared" si="27"/>
        <v>93</v>
      </c>
      <c r="B102" s="88" t="s">
        <v>243</v>
      </c>
      <c r="C102" s="1" t="s">
        <v>244</v>
      </c>
      <c r="D102" s="91" t="s">
        <v>5</v>
      </c>
      <c r="E102" s="1">
        <v>1</v>
      </c>
      <c r="F102" s="1">
        <v>1</v>
      </c>
      <c r="G102" s="106"/>
      <c r="H102" s="106"/>
      <c r="I102" s="106"/>
      <c r="J102" s="106"/>
      <c r="K102" s="106"/>
      <c r="L102" s="106"/>
      <c r="M102" s="106"/>
      <c r="N102" s="106"/>
      <c r="O102" s="106"/>
      <c r="P102" s="106"/>
      <c r="Q102" s="106"/>
      <c r="R102" s="106">
        <v>2000000</v>
      </c>
      <c r="S102" s="106">
        <v>2102000</v>
      </c>
      <c r="T102" s="106">
        <v>2300000</v>
      </c>
      <c r="U102" s="106">
        <v>2417300</v>
      </c>
      <c r="V102" s="106">
        <v>2300000</v>
      </c>
      <c r="W102" s="106">
        <v>2417300</v>
      </c>
      <c r="X102" s="106"/>
      <c r="Y102" s="106"/>
      <c r="Z102" s="106"/>
      <c r="AA102" s="106"/>
      <c r="AB102" s="106"/>
      <c r="AC102" s="106"/>
      <c r="AD102" s="106"/>
      <c r="AE102" s="106"/>
      <c r="AF102" s="106"/>
      <c r="AG102" s="106"/>
      <c r="AH102" s="106"/>
      <c r="AI102" s="106"/>
      <c r="AJ102" s="106"/>
      <c r="AK102" s="106"/>
      <c r="AL102" s="106"/>
      <c r="AM102" s="106"/>
      <c r="AN102" s="106"/>
      <c r="AO102" s="106"/>
      <c r="AP102" s="106"/>
      <c r="AQ102" s="106"/>
      <c r="AR102" s="106"/>
      <c r="AS102" s="106"/>
      <c r="AT102" s="106"/>
      <c r="AU102" s="106"/>
      <c r="AV102" s="106"/>
      <c r="AW102" s="106"/>
      <c r="AX102" s="106"/>
      <c r="AY102" s="106"/>
      <c r="AZ102" s="106"/>
      <c r="BA102" s="106"/>
      <c r="BB102" s="106"/>
      <c r="BC102" s="106"/>
      <c r="BD102" s="106"/>
      <c r="BE102" s="106"/>
      <c r="BF102" s="106"/>
      <c r="BG102" s="106"/>
      <c r="BH102" s="106"/>
      <c r="BI102" s="106"/>
      <c r="BJ102" s="106"/>
      <c r="BK102" s="106"/>
      <c r="BL102" s="106"/>
      <c r="BM102" s="106"/>
      <c r="BN102" s="106"/>
      <c r="BO102" s="106"/>
      <c r="BP102" s="106"/>
      <c r="BQ102" s="106"/>
      <c r="BR102" s="106"/>
      <c r="BS102" s="106"/>
      <c r="BT102" s="106"/>
      <c r="BU102" s="106"/>
      <c r="BV102" s="106"/>
      <c r="BW102" s="106"/>
      <c r="BX102" s="106"/>
      <c r="BY102" s="106"/>
      <c r="BZ102" s="106"/>
      <c r="CA102" s="106"/>
      <c r="CB102" s="106"/>
      <c r="CC102" s="106"/>
      <c r="CD102" s="106"/>
      <c r="CE102" s="106"/>
      <c r="CF102" s="106"/>
      <c r="CG102" s="106"/>
      <c r="CH102" s="106"/>
      <c r="CI102" s="106"/>
      <c r="CJ102" s="106"/>
      <c r="CK102" s="109">
        <f>+MEDIAN(H102,I102,J102,K102,M102,M102,M102,O102,O102,Q102,S102,U102,W102,X102,Y102,Z102,AA102,AC102,AE102,AG102,AH102,AI102,AJ102,AK102,AL102,AM102,AO102,AP102,AQ102,AS102,AU102,AX102,AZ102,BB102,BC102,BE102,BG102,BH102,BI102,BK102,BL102,BM102,BN102,BP102,BR102,BT102,BV102)</f>
        <v>2417300</v>
      </c>
      <c r="CL102" s="109">
        <f>+AVERAGE(H102,I102,J102,K102,M102,M102,M102,O102,O102,Q102,S102,U102,W102,X102,Y102,Z102,AA102,AC102,AE102,AG102,AH102,AI102,AJ102,AK102,AL102,AM102,AO102,AP102,AQ102,AS102,AU102,AX102,AZ102,BB102,BC102,BE102,BG102,BH102,BI102,BK102,BL102,BM102,BN102,BP102,BR102,BT102,BV102)</f>
        <v>2312200</v>
      </c>
      <c r="CM102" s="109">
        <f>+STDEV(H102,I102,J102,K102,M102,M102,M102,O102,O102,Q102,S102,U102,W102,X102,Y102,Z102,AA102,AC102,AE102,AG102,AH102,AI102,AJ102,AK102,AL102,AM102,AO102,AP102,AQ102,AS102,AU102,AX102,AZ102,BB102,BC102,BE102,BG102,BH102,BI102,BK102,BL102,BM102,BN102,BP102,BR102,BT102,BV102)</f>
        <v>182038.53987548899</v>
      </c>
      <c r="CN102" s="103">
        <f t="shared" si="35"/>
        <v>7.8729582162221687E-2</v>
      </c>
      <c r="CO102" s="110">
        <f t="shared" si="25"/>
        <v>1943025.2100840337</v>
      </c>
      <c r="CP102" s="107">
        <f t="shared" si="26"/>
        <v>369174.78991596639</v>
      </c>
      <c r="CQ102" s="106">
        <f>ROUNDUP(IF(CN102&lt;15%,CL102,CK102),0)</f>
        <v>2312200</v>
      </c>
      <c r="CR102" s="122">
        <f>+CQ102*E102</f>
        <v>2312200</v>
      </c>
      <c r="CS102" s="79" t="s">
        <v>731</v>
      </c>
    </row>
    <row r="103" spans="1:143" ht="129.65" customHeight="1">
      <c r="A103" s="90">
        <f t="shared" si="27"/>
        <v>94</v>
      </c>
      <c r="B103" s="88" t="s">
        <v>245</v>
      </c>
      <c r="C103" s="1" t="s">
        <v>9</v>
      </c>
      <c r="D103" s="91" t="s">
        <v>5</v>
      </c>
      <c r="E103" s="1">
        <v>1</v>
      </c>
      <c r="F103" s="1">
        <v>1</v>
      </c>
      <c r="G103" s="106"/>
      <c r="H103" s="106"/>
      <c r="I103" s="106"/>
      <c r="J103" s="106"/>
      <c r="K103" s="106"/>
      <c r="L103" s="106"/>
      <c r="M103" s="106"/>
      <c r="N103" s="106"/>
      <c r="O103" s="106"/>
      <c r="P103" s="106"/>
      <c r="Q103" s="106"/>
      <c r="R103" s="106">
        <v>5000000</v>
      </c>
      <c r="S103" s="106">
        <v>5255000</v>
      </c>
      <c r="T103" s="106">
        <v>5200000</v>
      </c>
      <c r="U103" s="106">
        <v>5465200</v>
      </c>
      <c r="V103" s="106">
        <v>5450000</v>
      </c>
      <c r="W103" s="106">
        <v>5727950</v>
      </c>
      <c r="X103" s="106"/>
      <c r="Y103" s="106"/>
      <c r="Z103" s="106"/>
      <c r="AA103" s="106"/>
      <c r="AB103" s="106"/>
      <c r="AC103" s="106"/>
      <c r="AD103" s="106"/>
      <c r="AE103" s="106"/>
      <c r="AF103" s="106"/>
      <c r="AG103" s="106"/>
      <c r="AH103" s="106"/>
      <c r="AI103" s="106"/>
      <c r="AJ103" s="106"/>
      <c r="AK103" s="106"/>
      <c r="AL103" s="106"/>
      <c r="AM103" s="106"/>
      <c r="AN103" s="106"/>
      <c r="AO103" s="106"/>
      <c r="AP103" s="106"/>
      <c r="AQ103" s="106"/>
      <c r="AR103" s="106"/>
      <c r="AS103" s="106"/>
      <c r="AT103" s="106"/>
      <c r="AU103" s="106"/>
      <c r="AV103" s="106"/>
      <c r="AW103" s="106"/>
      <c r="AX103" s="106"/>
      <c r="AY103" s="106"/>
      <c r="AZ103" s="106"/>
      <c r="BA103" s="106"/>
      <c r="BB103" s="106"/>
      <c r="BC103" s="106"/>
      <c r="BD103" s="106"/>
      <c r="BE103" s="106"/>
      <c r="BF103" s="106"/>
      <c r="BG103" s="106"/>
      <c r="BH103" s="106"/>
      <c r="BI103" s="106"/>
      <c r="BJ103" s="106"/>
      <c r="BK103" s="106"/>
      <c r="BL103" s="106"/>
      <c r="BM103" s="106"/>
      <c r="BN103" s="106"/>
      <c r="BO103" s="106"/>
      <c r="BP103" s="106"/>
      <c r="BQ103" s="106"/>
      <c r="BR103" s="106"/>
      <c r="BS103" s="106"/>
      <c r="BT103" s="106"/>
      <c r="BU103" s="106"/>
      <c r="BV103" s="106"/>
      <c r="BW103" s="106"/>
      <c r="BX103" s="106"/>
      <c r="BY103" s="106"/>
      <c r="BZ103" s="106"/>
      <c r="CA103" s="106"/>
      <c r="CB103" s="106"/>
      <c r="CC103" s="106"/>
      <c r="CD103" s="106"/>
      <c r="CE103" s="106"/>
      <c r="CF103" s="106"/>
      <c r="CG103" s="106"/>
      <c r="CH103" s="106"/>
      <c r="CI103" s="106"/>
      <c r="CJ103" s="106"/>
      <c r="CK103" s="109">
        <f>+MEDIAN(H103,I103,J103,K103,M103,M103,M103,O103,O103,Q103,S103,U103,W103,X103,Y103,Z103,AA103,AC103,AE103,AG103,AH103,AI103,AJ103,AK103,AL103,AM103,AO103,AP103,AQ103,AS103,AU103,AX103,AZ103,BB103,BC103,BE103,BG103,BH103,BI103,BK103,BL103,BM103,BN103,BP103,BR103,BT103,BV103)</f>
        <v>5465200</v>
      </c>
      <c r="CL103" s="109">
        <f>+AVERAGE(H103,I103,J103,K103,M103,M103,M103,O103,O103,Q103,S103,U103,W103,X103,Y103,Z103,AA103,AC103,AE103,AG103,AH103,AI103,AJ103,AK103,AL103,AM103,AO103,AP103,AQ103,AS103,AU103,AX103,AZ103,BB103,BC103,BE103,BG103,BH103,BI103,BK103,BL103,BM103,BN103,BP103,BR103,BT103,BV103)</f>
        <v>5482716.666666667</v>
      </c>
      <c r="CM103" s="109">
        <f>+STDEV(H103,I103,J103,K103,M103,M103,M103,O103,O103,Q103,S103,U103,W103,X103,Y103,Z103,AA103,AC103,AE103,AG103,AH103,AI103,AJ103,AK103,AL103,AM103,AO103,AP103,AQ103,AS103,AU103,AX103,AZ103,BB103,BC103,BE103,BG103,BH103,BI103,BK103,BL103,BM103,BN103,BP103,BR103,BT103,BV103)</f>
        <v>236961.07451084309</v>
      </c>
      <c r="CN103" s="103">
        <f t="shared" si="35"/>
        <v>4.3219646193190679E-2</v>
      </c>
      <c r="CO103" s="110">
        <f t="shared" si="25"/>
        <v>4607325.2100840341</v>
      </c>
      <c r="CP103" s="107">
        <f t="shared" si="26"/>
        <v>875391.78991596645</v>
      </c>
      <c r="CQ103" s="106">
        <f>ROUNDUP(IF(CN103&lt;15%,CL103,CK103),0)</f>
        <v>5482717</v>
      </c>
      <c r="CR103" s="122">
        <f>+CQ103*E103</f>
        <v>5482717</v>
      </c>
      <c r="CS103" s="79" t="s">
        <v>731</v>
      </c>
    </row>
    <row r="104" spans="1:143" s="129" customFormat="1" ht="14.5">
      <c r="A104" s="124" t="s">
        <v>109</v>
      </c>
      <c r="B104" s="125"/>
      <c r="C104" s="93"/>
      <c r="D104" s="125"/>
      <c r="E104" s="125"/>
      <c r="F104" s="125"/>
      <c r="G104" s="114"/>
      <c r="H104" s="114"/>
      <c r="I104" s="114"/>
      <c r="J104" s="114"/>
      <c r="K104" s="114"/>
      <c r="L104" s="113"/>
      <c r="M104" s="113"/>
      <c r="N104" s="113"/>
      <c r="O104" s="113"/>
      <c r="P104" s="113"/>
      <c r="Q104" s="114"/>
      <c r="R104" s="114"/>
      <c r="S104" s="114"/>
      <c r="T104" s="114"/>
      <c r="U104" s="114"/>
      <c r="V104" s="114"/>
      <c r="W104" s="114"/>
      <c r="X104" s="114"/>
      <c r="Y104" s="114"/>
      <c r="Z104" s="114"/>
      <c r="AA104" s="114"/>
      <c r="AB104" s="114"/>
      <c r="AC104" s="114"/>
      <c r="AD104" s="114"/>
      <c r="AE104" s="114"/>
      <c r="AF104" s="114"/>
      <c r="AG104" s="114"/>
      <c r="AH104" s="114"/>
      <c r="AI104" s="114"/>
      <c r="AJ104" s="114"/>
      <c r="AK104" s="114"/>
      <c r="AL104" s="114"/>
      <c r="AM104" s="114"/>
      <c r="AN104" s="114"/>
      <c r="AO104" s="114"/>
      <c r="AP104" s="114"/>
      <c r="AQ104" s="114"/>
      <c r="AR104" s="114"/>
      <c r="AS104" s="114"/>
      <c r="AT104" s="114"/>
      <c r="AU104" s="114"/>
      <c r="AV104" s="114"/>
      <c r="AW104" s="114"/>
      <c r="AX104" s="114"/>
      <c r="AY104" s="114"/>
      <c r="AZ104" s="114"/>
      <c r="BA104" s="114"/>
      <c r="BB104" s="114"/>
      <c r="BC104" s="114"/>
      <c r="BD104" s="114"/>
      <c r="BE104" s="114"/>
      <c r="BF104" s="114"/>
      <c r="BG104" s="114"/>
      <c r="BH104" s="114"/>
      <c r="BI104" s="114"/>
      <c r="BJ104" s="114"/>
      <c r="BK104" s="114"/>
      <c r="BL104" s="114"/>
      <c r="BM104" s="114"/>
      <c r="BN104" s="114"/>
      <c r="BO104" s="114"/>
      <c r="BP104" s="114"/>
      <c r="BQ104" s="114"/>
      <c r="BR104" s="114"/>
      <c r="BS104" s="114"/>
      <c r="BT104" s="114"/>
      <c r="BU104" s="114"/>
      <c r="BV104" s="114"/>
      <c r="BW104" s="114"/>
      <c r="BX104" s="114"/>
      <c r="BY104" s="114"/>
      <c r="BZ104" s="114"/>
      <c r="CA104" s="114"/>
      <c r="CB104" s="114"/>
      <c r="CC104" s="114"/>
      <c r="CD104" s="114"/>
      <c r="CE104" s="114"/>
      <c r="CF104" s="114"/>
      <c r="CG104" s="114"/>
      <c r="CH104" s="114"/>
      <c r="CI104" s="114"/>
      <c r="CJ104" s="114"/>
      <c r="CK104" s="118"/>
      <c r="CL104" s="118"/>
      <c r="CM104" s="118"/>
      <c r="CN104" s="105"/>
      <c r="CO104" s="60"/>
      <c r="CP104" s="113"/>
      <c r="CQ104" s="113"/>
      <c r="CR104" s="113"/>
      <c r="CS104" s="128"/>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row>
    <row r="105" spans="1:143" s="129" customFormat="1" ht="14.5">
      <c r="A105" s="126" t="s">
        <v>110</v>
      </c>
      <c r="B105" s="127"/>
      <c r="C105" s="94"/>
      <c r="D105" s="127"/>
      <c r="E105" s="127"/>
      <c r="F105" s="127"/>
      <c r="G105" s="117"/>
      <c r="H105" s="117"/>
      <c r="I105" s="117"/>
      <c r="J105" s="117"/>
      <c r="K105" s="117"/>
      <c r="L105" s="113"/>
      <c r="M105" s="113"/>
      <c r="N105" s="113"/>
      <c r="O105" s="113"/>
      <c r="P105" s="113"/>
      <c r="Q105" s="117"/>
      <c r="R105" s="117"/>
      <c r="S105" s="117"/>
      <c r="T105" s="117"/>
      <c r="U105" s="117"/>
      <c r="V105" s="117"/>
      <c r="W105" s="117"/>
      <c r="X105" s="117"/>
      <c r="Y105" s="117"/>
      <c r="Z105" s="117"/>
      <c r="AA105" s="117"/>
      <c r="AB105" s="117"/>
      <c r="AC105" s="117"/>
      <c r="AD105" s="117"/>
      <c r="AE105" s="117"/>
      <c r="AF105" s="117"/>
      <c r="AG105" s="117"/>
      <c r="AH105" s="117"/>
      <c r="AI105" s="117"/>
      <c r="AJ105" s="117"/>
      <c r="AK105" s="117"/>
      <c r="AL105" s="117"/>
      <c r="AM105" s="117"/>
      <c r="AN105" s="117"/>
      <c r="AO105" s="117"/>
      <c r="AP105" s="117"/>
      <c r="AQ105" s="117"/>
      <c r="AR105" s="117"/>
      <c r="AS105" s="117"/>
      <c r="AT105" s="117"/>
      <c r="AU105" s="117"/>
      <c r="AV105" s="117"/>
      <c r="AW105" s="117"/>
      <c r="AX105" s="117"/>
      <c r="AY105" s="117"/>
      <c r="AZ105" s="117"/>
      <c r="BA105" s="117"/>
      <c r="BB105" s="117"/>
      <c r="BC105" s="117"/>
      <c r="BD105" s="117"/>
      <c r="BE105" s="117"/>
      <c r="BF105" s="117"/>
      <c r="BG105" s="117"/>
      <c r="BH105" s="117"/>
      <c r="BI105" s="117"/>
      <c r="BJ105" s="117"/>
      <c r="BK105" s="117"/>
      <c r="BL105" s="117"/>
      <c r="BM105" s="117"/>
      <c r="BN105" s="117"/>
      <c r="BO105" s="117"/>
      <c r="BP105" s="117"/>
      <c r="BQ105" s="117"/>
      <c r="BR105" s="117"/>
      <c r="BS105" s="117"/>
      <c r="BT105" s="117"/>
      <c r="BU105" s="117"/>
      <c r="BV105" s="117"/>
      <c r="BW105" s="117"/>
      <c r="BX105" s="117"/>
      <c r="BY105" s="117"/>
      <c r="BZ105" s="117"/>
      <c r="CA105" s="117"/>
      <c r="CB105" s="117"/>
      <c r="CC105" s="117"/>
      <c r="CD105" s="117"/>
      <c r="CE105" s="117"/>
      <c r="CF105" s="117"/>
      <c r="CG105" s="117"/>
      <c r="CH105" s="117"/>
      <c r="CI105" s="117"/>
      <c r="CJ105" s="117"/>
      <c r="CK105" s="118"/>
      <c r="CL105" s="118"/>
      <c r="CM105" s="118"/>
      <c r="CN105" s="105"/>
      <c r="CO105" s="60"/>
      <c r="CP105" s="113"/>
      <c r="CQ105" s="113"/>
      <c r="CR105" s="113"/>
      <c r="CS105" s="128"/>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row>
    <row r="106" spans="1:143" ht="106.4" customHeight="1">
      <c r="A106" s="90">
        <f>+A103+1</f>
        <v>95</v>
      </c>
      <c r="B106" s="88" t="s">
        <v>111</v>
      </c>
      <c r="C106" s="1" t="s">
        <v>293</v>
      </c>
      <c r="D106" s="91" t="s">
        <v>747</v>
      </c>
      <c r="E106" s="1">
        <v>1</v>
      </c>
      <c r="F106" s="1">
        <v>1</v>
      </c>
      <c r="G106" s="106">
        <v>5889000</v>
      </c>
      <c r="H106" s="106"/>
      <c r="I106" s="106"/>
      <c r="J106" s="106"/>
      <c r="K106" s="106"/>
      <c r="L106" s="106"/>
      <c r="M106" s="106"/>
      <c r="N106" s="106"/>
      <c r="O106" s="106"/>
      <c r="P106" s="106"/>
      <c r="Q106" s="106"/>
      <c r="R106" s="106"/>
      <c r="S106" s="106"/>
      <c r="T106" s="106"/>
      <c r="U106" s="106"/>
      <c r="V106" s="106"/>
      <c r="W106" s="106"/>
      <c r="X106" s="106"/>
      <c r="Y106" s="112"/>
      <c r="Z106" s="106"/>
      <c r="AA106" s="112"/>
      <c r="AB106" s="106"/>
      <c r="AC106" s="106"/>
      <c r="AD106" s="106"/>
      <c r="AE106" s="106"/>
      <c r="AF106" s="106"/>
      <c r="AG106" s="106"/>
      <c r="AH106" s="106"/>
      <c r="AI106" s="106"/>
      <c r="AJ106" s="106"/>
      <c r="AK106" s="106"/>
      <c r="AL106" s="106"/>
      <c r="AM106" s="106"/>
      <c r="AN106" s="106"/>
      <c r="AO106" s="106"/>
      <c r="AP106" s="106"/>
      <c r="AQ106" s="106"/>
      <c r="AR106" s="106"/>
      <c r="AS106" s="106"/>
      <c r="AT106" s="106"/>
      <c r="AU106" s="106"/>
      <c r="AV106" s="106"/>
      <c r="AW106" s="106"/>
      <c r="AX106" s="106"/>
      <c r="AY106" s="106"/>
      <c r="AZ106" s="106"/>
      <c r="BA106" s="106"/>
      <c r="BB106" s="106"/>
      <c r="BC106" s="106"/>
      <c r="BD106" s="106"/>
      <c r="BE106" s="106"/>
      <c r="BF106" s="106"/>
      <c r="BG106" s="106"/>
      <c r="BH106" s="106"/>
      <c r="BI106" s="106"/>
      <c r="BJ106" s="106"/>
      <c r="BK106" s="106"/>
      <c r="BL106" s="106"/>
      <c r="BM106" s="106"/>
      <c r="BN106" s="106"/>
      <c r="BO106" s="106"/>
      <c r="BP106" s="106"/>
      <c r="BQ106" s="106"/>
      <c r="BR106" s="106"/>
      <c r="BS106" s="106"/>
      <c r="BT106" s="106"/>
      <c r="BU106" s="106"/>
      <c r="BV106" s="106"/>
      <c r="BW106" s="106"/>
      <c r="BX106" s="106"/>
      <c r="BY106" s="106"/>
      <c r="BZ106" s="106"/>
      <c r="CA106" s="106"/>
      <c r="CB106" s="106"/>
      <c r="CC106" s="106"/>
      <c r="CD106" s="106"/>
      <c r="CE106" s="106"/>
      <c r="CF106" s="106"/>
      <c r="CG106" s="106"/>
      <c r="CH106" s="106"/>
      <c r="CI106" s="106"/>
      <c r="CJ106" s="106"/>
      <c r="CK106" s="109"/>
      <c r="CL106" s="109"/>
      <c r="CM106" s="109"/>
      <c r="CN106" s="103"/>
      <c r="CO106" s="107">
        <f>5889000/1.19</f>
        <v>4948739.4957983196</v>
      </c>
      <c r="CP106" s="107">
        <f>+CO106*19%</f>
        <v>940260.50420168077</v>
      </c>
      <c r="CQ106" s="107">
        <v>5889000</v>
      </c>
      <c r="CR106" s="122">
        <f>+CQ106*E106*F106</f>
        <v>5889000</v>
      </c>
      <c r="CS106" s="89" t="s">
        <v>730</v>
      </c>
    </row>
    <row r="107" spans="1:143" ht="73.400000000000006" customHeight="1">
      <c r="A107" s="90">
        <f>+A106+1</f>
        <v>96</v>
      </c>
      <c r="B107" s="88" t="s">
        <v>40</v>
      </c>
      <c r="C107" s="1" t="s">
        <v>911</v>
      </c>
      <c r="D107" s="91" t="s">
        <v>750</v>
      </c>
      <c r="E107" s="1">
        <v>2</v>
      </c>
      <c r="F107" s="1">
        <v>15</v>
      </c>
      <c r="G107" s="106"/>
      <c r="H107" s="106"/>
      <c r="I107" s="106"/>
      <c r="J107" s="106"/>
      <c r="K107" s="106"/>
      <c r="L107" s="106">
        <v>115000</v>
      </c>
      <c r="M107" s="106">
        <f>+((L107/1.19*23%)+L107)</f>
        <v>137226.89075630251</v>
      </c>
      <c r="N107" s="106">
        <v>120000</v>
      </c>
      <c r="O107" s="106">
        <f>+((N107/1.19*23%)+N107)</f>
        <v>143193.27731092437</v>
      </c>
      <c r="P107" s="106">
        <v>148000</v>
      </c>
      <c r="Q107" s="106">
        <f>+((P107/1.19*23%)+P107)</f>
        <v>176605.04201680672</v>
      </c>
      <c r="R107" s="106"/>
      <c r="S107" s="106"/>
      <c r="T107" s="106"/>
      <c r="U107" s="106"/>
      <c r="V107" s="106"/>
      <c r="W107" s="106"/>
      <c r="X107" s="106"/>
      <c r="Y107" s="106"/>
      <c r="Z107" s="106"/>
      <c r="AA107" s="106"/>
      <c r="AB107" s="106"/>
      <c r="AC107" s="106"/>
      <c r="AD107" s="106"/>
      <c r="AE107" s="106"/>
      <c r="AF107" s="106"/>
      <c r="AG107" s="106"/>
      <c r="AH107" s="106"/>
      <c r="AI107" s="106"/>
      <c r="AJ107" s="106"/>
      <c r="AK107" s="106"/>
      <c r="AL107" s="106"/>
      <c r="AM107" s="106"/>
      <c r="AN107" s="106"/>
      <c r="AO107" s="106"/>
      <c r="AP107" s="106"/>
      <c r="AQ107" s="106"/>
      <c r="AR107" s="106"/>
      <c r="AS107" s="106"/>
      <c r="AT107" s="106"/>
      <c r="AU107" s="106"/>
      <c r="AV107" s="106"/>
      <c r="AW107" s="106"/>
      <c r="AX107" s="106"/>
      <c r="AY107" s="106"/>
      <c r="AZ107" s="106"/>
      <c r="BA107" s="106"/>
      <c r="BB107" s="106"/>
      <c r="BC107" s="106"/>
      <c r="BD107" s="106"/>
      <c r="BE107" s="106"/>
      <c r="BF107" s="106"/>
      <c r="BG107" s="106"/>
      <c r="BH107" s="106"/>
      <c r="BI107" s="106"/>
      <c r="BJ107" s="106"/>
      <c r="BK107" s="106"/>
      <c r="BL107" s="106"/>
      <c r="BM107" s="106"/>
      <c r="BN107" s="106"/>
      <c r="BO107" s="106"/>
      <c r="BP107" s="106"/>
      <c r="BQ107" s="106"/>
      <c r="BR107" s="106"/>
      <c r="BS107" s="106"/>
      <c r="BT107" s="106"/>
      <c r="BU107" s="106"/>
      <c r="BV107" s="106"/>
      <c r="BW107" s="106"/>
      <c r="BX107" s="106"/>
      <c r="BY107" s="106"/>
      <c r="BZ107" s="106"/>
      <c r="CA107" s="106"/>
      <c r="CB107" s="106"/>
      <c r="CC107" s="106"/>
      <c r="CD107" s="106"/>
      <c r="CE107" s="106"/>
      <c r="CF107" s="106"/>
      <c r="CG107" s="106"/>
      <c r="CH107" s="106"/>
      <c r="CI107" s="106"/>
      <c r="CJ107" s="106"/>
      <c r="CK107" s="109">
        <f>+MEDIAN(M107,O107,Q107)</f>
        <v>143193.27731092437</v>
      </c>
      <c r="CL107" s="109">
        <f>+AVERAGE(M107,O107,Q107)</f>
        <v>152341.73669467788</v>
      </c>
      <c r="CM107" s="109">
        <f>+STDEV(M107,O107,Q107)</f>
        <v>21223.346366582569</v>
      </c>
      <c r="CN107" s="198">
        <f t="shared" ref="CN107" si="36">CM107/CL107</f>
        <v>0.13931406341466512</v>
      </c>
      <c r="CO107" s="5">
        <f t="shared" ref="CO107" si="37">+CQ107-CP107</f>
        <v>123397.02</v>
      </c>
      <c r="CP107" s="106">
        <f t="shared" ref="CP107" si="38">+(CQ107*19%)</f>
        <v>28944.98</v>
      </c>
      <c r="CQ107" s="106">
        <f t="shared" ref="CQ107" si="39">ROUNDUP(IF(CN107&lt;15%,CL107,CK107),0)</f>
        <v>152342</v>
      </c>
      <c r="CR107" s="122">
        <f>+CQ107*E107*F107</f>
        <v>4570260</v>
      </c>
      <c r="CS107" s="89" t="s">
        <v>732</v>
      </c>
    </row>
    <row r="108" spans="1:143" ht="73.400000000000006" customHeight="1">
      <c r="A108" s="90">
        <f t="shared" ref="A108:A126" si="40">+A107+1</f>
        <v>97</v>
      </c>
      <c r="B108" s="88" t="s">
        <v>41</v>
      </c>
      <c r="C108" s="1" t="s">
        <v>294</v>
      </c>
      <c r="D108" s="91" t="s">
        <v>747</v>
      </c>
      <c r="E108" s="1">
        <v>1</v>
      </c>
      <c r="F108" s="1">
        <v>1.5</v>
      </c>
      <c r="G108" s="106"/>
      <c r="H108" s="106"/>
      <c r="I108" s="106"/>
      <c r="J108" s="106"/>
      <c r="K108" s="106"/>
      <c r="L108" s="106"/>
      <c r="M108" s="106"/>
      <c r="N108" s="106"/>
      <c r="O108" s="106"/>
      <c r="P108" s="106"/>
      <c r="Q108" s="106"/>
      <c r="R108" s="106"/>
      <c r="S108" s="106"/>
      <c r="T108" s="106"/>
      <c r="U108" s="106"/>
      <c r="V108" s="106"/>
      <c r="W108" s="106"/>
      <c r="X108" s="106"/>
      <c r="Y108" s="112">
        <v>4500000</v>
      </c>
      <c r="Z108" s="112"/>
      <c r="AA108" s="112">
        <v>4400000</v>
      </c>
      <c r="AB108" s="106"/>
      <c r="AC108" s="106"/>
      <c r="AD108" s="106"/>
      <c r="AE108" s="106"/>
      <c r="AF108" s="106"/>
      <c r="AG108" s="106"/>
      <c r="AH108" s="106"/>
      <c r="AI108" s="106"/>
      <c r="AJ108" s="106"/>
      <c r="AK108" s="106"/>
      <c r="AL108" s="106"/>
      <c r="AM108" s="106"/>
      <c r="AN108" s="106"/>
      <c r="AO108" s="106"/>
      <c r="AP108" s="106"/>
      <c r="AQ108" s="106"/>
      <c r="AR108" s="106"/>
      <c r="AS108" s="106"/>
      <c r="AT108" s="106"/>
      <c r="AU108" s="106"/>
      <c r="AV108" s="106"/>
      <c r="AW108" s="106"/>
      <c r="AX108" s="106"/>
      <c r="AY108" s="106"/>
      <c r="AZ108" s="106"/>
      <c r="BA108" s="106"/>
      <c r="BB108" s="106"/>
      <c r="BC108" s="106"/>
      <c r="BD108" s="106"/>
      <c r="BE108" s="106"/>
      <c r="BF108" s="106"/>
      <c r="BG108" s="106"/>
      <c r="BH108" s="106"/>
      <c r="BI108" s="106"/>
      <c r="BJ108" s="106"/>
      <c r="BK108" s="106"/>
      <c r="BL108" s="106"/>
      <c r="BM108" s="106"/>
      <c r="BN108" s="106"/>
      <c r="BO108" s="106"/>
      <c r="BP108" s="106"/>
      <c r="BQ108" s="106"/>
      <c r="BR108" s="106"/>
      <c r="BS108" s="106"/>
      <c r="BT108" s="106"/>
      <c r="BU108" s="106"/>
      <c r="BV108" s="106"/>
      <c r="BW108" s="106"/>
      <c r="BX108" s="106"/>
      <c r="BY108" s="106"/>
      <c r="BZ108" s="106"/>
      <c r="CA108" s="106"/>
      <c r="CB108" s="106"/>
      <c r="CC108" s="106"/>
      <c r="CD108" s="106"/>
      <c r="CE108" s="106"/>
      <c r="CF108" s="106"/>
      <c r="CG108" s="106"/>
      <c r="CH108" s="106"/>
      <c r="CI108" s="106"/>
      <c r="CJ108" s="106"/>
      <c r="CK108" s="109">
        <f t="shared" ref="CK108:CK120" si="41">+MEDIAN(H108,I108,J108,K108,M108,M108,M108,O108,O108,Q108,S108,U108,W108,X108,Y108,Z108,AA108,AC108,AE108,AG108,AH108,AI108,AJ108,AK108,AL108,AM108,AO108,AP108,AQ108,AS108,AU108,AX108,AZ108,BB108,BC108,BE108,BG108,BH108,BI108,BK108,BL108,BM108,BN108,BP108,BR108,BT108,BV108)</f>
        <v>4450000</v>
      </c>
      <c r="CL108" s="109">
        <f t="shared" ref="CL108:CL120" si="42">+AVERAGE(H108,I108,J108,K108,M108,M108,M108,O108,O108,Q108,S108,U108,W108,X108,Y108,Z108,AA108,AC108,AE108,AG108,AH108,AI108,AJ108,AK108,AL108,AM108,AO108,AP108,AQ108,AS108,AU108,AX108,AZ108,BB108,BC108,BE108,BG108,BH108,BI108,BK108,BL108,BM108,BN108,BP108,BR108,BT108,BV108)</f>
        <v>4450000</v>
      </c>
      <c r="CM108" s="109">
        <f t="shared" ref="CM108:CM120" si="43">+STDEV(H108,I108,J108,K108,M108,M108,M108,O108,O108,Q108,S108,U108,W108,X108,Y108,Z108,AA108,AC108,AE108,AG108,AH108,AI108,AJ108,AK108,AL108,AM108,AO108,AP108,AQ108,AS108,AU108,AX108,AZ108,BB108,BC108,BE108,BG108,BH108,BI108,BK108,BL108,BM108,BN108,BP108,BR108,BT108,BV108)</f>
        <v>70710.67811865476</v>
      </c>
      <c r="CN108" s="103">
        <f t="shared" ref="CN108:CN118" si="44">CM108/CL108</f>
        <v>1.5890040026663992E-2</v>
      </c>
      <c r="CO108" s="110">
        <f t="shared" ref="CO108:CO131" si="45">CQ108/1.19</f>
        <v>3739495.7983193281</v>
      </c>
      <c r="CP108" s="107">
        <f t="shared" ref="CP108:CP131" si="46">CO108*19%</f>
        <v>710504.20168067235</v>
      </c>
      <c r="CQ108" s="106">
        <f t="shared" ref="CQ108:CQ120" si="47">ROUNDUP(IF(CN108&lt;15%,CL108,CK108),0)</f>
        <v>4450000</v>
      </c>
      <c r="CR108" s="122">
        <f>+CQ108*E108*F108</f>
        <v>6675000</v>
      </c>
      <c r="CS108" s="89" t="s">
        <v>732</v>
      </c>
    </row>
    <row r="109" spans="1:143" ht="115.4" customHeight="1">
      <c r="A109" s="90">
        <f t="shared" si="40"/>
        <v>98</v>
      </c>
      <c r="B109" s="88" t="s">
        <v>42</v>
      </c>
      <c r="C109" s="1" t="s">
        <v>295</v>
      </c>
      <c r="D109" s="91" t="s">
        <v>750</v>
      </c>
      <c r="E109" s="1">
        <v>2</v>
      </c>
      <c r="F109" s="1">
        <v>15</v>
      </c>
      <c r="G109" s="106"/>
      <c r="H109" s="106"/>
      <c r="I109" s="106"/>
      <c r="J109" s="106"/>
      <c r="K109" s="106"/>
      <c r="L109" s="106"/>
      <c r="M109" s="106"/>
      <c r="N109" s="106"/>
      <c r="O109" s="106"/>
      <c r="P109" s="106"/>
      <c r="Q109" s="106"/>
      <c r="R109" s="106"/>
      <c r="S109" s="106"/>
      <c r="T109" s="106"/>
      <c r="U109" s="106"/>
      <c r="V109" s="106"/>
      <c r="W109" s="106"/>
      <c r="X109" s="106"/>
      <c r="Y109" s="112">
        <v>200000</v>
      </c>
      <c r="Z109" s="106"/>
      <c r="AA109" s="106">
        <v>190000</v>
      </c>
      <c r="AB109" s="106"/>
      <c r="AC109" s="106"/>
      <c r="AD109" s="106"/>
      <c r="AE109" s="106"/>
      <c r="AF109" s="106"/>
      <c r="AG109" s="106"/>
      <c r="AH109" s="106"/>
      <c r="AI109" s="106"/>
      <c r="AJ109" s="106"/>
      <c r="AK109" s="106"/>
      <c r="AL109" s="106"/>
      <c r="AM109" s="106"/>
      <c r="AN109" s="106"/>
      <c r="AO109" s="106"/>
      <c r="AP109" s="106"/>
      <c r="AQ109" s="106"/>
      <c r="AR109" s="106"/>
      <c r="AS109" s="106"/>
      <c r="AT109" s="106"/>
      <c r="AU109" s="106"/>
      <c r="AV109" s="106"/>
      <c r="AW109" s="106"/>
      <c r="AX109" s="106"/>
      <c r="AY109" s="106"/>
      <c r="AZ109" s="106"/>
      <c r="BA109" s="106"/>
      <c r="BB109" s="106"/>
      <c r="BC109" s="106"/>
      <c r="BD109" s="106"/>
      <c r="BE109" s="106"/>
      <c r="BF109" s="106"/>
      <c r="BG109" s="106"/>
      <c r="BH109" s="106"/>
      <c r="BI109" s="106"/>
      <c r="BJ109" s="106"/>
      <c r="BK109" s="106"/>
      <c r="BL109" s="106"/>
      <c r="BM109" s="106"/>
      <c r="BN109" s="106"/>
      <c r="BO109" s="106"/>
      <c r="BP109" s="106"/>
      <c r="BQ109" s="106"/>
      <c r="BR109" s="106"/>
      <c r="BS109" s="106"/>
      <c r="BT109" s="106"/>
      <c r="BU109" s="106"/>
      <c r="BV109" s="106"/>
      <c r="BW109" s="106"/>
      <c r="BX109" s="106"/>
      <c r="BY109" s="106"/>
      <c r="BZ109" s="106"/>
      <c r="CA109" s="106"/>
      <c r="CB109" s="106"/>
      <c r="CC109" s="106"/>
      <c r="CD109" s="106"/>
      <c r="CE109" s="106"/>
      <c r="CF109" s="106"/>
      <c r="CG109" s="106"/>
      <c r="CH109" s="106"/>
      <c r="CI109" s="106"/>
      <c r="CJ109" s="106"/>
      <c r="CK109" s="109">
        <f t="shared" si="41"/>
        <v>195000</v>
      </c>
      <c r="CL109" s="109">
        <f t="shared" si="42"/>
        <v>195000</v>
      </c>
      <c r="CM109" s="109">
        <f t="shared" si="43"/>
        <v>7071.0678118654751</v>
      </c>
      <c r="CN109" s="103">
        <f t="shared" si="44"/>
        <v>3.6261886214694741E-2</v>
      </c>
      <c r="CO109" s="110">
        <f t="shared" si="45"/>
        <v>163865.5462184874</v>
      </c>
      <c r="CP109" s="107">
        <f t="shared" si="46"/>
        <v>31134.453781512606</v>
      </c>
      <c r="CQ109" s="106">
        <f t="shared" si="47"/>
        <v>195000</v>
      </c>
      <c r="CR109" s="122">
        <f>+CQ109*E109*F109</f>
        <v>5850000</v>
      </c>
      <c r="CS109" s="89" t="s">
        <v>732</v>
      </c>
    </row>
    <row r="110" spans="1:143" ht="115.9" customHeight="1">
      <c r="A110" s="90">
        <f t="shared" si="40"/>
        <v>99</v>
      </c>
      <c r="B110" s="63" t="s">
        <v>112</v>
      </c>
      <c r="C110" s="1" t="s">
        <v>350</v>
      </c>
      <c r="D110" s="91" t="s">
        <v>4</v>
      </c>
      <c r="E110" s="1">
        <v>30</v>
      </c>
      <c r="F110" s="1"/>
      <c r="G110" s="106"/>
      <c r="H110" s="106"/>
      <c r="I110" s="106"/>
      <c r="J110" s="106"/>
      <c r="K110" s="106"/>
      <c r="L110" s="106"/>
      <c r="M110" s="106"/>
      <c r="N110" s="106"/>
      <c r="O110" s="106"/>
      <c r="P110" s="106"/>
      <c r="Q110" s="106"/>
      <c r="R110" s="106"/>
      <c r="S110" s="106"/>
      <c r="T110" s="106"/>
      <c r="U110" s="106"/>
      <c r="V110" s="106"/>
      <c r="W110" s="106"/>
      <c r="X110" s="106"/>
      <c r="Y110" s="106"/>
      <c r="Z110" s="106"/>
      <c r="AA110" s="106"/>
      <c r="AB110" s="106">
        <v>16832</v>
      </c>
      <c r="AC110" s="106">
        <v>17690</v>
      </c>
      <c r="AD110" s="106">
        <v>18963</v>
      </c>
      <c r="AE110" s="106">
        <v>19930</v>
      </c>
      <c r="AF110" s="106">
        <v>15100</v>
      </c>
      <c r="AG110" s="106">
        <v>15870</v>
      </c>
      <c r="AH110" s="106"/>
      <c r="AI110" s="106"/>
      <c r="AJ110" s="106"/>
      <c r="AK110" s="106"/>
      <c r="AL110" s="106"/>
      <c r="AM110" s="106"/>
      <c r="AN110" s="106"/>
      <c r="AO110" s="106"/>
      <c r="AP110" s="106"/>
      <c r="AQ110" s="106"/>
      <c r="AR110" s="106"/>
      <c r="AS110" s="106"/>
      <c r="AT110" s="106"/>
      <c r="AU110" s="106"/>
      <c r="AV110" s="106"/>
      <c r="AW110" s="106"/>
      <c r="AX110" s="106"/>
      <c r="AY110" s="106"/>
      <c r="AZ110" s="106"/>
      <c r="BA110" s="106"/>
      <c r="BB110" s="106"/>
      <c r="BC110" s="106"/>
      <c r="BD110" s="106"/>
      <c r="BE110" s="106"/>
      <c r="BF110" s="106"/>
      <c r="BG110" s="106"/>
      <c r="BH110" s="106"/>
      <c r="BI110" s="106"/>
      <c r="BJ110" s="106"/>
      <c r="BK110" s="106"/>
      <c r="BL110" s="106"/>
      <c r="BM110" s="106"/>
      <c r="BN110" s="106"/>
      <c r="BO110" s="106"/>
      <c r="BP110" s="106"/>
      <c r="BQ110" s="106"/>
      <c r="BR110" s="106"/>
      <c r="BS110" s="106"/>
      <c r="BT110" s="106"/>
      <c r="BU110" s="106"/>
      <c r="BV110" s="106"/>
      <c r="BW110" s="106"/>
      <c r="BX110" s="106"/>
      <c r="BY110" s="106"/>
      <c r="BZ110" s="106"/>
      <c r="CA110" s="106"/>
      <c r="CB110" s="106"/>
      <c r="CC110" s="106"/>
      <c r="CD110" s="106"/>
      <c r="CE110" s="106"/>
      <c r="CF110" s="106"/>
      <c r="CG110" s="106"/>
      <c r="CH110" s="106"/>
      <c r="CI110" s="106"/>
      <c r="CJ110" s="106"/>
      <c r="CK110" s="109">
        <f t="shared" si="41"/>
        <v>17690</v>
      </c>
      <c r="CL110" s="109">
        <f t="shared" si="42"/>
        <v>17830</v>
      </c>
      <c r="CM110" s="109">
        <f t="shared" si="43"/>
        <v>2033.6174664867531</v>
      </c>
      <c r="CN110" s="103">
        <f t="shared" si="44"/>
        <v>0.11405594315685659</v>
      </c>
      <c r="CO110" s="110">
        <f t="shared" si="45"/>
        <v>14983.193277310926</v>
      </c>
      <c r="CP110" s="107">
        <f t="shared" si="46"/>
        <v>2846.8067226890757</v>
      </c>
      <c r="CQ110" s="106">
        <f t="shared" si="47"/>
        <v>17830</v>
      </c>
      <c r="CR110" s="122">
        <f t="shared" ref="CR110:CR126" si="48">+CQ110*E110</f>
        <v>534900</v>
      </c>
      <c r="CS110" s="89" t="s">
        <v>731</v>
      </c>
    </row>
    <row r="111" spans="1:143" ht="138" customHeight="1">
      <c r="A111" s="90">
        <f t="shared" si="40"/>
        <v>100</v>
      </c>
      <c r="B111" s="88" t="s">
        <v>44</v>
      </c>
      <c r="C111" s="1" t="s">
        <v>18</v>
      </c>
      <c r="D111" s="91" t="s">
        <v>4</v>
      </c>
      <c r="E111" s="1">
        <v>90</v>
      </c>
      <c r="F111" s="1"/>
      <c r="G111" s="106"/>
      <c r="H111" s="106"/>
      <c r="I111" s="106"/>
      <c r="J111" s="106"/>
      <c r="K111" s="106"/>
      <c r="L111" s="106"/>
      <c r="M111" s="106"/>
      <c r="N111" s="106"/>
      <c r="O111" s="106"/>
      <c r="P111" s="106"/>
      <c r="Q111" s="106"/>
      <c r="R111" s="106"/>
      <c r="S111" s="106"/>
      <c r="T111" s="106"/>
      <c r="U111" s="106"/>
      <c r="V111" s="106"/>
      <c r="W111" s="106"/>
      <c r="X111" s="106"/>
      <c r="Y111" s="106"/>
      <c r="Z111" s="106"/>
      <c r="AA111" s="106"/>
      <c r="AB111" s="106">
        <v>3415</v>
      </c>
      <c r="AC111" s="106">
        <v>3589</v>
      </c>
      <c r="AD111" s="106">
        <v>3200</v>
      </c>
      <c r="AE111" s="106">
        <v>3363</v>
      </c>
      <c r="AF111" s="106">
        <v>4202</v>
      </c>
      <c r="AG111" s="106">
        <v>4416</v>
      </c>
      <c r="AH111" s="106"/>
      <c r="AI111" s="106"/>
      <c r="AJ111" s="106"/>
      <c r="AK111" s="106"/>
      <c r="AL111" s="106"/>
      <c r="AM111" s="106"/>
      <c r="AN111" s="106"/>
      <c r="AO111" s="106"/>
      <c r="AP111" s="106"/>
      <c r="AQ111" s="106"/>
      <c r="AR111" s="106"/>
      <c r="AS111" s="106"/>
      <c r="AT111" s="106"/>
      <c r="AU111" s="106"/>
      <c r="AV111" s="106"/>
      <c r="AW111" s="106"/>
      <c r="AX111" s="106"/>
      <c r="AY111" s="106"/>
      <c r="AZ111" s="106"/>
      <c r="BA111" s="106"/>
      <c r="BB111" s="106"/>
      <c r="BC111" s="106"/>
      <c r="BD111" s="106"/>
      <c r="BE111" s="106"/>
      <c r="BF111" s="106"/>
      <c r="BG111" s="106"/>
      <c r="BH111" s="106"/>
      <c r="BI111" s="106"/>
      <c r="BJ111" s="106"/>
      <c r="BK111" s="106"/>
      <c r="BL111" s="106"/>
      <c r="BM111" s="106"/>
      <c r="BN111" s="106"/>
      <c r="BO111" s="106"/>
      <c r="BP111" s="106"/>
      <c r="BQ111" s="106"/>
      <c r="BR111" s="106"/>
      <c r="BS111" s="106"/>
      <c r="BT111" s="106"/>
      <c r="BU111" s="106"/>
      <c r="BV111" s="106"/>
      <c r="BW111" s="106"/>
      <c r="BX111" s="106"/>
      <c r="BY111" s="106"/>
      <c r="BZ111" s="106"/>
      <c r="CA111" s="106"/>
      <c r="CB111" s="106"/>
      <c r="CC111" s="106"/>
      <c r="CD111" s="106"/>
      <c r="CE111" s="106"/>
      <c r="CF111" s="106"/>
      <c r="CG111" s="106"/>
      <c r="CH111" s="106"/>
      <c r="CI111" s="106"/>
      <c r="CJ111" s="106"/>
      <c r="CK111" s="109">
        <f t="shared" si="41"/>
        <v>3589</v>
      </c>
      <c r="CL111" s="109">
        <f t="shared" si="42"/>
        <v>3789.3333333333335</v>
      </c>
      <c r="CM111" s="109">
        <f t="shared" si="43"/>
        <v>554.34856663775372</v>
      </c>
      <c r="CN111" s="103">
        <f t="shared" si="44"/>
        <v>0.14629184552368588</v>
      </c>
      <c r="CO111" s="110">
        <f t="shared" si="45"/>
        <v>3184.8739495798322</v>
      </c>
      <c r="CP111" s="107">
        <f t="shared" si="46"/>
        <v>605.1260504201681</v>
      </c>
      <c r="CQ111" s="106">
        <f t="shared" si="47"/>
        <v>3790</v>
      </c>
      <c r="CR111" s="122">
        <f t="shared" si="48"/>
        <v>341100</v>
      </c>
      <c r="CS111" s="89" t="s">
        <v>731</v>
      </c>
    </row>
    <row r="112" spans="1:143" ht="73.400000000000006" customHeight="1">
      <c r="A112" s="90">
        <f t="shared" si="40"/>
        <v>101</v>
      </c>
      <c r="B112" s="88" t="s">
        <v>19</v>
      </c>
      <c r="C112" s="1" t="s">
        <v>113</v>
      </c>
      <c r="D112" s="91" t="s">
        <v>4</v>
      </c>
      <c r="E112" s="1">
        <v>120</v>
      </c>
      <c r="F112" s="1"/>
      <c r="G112" s="106"/>
      <c r="H112" s="106"/>
      <c r="I112" s="106"/>
      <c r="J112" s="106"/>
      <c r="K112" s="106"/>
      <c r="L112" s="106"/>
      <c r="M112" s="106"/>
      <c r="N112" s="106"/>
      <c r="O112" s="106"/>
      <c r="P112" s="106"/>
      <c r="Q112" s="106"/>
      <c r="R112" s="106"/>
      <c r="S112" s="106"/>
      <c r="T112" s="106"/>
      <c r="U112" s="106"/>
      <c r="V112" s="106"/>
      <c r="W112" s="106"/>
      <c r="X112" s="106"/>
      <c r="Y112" s="106">
        <v>600</v>
      </c>
      <c r="Z112" s="106"/>
      <c r="AA112" s="106">
        <v>700</v>
      </c>
      <c r="AB112" s="106"/>
      <c r="AC112" s="106"/>
      <c r="AD112" s="106"/>
      <c r="AE112" s="106"/>
      <c r="AF112" s="106"/>
      <c r="AG112" s="106"/>
      <c r="AH112" s="106"/>
      <c r="AI112" s="112"/>
      <c r="AJ112" s="112"/>
      <c r="AK112" s="106"/>
      <c r="AL112" s="106"/>
      <c r="AM112" s="106"/>
      <c r="AN112" s="106"/>
      <c r="AO112" s="106"/>
      <c r="AP112" s="106"/>
      <c r="AQ112" s="106"/>
      <c r="AR112" s="106"/>
      <c r="AS112" s="106"/>
      <c r="AT112" s="106"/>
      <c r="AU112" s="106"/>
      <c r="AV112" s="106"/>
      <c r="AW112" s="106"/>
      <c r="AX112" s="106"/>
      <c r="AY112" s="106"/>
      <c r="AZ112" s="106"/>
      <c r="BA112" s="106"/>
      <c r="BB112" s="106"/>
      <c r="BC112" s="106"/>
      <c r="BD112" s="106"/>
      <c r="BE112" s="106"/>
      <c r="BF112" s="106"/>
      <c r="BG112" s="106"/>
      <c r="BH112" s="106"/>
      <c r="BI112" s="106"/>
      <c r="BJ112" s="106"/>
      <c r="BK112" s="106"/>
      <c r="BL112" s="106"/>
      <c r="BM112" s="106"/>
      <c r="BN112" s="106"/>
      <c r="BO112" s="106"/>
      <c r="BP112" s="106"/>
      <c r="BQ112" s="106"/>
      <c r="BR112" s="106"/>
      <c r="BS112" s="106"/>
      <c r="BT112" s="106"/>
      <c r="BU112" s="106"/>
      <c r="BV112" s="106"/>
      <c r="BW112" s="106"/>
      <c r="BX112" s="106"/>
      <c r="BY112" s="106"/>
      <c r="BZ112" s="106"/>
      <c r="CA112" s="106"/>
      <c r="CB112" s="106"/>
      <c r="CC112" s="106"/>
      <c r="CD112" s="106"/>
      <c r="CE112" s="106"/>
      <c r="CF112" s="106"/>
      <c r="CG112" s="106"/>
      <c r="CH112" s="106"/>
      <c r="CI112" s="106"/>
      <c r="CJ112" s="106"/>
      <c r="CK112" s="109">
        <f t="shared" si="41"/>
        <v>650</v>
      </c>
      <c r="CL112" s="109">
        <f t="shared" si="42"/>
        <v>650</v>
      </c>
      <c r="CM112" s="109">
        <f t="shared" si="43"/>
        <v>70.710678118654755</v>
      </c>
      <c r="CN112" s="103">
        <f t="shared" si="44"/>
        <v>0.10878565864408424</v>
      </c>
      <c r="CO112" s="110">
        <f t="shared" si="45"/>
        <v>546.21848739495806</v>
      </c>
      <c r="CP112" s="107">
        <f t="shared" si="46"/>
        <v>103.78151260504204</v>
      </c>
      <c r="CQ112" s="106">
        <f t="shared" si="47"/>
        <v>650</v>
      </c>
      <c r="CR112" s="122">
        <f t="shared" si="48"/>
        <v>78000</v>
      </c>
      <c r="CS112" s="89" t="s">
        <v>732</v>
      </c>
    </row>
    <row r="113" spans="1:143" ht="73.400000000000006" customHeight="1">
      <c r="A113" s="90">
        <f t="shared" si="40"/>
        <v>102</v>
      </c>
      <c r="B113" s="63" t="s">
        <v>696</v>
      </c>
      <c r="C113" s="1" t="s">
        <v>92</v>
      </c>
      <c r="D113" s="91" t="s">
        <v>6</v>
      </c>
      <c r="E113" s="1">
        <v>6</v>
      </c>
      <c r="F113" s="1"/>
      <c r="G113" s="106"/>
      <c r="H113" s="106"/>
      <c r="I113" s="106"/>
      <c r="J113" s="106"/>
      <c r="K113" s="106"/>
      <c r="L113" s="106"/>
      <c r="M113" s="106"/>
      <c r="N113" s="106"/>
      <c r="O113" s="106"/>
      <c r="P113" s="106"/>
      <c r="Q113" s="106"/>
      <c r="R113" s="106"/>
      <c r="S113" s="106"/>
      <c r="T113" s="106"/>
      <c r="U113" s="106"/>
      <c r="V113" s="106"/>
      <c r="W113" s="106"/>
      <c r="X113" s="106">
        <v>16900</v>
      </c>
      <c r="Y113" s="106">
        <v>18000</v>
      </c>
      <c r="Z113" s="106">
        <v>19000</v>
      </c>
      <c r="AA113" s="106"/>
      <c r="AB113" s="106"/>
      <c r="AC113" s="106"/>
      <c r="AD113" s="106"/>
      <c r="AE113" s="106"/>
      <c r="AF113" s="106"/>
      <c r="AG113" s="106"/>
      <c r="AH113" s="106"/>
      <c r="AI113" s="106"/>
      <c r="AJ113" s="106"/>
      <c r="AK113" s="106"/>
      <c r="AL113" s="106"/>
      <c r="AM113" s="106"/>
      <c r="AN113" s="106"/>
      <c r="AO113" s="106"/>
      <c r="AP113" s="112"/>
      <c r="AQ113" s="106"/>
      <c r="AR113" s="106"/>
      <c r="AS113" s="106"/>
      <c r="AT113" s="106"/>
      <c r="AU113" s="106"/>
      <c r="AV113" s="106"/>
      <c r="AW113" s="106"/>
      <c r="AX113" s="106"/>
      <c r="AY113" s="106"/>
      <c r="AZ113" s="106"/>
      <c r="BA113" s="106"/>
      <c r="BB113" s="106"/>
      <c r="BC113" s="106"/>
      <c r="BD113" s="106"/>
      <c r="BE113" s="106"/>
      <c r="BF113" s="106"/>
      <c r="BG113" s="106"/>
      <c r="BH113" s="106"/>
      <c r="BI113" s="106"/>
      <c r="BJ113" s="106"/>
      <c r="BK113" s="106"/>
      <c r="BL113" s="106"/>
      <c r="BM113" s="106"/>
      <c r="BN113" s="106"/>
      <c r="BO113" s="106"/>
      <c r="BP113" s="106"/>
      <c r="BQ113" s="106"/>
      <c r="BR113" s="106"/>
      <c r="BS113" s="106"/>
      <c r="BT113" s="106"/>
      <c r="BU113" s="106"/>
      <c r="BV113" s="106"/>
      <c r="BW113" s="106"/>
      <c r="BX113" s="106"/>
      <c r="BY113" s="106"/>
      <c r="BZ113" s="106"/>
      <c r="CA113" s="106"/>
      <c r="CB113" s="106"/>
      <c r="CC113" s="106"/>
      <c r="CD113" s="106"/>
      <c r="CE113" s="106"/>
      <c r="CF113" s="106"/>
      <c r="CG113" s="106"/>
      <c r="CH113" s="106"/>
      <c r="CI113" s="106"/>
      <c r="CJ113" s="106"/>
      <c r="CK113" s="109">
        <f t="shared" si="41"/>
        <v>18000</v>
      </c>
      <c r="CL113" s="109">
        <f t="shared" si="42"/>
        <v>17966.666666666668</v>
      </c>
      <c r="CM113" s="109">
        <f t="shared" si="43"/>
        <v>1050.3967504392488</v>
      </c>
      <c r="CN113" s="103">
        <f t="shared" si="44"/>
        <v>5.8463641026303269E-2</v>
      </c>
      <c r="CO113" s="110">
        <f t="shared" si="45"/>
        <v>15098.319327731093</v>
      </c>
      <c r="CP113" s="107">
        <f t="shared" si="46"/>
        <v>2868.6806722689075</v>
      </c>
      <c r="CQ113" s="106">
        <f t="shared" si="47"/>
        <v>17967</v>
      </c>
      <c r="CR113" s="122">
        <f t="shared" si="48"/>
        <v>107802</v>
      </c>
      <c r="CS113" s="89" t="s">
        <v>732</v>
      </c>
    </row>
    <row r="114" spans="1:143" ht="73.400000000000006" customHeight="1">
      <c r="A114" s="90">
        <f t="shared" si="40"/>
        <v>103</v>
      </c>
      <c r="B114" s="88" t="s">
        <v>114</v>
      </c>
      <c r="C114" s="1" t="s">
        <v>115</v>
      </c>
      <c r="D114" s="91" t="s">
        <v>4</v>
      </c>
      <c r="E114" s="1">
        <v>140</v>
      </c>
      <c r="F114" s="1"/>
      <c r="G114" s="106"/>
      <c r="H114" s="106"/>
      <c r="I114" s="106"/>
      <c r="J114" s="106"/>
      <c r="K114" s="106"/>
      <c r="L114" s="106"/>
      <c r="M114" s="106"/>
      <c r="N114" s="106">
        <v>13000</v>
      </c>
      <c r="O114" s="5">
        <f>+(N114*5.1%)+N114</f>
        <v>13663</v>
      </c>
      <c r="P114" s="106"/>
      <c r="Q114" s="106"/>
      <c r="R114" s="106"/>
      <c r="S114" s="106"/>
      <c r="T114" s="106"/>
      <c r="U114" s="106"/>
      <c r="V114" s="106"/>
      <c r="W114" s="106"/>
      <c r="X114" s="106"/>
      <c r="Y114" s="106"/>
      <c r="Z114" s="106"/>
      <c r="AA114" s="106"/>
      <c r="AB114" s="106"/>
      <c r="AC114" s="106"/>
      <c r="AD114" s="106"/>
      <c r="AE114" s="106"/>
      <c r="AF114" s="106"/>
      <c r="AG114" s="106"/>
      <c r="AH114" s="106"/>
      <c r="AI114" s="106"/>
      <c r="AJ114" s="106"/>
      <c r="AK114" s="106"/>
      <c r="AL114" s="106"/>
      <c r="AM114" s="112">
        <v>12500</v>
      </c>
      <c r="AN114" s="106"/>
      <c r="AO114" s="106"/>
      <c r="AP114" s="106"/>
      <c r="AQ114" s="106"/>
      <c r="AR114" s="106"/>
      <c r="AS114" s="106"/>
      <c r="AT114" s="106"/>
      <c r="AU114" s="106"/>
      <c r="AV114" s="106"/>
      <c r="AW114" s="106"/>
      <c r="AX114" s="106"/>
      <c r="AY114" s="106"/>
      <c r="AZ114" s="106"/>
      <c r="BA114" s="106"/>
      <c r="BB114" s="106"/>
      <c r="BC114" s="106"/>
      <c r="BD114" s="106"/>
      <c r="BE114" s="106"/>
      <c r="BF114" s="106"/>
      <c r="BG114" s="106"/>
      <c r="BH114" s="106"/>
      <c r="BI114" s="106"/>
      <c r="BJ114" s="106">
        <v>14500</v>
      </c>
      <c r="BK114" s="106">
        <v>15240</v>
      </c>
      <c r="BL114" s="106"/>
      <c r="BM114" s="106"/>
      <c r="BN114" s="106"/>
      <c r="BO114" s="106"/>
      <c r="BP114" s="106"/>
      <c r="BQ114" s="106"/>
      <c r="BR114" s="106"/>
      <c r="BS114" s="106"/>
      <c r="BT114" s="106"/>
      <c r="BU114" s="106"/>
      <c r="BV114" s="106"/>
      <c r="BW114" s="106"/>
      <c r="BX114" s="106"/>
      <c r="BY114" s="106"/>
      <c r="BZ114" s="106"/>
      <c r="CA114" s="106"/>
      <c r="CB114" s="106"/>
      <c r="CC114" s="106"/>
      <c r="CD114" s="106"/>
      <c r="CE114" s="106"/>
      <c r="CF114" s="106"/>
      <c r="CG114" s="106"/>
      <c r="CH114" s="106"/>
      <c r="CI114" s="106"/>
      <c r="CJ114" s="106"/>
      <c r="CK114" s="109">
        <f t="shared" si="41"/>
        <v>13663</v>
      </c>
      <c r="CL114" s="109">
        <f t="shared" si="42"/>
        <v>13766.5</v>
      </c>
      <c r="CM114" s="109">
        <f t="shared" si="43"/>
        <v>1124.9665180202771</v>
      </c>
      <c r="CN114" s="103">
        <f t="shared" si="44"/>
        <v>8.1717685542460117E-2</v>
      </c>
      <c r="CO114" s="110">
        <f>CQ114/1.08</f>
        <v>12747.222222222221</v>
      </c>
      <c r="CP114" s="107">
        <f>CO114*8%</f>
        <v>1019.7777777777777</v>
      </c>
      <c r="CQ114" s="106">
        <f t="shared" si="47"/>
        <v>13767</v>
      </c>
      <c r="CR114" s="122">
        <f t="shared" si="48"/>
        <v>1927380</v>
      </c>
      <c r="CS114" s="79" t="s">
        <v>731</v>
      </c>
    </row>
    <row r="115" spans="1:143" ht="180" customHeight="1">
      <c r="A115" s="90">
        <f t="shared" si="40"/>
        <v>104</v>
      </c>
      <c r="B115" s="88" t="s">
        <v>71</v>
      </c>
      <c r="C115" s="1" t="s">
        <v>116</v>
      </c>
      <c r="D115" s="91" t="s">
        <v>54</v>
      </c>
      <c r="E115" s="1">
        <v>3</v>
      </c>
      <c r="F115" s="1">
        <v>1</v>
      </c>
      <c r="G115" s="106"/>
      <c r="H115" s="106"/>
      <c r="I115" s="106"/>
      <c r="J115" s="106"/>
      <c r="K115" s="106"/>
      <c r="L115" s="106"/>
      <c r="M115" s="106"/>
      <c r="N115" s="106"/>
      <c r="O115" s="106"/>
      <c r="P115" s="106"/>
      <c r="Q115" s="106"/>
      <c r="R115" s="106"/>
      <c r="S115" s="106"/>
      <c r="T115" s="106"/>
      <c r="U115" s="106"/>
      <c r="V115" s="106"/>
      <c r="W115" s="106"/>
      <c r="X115" s="106"/>
      <c r="Y115" s="106"/>
      <c r="Z115" s="106"/>
      <c r="AA115" s="106"/>
      <c r="AB115" s="106"/>
      <c r="AC115" s="106"/>
      <c r="AD115" s="106"/>
      <c r="AE115" s="106"/>
      <c r="AF115" s="106"/>
      <c r="AG115" s="106"/>
      <c r="AH115" s="106"/>
      <c r="AI115" s="106"/>
      <c r="AJ115" s="106"/>
      <c r="AK115" s="106"/>
      <c r="AL115" s="106"/>
      <c r="AM115" s="106"/>
      <c r="AN115" s="106"/>
      <c r="AO115" s="106"/>
      <c r="AP115" s="106"/>
      <c r="AQ115" s="106"/>
      <c r="AR115" s="106"/>
      <c r="AS115" s="106"/>
      <c r="AT115" s="106"/>
      <c r="AU115" s="106"/>
      <c r="AV115" s="106"/>
      <c r="AW115" s="106"/>
      <c r="AX115" s="106"/>
      <c r="AY115" s="106"/>
      <c r="AZ115" s="106"/>
      <c r="BA115" s="106"/>
      <c r="BB115" s="106"/>
      <c r="BC115" s="106"/>
      <c r="BD115" s="106"/>
      <c r="BE115" s="106"/>
      <c r="BF115" s="106"/>
      <c r="BG115" s="106"/>
      <c r="BH115" s="106"/>
      <c r="BI115" s="106"/>
      <c r="BJ115" s="106"/>
      <c r="BK115" s="106"/>
      <c r="BL115" s="326">
        <v>1500000</v>
      </c>
      <c r="BM115" s="326">
        <v>1600000</v>
      </c>
      <c r="BN115" s="326">
        <v>1550000</v>
      </c>
      <c r="BO115" s="326"/>
      <c r="BP115" s="326"/>
      <c r="BQ115" s="326"/>
      <c r="BR115" s="326"/>
      <c r="BS115" s="326"/>
      <c r="BT115" s="326"/>
      <c r="BU115" s="326"/>
      <c r="BV115" s="326"/>
      <c r="BW115" s="326"/>
      <c r="BX115" s="326"/>
      <c r="BY115" s="326"/>
      <c r="BZ115" s="326"/>
      <c r="CA115" s="326"/>
      <c r="CB115" s="326"/>
      <c r="CC115" s="326"/>
      <c r="CD115" s="326"/>
      <c r="CE115" s="326"/>
      <c r="CF115" s="326"/>
      <c r="CG115" s="326"/>
      <c r="CH115" s="326"/>
      <c r="CI115" s="326"/>
      <c r="CJ115" s="326"/>
      <c r="CK115" s="109">
        <f t="shared" si="41"/>
        <v>1550000</v>
      </c>
      <c r="CL115" s="109">
        <f t="shared" si="42"/>
        <v>1550000</v>
      </c>
      <c r="CM115" s="109">
        <f t="shared" si="43"/>
        <v>50000</v>
      </c>
      <c r="CN115" s="103">
        <f t="shared" si="44"/>
        <v>3.2258064516129031E-2</v>
      </c>
      <c r="CO115" s="110">
        <f>CQ115</f>
        <v>1550000</v>
      </c>
      <c r="CP115" s="107"/>
      <c r="CQ115" s="106">
        <f t="shared" si="47"/>
        <v>1550000</v>
      </c>
      <c r="CR115" s="122">
        <f t="shared" si="48"/>
        <v>4650000</v>
      </c>
      <c r="CS115" s="79" t="s">
        <v>731</v>
      </c>
    </row>
    <row r="116" spans="1:143" ht="199.4" customHeight="1">
      <c r="A116" s="90">
        <f t="shared" si="40"/>
        <v>105</v>
      </c>
      <c r="B116" s="88" t="s">
        <v>16</v>
      </c>
      <c r="C116" s="1" t="s">
        <v>17</v>
      </c>
      <c r="D116" s="91" t="s">
        <v>4</v>
      </c>
      <c r="E116" s="1">
        <v>200</v>
      </c>
      <c r="F116" s="1"/>
      <c r="G116" s="106"/>
      <c r="H116" s="106"/>
      <c r="I116" s="106"/>
      <c r="J116" s="106"/>
      <c r="K116" s="106"/>
      <c r="L116" s="106"/>
      <c r="M116" s="106"/>
      <c r="N116" s="106">
        <v>25200</v>
      </c>
      <c r="O116" s="5">
        <f>+(N116*5.1%)+N116</f>
        <v>26485.200000000001</v>
      </c>
      <c r="P116" s="106"/>
      <c r="Q116" s="106"/>
      <c r="R116" s="106"/>
      <c r="S116" s="106"/>
      <c r="T116" s="106"/>
      <c r="U116" s="106"/>
      <c r="V116" s="106"/>
      <c r="W116" s="106"/>
      <c r="X116" s="106"/>
      <c r="Y116" s="106"/>
      <c r="Z116" s="106"/>
      <c r="AA116" s="106"/>
      <c r="AB116" s="106"/>
      <c r="AC116" s="106"/>
      <c r="AD116" s="106"/>
      <c r="AE116" s="106"/>
      <c r="AF116" s="106"/>
      <c r="AG116" s="106"/>
      <c r="AH116" s="106"/>
      <c r="AI116" s="106"/>
      <c r="AJ116" s="106"/>
      <c r="AK116" s="106"/>
      <c r="AL116" s="106"/>
      <c r="AM116" s="112">
        <v>26000</v>
      </c>
      <c r="AN116" s="106"/>
      <c r="AO116" s="106"/>
      <c r="AP116" s="106"/>
      <c r="AQ116" s="106"/>
      <c r="AR116" s="106"/>
      <c r="AS116" s="106"/>
      <c r="AT116" s="106">
        <v>27000</v>
      </c>
      <c r="AU116" s="106">
        <v>28377</v>
      </c>
      <c r="AV116" s="106"/>
      <c r="AW116" s="106"/>
      <c r="AX116" s="106"/>
      <c r="AY116" s="106"/>
      <c r="AZ116" s="106"/>
      <c r="BA116" s="106"/>
      <c r="BB116" s="106"/>
      <c r="BC116" s="106"/>
      <c r="BD116" s="106"/>
      <c r="BE116" s="106"/>
      <c r="BF116" s="106"/>
      <c r="BG116" s="106"/>
      <c r="BH116" s="106"/>
      <c r="BI116" s="106"/>
      <c r="BJ116" s="106"/>
      <c r="BK116" s="106"/>
      <c r="BL116" s="106"/>
      <c r="BM116" s="106"/>
      <c r="BN116" s="106"/>
      <c r="BO116" s="106"/>
      <c r="BP116" s="106"/>
      <c r="BQ116" s="106"/>
      <c r="BR116" s="106"/>
      <c r="BS116" s="106"/>
      <c r="BT116" s="106"/>
      <c r="BU116" s="106"/>
      <c r="BV116" s="106"/>
      <c r="BW116" s="106"/>
      <c r="BX116" s="106"/>
      <c r="BY116" s="106"/>
      <c r="BZ116" s="106"/>
      <c r="CA116" s="106"/>
      <c r="CB116" s="106"/>
      <c r="CC116" s="106"/>
      <c r="CD116" s="106"/>
      <c r="CE116" s="106"/>
      <c r="CF116" s="106"/>
      <c r="CG116" s="106"/>
      <c r="CH116" s="106"/>
      <c r="CI116" s="106"/>
      <c r="CJ116" s="106"/>
      <c r="CK116" s="109">
        <f t="shared" si="41"/>
        <v>26485.200000000001</v>
      </c>
      <c r="CL116" s="109">
        <f t="shared" si="42"/>
        <v>26836.85</v>
      </c>
      <c r="CM116" s="109">
        <f t="shared" si="43"/>
        <v>1051.9339950776377</v>
      </c>
      <c r="CN116" s="103">
        <f t="shared" si="44"/>
        <v>3.9197372086427353E-2</v>
      </c>
      <c r="CO116" s="110">
        <f>CQ116/1.08</f>
        <v>24849.074074074073</v>
      </c>
      <c r="CP116" s="107">
        <f>CO116*8%</f>
        <v>1987.9259259259259</v>
      </c>
      <c r="CQ116" s="106">
        <f t="shared" si="47"/>
        <v>26837</v>
      </c>
      <c r="CR116" s="122">
        <f t="shared" si="48"/>
        <v>5367400</v>
      </c>
      <c r="CS116" s="79" t="s">
        <v>731</v>
      </c>
    </row>
    <row r="117" spans="1:143" ht="73.400000000000006" customHeight="1">
      <c r="A117" s="90">
        <f t="shared" si="40"/>
        <v>106</v>
      </c>
      <c r="B117" s="88" t="s">
        <v>43</v>
      </c>
      <c r="C117" s="1" t="s">
        <v>254</v>
      </c>
      <c r="D117" s="91" t="s">
        <v>4</v>
      </c>
      <c r="E117" s="1">
        <v>1500</v>
      </c>
      <c r="F117" s="1"/>
      <c r="G117" s="106"/>
      <c r="H117" s="106"/>
      <c r="I117" s="106"/>
      <c r="J117" s="106"/>
      <c r="K117" s="106"/>
      <c r="L117" s="106"/>
      <c r="M117" s="106"/>
      <c r="N117" s="106"/>
      <c r="O117" s="106"/>
      <c r="P117" s="106"/>
      <c r="Q117" s="106"/>
      <c r="R117" s="106"/>
      <c r="S117" s="106"/>
      <c r="T117" s="106"/>
      <c r="U117" s="106"/>
      <c r="V117" s="106"/>
      <c r="W117" s="106"/>
      <c r="X117" s="106"/>
      <c r="Y117" s="106"/>
      <c r="Z117" s="106"/>
      <c r="AA117" s="106"/>
      <c r="AB117" s="106"/>
      <c r="AC117" s="106"/>
      <c r="AD117" s="106"/>
      <c r="AE117" s="106"/>
      <c r="AF117" s="106"/>
      <c r="AG117" s="106"/>
      <c r="AH117" s="106"/>
      <c r="AI117" s="106"/>
      <c r="AJ117" s="106"/>
      <c r="AK117" s="106"/>
      <c r="AL117" s="106"/>
      <c r="AM117" s="106"/>
      <c r="AN117" s="106"/>
      <c r="AO117" s="106"/>
      <c r="AP117" s="106"/>
      <c r="AQ117" s="106"/>
      <c r="AR117" s="106"/>
      <c r="AS117" s="106"/>
      <c r="AT117" s="106"/>
      <c r="AU117" s="106"/>
      <c r="AV117" s="106"/>
      <c r="AW117" s="106"/>
      <c r="AX117" s="106"/>
      <c r="AY117" s="106"/>
      <c r="AZ117" s="106"/>
      <c r="BA117" s="106"/>
      <c r="BB117" s="106"/>
      <c r="BC117" s="106"/>
      <c r="BD117" s="106"/>
      <c r="BE117" s="106"/>
      <c r="BF117" s="106"/>
      <c r="BG117" s="106"/>
      <c r="BH117" s="106"/>
      <c r="BI117" s="106"/>
      <c r="BJ117" s="106"/>
      <c r="BK117" s="106"/>
      <c r="BL117" s="106"/>
      <c r="BM117" s="106"/>
      <c r="BN117" s="106"/>
      <c r="BO117" s="112">
        <v>6500</v>
      </c>
      <c r="BP117" s="112">
        <v>6832</v>
      </c>
      <c r="BQ117" s="112">
        <v>6000</v>
      </c>
      <c r="BR117" s="112">
        <v>6306</v>
      </c>
      <c r="BS117" s="112">
        <v>6000</v>
      </c>
      <c r="BT117" s="112">
        <v>6306</v>
      </c>
      <c r="BU117" s="112"/>
      <c r="BV117" s="112"/>
      <c r="BW117" s="112"/>
      <c r="BX117" s="112"/>
      <c r="BY117" s="112"/>
      <c r="BZ117" s="112"/>
      <c r="CA117" s="112"/>
      <c r="CB117" s="112"/>
      <c r="CC117" s="112"/>
      <c r="CD117" s="112"/>
      <c r="CE117" s="112"/>
      <c r="CF117" s="112"/>
      <c r="CG117" s="112"/>
      <c r="CH117" s="112"/>
      <c r="CI117" s="112"/>
      <c r="CJ117" s="112"/>
      <c r="CK117" s="109">
        <f t="shared" si="41"/>
        <v>6306</v>
      </c>
      <c r="CL117" s="109">
        <f t="shared" si="42"/>
        <v>6481.333333333333</v>
      </c>
      <c r="CM117" s="109">
        <f t="shared" si="43"/>
        <v>303.68624159374315</v>
      </c>
      <c r="CN117" s="103">
        <f t="shared" si="44"/>
        <v>4.6855519686341773E-2</v>
      </c>
      <c r="CO117" s="110">
        <f>CQ117</f>
        <v>6482</v>
      </c>
      <c r="CP117" s="107"/>
      <c r="CQ117" s="106">
        <f t="shared" si="47"/>
        <v>6482</v>
      </c>
      <c r="CR117" s="122">
        <f t="shared" si="48"/>
        <v>9723000</v>
      </c>
      <c r="CS117" s="79" t="s">
        <v>731</v>
      </c>
    </row>
    <row r="118" spans="1:143" ht="96" customHeight="1">
      <c r="A118" s="90">
        <f t="shared" si="40"/>
        <v>107</v>
      </c>
      <c r="B118" s="63" t="s">
        <v>61</v>
      </c>
      <c r="C118" s="11" t="s">
        <v>62</v>
      </c>
      <c r="D118" s="91" t="s">
        <v>4</v>
      </c>
      <c r="E118" s="1">
        <v>30</v>
      </c>
      <c r="F118" s="1"/>
      <c r="G118" s="106"/>
      <c r="H118" s="106"/>
      <c r="I118" s="106"/>
      <c r="J118" s="106"/>
      <c r="K118" s="106"/>
      <c r="L118" s="106"/>
      <c r="M118" s="106"/>
      <c r="N118" s="106"/>
      <c r="O118" s="106"/>
      <c r="P118" s="106"/>
      <c r="Q118" s="106"/>
      <c r="R118" s="106"/>
      <c r="S118" s="106"/>
      <c r="T118" s="106"/>
      <c r="U118" s="106"/>
      <c r="V118" s="106"/>
      <c r="W118" s="106"/>
      <c r="X118" s="112">
        <v>130000</v>
      </c>
      <c r="Y118" s="112">
        <v>97000</v>
      </c>
      <c r="Z118" s="112">
        <v>100000</v>
      </c>
      <c r="AA118" s="106"/>
      <c r="AB118" s="106"/>
      <c r="AC118" s="106"/>
      <c r="AD118" s="106"/>
      <c r="AE118" s="106"/>
      <c r="AF118" s="106"/>
      <c r="AG118" s="106"/>
      <c r="AH118" s="106"/>
      <c r="AI118" s="106"/>
      <c r="AJ118" s="106"/>
      <c r="AK118" s="106"/>
      <c r="AL118" s="106"/>
      <c r="AM118" s="106"/>
      <c r="AN118" s="106"/>
      <c r="AO118" s="106"/>
      <c r="AP118" s="106"/>
      <c r="AQ118" s="106"/>
      <c r="AR118" s="106"/>
      <c r="AS118" s="106"/>
      <c r="AT118" s="106"/>
      <c r="AU118" s="106"/>
      <c r="AV118" s="106"/>
      <c r="AW118" s="106"/>
      <c r="AX118" s="106"/>
      <c r="AY118" s="106"/>
      <c r="AZ118" s="106"/>
      <c r="BA118" s="106"/>
      <c r="BB118" s="106"/>
      <c r="BC118" s="106"/>
      <c r="BD118" s="106"/>
      <c r="BE118" s="106"/>
      <c r="BF118" s="106"/>
      <c r="BG118" s="106"/>
      <c r="BH118" s="106"/>
      <c r="BI118" s="106"/>
      <c r="BJ118" s="106"/>
      <c r="BK118" s="106"/>
      <c r="BL118" s="106"/>
      <c r="BM118" s="106"/>
      <c r="BN118" s="106"/>
      <c r="BO118" s="106"/>
      <c r="BP118" s="106"/>
      <c r="BQ118" s="106"/>
      <c r="BR118" s="106"/>
      <c r="BS118" s="106"/>
      <c r="BT118" s="106"/>
      <c r="BU118" s="106"/>
      <c r="BV118" s="106"/>
      <c r="BW118" s="106"/>
      <c r="BX118" s="106"/>
      <c r="BY118" s="106"/>
      <c r="BZ118" s="106"/>
      <c r="CA118" s="106"/>
      <c r="CB118" s="106"/>
      <c r="CC118" s="106"/>
      <c r="CD118" s="106"/>
      <c r="CE118" s="106"/>
      <c r="CF118" s="106"/>
      <c r="CG118" s="106"/>
      <c r="CH118" s="106"/>
      <c r="CI118" s="106"/>
      <c r="CJ118" s="106"/>
      <c r="CK118" s="109">
        <f t="shared" si="41"/>
        <v>100000</v>
      </c>
      <c r="CL118" s="109">
        <f t="shared" si="42"/>
        <v>109000</v>
      </c>
      <c r="CM118" s="109">
        <f t="shared" si="43"/>
        <v>18248.287590894659</v>
      </c>
      <c r="CN118" s="103">
        <f t="shared" si="44"/>
        <v>0.1674154824852721</v>
      </c>
      <c r="CO118" s="110">
        <f t="shared" si="45"/>
        <v>84033.613445378156</v>
      </c>
      <c r="CP118" s="107">
        <f t="shared" si="46"/>
        <v>15966.386554621849</v>
      </c>
      <c r="CQ118" s="106">
        <f t="shared" si="47"/>
        <v>100000</v>
      </c>
      <c r="CR118" s="122">
        <f t="shared" si="48"/>
        <v>3000000</v>
      </c>
      <c r="CS118" s="89" t="s">
        <v>380</v>
      </c>
    </row>
    <row r="119" spans="1:143" ht="96" customHeight="1">
      <c r="A119" s="90">
        <f t="shared" si="40"/>
        <v>108</v>
      </c>
      <c r="B119" s="88" t="s">
        <v>278</v>
      </c>
      <c r="C119" s="1" t="s">
        <v>780</v>
      </c>
      <c r="D119" s="91" t="s">
        <v>4</v>
      </c>
      <c r="E119" s="1">
        <v>30</v>
      </c>
      <c r="F119" s="1"/>
      <c r="G119" s="106"/>
      <c r="H119" s="106"/>
      <c r="I119" s="106"/>
      <c r="J119" s="106"/>
      <c r="K119" s="106"/>
      <c r="L119" s="106"/>
      <c r="M119" s="106"/>
      <c r="N119" s="106"/>
      <c r="O119" s="106"/>
      <c r="P119" s="112">
        <v>113050</v>
      </c>
      <c r="Q119" s="112">
        <f>+P119*5.1%+P119</f>
        <v>118815.55</v>
      </c>
      <c r="R119" s="106"/>
      <c r="S119" s="106"/>
      <c r="T119" s="106"/>
      <c r="U119" s="106"/>
      <c r="V119" s="106"/>
      <c r="W119" s="106"/>
      <c r="X119" s="106"/>
      <c r="Y119" s="106"/>
      <c r="Z119" s="106"/>
      <c r="AA119" s="106"/>
      <c r="AB119" s="106"/>
      <c r="AC119" s="106"/>
      <c r="AD119" s="106"/>
      <c r="AE119" s="106"/>
      <c r="AF119" s="106"/>
      <c r="AG119" s="106"/>
      <c r="AH119" s="106"/>
      <c r="AI119" s="106"/>
      <c r="AJ119" s="106"/>
      <c r="AK119" s="106"/>
      <c r="AL119" s="106"/>
      <c r="AM119" s="112">
        <v>97461</v>
      </c>
      <c r="AN119" s="106"/>
      <c r="AO119" s="106"/>
      <c r="AP119" s="106"/>
      <c r="AQ119" s="106"/>
      <c r="AR119" s="106"/>
      <c r="AS119" s="106"/>
      <c r="AT119" s="106"/>
      <c r="AU119" s="106"/>
      <c r="AV119" s="106"/>
      <c r="AW119" s="106"/>
      <c r="AX119" s="106"/>
      <c r="AY119" s="106"/>
      <c r="AZ119" s="106"/>
      <c r="BA119" s="106"/>
      <c r="BB119" s="106"/>
      <c r="BC119" s="106"/>
      <c r="BD119" s="106"/>
      <c r="BE119" s="106"/>
      <c r="BF119" s="106"/>
      <c r="BG119" s="106"/>
      <c r="BH119" s="106"/>
      <c r="BI119" s="106"/>
      <c r="BJ119" s="106"/>
      <c r="BK119" s="106"/>
      <c r="BL119" s="106"/>
      <c r="BM119" s="106"/>
      <c r="BN119" s="106"/>
      <c r="BO119" s="106"/>
      <c r="BP119" s="106"/>
      <c r="BQ119" s="106"/>
      <c r="BR119" s="106"/>
      <c r="BS119" s="106"/>
      <c r="BT119" s="106"/>
      <c r="BU119" s="106"/>
      <c r="BV119" s="106"/>
      <c r="BW119" s="112">
        <v>111226</v>
      </c>
      <c r="BX119" s="112"/>
      <c r="BY119" s="112"/>
      <c r="BZ119" s="112"/>
      <c r="CA119" s="112"/>
      <c r="CB119" s="112"/>
      <c r="CC119" s="112"/>
      <c r="CD119" s="112"/>
      <c r="CE119" s="112"/>
      <c r="CF119" s="112"/>
      <c r="CG119" s="112"/>
      <c r="CH119" s="112"/>
      <c r="CI119" s="112"/>
      <c r="CJ119" s="112"/>
      <c r="CK119" s="109">
        <f t="shared" si="41"/>
        <v>108138.27499999999</v>
      </c>
      <c r="CL119" s="109">
        <f t="shared" si="42"/>
        <v>108138.27499999999</v>
      </c>
      <c r="CM119" s="109">
        <f t="shared" si="43"/>
        <v>15099.947114187191</v>
      </c>
      <c r="CN119" s="103">
        <f t="shared" ref="CN119:CN120" si="49">CM119/CL119</f>
        <v>0.13963554637973644</v>
      </c>
      <c r="CO119" s="110">
        <f t="shared" ref="CO119:CO120" si="50">CQ119/1.19</f>
        <v>90873.109243697487</v>
      </c>
      <c r="CP119" s="107">
        <f t="shared" ref="CP119:CP120" si="51">CO119*19%</f>
        <v>17265.890756302524</v>
      </c>
      <c r="CQ119" s="106">
        <f t="shared" si="47"/>
        <v>108139</v>
      </c>
      <c r="CR119" s="122">
        <f t="shared" si="48"/>
        <v>3244170</v>
      </c>
      <c r="CS119" s="79" t="s">
        <v>731</v>
      </c>
    </row>
    <row r="120" spans="1:143" ht="96" customHeight="1">
      <c r="A120" s="90">
        <f t="shared" si="40"/>
        <v>109</v>
      </c>
      <c r="B120" s="63" t="s">
        <v>68</v>
      </c>
      <c r="C120" s="11" t="s">
        <v>69</v>
      </c>
      <c r="D120" s="91" t="s">
        <v>4</v>
      </c>
      <c r="E120" s="1">
        <v>30</v>
      </c>
      <c r="F120" s="1"/>
      <c r="G120" s="106"/>
      <c r="H120" s="106"/>
      <c r="I120" s="106"/>
      <c r="J120" s="106"/>
      <c r="K120" s="106"/>
      <c r="L120" s="106"/>
      <c r="M120" s="106"/>
      <c r="N120" s="106">
        <v>39270</v>
      </c>
      <c r="O120" s="106">
        <f>(N120*5.1%)+N120</f>
        <v>41272.769999999997</v>
      </c>
      <c r="P120" s="330">
        <v>47600</v>
      </c>
      <c r="Q120" s="112">
        <f>+P120*5.1%+P120</f>
        <v>50027.6</v>
      </c>
      <c r="R120" s="106"/>
      <c r="S120" s="106"/>
      <c r="T120" s="106"/>
      <c r="U120" s="106"/>
      <c r="V120" s="106"/>
      <c r="W120" s="106"/>
      <c r="X120" s="106"/>
      <c r="Y120" s="106"/>
      <c r="Z120" s="106"/>
      <c r="AA120" s="106"/>
      <c r="AB120" s="106"/>
      <c r="AC120" s="106"/>
      <c r="AD120" s="106"/>
      <c r="AE120" s="106"/>
      <c r="AF120" s="106"/>
      <c r="AG120" s="106"/>
      <c r="AH120" s="106"/>
      <c r="AI120" s="106"/>
      <c r="AJ120" s="106"/>
      <c r="AK120" s="106"/>
      <c r="AL120" s="106"/>
      <c r="AM120" s="331">
        <v>42840</v>
      </c>
      <c r="AN120" s="106"/>
      <c r="AO120" s="106"/>
      <c r="AP120" s="106"/>
      <c r="AQ120" s="106"/>
      <c r="AR120" s="106"/>
      <c r="AS120" s="106"/>
      <c r="AT120" s="106"/>
      <c r="AU120" s="106"/>
      <c r="AV120" s="106"/>
      <c r="AW120" s="106"/>
      <c r="AX120" s="106"/>
      <c r="AY120" s="106"/>
      <c r="AZ120" s="106"/>
      <c r="BA120" s="106"/>
      <c r="BB120" s="106"/>
      <c r="BC120" s="106"/>
      <c r="BD120" s="106"/>
      <c r="BE120" s="106"/>
      <c r="BF120" s="106"/>
      <c r="BG120" s="106"/>
      <c r="BH120" s="106"/>
      <c r="BI120" s="106"/>
      <c r="BJ120" s="106"/>
      <c r="BK120" s="106"/>
      <c r="BL120" s="106"/>
      <c r="BM120" s="106"/>
      <c r="BN120" s="106"/>
      <c r="BO120" s="106"/>
      <c r="BP120" s="106"/>
      <c r="BQ120" s="106"/>
      <c r="BR120" s="106"/>
      <c r="BS120" s="106"/>
      <c r="BT120" s="106"/>
      <c r="BU120" s="106"/>
      <c r="BV120" s="106"/>
      <c r="BW120" s="106"/>
      <c r="BX120" s="106"/>
      <c r="BY120" s="106"/>
      <c r="BZ120" s="106"/>
      <c r="CA120" s="106"/>
      <c r="CB120" s="106"/>
      <c r="CC120" s="106"/>
      <c r="CD120" s="106"/>
      <c r="CE120" s="106"/>
      <c r="CF120" s="106"/>
      <c r="CG120" s="106"/>
      <c r="CH120" s="106"/>
      <c r="CI120" s="106"/>
      <c r="CJ120" s="106"/>
      <c r="CK120" s="109">
        <f t="shared" si="41"/>
        <v>42056.384999999995</v>
      </c>
      <c r="CL120" s="109">
        <f t="shared" si="42"/>
        <v>43853.284999999996</v>
      </c>
      <c r="CM120" s="109">
        <f t="shared" si="43"/>
        <v>4181.9862721319405</v>
      </c>
      <c r="CN120" s="103">
        <f t="shared" si="49"/>
        <v>9.5363124384682724E-2</v>
      </c>
      <c r="CO120" s="110">
        <f t="shared" si="50"/>
        <v>36852.100840336134</v>
      </c>
      <c r="CP120" s="107">
        <f t="shared" si="51"/>
        <v>7001.8991596638652</v>
      </c>
      <c r="CQ120" s="106">
        <f t="shared" si="47"/>
        <v>43854</v>
      </c>
      <c r="CR120" s="122">
        <f t="shared" si="48"/>
        <v>1315620</v>
      </c>
      <c r="CS120" s="79" t="s">
        <v>731</v>
      </c>
    </row>
    <row r="121" spans="1:143" s="256" customFormat="1" ht="146.65" customHeight="1">
      <c r="A121" s="247">
        <f t="shared" si="40"/>
        <v>110</v>
      </c>
      <c r="B121" s="260" t="s">
        <v>128</v>
      </c>
      <c r="C121" s="249" t="s">
        <v>895</v>
      </c>
      <c r="D121" s="250" t="s">
        <v>52</v>
      </c>
      <c r="E121" s="249">
        <v>1</v>
      </c>
      <c r="F121" s="249"/>
      <c r="G121" s="251"/>
      <c r="H121" s="251"/>
      <c r="I121" s="251"/>
      <c r="J121" s="251"/>
      <c r="K121" s="251"/>
      <c r="L121" s="251"/>
      <c r="M121" s="251"/>
      <c r="N121" s="251"/>
      <c r="O121" s="251"/>
      <c r="P121" s="251"/>
      <c r="Q121" s="251"/>
      <c r="R121" s="251"/>
      <c r="S121" s="251"/>
      <c r="T121" s="251"/>
      <c r="U121" s="251"/>
      <c r="V121" s="251"/>
      <c r="W121" s="251"/>
      <c r="X121" s="251"/>
      <c r="Y121" s="251"/>
      <c r="Z121" s="251"/>
      <c r="AA121" s="251"/>
      <c r="AB121" s="251"/>
      <c r="AC121" s="251"/>
      <c r="AD121" s="251"/>
      <c r="AE121" s="251"/>
      <c r="AF121" s="251"/>
      <c r="AG121" s="251"/>
      <c r="AH121" s="251"/>
      <c r="AI121" s="251"/>
      <c r="AJ121" s="251"/>
      <c r="AK121" s="251"/>
      <c r="AL121" s="251"/>
      <c r="AM121" s="251"/>
      <c r="AN121" s="251"/>
      <c r="AO121" s="251"/>
      <c r="AP121" s="251"/>
      <c r="AQ121" s="251"/>
      <c r="AR121" s="251"/>
      <c r="AS121" s="251"/>
      <c r="AT121" s="251"/>
      <c r="AU121" s="251"/>
      <c r="AV121" s="251"/>
      <c r="AW121" s="251"/>
      <c r="AX121" s="251"/>
      <c r="AY121" s="251"/>
      <c r="AZ121" s="251"/>
      <c r="BA121" s="251"/>
      <c r="BB121" s="251"/>
      <c r="BC121" s="251"/>
      <c r="BD121" s="251"/>
      <c r="BE121" s="251"/>
      <c r="BF121" s="251"/>
      <c r="BG121" s="251"/>
      <c r="BH121" s="251"/>
      <c r="BI121" s="251"/>
      <c r="BJ121" s="251"/>
      <c r="BK121" s="251"/>
      <c r="BL121" s="251"/>
      <c r="BM121" s="251"/>
      <c r="BN121" s="251"/>
      <c r="BO121" s="251"/>
      <c r="BP121" s="251"/>
      <c r="BQ121" s="251"/>
      <c r="BR121" s="251"/>
      <c r="BS121" s="251"/>
      <c r="BT121" s="251"/>
      <c r="BU121" s="251"/>
      <c r="BV121" s="251"/>
      <c r="BW121" s="251"/>
      <c r="BX121" s="251"/>
      <c r="BY121" s="251"/>
      <c r="BZ121" s="251"/>
      <c r="CA121" s="251"/>
      <c r="CB121" s="251"/>
      <c r="CC121" s="251"/>
      <c r="CD121" s="251"/>
      <c r="CE121" s="251"/>
      <c r="CF121" s="251"/>
      <c r="CG121" s="251"/>
      <c r="CH121" s="251"/>
      <c r="CI121" s="251"/>
      <c r="CJ121" s="251"/>
      <c r="CK121" s="252"/>
      <c r="CL121" s="252"/>
      <c r="CM121" s="252"/>
      <c r="CN121" s="253"/>
      <c r="CO121" s="254">
        <v>15000000</v>
      </c>
      <c r="CP121" s="251"/>
      <c r="CQ121" s="251">
        <v>15000000</v>
      </c>
      <c r="CR121" s="251">
        <f t="shared" si="48"/>
        <v>15000000</v>
      </c>
      <c r="CS121" s="261" t="s">
        <v>791</v>
      </c>
    </row>
    <row r="122" spans="1:143" ht="243.65" customHeight="1">
      <c r="A122" s="90">
        <f>+A121+1</f>
        <v>111</v>
      </c>
      <c r="B122" s="88" t="s">
        <v>66</v>
      </c>
      <c r="C122" s="1" t="s">
        <v>117</v>
      </c>
      <c r="D122" s="91" t="s">
        <v>4</v>
      </c>
      <c r="E122" s="1">
        <v>80</v>
      </c>
      <c r="F122" s="1"/>
      <c r="G122" s="106"/>
      <c r="H122" s="106"/>
      <c r="I122" s="106"/>
      <c r="J122" s="106"/>
      <c r="K122" s="106"/>
      <c r="L122" s="106"/>
      <c r="M122" s="106"/>
      <c r="N122" s="106"/>
      <c r="O122" s="106"/>
      <c r="P122" s="106"/>
      <c r="Q122" s="106"/>
      <c r="R122" s="106"/>
      <c r="S122" s="106"/>
      <c r="T122" s="106"/>
      <c r="U122" s="106"/>
      <c r="V122" s="106"/>
      <c r="W122" s="106"/>
      <c r="X122" s="106"/>
      <c r="Y122" s="106"/>
      <c r="Z122" s="106"/>
      <c r="AA122" s="106"/>
      <c r="AB122" s="106"/>
      <c r="AC122" s="106"/>
      <c r="AD122" s="106"/>
      <c r="AE122" s="106"/>
      <c r="AF122" s="106"/>
      <c r="AG122" s="106"/>
      <c r="AH122" s="106"/>
      <c r="AI122" s="106"/>
      <c r="AJ122" s="106"/>
      <c r="AK122" s="106"/>
      <c r="AL122" s="112"/>
      <c r="AM122" s="112"/>
      <c r="AN122" s="106"/>
      <c r="AO122" s="106"/>
      <c r="AP122" s="106"/>
      <c r="AQ122" s="106"/>
      <c r="AR122" s="112">
        <v>27500</v>
      </c>
      <c r="AS122" s="112">
        <v>28903</v>
      </c>
      <c r="AT122" s="112">
        <v>29000</v>
      </c>
      <c r="AU122" s="112">
        <v>30479</v>
      </c>
      <c r="AV122" s="106"/>
      <c r="AW122" s="106"/>
      <c r="AX122" s="106"/>
      <c r="AY122" s="106"/>
      <c r="AZ122" s="106"/>
      <c r="BA122" s="106"/>
      <c r="BB122" s="106"/>
      <c r="BC122" s="106"/>
      <c r="BD122" s="106"/>
      <c r="BE122" s="106"/>
      <c r="BF122" s="106"/>
      <c r="BG122" s="106"/>
      <c r="BH122" s="106"/>
      <c r="BI122" s="106"/>
      <c r="BJ122" s="106"/>
      <c r="BK122" s="106"/>
      <c r="BL122" s="106"/>
      <c r="BM122" s="106"/>
      <c r="BN122" s="106"/>
      <c r="BO122" s="106"/>
      <c r="BP122" s="106"/>
      <c r="BQ122" s="106"/>
      <c r="BR122" s="106"/>
      <c r="BS122" s="106"/>
      <c r="BT122" s="106"/>
      <c r="BU122" s="112">
        <v>27000</v>
      </c>
      <c r="BV122" s="112">
        <v>28404</v>
      </c>
      <c r="BW122" s="112"/>
      <c r="BX122" s="112"/>
      <c r="BY122" s="112"/>
      <c r="BZ122" s="112"/>
      <c r="CA122" s="112"/>
      <c r="CB122" s="112"/>
      <c r="CC122" s="112"/>
      <c r="CD122" s="112"/>
      <c r="CE122" s="112"/>
      <c r="CF122" s="112"/>
      <c r="CG122" s="112"/>
      <c r="CH122" s="112"/>
      <c r="CI122" s="112"/>
      <c r="CJ122" s="112"/>
      <c r="CK122" s="109">
        <f>+MEDIAN(H122,I122,J122,K122,M122,M122,M122,O122,O122,Q122,S122,U122,W122,X122,Y122,Z122,AA122,AC122,AE122,AG122,AH122,AI122,AJ122,AK122,AL122,AM122,AO122,AP122,AQ122,AS122,AU122,AX122,AZ122,BB122,BC122,BE122,BG122,BH122,BI122,BK122,BL122,BM122,BN122,BP122,BR122,BT122,BV122)</f>
        <v>28903</v>
      </c>
      <c r="CL122" s="109">
        <f>+AVERAGE(H122,I122,J122,K122,M122,M122,M122,O122,O122,Q122,S122,U122,W122,X122,Y122,Z122,AA122,AC122,AE122,AG122,AH122,AI122,AJ122,AK122,AL122,AM122,AO122,AP122,AQ122,AS122,AU122,AX122,AZ122,BB122,BC122,BE122,BG122,BH122,BI122,BK122,BL122,BM122,BN122,BP122,BR122,BT122,BV122)</f>
        <v>29262</v>
      </c>
      <c r="CM122" s="109">
        <f>+STDEV(H122,I122,J122,K122,M122,M122,M122,O122,O122,Q122,S122,U122,W122,X122,Y122,Z122,AA122,AC122,AE122,AG122,AH122,AI122,AJ122,AK122,AL122,AM122,AO122,AP122,AQ122,AS122,AU122,AX122,AZ122,BB122,BC122,BE122,BG122,BH122,BI122,BK122,BL122,BM122,BN122,BP122,BR122,BT122,BV122)</f>
        <v>1083.0821760143594</v>
      </c>
      <c r="CN122" s="103">
        <f t="shared" ref="CN122:CN126" si="52">CM122/CL122</f>
        <v>3.7013265532580122E-2</v>
      </c>
      <c r="CO122" s="110">
        <f>CQ122/1.08</f>
        <v>27094.444444444442</v>
      </c>
      <c r="CP122" s="107">
        <f>CO122*8%</f>
        <v>2167.5555555555552</v>
      </c>
      <c r="CQ122" s="106">
        <f>ROUNDUP(IF(CN122&lt;15%,CL122,CK122),0)</f>
        <v>29262</v>
      </c>
      <c r="CR122" s="122">
        <f t="shared" si="48"/>
        <v>2340960</v>
      </c>
      <c r="CS122" s="79" t="s">
        <v>731</v>
      </c>
    </row>
    <row r="123" spans="1:143" ht="151.9" customHeight="1">
      <c r="A123" s="90">
        <f t="shared" si="40"/>
        <v>112</v>
      </c>
      <c r="B123" s="88" t="s">
        <v>118</v>
      </c>
      <c r="C123" s="1" t="s">
        <v>781</v>
      </c>
      <c r="D123" s="91" t="s">
        <v>54</v>
      </c>
      <c r="E123" s="1">
        <v>40</v>
      </c>
      <c r="F123" s="1">
        <v>1</v>
      </c>
      <c r="G123" s="106"/>
      <c r="H123" s="106"/>
      <c r="I123" s="106"/>
      <c r="J123" s="106"/>
      <c r="K123" s="106"/>
      <c r="L123" s="106"/>
      <c r="M123" s="106"/>
      <c r="N123" s="106"/>
      <c r="O123" s="106"/>
      <c r="P123" s="106"/>
      <c r="Q123" s="106"/>
      <c r="R123" s="106"/>
      <c r="S123" s="106"/>
      <c r="T123" s="106"/>
      <c r="U123" s="106"/>
      <c r="V123" s="106"/>
      <c r="W123" s="106"/>
      <c r="X123" s="106"/>
      <c r="Y123" s="106">
        <v>120000</v>
      </c>
      <c r="Z123" s="106"/>
      <c r="AA123" s="106">
        <v>125000</v>
      </c>
      <c r="AB123" s="106"/>
      <c r="AC123" s="106"/>
      <c r="AD123" s="106"/>
      <c r="AE123" s="106"/>
      <c r="AF123" s="106"/>
      <c r="AG123" s="106"/>
      <c r="AH123" s="106"/>
      <c r="AI123" s="106"/>
      <c r="AJ123" s="106"/>
      <c r="AK123" s="106"/>
      <c r="AL123" s="106"/>
      <c r="AM123" s="106"/>
      <c r="AN123" s="106"/>
      <c r="AO123" s="106"/>
      <c r="AP123" s="106"/>
      <c r="AQ123" s="106"/>
      <c r="AR123" s="106"/>
      <c r="AS123" s="106"/>
      <c r="AT123" s="106"/>
      <c r="AU123" s="106"/>
      <c r="AV123" s="106"/>
      <c r="AW123" s="106"/>
      <c r="AX123" s="106"/>
      <c r="AY123" s="106"/>
      <c r="AZ123" s="106"/>
      <c r="BA123" s="106"/>
      <c r="BB123" s="106"/>
      <c r="BC123" s="106"/>
      <c r="BD123" s="106"/>
      <c r="BE123" s="106"/>
      <c r="BF123" s="106"/>
      <c r="BG123" s="106"/>
      <c r="BH123" s="106"/>
      <c r="BI123" s="106"/>
      <c r="BJ123" s="106"/>
      <c r="BK123" s="106"/>
      <c r="BL123" s="106"/>
      <c r="BM123" s="106"/>
      <c r="BN123" s="106"/>
      <c r="BO123" s="106"/>
      <c r="BP123" s="106"/>
      <c r="BQ123" s="106"/>
      <c r="BR123" s="106"/>
      <c r="BS123" s="106"/>
      <c r="BT123" s="106"/>
      <c r="BU123" s="106"/>
      <c r="BV123" s="106"/>
      <c r="BW123" s="106"/>
      <c r="BX123" s="106"/>
      <c r="BY123" s="106"/>
      <c r="BZ123" s="106"/>
      <c r="CA123" s="106"/>
      <c r="CB123" s="106"/>
      <c r="CC123" s="106"/>
      <c r="CD123" s="106"/>
      <c r="CE123" s="106"/>
      <c r="CF123" s="106"/>
      <c r="CG123" s="106"/>
      <c r="CH123" s="106"/>
      <c r="CI123" s="106"/>
      <c r="CJ123" s="106"/>
      <c r="CK123" s="109">
        <f>+MEDIAN(H123,I123,J123,K123,M123,M123,M123,O123,O123,Q123,S123,U123,W123,X123,Y123,Z123,AA123,AC123,AE123,AG123,AH123,AI123,AJ123,AK123,AL123,AM123,AO123,AP123,AQ123,AS123,AU123,AX123,AZ123,BB123,BC123,BE123,BG123,BH123,BI123,BK123,BL123,BM123,BN123,BP123,BR123,BT123,BV123)</f>
        <v>122500</v>
      </c>
      <c r="CL123" s="109">
        <f>+AVERAGE(H123,I123,J123,K123,M123,M123,M123,O123,O123,Q123,S123,U123,W123,X123,Y123,Z123,AA123,AC123,AE123,AG123,AH123,AI123,AJ123,AK123,AL123,AM123,AO123,AP123,AQ123,AS123,AU123,AX123,AZ123,BB123,BC123,BE123,BG123,BH123,BI123,BK123,BL123,BM123,BN123,BP123,BR123,BT123,BV123)</f>
        <v>122500</v>
      </c>
      <c r="CM123" s="109">
        <f>+STDEV(H123,I123,J123,K123,M123,M123,M123,O123,O123,Q123,S123,U123,W123,X123,Y123,Z123,AA123,AC123,AE123,AG123,AH123,AI123,AJ123,AK123,AL123,AM123,AO123,AP123,AQ123,AS123,AU123,AX123,AZ123,BB123,BC123,BE123,BG123,BH123,BI123,BK123,BL123,BM123,BN123,BP123,BR123,BT123,BV123)</f>
        <v>3535.5339059327375</v>
      </c>
      <c r="CN123" s="103">
        <f t="shared" si="52"/>
        <v>2.8861501272920306E-2</v>
      </c>
      <c r="CO123" s="110">
        <f t="shared" si="45"/>
        <v>102941.17647058824</v>
      </c>
      <c r="CP123" s="107">
        <f t="shared" si="46"/>
        <v>19558.823529411766</v>
      </c>
      <c r="CQ123" s="106">
        <f>ROUNDUP(IF(CN123&lt;15%,CL123,CK123),0)</f>
        <v>122500</v>
      </c>
      <c r="CR123" s="122">
        <f t="shared" si="48"/>
        <v>4900000</v>
      </c>
      <c r="CS123" s="89" t="s">
        <v>732</v>
      </c>
    </row>
    <row r="124" spans="1:143" ht="215.65" customHeight="1">
      <c r="A124" s="90">
        <f t="shared" si="40"/>
        <v>113</v>
      </c>
      <c r="B124" s="88" t="s">
        <v>783</v>
      </c>
      <c r="C124" s="1" t="s">
        <v>782</v>
      </c>
      <c r="D124" s="91" t="s">
        <v>54</v>
      </c>
      <c r="E124" s="1">
        <v>1</v>
      </c>
      <c r="F124" s="1">
        <v>1</v>
      </c>
      <c r="G124" s="106"/>
      <c r="H124" s="106"/>
      <c r="I124" s="106"/>
      <c r="J124" s="106"/>
      <c r="K124" s="106"/>
      <c r="L124" s="106"/>
      <c r="M124" s="106"/>
      <c r="N124" s="106"/>
      <c r="O124" s="106"/>
      <c r="P124" s="106"/>
      <c r="Q124" s="106"/>
      <c r="R124" s="106"/>
      <c r="S124" s="106"/>
      <c r="T124" s="106"/>
      <c r="U124" s="106"/>
      <c r="V124" s="106"/>
      <c r="W124" s="106"/>
      <c r="X124" s="106"/>
      <c r="Y124" s="106"/>
      <c r="Z124" s="106"/>
      <c r="AA124" s="106"/>
      <c r="AB124" s="106"/>
      <c r="AC124" s="106"/>
      <c r="AD124" s="106"/>
      <c r="AE124" s="106"/>
      <c r="AF124" s="106"/>
      <c r="AG124" s="106"/>
      <c r="AH124" s="106"/>
      <c r="AI124" s="106"/>
      <c r="AJ124" s="106"/>
      <c r="AK124" s="106"/>
      <c r="AL124" s="106"/>
      <c r="AM124" s="106"/>
      <c r="AN124" s="106"/>
      <c r="AO124" s="106"/>
      <c r="AP124" s="106"/>
      <c r="AQ124" s="106"/>
      <c r="AR124" s="106"/>
      <c r="AS124" s="106"/>
      <c r="AT124" s="106"/>
      <c r="AU124" s="106"/>
      <c r="AV124" s="106"/>
      <c r="AW124" s="106"/>
      <c r="AX124" s="106"/>
      <c r="AY124" s="106"/>
      <c r="AZ124" s="106"/>
      <c r="BA124" s="106"/>
      <c r="BB124" s="106"/>
      <c r="BC124" s="106"/>
      <c r="BD124" s="106"/>
      <c r="BE124" s="106"/>
      <c r="BF124" s="106"/>
      <c r="BG124" s="106"/>
      <c r="BH124" s="106"/>
      <c r="BI124" s="106"/>
      <c r="BJ124" s="106"/>
      <c r="BK124" s="106"/>
      <c r="BL124" s="326">
        <v>2000000</v>
      </c>
      <c r="BM124" s="326"/>
      <c r="BN124" s="326"/>
      <c r="BO124" s="106"/>
      <c r="BP124" s="106"/>
      <c r="BQ124" s="106"/>
      <c r="BR124" s="106"/>
      <c r="BS124" s="106"/>
      <c r="BT124" s="106"/>
      <c r="BU124" s="106"/>
      <c r="BV124" s="106"/>
      <c r="BW124" s="106"/>
      <c r="BX124" s="106"/>
      <c r="BY124" s="106"/>
      <c r="BZ124" s="106"/>
      <c r="CA124" s="106">
        <v>1200000</v>
      </c>
      <c r="CB124" s="106">
        <f>+(CA124*5.1%)+CA124</f>
        <v>1261200</v>
      </c>
      <c r="CC124" s="106">
        <v>1560000</v>
      </c>
      <c r="CD124" s="106">
        <f>+(CC124*5.1%)+CC124</f>
        <v>1639560</v>
      </c>
      <c r="CE124" s="106"/>
      <c r="CF124" s="106"/>
      <c r="CG124" s="106"/>
      <c r="CH124" s="106"/>
      <c r="CI124" s="106"/>
      <c r="CJ124" s="106"/>
      <c r="CK124" s="109">
        <f>+MEDIAN(H124,I124,J124,K124,M124,M124,M124,O124,O124,Q124,S124,U124,W124,X124,Y124,Z124,AA124,AC124,AE124,AG124,AH124,AI124,AJ124,AK124,AL124,AM124,AO124,AP124,AQ124,AS124,AU124,AX124,AZ124,BB124,BC124,BE124,BG124,BH124,BI124,BK124,BL124,BM124,BN124,BP124,BR124,BT124,BV124,CB124,CD124)</f>
        <v>1639560</v>
      </c>
      <c r="CL124" s="109">
        <f>+AVERAGE(H124,I124,J124,K124,M124,M124,M124,O124,O124,Q124,S124,U124,W124,X124,Y124,Z124,AA124,AC124,AE124,AG124,AH124,AI124,AJ124,AK124,AL124,AM124,AO124,AP124,AQ124,AS124,AU124,AX124,AZ124,BB124,BC124,BE124,BG124,BH124,BI124,BK124,BL124,BM124,BN124,BP124,BR124,BT124,BV124,CB124,CD124)</f>
        <v>1633586.6666666667</v>
      </c>
      <c r="CM124" s="109">
        <f>+STDEV(H124,I124,J124,K124,M124,M124,M124,O124,O124,Q124,S124,U124,W124,X124,Y124,Z124,AA124,AC124,AE124,AG124,AH124,AI124,AJ124,AK124,AL124,AM124,AO124,AP124,AQ124,AS124,AU124,AX124,AZ124,BB124,BC124,BE124,BG124,BH124,BI124,BK124,BL124,BM124,BN124,BP124,BR124,BT124,BV124,CB124,CD124)</f>
        <v>369436.21984495985</v>
      </c>
      <c r="CN124" s="103">
        <f t="shared" si="52"/>
        <v>0.22615036433836375</v>
      </c>
      <c r="CO124" s="110">
        <f>CQ124</f>
        <v>1639560</v>
      </c>
      <c r="CP124" s="107"/>
      <c r="CQ124" s="106">
        <f>ROUNDUP(IF(CN124&lt;15%,CL124,CK124),0)</f>
        <v>1639560</v>
      </c>
      <c r="CR124" s="122">
        <f t="shared" si="48"/>
        <v>1639560</v>
      </c>
      <c r="CS124" s="79" t="s">
        <v>731</v>
      </c>
    </row>
    <row r="125" spans="1:143" ht="186" customHeight="1">
      <c r="A125" s="90">
        <f t="shared" si="40"/>
        <v>114</v>
      </c>
      <c r="B125" s="88" t="s">
        <v>119</v>
      </c>
      <c r="C125" s="1" t="s">
        <v>120</v>
      </c>
      <c r="D125" s="91" t="s">
        <v>4</v>
      </c>
      <c r="E125" s="1">
        <v>40</v>
      </c>
      <c r="F125" s="1"/>
      <c r="G125" s="106"/>
      <c r="H125" s="106"/>
      <c r="I125" s="106"/>
      <c r="J125" s="106"/>
      <c r="K125" s="106"/>
      <c r="L125" s="106"/>
      <c r="M125" s="106"/>
      <c r="N125" s="106">
        <v>44000</v>
      </c>
      <c r="O125" s="106">
        <f>(N125*5.1%)+N125</f>
        <v>46244</v>
      </c>
      <c r="P125" s="106"/>
      <c r="Q125" s="106"/>
      <c r="R125" s="106"/>
      <c r="S125" s="106"/>
      <c r="T125" s="106"/>
      <c r="U125" s="106"/>
      <c r="V125" s="106"/>
      <c r="W125" s="106"/>
      <c r="X125" s="106"/>
      <c r="Y125" s="106"/>
      <c r="Z125" s="106"/>
      <c r="AA125" s="106"/>
      <c r="AB125" s="106"/>
      <c r="AC125" s="106"/>
      <c r="AD125" s="106"/>
      <c r="AE125" s="106"/>
      <c r="AF125" s="106"/>
      <c r="AG125" s="106"/>
      <c r="AH125" s="106"/>
      <c r="AI125" s="106"/>
      <c r="AJ125" s="106"/>
      <c r="AK125" s="106"/>
      <c r="AL125" s="106"/>
      <c r="AM125" s="112">
        <v>43500</v>
      </c>
      <c r="AN125" s="106"/>
      <c r="AO125" s="106"/>
      <c r="AP125" s="106"/>
      <c r="AQ125" s="106"/>
      <c r="AR125" s="106"/>
      <c r="AS125" s="106"/>
      <c r="AT125" s="112">
        <v>42000</v>
      </c>
      <c r="AU125" s="112">
        <v>44142</v>
      </c>
      <c r="AV125" s="106"/>
      <c r="AW125" s="106"/>
      <c r="AX125" s="106"/>
      <c r="AY125" s="106"/>
      <c r="AZ125" s="106"/>
      <c r="BA125" s="106"/>
      <c r="BB125" s="106"/>
      <c r="BC125" s="106"/>
      <c r="BD125" s="106"/>
      <c r="BE125" s="106"/>
      <c r="BF125" s="106"/>
      <c r="BG125" s="106"/>
      <c r="BH125" s="106"/>
      <c r="BI125" s="106"/>
      <c r="BJ125" s="106"/>
      <c r="BK125" s="106"/>
      <c r="BL125" s="106"/>
      <c r="BM125" s="106"/>
      <c r="BN125" s="106"/>
      <c r="BO125" s="106"/>
      <c r="BP125" s="106"/>
      <c r="BQ125" s="106"/>
      <c r="BR125" s="106"/>
      <c r="BS125" s="106"/>
      <c r="BT125" s="106"/>
      <c r="BU125" s="106"/>
      <c r="BV125" s="106"/>
      <c r="BW125" s="106"/>
      <c r="BX125" s="106"/>
      <c r="BY125" s="106"/>
      <c r="BZ125" s="106"/>
      <c r="CA125" s="106"/>
      <c r="CB125" s="106"/>
      <c r="CC125" s="106"/>
      <c r="CD125" s="106"/>
      <c r="CE125" s="106"/>
      <c r="CF125" s="106"/>
      <c r="CG125" s="106"/>
      <c r="CH125" s="106"/>
      <c r="CI125" s="106"/>
      <c r="CJ125" s="106"/>
      <c r="CK125" s="109">
        <f>+MEDIAN(H125,I125,J125,K125,M125,M125,M125,O125,O125,Q125,S125,U125,W125,X125,Y125,Z125,AA125,AC125,AE125,AG125,AH125,AI125,AJ125,AK125,AL125,AM125,AO125,AP125,AQ125,AS125,AU125,AX125,AZ125,BB125,BC125,BE125,BG125,BH125,BI125,BK125,BL125,BM125,BN125,BP125,BR125,BT125,BV125)</f>
        <v>45193</v>
      </c>
      <c r="CL125" s="109">
        <f>+AVERAGE(H125,I125,J125,K125,M125,M125,M125,O125,O125,Q125,S125,U125,W125,X125,Y125,Z125,AA125,AC125,AE125,AG125,AH125,AI125,AJ125,AK125,AL125,AM125,AO125,AP125,AQ125,AS125,AU125,AX125,AZ125,BB125,BC125,BE125,BG125,BH125,BI125,BK125,BL125,BM125,BN125,BP125,BR125,BT125,BV125)</f>
        <v>45032.5</v>
      </c>
      <c r="CM125" s="109">
        <f>+STDEV(H125,I125,J125,K125,M125,M125,M125,O125,O125,Q125,S125,U125,W125,X125,Y125,Z125,AA125,AC125,AE125,AG125,AH125,AI125,AJ125,AK125,AL125,AM125,AO125,AP125,AQ125,AS125,AU125,AX125,AZ125,BB125,BC125,BE125,BG125,BH125,BI125,BK125,BL125,BM125,BN125,BP125,BR125,BT125,BV125)</f>
        <v>1423.2604587120845</v>
      </c>
      <c r="CN125" s="103">
        <f t="shared" si="52"/>
        <v>3.1605184227215553E-2</v>
      </c>
      <c r="CO125" s="110">
        <f>CQ125/1.08</f>
        <v>41697.222222222219</v>
      </c>
      <c r="CP125" s="107">
        <f>CO125*8%</f>
        <v>3335.7777777777774</v>
      </c>
      <c r="CQ125" s="106">
        <f>ROUNDUP(IF(CN125&lt;15%,CL125,CK125),0)</f>
        <v>45033</v>
      </c>
      <c r="CR125" s="122">
        <f t="shared" si="48"/>
        <v>1801320</v>
      </c>
      <c r="CS125" s="79" t="s">
        <v>731</v>
      </c>
    </row>
    <row r="126" spans="1:143" ht="160.4" customHeight="1">
      <c r="A126" s="90">
        <f t="shared" si="40"/>
        <v>115</v>
      </c>
      <c r="B126" s="88" t="s">
        <v>55</v>
      </c>
      <c r="C126" s="1" t="s">
        <v>56</v>
      </c>
      <c r="D126" s="91" t="s">
        <v>4</v>
      </c>
      <c r="E126" s="1">
        <v>40</v>
      </c>
      <c r="F126" s="1"/>
      <c r="G126" s="106"/>
      <c r="H126" s="106"/>
      <c r="I126" s="106"/>
      <c r="J126" s="106"/>
      <c r="K126" s="106"/>
      <c r="L126" s="106"/>
      <c r="M126" s="106"/>
      <c r="N126" s="106"/>
      <c r="O126" s="106"/>
      <c r="P126" s="106"/>
      <c r="Q126" s="106"/>
      <c r="R126" s="106"/>
      <c r="S126" s="106"/>
      <c r="T126" s="106"/>
      <c r="U126" s="106"/>
      <c r="V126" s="106"/>
      <c r="W126" s="106"/>
      <c r="X126" s="106"/>
      <c r="Y126" s="106">
        <v>14000</v>
      </c>
      <c r="Z126" s="106"/>
      <c r="AA126" s="106">
        <v>13000</v>
      </c>
      <c r="AB126" s="106"/>
      <c r="AC126" s="106"/>
      <c r="AD126" s="106"/>
      <c r="AE126" s="106"/>
      <c r="AF126" s="106"/>
      <c r="AG126" s="106"/>
      <c r="AH126" s="106"/>
      <c r="AI126" s="106"/>
      <c r="AJ126" s="106"/>
      <c r="AK126" s="106"/>
      <c r="AL126" s="106"/>
      <c r="AM126" s="106"/>
      <c r="AN126" s="106"/>
      <c r="AO126" s="106"/>
      <c r="AP126" s="106"/>
      <c r="AQ126" s="106"/>
      <c r="AR126" s="106"/>
      <c r="AS126" s="106"/>
      <c r="AT126" s="106"/>
      <c r="AU126" s="106"/>
      <c r="AV126" s="106"/>
      <c r="AW126" s="106"/>
      <c r="AX126" s="106"/>
      <c r="AY126" s="106"/>
      <c r="AZ126" s="106"/>
      <c r="BA126" s="106"/>
      <c r="BB126" s="106"/>
      <c r="BC126" s="106"/>
      <c r="BD126" s="106"/>
      <c r="BE126" s="106"/>
      <c r="BF126" s="106"/>
      <c r="BG126" s="106"/>
      <c r="BH126" s="106"/>
      <c r="BI126" s="106"/>
      <c r="BJ126" s="106"/>
      <c r="BK126" s="106"/>
      <c r="BL126" s="106"/>
      <c r="BM126" s="106"/>
      <c r="BN126" s="106"/>
      <c r="BO126" s="106"/>
      <c r="BP126" s="106"/>
      <c r="BQ126" s="106"/>
      <c r="BR126" s="106"/>
      <c r="BS126" s="106"/>
      <c r="BT126" s="106"/>
      <c r="BU126" s="106"/>
      <c r="BV126" s="106"/>
      <c r="BW126" s="106"/>
      <c r="BX126" s="106"/>
      <c r="BY126" s="106"/>
      <c r="BZ126" s="106"/>
      <c r="CA126" s="106"/>
      <c r="CB126" s="106"/>
      <c r="CC126" s="106"/>
      <c r="CD126" s="106"/>
      <c r="CE126" s="106"/>
      <c r="CF126" s="106"/>
      <c r="CG126" s="106"/>
      <c r="CH126" s="106"/>
      <c r="CI126" s="106"/>
      <c r="CJ126" s="106"/>
      <c r="CK126" s="109">
        <f>+MEDIAN(H126,I126,J126,K126,M126,M126,M126,O126,O126,Q126,S126,U126,W126,X126,Y126,Z126,AA126,AC126,AE126,AG126,AH126,AI126,AJ126,AK126,AL126,AM126,AO126,AP126,AQ126,AS126,AU126,AX126,AZ126,BB126,BC126,BE126,BG126,BH126,BI126,BK126,BL126,BM126,BN126,BP126,BR126,BT126,BV126)</f>
        <v>13500</v>
      </c>
      <c r="CL126" s="109">
        <f>+AVERAGE(H126,I126,J126,K126,M126,M126,M126,O126,O126,Q126,S126,U126,W126,X126,Y126,Z126,AA126,AC126,AE126,AG126,AH126,AI126,AJ126,AK126,AL126,AM126,AO126,AP126,AQ126,AS126,AU126,AX126,AZ126,BB126,BC126,BE126,BG126,BH126,BI126,BK126,BL126,BM126,BN126,BP126,BR126,BT126,BV126)</f>
        <v>13500</v>
      </c>
      <c r="CM126" s="109">
        <f>+STDEV(H126,I126,J126,K126,M126,M126,M126,O126,O126,Q126,S126,U126,W126,X126,Y126,Z126,AA126,AC126,AE126,AG126,AH126,AI126,AJ126,AK126,AL126,AM126,AO126,AP126,AQ126,AS126,AU126,AX126,AZ126,BB126,BC126,BE126,BG126,BH126,BI126,BK126,BL126,BM126,BN126,BP126,BR126,BT126,BV126)</f>
        <v>707.10678118654755</v>
      </c>
      <c r="CN126" s="103">
        <f t="shared" si="52"/>
        <v>5.2378280087892408E-2</v>
      </c>
      <c r="CO126" s="110">
        <f>CQ126</f>
        <v>13500</v>
      </c>
      <c r="CP126" s="107"/>
      <c r="CQ126" s="106">
        <f>ROUNDUP(IF(CN126&lt;15%,CL126,CK126),0)</f>
        <v>13500</v>
      </c>
      <c r="CR126" s="122">
        <f t="shared" si="48"/>
        <v>540000</v>
      </c>
      <c r="CS126" s="89" t="s">
        <v>732</v>
      </c>
    </row>
    <row r="127" spans="1:143" s="129" customFormat="1" ht="14.5">
      <c r="A127" s="130" t="s">
        <v>121</v>
      </c>
      <c r="B127" s="125"/>
      <c r="C127" s="93"/>
      <c r="D127" s="125"/>
      <c r="E127" s="125"/>
      <c r="F127" s="125"/>
      <c r="G127" s="114"/>
      <c r="H127" s="114"/>
      <c r="I127" s="114"/>
      <c r="J127" s="114"/>
      <c r="K127" s="114"/>
      <c r="L127" s="113"/>
      <c r="M127" s="113"/>
      <c r="N127" s="113"/>
      <c r="O127" s="113"/>
      <c r="P127" s="113"/>
      <c r="Q127" s="114"/>
      <c r="R127" s="114"/>
      <c r="S127" s="114"/>
      <c r="T127" s="114"/>
      <c r="U127" s="114"/>
      <c r="V127" s="114"/>
      <c r="W127" s="114"/>
      <c r="X127" s="114"/>
      <c r="Y127" s="114"/>
      <c r="Z127" s="114"/>
      <c r="AA127" s="114"/>
      <c r="AB127" s="114"/>
      <c r="AC127" s="114"/>
      <c r="AD127" s="114"/>
      <c r="AE127" s="114"/>
      <c r="AF127" s="114"/>
      <c r="AG127" s="114"/>
      <c r="AH127" s="114"/>
      <c r="AI127" s="114"/>
      <c r="AJ127" s="114"/>
      <c r="AK127" s="114"/>
      <c r="AL127" s="114"/>
      <c r="AM127" s="114"/>
      <c r="AN127" s="114"/>
      <c r="AO127" s="114"/>
      <c r="AP127" s="114"/>
      <c r="AQ127" s="114"/>
      <c r="AR127" s="114"/>
      <c r="AS127" s="114"/>
      <c r="AT127" s="114"/>
      <c r="AU127" s="114"/>
      <c r="AV127" s="114"/>
      <c r="AW127" s="114"/>
      <c r="AX127" s="114"/>
      <c r="AY127" s="114"/>
      <c r="AZ127" s="114"/>
      <c r="BA127" s="114"/>
      <c r="BB127" s="114"/>
      <c r="BC127" s="114"/>
      <c r="BD127" s="114"/>
      <c r="BE127" s="114"/>
      <c r="BF127" s="114"/>
      <c r="BG127" s="114"/>
      <c r="BH127" s="114"/>
      <c r="BI127" s="114"/>
      <c r="BJ127" s="114"/>
      <c r="BK127" s="114"/>
      <c r="BL127" s="114"/>
      <c r="BM127" s="114"/>
      <c r="BN127" s="114"/>
      <c r="BO127" s="114"/>
      <c r="BP127" s="114"/>
      <c r="BQ127" s="114"/>
      <c r="BR127" s="114"/>
      <c r="BS127" s="114"/>
      <c r="BT127" s="114"/>
      <c r="BU127" s="114"/>
      <c r="BV127" s="114"/>
      <c r="BW127" s="114"/>
      <c r="BX127" s="114"/>
      <c r="BY127" s="114"/>
      <c r="BZ127" s="114"/>
      <c r="CA127" s="114"/>
      <c r="CB127" s="114"/>
      <c r="CC127" s="114"/>
      <c r="CD127" s="114"/>
      <c r="CE127" s="114"/>
      <c r="CF127" s="114"/>
      <c r="CG127" s="114"/>
      <c r="CH127" s="114"/>
      <c r="CI127" s="114"/>
      <c r="CJ127" s="114"/>
      <c r="CK127" s="115"/>
      <c r="CL127" s="115"/>
      <c r="CM127" s="115"/>
      <c r="CN127" s="104"/>
      <c r="CO127" s="60"/>
      <c r="CP127" s="113"/>
      <c r="CQ127" s="113"/>
      <c r="CR127" s="116"/>
      <c r="CS127" s="131"/>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row>
    <row r="128" spans="1:143" s="129" customFormat="1" ht="14.5">
      <c r="A128" s="130" t="s">
        <v>122</v>
      </c>
      <c r="B128" s="127"/>
      <c r="C128" s="94"/>
      <c r="D128" s="127"/>
      <c r="E128" s="127"/>
      <c r="F128" s="127"/>
      <c r="G128" s="117"/>
      <c r="H128" s="117"/>
      <c r="I128" s="117"/>
      <c r="J128" s="117"/>
      <c r="K128" s="117"/>
      <c r="L128" s="113"/>
      <c r="M128" s="113"/>
      <c r="N128" s="113"/>
      <c r="O128" s="113"/>
      <c r="P128" s="113"/>
      <c r="Q128" s="117"/>
      <c r="R128" s="117"/>
      <c r="S128" s="117"/>
      <c r="T128" s="117"/>
      <c r="U128" s="117"/>
      <c r="V128" s="117"/>
      <c r="W128" s="117"/>
      <c r="X128" s="117"/>
      <c r="Y128" s="117"/>
      <c r="Z128" s="117"/>
      <c r="AA128" s="117"/>
      <c r="AB128" s="117"/>
      <c r="AC128" s="117"/>
      <c r="AD128" s="117"/>
      <c r="AE128" s="117"/>
      <c r="AF128" s="117"/>
      <c r="AG128" s="117"/>
      <c r="AH128" s="117"/>
      <c r="AI128" s="117"/>
      <c r="AJ128" s="117"/>
      <c r="AK128" s="117"/>
      <c r="AL128" s="117"/>
      <c r="AM128" s="117"/>
      <c r="AN128" s="117"/>
      <c r="AO128" s="117"/>
      <c r="AP128" s="117"/>
      <c r="AQ128" s="117"/>
      <c r="AR128" s="117"/>
      <c r="AS128" s="117"/>
      <c r="AT128" s="117"/>
      <c r="AU128" s="117"/>
      <c r="AV128" s="117"/>
      <c r="AW128" s="117"/>
      <c r="AX128" s="117"/>
      <c r="AY128" s="117"/>
      <c r="AZ128" s="117"/>
      <c r="BA128" s="117"/>
      <c r="BB128" s="117"/>
      <c r="BC128" s="117"/>
      <c r="BD128" s="117"/>
      <c r="BE128" s="117"/>
      <c r="BF128" s="117"/>
      <c r="BG128" s="117"/>
      <c r="BH128" s="117"/>
      <c r="BI128" s="117"/>
      <c r="BJ128" s="117"/>
      <c r="BK128" s="117"/>
      <c r="BL128" s="117"/>
      <c r="BM128" s="117"/>
      <c r="BN128" s="117"/>
      <c r="BO128" s="117"/>
      <c r="BP128" s="117"/>
      <c r="BQ128" s="117"/>
      <c r="BR128" s="117"/>
      <c r="BS128" s="117"/>
      <c r="BT128" s="117"/>
      <c r="BU128" s="117"/>
      <c r="BV128" s="117"/>
      <c r="BW128" s="117"/>
      <c r="BX128" s="117"/>
      <c r="BY128" s="117"/>
      <c r="BZ128" s="117"/>
      <c r="CA128" s="117"/>
      <c r="CB128" s="117"/>
      <c r="CC128" s="117"/>
      <c r="CD128" s="117"/>
      <c r="CE128" s="117"/>
      <c r="CF128" s="117"/>
      <c r="CG128" s="117"/>
      <c r="CH128" s="117"/>
      <c r="CI128" s="117"/>
      <c r="CJ128" s="117"/>
      <c r="CK128" s="115"/>
      <c r="CL128" s="115"/>
      <c r="CM128" s="115"/>
      <c r="CN128" s="104"/>
      <c r="CO128" s="60"/>
      <c r="CP128" s="113"/>
      <c r="CQ128" s="113"/>
      <c r="CR128" s="116"/>
      <c r="CS128" s="131"/>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row>
    <row r="129" spans="1:97" ht="73.400000000000006" customHeight="1">
      <c r="A129" s="90">
        <f>+A126+1</f>
        <v>116</v>
      </c>
      <c r="B129" s="88" t="s">
        <v>39</v>
      </c>
      <c r="C129" s="1" t="s">
        <v>276</v>
      </c>
      <c r="D129" s="91" t="s">
        <v>749</v>
      </c>
      <c r="E129" s="1">
        <v>2</v>
      </c>
      <c r="F129" s="1">
        <v>8</v>
      </c>
      <c r="G129" s="106"/>
      <c r="H129" s="106"/>
      <c r="I129" s="106"/>
      <c r="J129" s="106"/>
      <c r="K129" s="106"/>
      <c r="L129" s="106">
        <v>200000</v>
      </c>
      <c r="M129" s="106">
        <f>+((L129/1.19*23%)+L129)</f>
        <v>238655.46218487396</v>
      </c>
      <c r="N129" s="106">
        <v>210000</v>
      </c>
      <c r="O129" s="106">
        <f>+((N129/1.19*23%)+N129)</f>
        <v>250588.23529411765</v>
      </c>
      <c r="P129" s="106">
        <v>243000</v>
      </c>
      <c r="Q129" s="106">
        <f>+((P129/1.19*23%)+P129)</f>
        <v>289966.38655462186</v>
      </c>
      <c r="R129" s="106"/>
      <c r="S129" s="106"/>
      <c r="T129" s="106"/>
      <c r="U129" s="106"/>
      <c r="V129" s="106"/>
      <c r="W129" s="106"/>
      <c r="X129" s="106"/>
      <c r="Y129" s="106"/>
      <c r="Z129" s="106"/>
      <c r="AA129" s="106"/>
      <c r="AB129" s="106"/>
      <c r="AC129" s="106"/>
      <c r="AD129" s="106"/>
      <c r="AE129" s="106"/>
      <c r="AF129" s="106"/>
      <c r="AG129" s="106"/>
      <c r="AH129" s="106"/>
      <c r="AI129" s="106"/>
      <c r="AJ129" s="106"/>
      <c r="AK129" s="106"/>
      <c r="AL129" s="106"/>
      <c r="AM129" s="106"/>
      <c r="AN129" s="106"/>
      <c r="AO129" s="106"/>
      <c r="AP129" s="106"/>
      <c r="AQ129" s="106"/>
      <c r="AR129" s="106"/>
      <c r="AS129" s="106"/>
      <c r="AT129" s="106"/>
      <c r="AU129" s="106"/>
      <c r="AV129" s="106"/>
      <c r="AW129" s="106"/>
      <c r="AX129" s="106"/>
      <c r="AY129" s="106"/>
      <c r="AZ129" s="106"/>
      <c r="BA129" s="106"/>
      <c r="BB129" s="106"/>
      <c r="BC129" s="106"/>
      <c r="BD129" s="106"/>
      <c r="BE129" s="106"/>
      <c r="BF129" s="106"/>
      <c r="BG129" s="106"/>
      <c r="BH129" s="106"/>
      <c r="BI129" s="106"/>
      <c r="BJ129" s="106"/>
      <c r="BK129" s="106"/>
      <c r="BL129" s="106"/>
      <c r="BM129" s="106"/>
      <c r="BN129" s="106"/>
      <c r="BO129" s="106"/>
      <c r="BP129" s="106"/>
      <c r="BQ129" s="106"/>
      <c r="BR129" s="106"/>
      <c r="BS129" s="106"/>
      <c r="BT129" s="106"/>
      <c r="BU129" s="106"/>
      <c r="BV129" s="106"/>
      <c r="BW129" s="106"/>
      <c r="BX129" s="106"/>
      <c r="BY129" s="106"/>
      <c r="BZ129" s="106"/>
      <c r="CA129" s="106"/>
      <c r="CB129" s="106"/>
      <c r="CC129" s="106"/>
      <c r="CD129" s="106"/>
      <c r="CE129" s="106"/>
      <c r="CF129" s="106"/>
      <c r="CG129" s="106"/>
      <c r="CH129" s="106"/>
      <c r="CI129" s="106"/>
      <c r="CJ129" s="106"/>
      <c r="CK129" s="109">
        <f>+MEDIAN(M129,O129,Q129)</f>
        <v>250588.23529411765</v>
      </c>
      <c r="CL129" s="109">
        <f>+AVERAGE(M129,O129,Q129)</f>
        <v>259736.69467787116</v>
      </c>
      <c r="CM129" s="109">
        <f>+STDEV(M129,O129,Q129)</f>
        <v>26850.949177666658</v>
      </c>
      <c r="CN129" s="198">
        <f t="shared" ref="CN129:CN130" si="53">CM129/CL129</f>
        <v>0.10337757324188465</v>
      </c>
      <c r="CO129" s="5">
        <f t="shared" si="45"/>
        <v>218266.38655462186</v>
      </c>
      <c r="CP129" s="106">
        <f t="shared" si="46"/>
        <v>41470.613445378156</v>
      </c>
      <c r="CQ129" s="106">
        <f t="shared" ref="CQ129:CQ149" si="54">ROUNDUP(IF(CN129&lt;15%,CL129,CK129),0)</f>
        <v>259737</v>
      </c>
      <c r="CR129" s="122">
        <f t="shared" ref="CR129:CR137" si="55">+CQ129*E129*F129</f>
        <v>4155792</v>
      </c>
      <c r="CS129" s="79" t="s">
        <v>731</v>
      </c>
    </row>
    <row r="130" spans="1:97" ht="73.400000000000006" customHeight="1">
      <c r="A130" s="90">
        <f>+A129+1</f>
        <v>117</v>
      </c>
      <c r="B130" s="80" t="s">
        <v>297</v>
      </c>
      <c r="C130" s="1" t="s">
        <v>294</v>
      </c>
      <c r="D130" s="91" t="s">
        <v>749</v>
      </c>
      <c r="E130" s="1">
        <v>1</v>
      </c>
      <c r="F130" s="1">
        <v>3</v>
      </c>
      <c r="G130" s="106"/>
      <c r="H130" s="106"/>
      <c r="I130" s="106"/>
      <c r="J130" s="106"/>
      <c r="K130" s="106"/>
      <c r="L130" s="106">
        <v>310000</v>
      </c>
      <c r="M130" s="106">
        <f>+((L130/1.19*23%)+L130)</f>
        <v>369915.96638655465</v>
      </c>
      <c r="N130" s="106">
        <v>360000</v>
      </c>
      <c r="O130" s="106">
        <f>+((N130/1.19*23%)+N130)</f>
        <v>429579.83193277312</v>
      </c>
      <c r="P130" s="106">
        <v>300000</v>
      </c>
      <c r="Q130" s="106">
        <f>+((P130/1.19*23%)+P130)</f>
        <v>357983.19327731093</v>
      </c>
      <c r="R130" s="106"/>
      <c r="S130" s="106"/>
      <c r="T130" s="106"/>
      <c r="U130" s="106"/>
      <c r="V130" s="106"/>
      <c r="W130" s="106"/>
      <c r="X130" s="106"/>
      <c r="Y130" s="106"/>
      <c r="Z130" s="106"/>
      <c r="AA130" s="106"/>
      <c r="AB130" s="106"/>
      <c r="AC130" s="106"/>
      <c r="AD130" s="106"/>
      <c r="AE130" s="106"/>
      <c r="AF130" s="106"/>
      <c r="AG130" s="106"/>
      <c r="AH130" s="106"/>
      <c r="AI130" s="106"/>
      <c r="AJ130" s="106"/>
      <c r="AK130" s="106"/>
      <c r="AL130" s="106"/>
      <c r="AM130" s="106"/>
      <c r="AN130" s="106"/>
      <c r="AO130" s="106"/>
      <c r="AP130" s="106"/>
      <c r="AQ130" s="106"/>
      <c r="AR130" s="106"/>
      <c r="AS130" s="106"/>
      <c r="AT130" s="106"/>
      <c r="AU130" s="106"/>
      <c r="AV130" s="106"/>
      <c r="AW130" s="106"/>
      <c r="AX130" s="106"/>
      <c r="AY130" s="106"/>
      <c r="AZ130" s="106"/>
      <c r="BA130" s="106"/>
      <c r="BB130" s="106"/>
      <c r="BC130" s="106"/>
      <c r="BD130" s="106"/>
      <c r="BE130" s="106"/>
      <c r="BF130" s="106"/>
      <c r="BG130" s="106"/>
      <c r="BH130" s="106"/>
      <c r="BI130" s="106"/>
      <c r="BJ130" s="106"/>
      <c r="BK130" s="106"/>
      <c r="BL130" s="106"/>
      <c r="BM130" s="106"/>
      <c r="BN130" s="106"/>
      <c r="BO130" s="106"/>
      <c r="BP130" s="106"/>
      <c r="BQ130" s="106"/>
      <c r="BR130" s="106"/>
      <c r="BS130" s="106"/>
      <c r="BT130" s="106"/>
      <c r="BU130" s="106"/>
      <c r="BV130" s="106"/>
      <c r="BW130" s="106"/>
      <c r="BX130" s="106"/>
      <c r="BY130" s="106"/>
      <c r="BZ130" s="106"/>
      <c r="CA130" s="106"/>
      <c r="CB130" s="106"/>
      <c r="CC130" s="106"/>
      <c r="CD130" s="106"/>
      <c r="CE130" s="106"/>
      <c r="CF130" s="106"/>
      <c r="CG130" s="106"/>
      <c r="CH130" s="106"/>
      <c r="CI130" s="106"/>
      <c r="CJ130" s="106"/>
      <c r="CK130" s="109">
        <f>+MEDIAN(M130,O130,Q130)</f>
        <v>369915.96638655465</v>
      </c>
      <c r="CL130" s="109">
        <f>+AVERAGE(M130,O130,Q130)</f>
        <v>385826.33053221292</v>
      </c>
      <c r="CM130" s="109">
        <f>+STDEV(M130,O130,Q130)</f>
        <v>38358.498825238079</v>
      </c>
      <c r="CN130" s="198">
        <f t="shared" si="53"/>
        <v>9.9419080010236624E-2</v>
      </c>
      <c r="CO130" s="5">
        <f t="shared" si="45"/>
        <v>324224.36974789918</v>
      </c>
      <c r="CP130" s="106">
        <f t="shared" si="46"/>
        <v>61602.630252100847</v>
      </c>
      <c r="CQ130" s="106">
        <f t="shared" si="54"/>
        <v>385827</v>
      </c>
      <c r="CR130" s="122">
        <f t="shared" si="55"/>
        <v>1157481</v>
      </c>
      <c r="CS130" s="79" t="s">
        <v>731</v>
      </c>
    </row>
    <row r="131" spans="1:97" ht="73.400000000000006" customHeight="1">
      <c r="A131" s="90">
        <f t="shared" ref="A131:A186" si="56">+A130+1</f>
        <v>118</v>
      </c>
      <c r="B131" s="88" t="s">
        <v>64</v>
      </c>
      <c r="C131" s="1" t="s">
        <v>435</v>
      </c>
      <c r="D131" s="91" t="s">
        <v>788</v>
      </c>
      <c r="E131" s="1">
        <v>4</v>
      </c>
      <c r="F131" s="1">
        <v>4</v>
      </c>
      <c r="G131" s="106"/>
      <c r="H131" s="106"/>
      <c r="I131" s="106"/>
      <c r="J131" s="106"/>
      <c r="K131" s="106"/>
      <c r="L131" s="106"/>
      <c r="M131" s="106"/>
      <c r="N131" s="106"/>
      <c r="O131" s="106"/>
      <c r="P131" s="106"/>
      <c r="Q131" s="106"/>
      <c r="R131" s="106"/>
      <c r="S131" s="106"/>
      <c r="T131" s="106"/>
      <c r="U131" s="106"/>
      <c r="V131" s="106"/>
      <c r="W131" s="106"/>
      <c r="X131" s="106"/>
      <c r="Y131" s="112">
        <v>200000</v>
      </c>
      <c r="Z131" s="106"/>
      <c r="AA131" s="121">
        <v>190000</v>
      </c>
      <c r="AB131" s="106"/>
      <c r="AC131" s="106"/>
      <c r="AD131" s="106"/>
      <c r="AE131" s="106"/>
      <c r="AF131" s="106"/>
      <c r="AG131" s="106"/>
      <c r="AH131" s="106"/>
      <c r="AI131" s="106"/>
      <c r="AJ131" s="106"/>
      <c r="AK131" s="106"/>
      <c r="AL131" s="106"/>
      <c r="AM131" s="106"/>
      <c r="AN131" s="106"/>
      <c r="AO131" s="106"/>
      <c r="AP131" s="106"/>
      <c r="AQ131" s="106"/>
      <c r="AR131" s="106"/>
      <c r="AS131" s="106"/>
      <c r="AT131" s="106"/>
      <c r="AU131" s="106"/>
      <c r="AV131" s="106"/>
      <c r="AW131" s="106"/>
      <c r="AX131" s="106"/>
      <c r="AY131" s="106"/>
      <c r="AZ131" s="106"/>
      <c r="BA131" s="106"/>
      <c r="BB131" s="106"/>
      <c r="BC131" s="106"/>
      <c r="BD131" s="106"/>
      <c r="BE131" s="106"/>
      <c r="BF131" s="106"/>
      <c r="BG131" s="106"/>
      <c r="BH131" s="106"/>
      <c r="BI131" s="106"/>
      <c r="BJ131" s="106"/>
      <c r="BK131" s="106"/>
      <c r="BL131" s="106"/>
      <c r="BM131" s="106"/>
      <c r="BN131" s="106"/>
      <c r="BO131" s="106"/>
      <c r="BP131" s="106"/>
      <c r="BQ131" s="106"/>
      <c r="BR131" s="106"/>
      <c r="BS131" s="106"/>
      <c r="BT131" s="106"/>
      <c r="BU131" s="106"/>
      <c r="BV131" s="106"/>
      <c r="BW131" s="106"/>
      <c r="BX131" s="106"/>
      <c r="BY131" s="106"/>
      <c r="BZ131" s="106"/>
      <c r="CA131" s="106"/>
      <c r="CB131" s="106"/>
      <c r="CC131" s="106"/>
      <c r="CD131" s="106"/>
      <c r="CE131" s="106"/>
      <c r="CF131" s="106"/>
      <c r="CG131" s="106"/>
      <c r="CH131" s="106"/>
      <c r="CI131" s="106"/>
      <c r="CJ131" s="106"/>
      <c r="CK131" s="109">
        <f>+MEDIAN(H131,I131,J131,K131,M131,M131,M131,O131,O131,Q131,S131,U131,W131,X131,Y131,Z131,AA131,AC131,AE131,AG131,AH131,AI131,AJ131,AK131,AL131,AM131,AO131,AP131,AQ131,AS131,AU131,AX131,AZ131,BB131,BC131,BE131,BG131,BH131,BI131,BK131,BL131,BM131,BN131,BP131,BR131,BT131,BV131)</f>
        <v>195000</v>
      </c>
      <c r="CL131" s="109">
        <f>+AVERAGE(H131,I131,J131,K131,M131,M131,M131,O131,O131,Q131,S131,U131,W131,X131,Y131,Z131,AA131,AC131,AE131,AG131,AH131,AI131,AJ131,AK131,AL131,AM131,AO131,AP131,AQ131,AS131,AU131,AX131,AZ131,BB131,BC131,BE131,BG131,BH131,BI131,BK131,BL131,BM131,BN131,BP131,BR131,BT131,BV131)</f>
        <v>195000</v>
      </c>
      <c r="CM131" s="109">
        <f>+STDEV(H131,I131,J131,K131,M131,M131,M131,O131,O131,Q131,S131,U131,W131,X131,Y131,Z131,AA131,AC131,AE131,AG131,AH131,AI131,AJ131,AK131,AL131,AM131,AO131,AP131,AQ131,AS131,AU131,AX131,AZ131,BB131,BC131,BE131,BG131,BH131,BI131,BK131,BL131,BM131,BN131,BP131,BR131,BT131,BV131)</f>
        <v>7071.0678118654751</v>
      </c>
      <c r="CN131" s="103">
        <f t="shared" ref="CN131:CN133" si="57">CM131/CL131</f>
        <v>3.6261886214694741E-2</v>
      </c>
      <c r="CO131" s="110">
        <f t="shared" si="45"/>
        <v>163865.5462184874</v>
      </c>
      <c r="CP131" s="107">
        <f t="shared" si="46"/>
        <v>31134.453781512606</v>
      </c>
      <c r="CQ131" s="106">
        <f t="shared" si="54"/>
        <v>195000</v>
      </c>
      <c r="CR131" s="122">
        <f t="shared" si="55"/>
        <v>3120000</v>
      </c>
      <c r="CS131" s="89" t="s">
        <v>732</v>
      </c>
    </row>
    <row r="132" spans="1:97" ht="73.400000000000006" customHeight="1">
      <c r="A132" s="90">
        <f t="shared" si="56"/>
        <v>119</v>
      </c>
      <c r="B132" s="88" t="s">
        <v>904</v>
      </c>
      <c r="C132" s="1" t="s">
        <v>436</v>
      </c>
      <c r="D132" s="91" t="s">
        <v>750</v>
      </c>
      <c r="E132" s="1">
        <v>4</v>
      </c>
      <c r="F132" s="1">
        <v>4</v>
      </c>
      <c r="G132" s="106"/>
      <c r="H132" s="106"/>
      <c r="I132" s="106"/>
      <c r="J132" s="106"/>
      <c r="K132" s="106"/>
      <c r="L132" s="106"/>
      <c r="M132" s="106"/>
      <c r="N132" s="106"/>
      <c r="O132" s="106"/>
      <c r="P132" s="106"/>
      <c r="Q132" s="106"/>
      <c r="R132" s="106"/>
      <c r="S132" s="106"/>
      <c r="T132" s="106"/>
      <c r="U132" s="106"/>
      <c r="V132" s="106"/>
      <c r="W132" s="106"/>
      <c r="X132" s="112"/>
      <c r="Y132" s="106">
        <v>390000</v>
      </c>
      <c r="Z132" s="112"/>
      <c r="AA132" s="106">
        <v>400000</v>
      </c>
      <c r="AB132" s="112"/>
      <c r="AC132" s="112"/>
      <c r="AD132" s="112"/>
      <c r="AE132" s="112"/>
      <c r="AF132" s="112"/>
      <c r="AG132" s="112"/>
      <c r="AH132" s="112"/>
      <c r="AI132" s="112"/>
      <c r="AJ132" s="112"/>
      <c r="AK132" s="112"/>
      <c r="AL132" s="112"/>
      <c r="AM132" s="112"/>
      <c r="AN132" s="112"/>
      <c r="AO132" s="112"/>
      <c r="AP132" s="112"/>
      <c r="AQ132" s="112"/>
      <c r="AR132" s="112"/>
      <c r="AS132" s="112"/>
      <c r="AT132" s="112"/>
      <c r="AU132" s="112"/>
      <c r="AV132" s="112"/>
      <c r="AW132" s="112"/>
      <c r="AX132" s="112"/>
      <c r="AY132" s="112"/>
      <c r="AZ132" s="112"/>
      <c r="BA132" s="112"/>
      <c r="BB132" s="112"/>
      <c r="BC132" s="112"/>
      <c r="BD132" s="112"/>
      <c r="BE132" s="112"/>
      <c r="BF132" s="112"/>
      <c r="BG132" s="112"/>
      <c r="BH132" s="112"/>
      <c r="BI132" s="112"/>
      <c r="BJ132" s="112"/>
      <c r="BK132" s="112"/>
      <c r="BL132" s="112"/>
      <c r="BM132" s="112"/>
      <c r="BN132" s="112"/>
      <c r="BO132" s="112"/>
      <c r="BP132" s="112"/>
      <c r="BQ132" s="112"/>
      <c r="BR132" s="112"/>
      <c r="BS132" s="112"/>
      <c r="BT132" s="112"/>
      <c r="BU132" s="112"/>
      <c r="BV132" s="112"/>
      <c r="BW132" s="112"/>
      <c r="BX132" s="112"/>
      <c r="BY132" s="112"/>
      <c r="BZ132" s="112"/>
      <c r="CA132" s="112"/>
      <c r="CB132" s="112"/>
      <c r="CC132" s="112"/>
      <c r="CD132" s="112"/>
      <c r="CE132" s="112"/>
      <c r="CF132" s="112"/>
      <c r="CG132" s="112"/>
      <c r="CH132" s="112"/>
      <c r="CI132" s="112"/>
      <c r="CJ132" s="112"/>
      <c r="CK132" s="109">
        <f>+MEDIAN(H132,I132,J132,K132,M132,M132,M132,O132,O132,Q132,S132,U132,W132,X132,Y132,Z132,AA132,AC132,AE132,AG132,AH132,AI132,AJ132,AK132,AL132,AM132,AO132,AP132,AQ132,AS132,AU132,AX132,AZ132,BB132,BC132,BE132,BG132,BH132,BI132,BK132,BL132,BM132,BN132,BP132,BR132,BT132,BV132)</f>
        <v>395000</v>
      </c>
      <c r="CL132" s="109">
        <f>+AVERAGE(H132,I132,J132,K132,M132,M132,M132,O132,O132,Q132,S132,U132,W132,X132,Y132,Z132,AA132,AC132,AE132,AG132,AH132,AI132,AJ132,AK132,AL132,AM132,AO132,AP132,AQ132,AS132,AU132,AX132,AZ132,BB132,BC132,BE132,BG132,BH132,BI132,BK132,BL132,BM132,BN132,BP132,BR132,BT132,BV132)</f>
        <v>395000</v>
      </c>
      <c r="CM132" s="109">
        <f>+STDEV(H132,I132,J132,K132,M132,M132,M132,O132,O132,Q132,S132,U132,W132,X132,Y132,Z132,AA132,AC132,AE132,AG132,AH132,AI132,AJ132,AK132,AL132,AM132,AO132,AP132,AQ132,AS132,AU132,AX132,AZ132,BB132,BC132,BE132,BG132,BH132,BI132,BK132,BL132,BM132,BN132,BP132,BR132,BT132,BV132)</f>
        <v>7071.0678118654751</v>
      </c>
      <c r="CN132" s="103">
        <f t="shared" si="57"/>
        <v>1.7901437498393607E-2</v>
      </c>
      <c r="CO132" s="110">
        <f t="shared" ref="CO132:CO152" si="58">CQ132/1.19</f>
        <v>331932.77310924372</v>
      </c>
      <c r="CP132" s="107">
        <f t="shared" ref="CP132:CP152" si="59">CO132*19%</f>
        <v>63067.226890756305</v>
      </c>
      <c r="CQ132" s="106">
        <f t="shared" si="54"/>
        <v>395000</v>
      </c>
      <c r="CR132" s="122">
        <f t="shared" si="55"/>
        <v>6320000</v>
      </c>
      <c r="CS132" s="89" t="s">
        <v>732</v>
      </c>
    </row>
    <row r="133" spans="1:97" ht="73.400000000000006" customHeight="1">
      <c r="A133" s="90">
        <f t="shared" si="56"/>
        <v>120</v>
      </c>
      <c r="B133" s="88" t="s">
        <v>904</v>
      </c>
      <c r="C133" s="1" t="s">
        <v>437</v>
      </c>
      <c r="D133" s="91" t="s">
        <v>750</v>
      </c>
      <c r="E133" s="1">
        <v>4</v>
      </c>
      <c r="F133" s="1">
        <v>4</v>
      </c>
      <c r="G133" s="106"/>
      <c r="H133" s="106"/>
      <c r="I133" s="106"/>
      <c r="J133" s="106"/>
      <c r="K133" s="106"/>
      <c r="L133" s="106"/>
      <c r="M133" s="106"/>
      <c r="N133" s="106"/>
      <c r="O133" s="106"/>
      <c r="P133" s="106"/>
      <c r="Q133" s="106"/>
      <c r="R133" s="106"/>
      <c r="S133" s="106"/>
      <c r="T133" s="106"/>
      <c r="U133" s="106"/>
      <c r="V133" s="106"/>
      <c r="W133" s="106"/>
      <c r="X133" s="112"/>
      <c r="Y133" s="106">
        <v>390000</v>
      </c>
      <c r="Z133" s="112"/>
      <c r="AA133" s="106">
        <v>400000</v>
      </c>
      <c r="AB133" s="112"/>
      <c r="AC133" s="112"/>
      <c r="AD133" s="112"/>
      <c r="AE133" s="112"/>
      <c r="AF133" s="112"/>
      <c r="AG133" s="112"/>
      <c r="AH133" s="112"/>
      <c r="AI133" s="112"/>
      <c r="AJ133" s="112"/>
      <c r="AK133" s="112"/>
      <c r="AL133" s="112"/>
      <c r="AM133" s="112"/>
      <c r="AN133" s="112"/>
      <c r="AO133" s="112"/>
      <c r="AP133" s="112"/>
      <c r="AQ133" s="112"/>
      <c r="AR133" s="112"/>
      <c r="AS133" s="112"/>
      <c r="AT133" s="112"/>
      <c r="AU133" s="112"/>
      <c r="AV133" s="112"/>
      <c r="AW133" s="112"/>
      <c r="AX133" s="112"/>
      <c r="AY133" s="112"/>
      <c r="AZ133" s="112"/>
      <c r="BA133" s="112"/>
      <c r="BB133" s="112"/>
      <c r="BC133" s="112"/>
      <c r="BD133" s="112"/>
      <c r="BE133" s="112"/>
      <c r="BF133" s="112"/>
      <c r="BG133" s="112"/>
      <c r="BH133" s="112"/>
      <c r="BI133" s="112"/>
      <c r="BJ133" s="112"/>
      <c r="BK133" s="112"/>
      <c r="BL133" s="112"/>
      <c r="BM133" s="112"/>
      <c r="BN133" s="112"/>
      <c r="BO133" s="112"/>
      <c r="BP133" s="112"/>
      <c r="BQ133" s="112"/>
      <c r="BR133" s="112"/>
      <c r="BS133" s="112"/>
      <c r="BT133" s="112"/>
      <c r="BU133" s="112"/>
      <c r="BV133" s="112"/>
      <c r="BW133" s="112"/>
      <c r="BX133" s="112"/>
      <c r="BY133" s="112"/>
      <c r="BZ133" s="112"/>
      <c r="CA133" s="112"/>
      <c r="CB133" s="112"/>
      <c r="CC133" s="112"/>
      <c r="CD133" s="112"/>
      <c r="CE133" s="112"/>
      <c r="CF133" s="112"/>
      <c r="CG133" s="112"/>
      <c r="CH133" s="112"/>
      <c r="CI133" s="112"/>
      <c r="CJ133" s="112"/>
      <c r="CK133" s="109">
        <f>+MEDIAN(H133,I133,J133,K133,M133,M133,M133,O133,O133,Q133,S133,U133,W133,X133,Y133,Z133,AA133,AC133,AE133,AG133,AH133,AI133,AJ133,AK133,AL133,AM133,AO133,AP133,AQ133,AS133,AU133,AX133,AZ133,BB133,BC133,BE133,BG133,BH133,BI133,BK133,BL133,BM133,BN133,BP133,BR133,BT133,BV133)</f>
        <v>395000</v>
      </c>
      <c r="CL133" s="109">
        <f>+AVERAGE(H133,I133,J133,K133,M133,M133,M133,O133,O133,Q133,S133,U133,W133,X133,Y133,Z133,AA133,AC133,AE133,AG133,AH133,AI133,AJ133,AK133,AL133,AM133,AO133,AP133,AQ133,AS133,AU133,AX133,AZ133,BB133,BC133,BE133,BG133,BH133,BI133,BK133,BL133,BM133,BN133,BP133,BR133,BT133,BV133)</f>
        <v>395000</v>
      </c>
      <c r="CM133" s="109">
        <f>+STDEV(H133,I133,J133,K133,M133,M133,M133,O133,O133,Q133,S133,U133,W133,X133,Y133,Z133,AA133,AC133,AE133,AG133,AH133,AI133,AJ133,AK133,AL133,AM133,AO133,AP133,AQ133,AS133,AU133,AX133,AZ133,BB133,BC133,BE133,BG133,BH133,BI133,BK133,BL133,BM133,BN133,BP133,BR133,BT133,BV133)</f>
        <v>7071.0678118654751</v>
      </c>
      <c r="CN133" s="103">
        <f t="shared" si="57"/>
        <v>1.7901437498393607E-2</v>
      </c>
      <c r="CO133" s="110">
        <f t="shared" si="58"/>
        <v>331932.77310924372</v>
      </c>
      <c r="CP133" s="107">
        <f t="shared" si="59"/>
        <v>63067.226890756305</v>
      </c>
      <c r="CQ133" s="106">
        <f t="shared" si="54"/>
        <v>395000</v>
      </c>
      <c r="CR133" s="122">
        <f t="shared" si="55"/>
        <v>6320000</v>
      </c>
      <c r="CS133" s="89" t="s">
        <v>732</v>
      </c>
    </row>
    <row r="134" spans="1:97" ht="73.400000000000006" customHeight="1">
      <c r="A134" s="90">
        <f t="shared" si="56"/>
        <v>121</v>
      </c>
      <c r="B134" s="88" t="s">
        <v>41</v>
      </c>
      <c r="C134" s="1" t="s">
        <v>294</v>
      </c>
      <c r="D134" s="91" t="s">
        <v>747</v>
      </c>
      <c r="E134" s="1">
        <v>1</v>
      </c>
      <c r="F134" s="1">
        <v>1.5</v>
      </c>
      <c r="G134" s="106"/>
      <c r="H134" s="106"/>
      <c r="I134" s="106"/>
      <c r="J134" s="106"/>
      <c r="K134" s="106"/>
      <c r="L134" s="106"/>
      <c r="M134" s="106"/>
      <c r="N134" s="106"/>
      <c r="O134" s="106"/>
      <c r="P134" s="106"/>
      <c r="Q134" s="106"/>
      <c r="R134" s="106"/>
      <c r="S134" s="106"/>
      <c r="T134" s="106"/>
      <c r="U134" s="106"/>
      <c r="V134" s="106"/>
      <c r="W134" s="106"/>
      <c r="X134" s="106"/>
      <c r="Y134" s="112">
        <v>4500000</v>
      </c>
      <c r="Z134" s="112"/>
      <c r="AA134" s="112">
        <v>4400000</v>
      </c>
      <c r="AB134" s="106"/>
      <c r="AC134" s="106"/>
      <c r="AD134" s="106"/>
      <c r="AE134" s="106"/>
      <c r="AF134" s="106"/>
      <c r="AG134" s="106"/>
      <c r="AH134" s="106"/>
      <c r="AI134" s="106"/>
      <c r="AJ134" s="106"/>
      <c r="AK134" s="106"/>
      <c r="AL134" s="106"/>
      <c r="AM134" s="106"/>
      <c r="AN134" s="106"/>
      <c r="AO134" s="106"/>
      <c r="AP134" s="106"/>
      <c r="AQ134" s="106"/>
      <c r="AR134" s="106"/>
      <c r="AS134" s="106"/>
      <c r="AT134" s="106"/>
      <c r="AU134" s="106"/>
      <c r="AV134" s="106"/>
      <c r="AW134" s="106"/>
      <c r="AX134" s="106"/>
      <c r="AY134" s="106"/>
      <c r="AZ134" s="106"/>
      <c r="BA134" s="106"/>
      <c r="BB134" s="106"/>
      <c r="BC134" s="106"/>
      <c r="BD134" s="106"/>
      <c r="BE134" s="106"/>
      <c r="BF134" s="106"/>
      <c r="BG134" s="106"/>
      <c r="BH134" s="106"/>
      <c r="BI134" s="106"/>
      <c r="BJ134" s="106"/>
      <c r="BK134" s="106"/>
      <c r="BL134" s="106"/>
      <c r="BM134" s="106"/>
      <c r="BN134" s="106"/>
      <c r="BO134" s="106"/>
      <c r="BP134" s="106"/>
      <c r="BQ134" s="106"/>
      <c r="BR134" s="106"/>
      <c r="BS134" s="106"/>
      <c r="BT134" s="106"/>
      <c r="BU134" s="106"/>
      <c r="BV134" s="106"/>
      <c r="BW134" s="106"/>
      <c r="BX134" s="106"/>
      <c r="BY134" s="106"/>
      <c r="BZ134" s="106"/>
      <c r="CA134" s="106"/>
      <c r="CB134" s="106"/>
      <c r="CC134" s="106"/>
      <c r="CD134" s="106"/>
      <c r="CE134" s="106"/>
      <c r="CF134" s="106"/>
      <c r="CG134" s="106"/>
      <c r="CH134" s="106"/>
      <c r="CI134" s="106"/>
      <c r="CJ134" s="106"/>
      <c r="CK134" s="109">
        <f>+MEDIAN(H134,I134,J134,K134,M134,M134,M134,O134,O134,Q134,S134,U134,W134,X134,Y134,Z134,AA134,AC134,AE134,AG134,AH134,AI134,AJ134,AK134,AL134,AM134,AO134,AP134,AQ134,AS134,AU134,AX134,AZ134,BB134,BC134,BE134,BG134,BH134,BI134,BK134,BL134,BM134,BN134,BP134,BR134,BT134,BV134)</f>
        <v>4450000</v>
      </c>
      <c r="CL134" s="109">
        <f>+AVERAGE(H134,I134,J134,K134,M134,M134,M134,O134,O134,Q134,S134,U134,W134,X134,Y134,Z134,AA134,AC134,AE134,AG134,AH134,AI134,AJ134,AK134,AL134,AM134,AO134,AP134,AQ134,AS134,AU134,AX134,AZ134,BB134,BC134,BE134,BG134,BH134,BI134,BK134,BL134,BM134,BN134,BP134,BR134,BT134,BV134)</f>
        <v>4450000</v>
      </c>
      <c r="CM134" s="109">
        <f>+STDEV(H134,I134,J134,K134,M134,M134,M134,O134,O134,Q134,S134,U134,W134,X134,Y134,Z134,AA134,AC134,AE134,AG134,AH134,AI134,AJ134,AK134,AL134,AM134,AO134,AP134,AQ134,AS134,AU134,AX134,AZ134,BB134,BC134,BE134,BG134,BH134,BI134,BK134,BL134,BM134,BN134,BP134,BR134,BT134,BV134)</f>
        <v>70710.67811865476</v>
      </c>
      <c r="CN134" s="103">
        <f t="shared" ref="CN134:CN153" si="60">CM134/CL134</f>
        <v>1.5890040026663992E-2</v>
      </c>
      <c r="CO134" s="110">
        <f t="shared" si="58"/>
        <v>3739495.7983193281</v>
      </c>
      <c r="CP134" s="107">
        <f t="shared" si="59"/>
        <v>710504.20168067235</v>
      </c>
      <c r="CQ134" s="106">
        <f t="shared" si="54"/>
        <v>4450000</v>
      </c>
      <c r="CR134" s="122">
        <f t="shared" si="55"/>
        <v>6675000</v>
      </c>
      <c r="CS134" s="89" t="s">
        <v>732</v>
      </c>
    </row>
    <row r="135" spans="1:97" ht="73.400000000000006" customHeight="1">
      <c r="A135" s="90">
        <f t="shared" si="56"/>
        <v>122</v>
      </c>
      <c r="B135" s="88" t="s">
        <v>42</v>
      </c>
      <c r="C135" s="1" t="s">
        <v>296</v>
      </c>
      <c r="D135" s="91" t="s">
        <v>750</v>
      </c>
      <c r="E135" s="1">
        <v>2</v>
      </c>
      <c r="F135" s="1">
        <v>15</v>
      </c>
      <c r="G135" s="106"/>
      <c r="H135" s="106"/>
      <c r="I135" s="106"/>
      <c r="J135" s="106"/>
      <c r="K135" s="106"/>
      <c r="L135" s="106"/>
      <c r="M135" s="106"/>
      <c r="N135" s="106"/>
      <c r="O135" s="106"/>
      <c r="P135" s="106"/>
      <c r="Q135" s="106"/>
      <c r="R135" s="106"/>
      <c r="S135" s="106"/>
      <c r="T135" s="106"/>
      <c r="U135" s="106"/>
      <c r="V135" s="106"/>
      <c r="W135" s="106"/>
      <c r="X135" s="106"/>
      <c r="Y135" s="112">
        <v>200000</v>
      </c>
      <c r="Z135" s="106"/>
      <c r="AA135" s="106">
        <v>190000</v>
      </c>
      <c r="AB135" s="106"/>
      <c r="AC135" s="106"/>
      <c r="AD135" s="106"/>
      <c r="AE135" s="106"/>
      <c r="AF135" s="106"/>
      <c r="AG135" s="106"/>
      <c r="AH135" s="106"/>
      <c r="AI135" s="106"/>
      <c r="AJ135" s="106"/>
      <c r="AK135" s="106"/>
      <c r="AL135" s="106"/>
      <c r="AM135" s="106"/>
      <c r="AN135" s="106"/>
      <c r="AO135" s="106"/>
      <c r="AP135" s="106"/>
      <c r="AQ135" s="106"/>
      <c r="AR135" s="106"/>
      <c r="AS135" s="106"/>
      <c r="AT135" s="106"/>
      <c r="AU135" s="106"/>
      <c r="AV135" s="106"/>
      <c r="AW135" s="106"/>
      <c r="AX135" s="106"/>
      <c r="AY135" s="106"/>
      <c r="AZ135" s="106"/>
      <c r="BA135" s="106"/>
      <c r="BB135" s="106"/>
      <c r="BC135" s="106"/>
      <c r="BD135" s="106"/>
      <c r="BE135" s="106"/>
      <c r="BF135" s="106"/>
      <c r="BG135" s="106"/>
      <c r="BH135" s="106"/>
      <c r="BI135" s="106"/>
      <c r="BJ135" s="106"/>
      <c r="BK135" s="106"/>
      <c r="BL135" s="106"/>
      <c r="BM135" s="106"/>
      <c r="BN135" s="106"/>
      <c r="BO135" s="106"/>
      <c r="BP135" s="106"/>
      <c r="BQ135" s="106"/>
      <c r="BR135" s="106"/>
      <c r="BS135" s="106"/>
      <c r="BT135" s="106"/>
      <c r="BU135" s="106"/>
      <c r="BV135" s="106"/>
      <c r="BW135" s="106"/>
      <c r="BX135" s="106"/>
      <c r="BY135" s="106"/>
      <c r="BZ135" s="106"/>
      <c r="CA135" s="106"/>
      <c r="CB135" s="106"/>
      <c r="CC135" s="106"/>
      <c r="CD135" s="106"/>
      <c r="CE135" s="106"/>
      <c r="CF135" s="106"/>
      <c r="CG135" s="106"/>
      <c r="CH135" s="106"/>
      <c r="CI135" s="106"/>
      <c r="CJ135" s="106"/>
      <c r="CK135" s="109">
        <f>+MEDIAN(H135,I135,J135,K135,M135,M135,M135,O135,O135,Q135,S135,U135,W135,X135,Y135,Z135,AA135,AC135,AE135,AG135,AH135,AI135,AJ135,AK135,AL135,AM135,AO135,AP135,AQ135,AS135,AU135,AX135,AZ135,BB135,BC135,BE135,BG135,BH135,BI135,BK135,BL135,BM135,BN135,BP135,BR135,BT135,BV135)</f>
        <v>195000</v>
      </c>
      <c r="CL135" s="109">
        <f>+AVERAGE(H135,I135,J135,K135,M135,M135,M135,O135,O135,Q135,S135,U135,W135,X135,Y135,Z135,AA135,AC135,AE135,AG135,AH135,AI135,AJ135,AK135,AL135,AM135,AO135,AP135,AQ135,AS135,AU135,AX135,AZ135,BB135,BC135,BE135,BG135,BH135,BI135,BK135,BL135,BM135,BN135,BP135,BR135,BT135,BV135)</f>
        <v>195000</v>
      </c>
      <c r="CM135" s="109">
        <f>+STDEV(H135,I135,J135,K135,M135,M135,M135,O135,O135,Q135,S135,U135,W135,X135,Y135,Z135,AA135,AC135,AE135,AG135,AH135,AI135,AJ135,AK135,AL135,AM135,AO135,AP135,AQ135,AS135,AU135,AX135,AZ135,BB135,BC135,BE135,BG135,BH135,BI135,BK135,BL135,BM135,BN135,BP135,BR135,BT135,BV135)</f>
        <v>7071.0678118654751</v>
      </c>
      <c r="CN135" s="103">
        <f t="shared" si="60"/>
        <v>3.6261886214694741E-2</v>
      </c>
      <c r="CO135" s="110">
        <f t="shared" si="58"/>
        <v>163865.5462184874</v>
      </c>
      <c r="CP135" s="107">
        <f t="shared" si="59"/>
        <v>31134.453781512606</v>
      </c>
      <c r="CQ135" s="106">
        <f t="shared" si="54"/>
        <v>195000</v>
      </c>
      <c r="CR135" s="122">
        <f t="shared" si="55"/>
        <v>5850000</v>
      </c>
      <c r="CS135" s="89" t="s">
        <v>732</v>
      </c>
    </row>
    <row r="136" spans="1:97" ht="73.400000000000006" customHeight="1">
      <c r="A136" s="90">
        <f t="shared" si="56"/>
        <v>123</v>
      </c>
      <c r="B136" s="88" t="s">
        <v>123</v>
      </c>
      <c r="C136" s="1" t="s">
        <v>911</v>
      </c>
      <c r="D136" s="91" t="s">
        <v>750</v>
      </c>
      <c r="E136" s="1">
        <v>4</v>
      </c>
      <c r="F136" s="1">
        <v>20</v>
      </c>
      <c r="G136" s="106"/>
      <c r="H136" s="106"/>
      <c r="I136" s="106"/>
      <c r="J136" s="106"/>
      <c r="K136" s="106"/>
      <c r="L136" s="106">
        <v>115000</v>
      </c>
      <c r="M136" s="106">
        <f>+((L136/1.19*23%)+L136)</f>
        <v>137226.89075630251</v>
      </c>
      <c r="N136" s="106">
        <v>120000</v>
      </c>
      <c r="O136" s="106">
        <f>+((N136/1.19*23%)+N136)</f>
        <v>143193.27731092437</v>
      </c>
      <c r="P136" s="106">
        <v>148000</v>
      </c>
      <c r="Q136" s="106">
        <f>+((P136/1.19*23%)+P136)</f>
        <v>176605.04201680672</v>
      </c>
      <c r="R136" s="106"/>
      <c r="S136" s="106"/>
      <c r="T136" s="106"/>
      <c r="U136" s="106"/>
      <c r="V136" s="106"/>
      <c r="W136" s="106"/>
      <c r="X136" s="106"/>
      <c r="Y136" s="106"/>
      <c r="Z136" s="106"/>
      <c r="AA136" s="106"/>
      <c r="AB136" s="106"/>
      <c r="AC136" s="106"/>
      <c r="AD136" s="106"/>
      <c r="AE136" s="106"/>
      <c r="AF136" s="106"/>
      <c r="AG136" s="106"/>
      <c r="AH136" s="106"/>
      <c r="AI136" s="106"/>
      <c r="AJ136" s="106"/>
      <c r="AK136" s="106"/>
      <c r="AL136" s="106"/>
      <c r="AM136" s="106"/>
      <c r="AN136" s="106"/>
      <c r="AO136" s="106"/>
      <c r="AP136" s="106"/>
      <c r="AQ136" s="106"/>
      <c r="AR136" s="106"/>
      <c r="AS136" s="106"/>
      <c r="AT136" s="106"/>
      <c r="AU136" s="106"/>
      <c r="AV136" s="106"/>
      <c r="AW136" s="106"/>
      <c r="AX136" s="106"/>
      <c r="AY136" s="106"/>
      <c r="AZ136" s="106"/>
      <c r="BA136" s="106"/>
      <c r="BB136" s="106"/>
      <c r="BC136" s="106"/>
      <c r="BD136" s="106"/>
      <c r="BE136" s="106"/>
      <c r="BF136" s="106"/>
      <c r="BG136" s="106"/>
      <c r="BH136" s="106"/>
      <c r="BI136" s="106"/>
      <c r="BJ136" s="106"/>
      <c r="BK136" s="106"/>
      <c r="BL136" s="106"/>
      <c r="BM136" s="106"/>
      <c r="BN136" s="106"/>
      <c r="BO136" s="106"/>
      <c r="BP136" s="106"/>
      <c r="BQ136" s="106"/>
      <c r="BR136" s="106"/>
      <c r="BS136" s="106"/>
      <c r="BT136" s="106"/>
      <c r="BU136" s="106"/>
      <c r="BV136" s="106"/>
      <c r="BW136" s="106"/>
      <c r="BX136" s="106"/>
      <c r="BY136" s="106"/>
      <c r="BZ136" s="106"/>
      <c r="CA136" s="106"/>
      <c r="CB136" s="106"/>
      <c r="CC136" s="106"/>
      <c r="CD136" s="106"/>
      <c r="CE136" s="106"/>
      <c r="CF136" s="106"/>
      <c r="CG136" s="106"/>
      <c r="CH136" s="106"/>
      <c r="CI136" s="106"/>
      <c r="CJ136" s="106"/>
      <c r="CK136" s="109">
        <f>+MEDIAN(M136,O136,Q136)</f>
        <v>143193.27731092437</v>
      </c>
      <c r="CL136" s="109">
        <f>+AVERAGE(M136,O136,Q136)</f>
        <v>152341.73669467788</v>
      </c>
      <c r="CM136" s="109">
        <f>+STDEV(M136,O136,Q136)</f>
        <v>21223.346366582569</v>
      </c>
      <c r="CN136" s="198">
        <f t="shared" si="60"/>
        <v>0.13931406341466512</v>
      </c>
      <c r="CO136" s="5">
        <f t="shared" si="58"/>
        <v>128018.48739495799</v>
      </c>
      <c r="CP136" s="106">
        <f t="shared" si="59"/>
        <v>24323.512605042019</v>
      </c>
      <c r="CQ136" s="106">
        <f t="shared" si="54"/>
        <v>152342</v>
      </c>
      <c r="CR136" s="122">
        <f t="shared" si="55"/>
        <v>12187360</v>
      </c>
      <c r="CS136" s="79" t="s">
        <v>731</v>
      </c>
    </row>
    <row r="137" spans="1:97" ht="93" customHeight="1">
      <c r="A137" s="90">
        <f t="shared" si="56"/>
        <v>124</v>
      </c>
      <c r="B137" s="88" t="s">
        <v>65</v>
      </c>
      <c r="C137" s="1" t="s">
        <v>124</v>
      </c>
      <c r="D137" s="91" t="s">
        <v>750</v>
      </c>
      <c r="E137" s="1">
        <v>2</v>
      </c>
      <c r="F137" s="1">
        <v>6</v>
      </c>
      <c r="G137" s="106"/>
      <c r="H137" s="106"/>
      <c r="I137" s="106"/>
      <c r="J137" s="106"/>
      <c r="K137" s="106"/>
      <c r="L137" s="106"/>
      <c r="M137" s="106"/>
      <c r="N137" s="106"/>
      <c r="O137" s="106"/>
      <c r="P137" s="106"/>
      <c r="Q137" s="106"/>
      <c r="R137" s="106"/>
      <c r="S137" s="106"/>
      <c r="T137" s="106"/>
      <c r="U137" s="106"/>
      <c r="V137" s="106"/>
      <c r="W137" s="106"/>
      <c r="X137" s="112">
        <v>350000</v>
      </c>
      <c r="Y137" s="112">
        <v>300000</v>
      </c>
      <c r="Z137" s="112">
        <v>290000</v>
      </c>
      <c r="AA137" s="112"/>
      <c r="AB137" s="112"/>
      <c r="AC137" s="112"/>
      <c r="AD137" s="112"/>
      <c r="AE137" s="112"/>
      <c r="AF137" s="112"/>
      <c r="AG137" s="112"/>
      <c r="AH137" s="112"/>
      <c r="AI137" s="112"/>
      <c r="AJ137" s="112"/>
      <c r="AK137" s="112"/>
      <c r="AL137" s="112"/>
      <c r="AM137" s="112"/>
      <c r="AN137" s="112"/>
      <c r="AO137" s="112"/>
      <c r="AP137" s="112"/>
      <c r="AQ137" s="112"/>
      <c r="AR137" s="112"/>
      <c r="AS137" s="112"/>
      <c r="AT137" s="112"/>
      <c r="AU137" s="112"/>
      <c r="AV137" s="112"/>
      <c r="AW137" s="112"/>
      <c r="AX137" s="112"/>
      <c r="AY137" s="112"/>
      <c r="AZ137" s="112"/>
      <c r="BA137" s="112"/>
      <c r="BB137" s="112"/>
      <c r="BC137" s="112"/>
      <c r="BD137" s="112"/>
      <c r="BE137" s="112"/>
      <c r="BF137" s="112"/>
      <c r="BG137" s="112"/>
      <c r="BH137" s="112"/>
      <c r="BI137" s="112"/>
      <c r="BJ137" s="112"/>
      <c r="BK137" s="112"/>
      <c r="BL137" s="112"/>
      <c r="BM137" s="112"/>
      <c r="BN137" s="112"/>
      <c r="BO137" s="112"/>
      <c r="BP137" s="112"/>
      <c r="BQ137" s="112"/>
      <c r="BR137" s="112"/>
      <c r="BS137" s="112"/>
      <c r="BT137" s="112"/>
      <c r="BU137" s="112"/>
      <c r="BV137" s="112"/>
      <c r="BW137" s="112"/>
      <c r="BX137" s="112"/>
      <c r="BY137" s="112"/>
      <c r="BZ137" s="112"/>
      <c r="CA137" s="112"/>
      <c r="CB137" s="112"/>
      <c r="CC137" s="112"/>
      <c r="CD137" s="112"/>
      <c r="CE137" s="112"/>
      <c r="CF137" s="112"/>
      <c r="CG137" s="112"/>
      <c r="CH137" s="112"/>
      <c r="CI137" s="112"/>
      <c r="CJ137" s="112"/>
      <c r="CK137" s="109">
        <f>+MEDIAN(H137,I137,J137,K137,M137,M137,M137,O137,O137,Q137,S137,U137,W137,X137,Y137,Z137,AA137,AC137,AE137,AG137,AH137,AI137,AJ137,AK137,AL137,AM137,AO137,AP137,AQ137,AS137,AU137,AX137,AZ137,BB137,BC137,BE137,BG137,BH137,BI137,BK137,BL137,BM137,BN137,BP137,BR137,BT137,BV137)</f>
        <v>300000</v>
      </c>
      <c r="CL137" s="109">
        <f>+AVERAGE(H137,I137,J137,K137,M137,M137,M137,O137,O137,Q137,S137,U137,W137,X137,Y137,Z137,AA137,AC137,AE137,AG137,AH137,AI137,AJ137,AK137,AL137,AM137,AO137,AP137,AQ137,AS137,AU137,AX137,AZ137,BB137,BC137,BE137,BG137,BH137,BI137,BK137,BL137,BM137,BN137,BP137,BR137,BT137,BV137)</f>
        <v>313333.33333333331</v>
      </c>
      <c r="CM137" s="109">
        <f>+STDEV(H137,I137,J137,K137,M137,M137,M137,O137,O137,Q137,S137,U137,W137,X137,Y137,Z137,AA137,AC137,AE137,AG137,AH137,AI137,AJ137,AK137,AL137,AM137,AO137,AP137,AQ137,AS137,AU137,AX137,AZ137,BB137,BC137,BE137,BG137,BH137,BI137,BK137,BL137,BM137,BN137,BP137,BR137,BT137,BV137)</f>
        <v>32145.502536643184</v>
      </c>
      <c r="CN137" s="103">
        <f t="shared" si="60"/>
        <v>0.10259202937226548</v>
      </c>
      <c r="CO137" s="110">
        <f t="shared" si="58"/>
        <v>263305.8823529412</v>
      </c>
      <c r="CP137" s="107">
        <f t="shared" si="59"/>
        <v>50028.117647058833</v>
      </c>
      <c r="CQ137" s="106">
        <f t="shared" si="54"/>
        <v>313334</v>
      </c>
      <c r="CR137" s="122">
        <f t="shared" si="55"/>
        <v>3760008</v>
      </c>
      <c r="CS137" s="89" t="s">
        <v>732</v>
      </c>
    </row>
    <row r="138" spans="1:97" ht="93" customHeight="1">
      <c r="A138" s="90">
        <f t="shared" si="56"/>
        <v>125</v>
      </c>
      <c r="B138" s="80" t="s">
        <v>297</v>
      </c>
      <c r="C138" s="1" t="s">
        <v>438</v>
      </c>
      <c r="D138" s="91" t="s">
        <v>750</v>
      </c>
      <c r="E138" s="1">
        <v>3</v>
      </c>
      <c r="F138" s="1">
        <v>1</v>
      </c>
      <c r="G138" s="106"/>
      <c r="H138" s="106"/>
      <c r="I138" s="106"/>
      <c r="J138" s="106"/>
      <c r="K138" s="106"/>
      <c r="L138" s="106">
        <v>310000</v>
      </c>
      <c r="M138" s="106">
        <f>+((L138/1.19*23%)+L138)</f>
        <v>369915.96638655465</v>
      </c>
      <c r="N138" s="106">
        <v>360000</v>
      </c>
      <c r="O138" s="106">
        <f>+((N138/1.19*23%)+N138)</f>
        <v>429579.83193277312</v>
      </c>
      <c r="P138" s="106">
        <v>300000</v>
      </c>
      <c r="Q138" s="106">
        <f>+((P138/1.19*23%)+P138)</f>
        <v>357983.19327731093</v>
      </c>
      <c r="R138" s="106"/>
      <c r="S138" s="106"/>
      <c r="T138" s="106"/>
      <c r="U138" s="106"/>
      <c r="V138" s="106"/>
      <c r="W138" s="106"/>
      <c r="X138" s="112"/>
      <c r="Y138" s="112"/>
      <c r="Z138" s="112"/>
      <c r="AA138" s="112"/>
      <c r="AB138" s="112"/>
      <c r="AC138" s="112"/>
      <c r="AD138" s="112"/>
      <c r="AE138" s="112"/>
      <c r="AF138" s="112"/>
      <c r="AG138" s="112"/>
      <c r="AH138" s="112"/>
      <c r="AI138" s="112"/>
      <c r="AJ138" s="112"/>
      <c r="AK138" s="112"/>
      <c r="AL138" s="112"/>
      <c r="AM138" s="112"/>
      <c r="AN138" s="112"/>
      <c r="AO138" s="112"/>
      <c r="AP138" s="112"/>
      <c r="AQ138" s="112"/>
      <c r="AR138" s="112"/>
      <c r="AS138" s="112"/>
      <c r="AT138" s="112"/>
      <c r="AU138" s="112"/>
      <c r="AV138" s="112"/>
      <c r="AW138" s="112"/>
      <c r="AX138" s="112"/>
      <c r="AY138" s="112"/>
      <c r="AZ138" s="112"/>
      <c r="BA138" s="112"/>
      <c r="BB138" s="112"/>
      <c r="BC138" s="112"/>
      <c r="BD138" s="112"/>
      <c r="BE138" s="112"/>
      <c r="BF138" s="112"/>
      <c r="BG138" s="112"/>
      <c r="BH138" s="112"/>
      <c r="BI138" s="112"/>
      <c r="BJ138" s="112"/>
      <c r="BK138" s="112"/>
      <c r="BL138" s="112"/>
      <c r="BM138" s="112"/>
      <c r="BN138" s="112"/>
      <c r="BO138" s="112"/>
      <c r="BP138" s="112"/>
      <c r="BQ138" s="112"/>
      <c r="BR138" s="112"/>
      <c r="BS138" s="112"/>
      <c r="BT138" s="112"/>
      <c r="BU138" s="112"/>
      <c r="BV138" s="112"/>
      <c r="BW138" s="112"/>
      <c r="BX138" s="112"/>
      <c r="BY138" s="112"/>
      <c r="BZ138" s="112"/>
      <c r="CA138" s="112"/>
      <c r="CB138" s="112"/>
      <c r="CC138" s="112"/>
      <c r="CD138" s="112"/>
      <c r="CE138" s="112"/>
      <c r="CF138" s="112"/>
      <c r="CG138" s="112"/>
      <c r="CH138" s="112"/>
      <c r="CI138" s="112"/>
      <c r="CJ138" s="112"/>
      <c r="CK138" s="109">
        <f>+MEDIAN(M138,O138,Q138)</f>
        <v>369915.96638655465</v>
      </c>
      <c r="CL138" s="109">
        <f>+AVERAGE(M138,O138,Q138)</f>
        <v>385826.33053221292</v>
      </c>
      <c r="CM138" s="109">
        <f>+STDEV(M138,O138,Q138)</f>
        <v>38358.498825238079</v>
      </c>
      <c r="CN138" s="198">
        <f t="shared" si="60"/>
        <v>9.9419080010236624E-2</v>
      </c>
      <c r="CO138" s="5">
        <f t="shared" ref="CO138" si="61">CQ138/1.19</f>
        <v>324224.36974789918</v>
      </c>
      <c r="CP138" s="106">
        <f t="shared" ref="CP138" si="62">CO138*19%</f>
        <v>61602.630252100847</v>
      </c>
      <c r="CQ138" s="106">
        <f t="shared" si="54"/>
        <v>385827</v>
      </c>
      <c r="CR138" s="122">
        <f>+CQ138*E138</f>
        <v>1157481</v>
      </c>
      <c r="CS138" s="79" t="s">
        <v>731</v>
      </c>
    </row>
    <row r="139" spans="1:97" ht="111.65" customHeight="1">
      <c r="A139" s="90">
        <f t="shared" si="56"/>
        <v>126</v>
      </c>
      <c r="B139" s="63" t="s">
        <v>46</v>
      </c>
      <c r="C139" s="1" t="s">
        <v>912</v>
      </c>
      <c r="D139" s="91" t="s">
        <v>789</v>
      </c>
      <c r="E139" s="1">
        <v>5</v>
      </c>
      <c r="F139" s="1"/>
      <c r="G139" s="106"/>
      <c r="H139" s="106"/>
      <c r="I139" s="106"/>
      <c r="J139" s="106"/>
      <c r="K139" s="106"/>
      <c r="L139" s="326">
        <v>530000</v>
      </c>
      <c r="M139" s="326">
        <f>+((L139/1.19)*23%)+L139</f>
        <v>632436.97478991596</v>
      </c>
      <c r="N139" s="326">
        <v>540000</v>
      </c>
      <c r="O139" s="326">
        <f>+((N139)*23%)+N139</f>
        <v>664200</v>
      </c>
      <c r="P139" s="326">
        <v>600000</v>
      </c>
      <c r="Q139" s="326">
        <f>+((P139)*23%)+P139</f>
        <v>738000</v>
      </c>
      <c r="R139" s="106"/>
      <c r="S139" s="106"/>
      <c r="T139" s="106"/>
      <c r="U139" s="106"/>
      <c r="V139" s="106"/>
      <c r="W139" s="106"/>
      <c r="X139" s="106"/>
      <c r="Y139" s="106"/>
      <c r="Z139" s="106"/>
      <c r="AA139" s="106"/>
      <c r="AB139" s="106"/>
      <c r="AC139" s="106"/>
      <c r="AD139" s="106"/>
      <c r="AE139" s="106"/>
      <c r="AF139" s="106"/>
      <c r="AG139" s="106"/>
      <c r="AH139" s="106"/>
      <c r="AI139" s="106"/>
      <c r="AJ139" s="106"/>
      <c r="AK139" s="106"/>
      <c r="AL139" s="106"/>
      <c r="AM139" s="106"/>
      <c r="AN139" s="106"/>
      <c r="AO139" s="106"/>
      <c r="AP139" s="106"/>
      <c r="AQ139" s="106"/>
      <c r="AR139" s="106"/>
      <c r="AS139" s="106"/>
      <c r="AT139" s="106"/>
      <c r="AU139" s="106"/>
      <c r="AV139" s="106"/>
      <c r="AW139" s="106"/>
      <c r="AX139" s="106"/>
      <c r="AY139" s="106"/>
      <c r="AZ139" s="106"/>
      <c r="BA139" s="106"/>
      <c r="BB139" s="106"/>
      <c r="BC139" s="106"/>
      <c r="BD139" s="106"/>
      <c r="BE139" s="106"/>
      <c r="BF139" s="106"/>
      <c r="BG139" s="106"/>
      <c r="BH139" s="106"/>
      <c r="BI139" s="106"/>
      <c r="BJ139" s="106"/>
      <c r="BK139" s="106"/>
      <c r="BL139" s="106"/>
      <c r="BM139" s="106"/>
      <c r="BN139" s="106"/>
      <c r="BO139" s="106"/>
      <c r="BP139" s="106"/>
      <c r="BQ139" s="106"/>
      <c r="BR139" s="106"/>
      <c r="BS139" s="106"/>
      <c r="BT139" s="106"/>
      <c r="BU139" s="106"/>
      <c r="BV139" s="106"/>
      <c r="BW139" s="106"/>
      <c r="BX139" s="106"/>
      <c r="BY139" s="106"/>
      <c r="BZ139" s="106"/>
      <c r="CA139" s="106"/>
      <c r="CB139" s="106"/>
      <c r="CC139" s="106"/>
      <c r="CD139" s="106"/>
      <c r="CE139" s="106"/>
      <c r="CF139" s="106"/>
      <c r="CG139" s="106"/>
      <c r="CH139" s="106"/>
      <c r="CI139" s="106"/>
      <c r="CJ139" s="106"/>
      <c r="CK139" s="109">
        <f>+MEDIAN(M139,O139,Q139)</f>
        <v>664200</v>
      </c>
      <c r="CL139" s="109">
        <f>+AVERAGE(M139,O139,Q139)</f>
        <v>678212.32492997206</v>
      </c>
      <c r="CM139" s="109">
        <f>+STDEV(M139,O139,Q139)</f>
        <v>54158.53589540199</v>
      </c>
      <c r="CN139" s="103">
        <f t="shared" si="60"/>
        <v>7.985483882351159E-2</v>
      </c>
      <c r="CO139" s="5">
        <f>CQ139</f>
        <v>678213</v>
      </c>
      <c r="CP139" s="106"/>
      <c r="CQ139" s="106">
        <f t="shared" si="54"/>
        <v>678213</v>
      </c>
      <c r="CR139" s="122">
        <f>+CQ139*E139</f>
        <v>3391065</v>
      </c>
      <c r="CS139" s="89" t="s">
        <v>732</v>
      </c>
    </row>
    <row r="140" spans="1:97" ht="73.400000000000006" customHeight="1">
      <c r="A140" s="90">
        <f t="shared" si="56"/>
        <v>127</v>
      </c>
      <c r="B140" s="63" t="s">
        <v>46</v>
      </c>
      <c r="C140" s="1" t="s">
        <v>70</v>
      </c>
      <c r="D140" s="91" t="s">
        <v>789</v>
      </c>
      <c r="E140" s="1">
        <v>5</v>
      </c>
      <c r="F140" s="1"/>
      <c r="G140" s="106"/>
      <c r="H140" s="106"/>
      <c r="I140" s="106"/>
      <c r="J140" s="106"/>
      <c r="K140" s="106"/>
      <c r="L140" s="326">
        <v>530000</v>
      </c>
      <c r="M140" s="326">
        <f>+((L140/1.19)*23%)+L140</f>
        <v>632436.97478991596</v>
      </c>
      <c r="N140" s="326">
        <v>540000</v>
      </c>
      <c r="O140" s="326">
        <f>+((N140)*23%)+N140</f>
        <v>664200</v>
      </c>
      <c r="P140" s="326">
        <v>600000</v>
      </c>
      <c r="Q140" s="326">
        <f>+((P140)*23%)+P140</f>
        <v>738000</v>
      </c>
      <c r="R140" s="112"/>
      <c r="S140" s="112"/>
      <c r="T140" s="112"/>
      <c r="U140" s="112"/>
      <c r="V140" s="112"/>
      <c r="W140" s="112"/>
      <c r="X140" s="106"/>
      <c r="Y140" s="112"/>
      <c r="Z140" s="106"/>
      <c r="AA140" s="121"/>
      <c r="AB140" s="106"/>
      <c r="AC140" s="106"/>
      <c r="AD140" s="106"/>
      <c r="AE140" s="106"/>
      <c r="AF140" s="106"/>
      <c r="AG140" s="106"/>
      <c r="AH140" s="106"/>
      <c r="AI140" s="106"/>
      <c r="AJ140" s="106"/>
      <c r="AK140" s="106"/>
      <c r="AL140" s="106"/>
      <c r="AM140" s="106"/>
      <c r="AN140" s="106"/>
      <c r="AO140" s="106"/>
      <c r="AP140" s="106"/>
      <c r="AQ140" s="106"/>
      <c r="AR140" s="106"/>
      <c r="AS140" s="106"/>
      <c r="AT140" s="106"/>
      <c r="AU140" s="106"/>
      <c r="AV140" s="106"/>
      <c r="AW140" s="106"/>
      <c r="AX140" s="106"/>
      <c r="AY140" s="106"/>
      <c r="AZ140" s="106"/>
      <c r="BA140" s="106"/>
      <c r="BB140" s="106"/>
      <c r="BC140" s="106"/>
      <c r="BD140" s="106"/>
      <c r="BE140" s="106"/>
      <c r="BF140" s="106"/>
      <c r="BG140" s="106"/>
      <c r="BH140" s="106"/>
      <c r="BI140" s="106"/>
      <c r="BJ140" s="106"/>
      <c r="BK140" s="106"/>
      <c r="BL140" s="106"/>
      <c r="BM140" s="106"/>
      <c r="BN140" s="106"/>
      <c r="BO140" s="106"/>
      <c r="BP140" s="106"/>
      <c r="BQ140" s="106"/>
      <c r="BR140" s="106"/>
      <c r="BS140" s="106"/>
      <c r="BT140" s="106"/>
      <c r="BU140" s="106"/>
      <c r="BV140" s="106"/>
      <c r="BW140" s="106"/>
      <c r="BX140" s="106"/>
      <c r="BY140" s="106"/>
      <c r="BZ140" s="106"/>
      <c r="CA140" s="106"/>
      <c r="CB140" s="106"/>
      <c r="CC140" s="106"/>
      <c r="CD140" s="106"/>
      <c r="CE140" s="106"/>
      <c r="CF140" s="106"/>
      <c r="CG140" s="106"/>
      <c r="CH140" s="106"/>
      <c r="CI140" s="106"/>
      <c r="CJ140" s="106"/>
      <c r="CK140" s="109">
        <f>+MEDIAN(M140,O140,Q140)</f>
        <v>664200</v>
      </c>
      <c r="CL140" s="109">
        <f>+AVERAGE(M140,O140,Q140)</f>
        <v>678212.32492997206</v>
      </c>
      <c r="CM140" s="109">
        <f>+STDEV(M140,O140,Q140)</f>
        <v>54158.53589540199</v>
      </c>
      <c r="CN140" s="103">
        <f t="shared" si="60"/>
        <v>7.985483882351159E-2</v>
      </c>
      <c r="CO140" s="5">
        <f>CQ140</f>
        <v>678213</v>
      </c>
      <c r="CP140" s="106"/>
      <c r="CQ140" s="106">
        <f t="shared" si="54"/>
        <v>678213</v>
      </c>
      <c r="CR140" s="122">
        <f>+CQ140*E140</f>
        <v>3391065</v>
      </c>
      <c r="CS140" s="79" t="s">
        <v>731</v>
      </c>
    </row>
    <row r="141" spans="1:97" ht="100.4" customHeight="1">
      <c r="A141" s="90">
        <f t="shared" si="56"/>
        <v>128</v>
      </c>
      <c r="B141" s="63" t="s">
        <v>46</v>
      </c>
      <c r="C141" s="1" t="s">
        <v>912</v>
      </c>
      <c r="D141" s="91" t="s">
        <v>789</v>
      </c>
      <c r="E141" s="1">
        <v>6</v>
      </c>
      <c r="F141" s="1"/>
      <c r="G141" s="106"/>
      <c r="H141" s="106"/>
      <c r="I141" s="106"/>
      <c r="J141" s="106"/>
      <c r="K141" s="106"/>
      <c r="L141" s="326">
        <v>530000</v>
      </c>
      <c r="M141" s="326">
        <f>+((L141/1.19)*23%)+L141</f>
        <v>632436.97478991596</v>
      </c>
      <c r="N141" s="326">
        <v>540000</v>
      </c>
      <c r="O141" s="326">
        <f>+((N141)*23%)+N141</f>
        <v>664200</v>
      </c>
      <c r="P141" s="326">
        <v>600000</v>
      </c>
      <c r="Q141" s="326">
        <f>+((P141)*23%)+P141</f>
        <v>738000</v>
      </c>
      <c r="R141" s="112"/>
      <c r="S141" s="112"/>
      <c r="T141" s="112"/>
      <c r="U141" s="112"/>
      <c r="V141" s="112"/>
      <c r="W141" s="112"/>
      <c r="X141" s="106"/>
      <c r="Y141" s="112"/>
      <c r="Z141" s="106"/>
      <c r="AA141" s="121"/>
      <c r="AB141" s="106"/>
      <c r="AC141" s="106"/>
      <c r="AD141" s="106"/>
      <c r="AE141" s="106"/>
      <c r="AF141" s="106"/>
      <c r="AG141" s="106"/>
      <c r="AH141" s="106"/>
      <c r="AI141" s="106"/>
      <c r="AJ141" s="106"/>
      <c r="AK141" s="106"/>
      <c r="AL141" s="106"/>
      <c r="AM141" s="106"/>
      <c r="AN141" s="106"/>
      <c r="AO141" s="106"/>
      <c r="AP141" s="106"/>
      <c r="AQ141" s="106"/>
      <c r="AR141" s="106"/>
      <c r="AS141" s="106"/>
      <c r="AT141" s="106"/>
      <c r="AU141" s="106"/>
      <c r="AV141" s="106"/>
      <c r="AW141" s="106"/>
      <c r="AX141" s="106"/>
      <c r="AY141" s="106"/>
      <c r="AZ141" s="106"/>
      <c r="BA141" s="106"/>
      <c r="BB141" s="106"/>
      <c r="BC141" s="106"/>
      <c r="BD141" s="106"/>
      <c r="BE141" s="106"/>
      <c r="BF141" s="106"/>
      <c r="BG141" s="106"/>
      <c r="BH141" s="106"/>
      <c r="BI141" s="106"/>
      <c r="BJ141" s="106"/>
      <c r="BK141" s="106"/>
      <c r="BL141" s="106"/>
      <c r="BM141" s="106"/>
      <c r="BN141" s="106"/>
      <c r="BO141" s="106"/>
      <c r="BP141" s="106"/>
      <c r="BQ141" s="106"/>
      <c r="BR141" s="106"/>
      <c r="BS141" s="106"/>
      <c r="BT141" s="106"/>
      <c r="BU141" s="106"/>
      <c r="BV141" s="106"/>
      <c r="BW141" s="106"/>
      <c r="BX141" s="106"/>
      <c r="BY141" s="106"/>
      <c r="BZ141" s="106"/>
      <c r="CA141" s="106"/>
      <c r="CB141" s="106"/>
      <c r="CC141" s="106"/>
      <c r="CD141" s="106"/>
      <c r="CE141" s="106"/>
      <c r="CF141" s="106"/>
      <c r="CG141" s="106"/>
      <c r="CH141" s="106"/>
      <c r="CI141" s="106"/>
      <c r="CJ141" s="106"/>
      <c r="CK141" s="109">
        <f>+MEDIAN(M141,O141,Q141)</f>
        <v>664200</v>
      </c>
      <c r="CL141" s="109">
        <f>+AVERAGE(M141,O141,Q141)</f>
        <v>678212.32492997206</v>
      </c>
      <c r="CM141" s="109">
        <f>+STDEV(M141,O141,Q141)</f>
        <v>54158.53589540199</v>
      </c>
      <c r="CN141" s="103">
        <f t="shared" si="60"/>
        <v>7.985483882351159E-2</v>
      </c>
      <c r="CO141" s="5">
        <f>CQ141</f>
        <v>678213</v>
      </c>
      <c r="CP141" s="106"/>
      <c r="CQ141" s="106">
        <f t="shared" si="54"/>
        <v>678213</v>
      </c>
      <c r="CR141" s="122">
        <f>+CQ141*E141</f>
        <v>4069278</v>
      </c>
      <c r="CS141" s="79" t="s">
        <v>731</v>
      </c>
    </row>
    <row r="142" spans="1:97" ht="73.400000000000006" customHeight="1">
      <c r="A142" s="90">
        <f t="shared" si="56"/>
        <v>129</v>
      </c>
      <c r="B142" s="88" t="s">
        <v>81</v>
      </c>
      <c r="C142" s="1" t="s">
        <v>275</v>
      </c>
      <c r="D142" s="91" t="s">
        <v>750</v>
      </c>
      <c r="E142" s="1">
        <v>3</v>
      </c>
      <c r="F142" s="1">
        <v>3</v>
      </c>
      <c r="G142" s="106"/>
      <c r="H142" s="106"/>
      <c r="I142" s="106"/>
      <c r="J142" s="106"/>
      <c r="K142" s="106"/>
      <c r="L142" s="106"/>
      <c r="M142" s="106"/>
      <c r="N142" s="106"/>
      <c r="O142" s="106"/>
      <c r="P142" s="106"/>
      <c r="Q142" s="106"/>
      <c r="R142" s="106"/>
      <c r="S142" s="106"/>
      <c r="T142" s="106"/>
      <c r="U142" s="106"/>
      <c r="V142" s="106"/>
      <c r="W142" s="106"/>
      <c r="X142" s="106"/>
      <c r="Y142" s="106">
        <v>300000</v>
      </c>
      <c r="Z142" s="106"/>
      <c r="AA142" s="106">
        <v>335000</v>
      </c>
      <c r="AB142" s="106"/>
      <c r="AC142" s="106"/>
      <c r="AD142" s="106"/>
      <c r="AE142" s="106"/>
      <c r="AF142" s="106"/>
      <c r="AG142" s="106"/>
      <c r="AH142" s="106"/>
      <c r="AI142" s="106"/>
      <c r="AJ142" s="106"/>
      <c r="AK142" s="106"/>
      <c r="AL142" s="106"/>
      <c r="AM142" s="106"/>
      <c r="AN142" s="106"/>
      <c r="AO142" s="106"/>
      <c r="AP142" s="106"/>
      <c r="AQ142" s="106"/>
      <c r="AR142" s="106"/>
      <c r="AS142" s="106"/>
      <c r="AT142" s="106"/>
      <c r="AU142" s="106"/>
      <c r="AV142" s="106"/>
      <c r="AW142" s="106"/>
      <c r="AX142" s="106"/>
      <c r="AY142" s="106"/>
      <c r="AZ142" s="106"/>
      <c r="BA142" s="106"/>
      <c r="BB142" s="106"/>
      <c r="BC142" s="106"/>
      <c r="BD142" s="106"/>
      <c r="BE142" s="106"/>
      <c r="BF142" s="106"/>
      <c r="BG142" s="106"/>
      <c r="BH142" s="106"/>
      <c r="BI142" s="106"/>
      <c r="BJ142" s="106"/>
      <c r="BK142" s="106"/>
      <c r="BL142" s="106"/>
      <c r="BM142" s="106"/>
      <c r="BN142" s="106"/>
      <c r="BO142" s="106"/>
      <c r="BP142" s="106"/>
      <c r="BQ142" s="106"/>
      <c r="BR142" s="106"/>
      <c r="BS142" s="106"/>
      <c r="BT142" s="106"/>
      <c r="BU142" s="106"/>
      <c r="BV142" s="106"/>
      <c r="BW142" s="106"/>
      <c r="BX142" s="106"/>
      <c r="BY142" s="106"/>
      <c r="BZ142" s="106"/>
      <c r="CA142" s="106"/>
      <c r="CB142" s="106"/>
      <c r="CC142" s="106"/>
      <c r="CD142" s="106"/>
      <c r="CE142" s="106"/>
      <c r="CF142" s="106"/>
      <c r="CG142" s="106"/>
      <c r="CH142" s="106"/>
      <c r="CI142" s="106"/>
      <c r="CJ142" s="106"/>
      <c r="CK142" s="109">
        <f>+MEDIAN(H142,I142,J142,K142,M142,M142,M142,O142,O142,Q142,S142,U142,W142,X142,Y142,Z142,AA142,AC142,AE142,AG142,AH142,AI142,AJ142,AK142,AL142,AM142,AO142,AP142,AQ142,AS142,AU142,AX142,AZ142,BB142,BC142,BE142,BG142,BH142,BI142,BK142,BL142,BM142,BN142,BP142,BR142,BT142,BV142)</f>
        <v>317500</v>
      </c>
      <c r="CL142" s="109">
        <f>+AVERAGE(H142,I142,J142,K142,M142,M142,M142,O142,O142,Q142,S142,U142,W142,X142,Y142,Z142,AA142,AC142,AE142,AG142,AH142,AI142,AJ142,AK142,AL142,AM142,AO142,AP142,AQ142,AS142,AU142,AX142,AZ142,BB142,BC142,BE142,BG142,BH142,BI142,BK142,BL142,BM142,BN142,BP142,BR142,BT142,BV142)</f>
        <v>317500</v>
      </c>
      <c r="CM142" s="109">
        <f>+STDEV(H142,I142,J142,K142,M142,M142,M142,O142,O142,Q142,S142,U142,W142,X142,Y142,Z142,AA142,AC142,AE142,AG142,AH142,AI142,AJ142,AK142,AL142,AM142,AO142,AP142,AQ142,AS142,AU142,AX142,AZ142,BB142,BC142,BE142,BG142,BH142,BI142,BK142,BL142,BM142,BN142,BP142,BR142,BT142,BV142)</f>
        <v>24748.737341529162</v>
      </c>
      <c r="CN142" s="103">
        <f t="shared" si="60"/>
        <v>7.7948779028438303E-2</v>
      </c>
      <c r="CO142" s="110">
        <f t="shared" si="58"/>
        <v>266806.72268907563</v>
      </c>
      <c r="CP142" s="107">
        <f t="shared" si="59"/>
        <v>50693.277310924372</v>
      </c>
      <c r="CQ142" s="106">
        <f t="shared" si="54"/>
        <v>317500</v>
      </c>
      <c r="CR142" s="122">
        <f>+CQ142*E142*F142</f>
        <v>2857500</v>
      </c>
      <c r="CS142" s="89" t="s">
        <v>732</v>
      </c>
    </row>
    <row r="143" spans="1:97" ht="73.400000000000006" customHeight="1">
      <c r="A143" s="90">
        <f t="shared" si="56"/>
        <v>130</v>
      </c>
      <c r="B143" s="88" t="s">
        <v>711</v>
      </c>
      <c r="C143" s="1" t="s">
        <v>918</v>
      </c>
      <c r="D143" s="91" t="s">
        <v>750</v>
      </c>
      <c r="E143" s="1">
        <v>2</v>
      </c>
      <c r="F143" s="1">
        <v>1</v>
      </c>
      <c r="G143" s="106"/>
      <c r="H143" s="106"/>
      <c r="I143" s="106"/>
      <c r="J143" s="106"/>
      <c r="K143" s="106"/>
      <c r="L143" s="106">
        <v>200000</v>
      </c>
      <c r="M143" s="106">
        <f>+((L143/1.19*23%)+L143)</f>
        <v>238655.46218487396</v>
      </c>
      <c r="N143" s="106">
        <v>230000</v>
      </c>
      <c r="O143" s="106">
        <f>+((N143/1.19*23%)+N143)</f>
        <v>274453.78151260503</v>
      </c>
      <c r="P143" s="106">
        <v>265000</v>
      </c>
      <c r="Q143" s="106">
        <f>+((P143/1.19*23%)+P143)</f>
        <v>316218.48739495798</v>
      </c>
      <c r="R143" s="106"/>
      <c r="S143" s="106"/>
      <c r="T143" s="106"/>
      <c r="U143" s="106"/>
      <c r="V143" s="106"/>
      <c r="W143" s="106"/>
      <c r="X143" s="106"/>
      <c r="Y143" s="106"/>
      <c r="Z143" s="106"/>
      <c r="AA143" s="106"/>
      <c r="AB143" s="106"/>
      <c r="AC143" s="106"/>
      <c r="AD143" s="106"/>
      <c r="AE143" s="106"/>
      <c r="AF143" s="106"/>
      <c r="AG143" s="106"/>
      <c r="AH143" s="106"/>
      <c r="AI143" s="106"/>
      <c r="AJ143" s="106"/>
      <c r="AK143" s="106"/>
      <c r="AL143" s="106"/>
      <c r="AM143" s="106"/>
      <c r="AN143" s="106"/>
      <c r="AO143" s="106"/>
      <c r="AP143" s="106"/>
      <c r="AQ143" s="106"/>
      <c r="AR143" s="106"/>
      <c r="AS143" s="106"/>
      <c r="AT143" s="106"/>
      <c r="AU143" s="106"/>
      <c r="AV143" s="106"/>
      <c r="AW143" s="106"/>
      <c r="AX143" s="106"/>
      <c r="AY143" s="106"/>
      <c r="AZ143" s="106"/>
      <c r="BA143" s="106"/>
      <c r="BB143" s="106"/>
      <c r="BC143" s="106"/>
      <c r="BD143" s="106"/>
      <c r="BE143" s="106"/>
      <c r="BF143" s="106"/>
      <c r="BG143" s="106"/>
      <c r="BH143" s="106"/>
      <c r="BI143" s="106"/>
      <c r="BJ143" s="106"/>
      <c r="BK143" s="106"/>
      <c r="BL143" s="106"/>
      <c r="BM143" s="106"/>
      <c r="BN143" s="106"/>
      <c r="BO143" s="106"/>
      <c r="BP143" s="106"/>
      <c r="BQ143" s="106"/>
      <c r="BR143" s="106"/>
      <c r="BS143" s="106"/>
      <c r="BT143" s="106"/>
      <c r="BU143" s="106"/>
      <c r="BV143" s="106"/>
      <c r="BW143" s="106"/>
      <c r="BX143" s="106"/>
      <c r="BY143" s="106"/>
      <c r="BZ143" s="106"/>
      <c r="CA143" s="106"/>
      <c r="CB143" s="106"/>
      <c r="CC143" s="106"/>
      <c r="CD143" s="106"/>
      <c r="CE143" s="106"/>
      <c r="CF143" s="106"/>
      <c r="CG143" s="106"/>
      <c r="CH143" s="106"/>
      <c r="CI143" s="106"/>
      <c r="CJ143" s="106"/>
      <c r="CK143" s="109">
        <f>+MEDIAN(M143,O143,Q143)</f>
        <v>274453.78151260503</v>
      </c>
      <c r="CL143" s="109">
        <f>+AVERAGE(M143,O143,Q143)</f>
        <v>276442.57703081233</v>
      </c>
      <c r="CM143" s="109">
        <f>+STDEV(M143,O143,Q143)</f>
        <v>38819.739832267791</v>
      </c>
      <c r="CN143" s="198">
        <f t="shared" si="60"/>
        <v>0.14042605248879927</v>
      </c>
      <c r="CO143" s="5">
        <f t="shared" si="58"/>
        <v>232305.04201680672</v>
      </c>
      <c r="CP143" s="106">
        <f t="shared" si="59"/>
        <v>44137.957983193279</v>
      </c>
      <c r="CQ143" s="106">
        <f t="shared" si="54"/>
        <v>276443</v>
      </c>
      <c r="CR143" s="122">
        <f>+CQ143*E143</f>
        <v>552886</v>
      </c>
      <c r="CS143" s="79" t="s">
        <v>731</v>
      </c>
    </row>
    <row r="144" spans="1:97" ht="73.400000000000006" customHeight="1">
      <c r="A144" s="90">
        <f t="shared" si="56"/>
        <v>131</v>
      </c>
      <c r="B144" s="88" t="s">
        <v>80</v>
      </c>
      <c r="C144" s="1" t="s">
        <v>276</v>
      </c>
      <c r="D144" s="91" t="s">
        <v>750</v>
      </c>
      <c r="E144" s="1">
        <v>1</v>
      </c>
      <c r="F144" s="1">
        <v>1</v>
      </c>
      <c r="G144" s="106"/>
      <c r="H144" s="106"/>
      <c r="I144" s="106"/>
      <c r="J144" s="106"/>
      <c r="K144" s="106"/>
      <c r="L144" s="106">
        <v>200000</v>
      </c>
      <c r="M144" s="106">
        <f>+((L144/1.19*23%)+L144)</f>
        <v>238655.46218487396</v>
      </c>
      <c r="N144" s="106">
        <v>210000</v>
      </c>
      <c r="O144" s="106">
        <f>+((N144/1.19*23%)+N144)</f>
        <v>250588.23529411765</v>
      </c>
      <c r="P144" s="106">
        <v>243000</v>
      </c>
      <c r="Q144" s="106">
        <f>+((P144/1.19*23%)+P144)</f>
        <v>289966.38655462186</v>
      </c>
      <c r="R144" s="106"/>
      <c r="S144" s="106"/>
      <c r="T144" s="106"/>
      <c r="U144" s="106"/>
      <c r="V144" s="106"/>
      <c r="W144" s="106"/>
      <c r="X144" s="106"/>
      <c r="Y144" s="106"/>
      <c r="Z144" s="106"/>
      <c r="AA144" s="106"/>
      <c r="AB144" s="106"/>
      <c r="AC144" s="106"/>
      <c r="AD144" s="106"/>
      <c r="AE144" s="106"/>
      <c r="AF144" s="106"/>
      <c r="AG144" s="106"/>
      <c r="AH144" s="106"/>
      <c r="AI144" s="106"/>
      <c r="AJ144" s="106"/>
      <c r="AK144" s="106"/>
      <c r="AL144" s="106"/>
      <c r="AM144" s="106"/>
      <c r="AN144" s="106"/>
      <c r="AO144" s="106"/>
      <c r="AP144" s="106"/>
      <c r="AQ144" s="106"/>
      <c r="AR144" s="106"/>
      <c r="AS144" s="106"/>
      <c r="AT144" s="106"/>
      <c r="AU144" s="106"/>
      <c r="AV144" s="106"/>
      <c r="AW144" s="106"/>
      <c r="AX144" s="106"/>
      <c r="AY144" s="106"/>
      <c r="AZ144" s="106"/>
      <c r="BA144" s="106"/>
      <c r="BB144" s="106"/>
      <c r="BC144" s="106"/>
      <c r="BD144" s="106"/>
      <c r="BE144" s="106"/>
      <c r="BF144" s="106"/>
      <c r="BG144" s="106"/>
      <c r="BH144" s="106"/>
      <c r="BI144" s="106"/>
      <c r="BJ144" s="106"/>
      <c r="BK144" s="106"/>
      <c r="BL144" s="106"/>
      <c r="BM144" s="106"/>
      <c r="BN144" s="106"/>
      <c r="BO144" s="106"/>
      <c r="BP144" s="106"/>
      <c r="BQ144" s="106"/>
      <c r="BR144" s="106"/>
      <c r="BS144" s="106"/>
      <c r="BT144" s="106"/>
      <c r="BU144" s="106"/>
      <c r="BV144" s="106"/>
      <c r="BW144" s="106"/>
      <c r="BX144" s="106"/>
      <c r="BY144" s="106"/>
      <c r="BZ144" s="106"/>
      <c r="CA144" s="106"/>
      <c r="CB144" s="106"/>
      <c r="CC144" s="106"/>
      <c r="CD144" s="106"/>
      <c r="CE144" s="106"/>
      <c r="CF144" s="106"/>
      <c r="CG144" s="106"/>
      <c r="CH144" s="106"/>
      <c r="CI144" s="106"/>
      <c r="CJ144" s="106"/>
      <c r="CK144" s="109">
        <f>+MEDIAN(M144,O144,Q144)</f>
        <v>250588.23529411765</v>
      </c>
      <c r="CL144" s="109">
        <f>+AVERAGE(M144,O144,Q144)</f>
        <v>259736.69467787116</v>
      </c>
      <c r="CM144" s="109">
        <f>+STDEV(M144,O144,Q144)</f>
        <v>26850.949177666658</v>
      </c>
      <c r="CN144" s="198">
        <f t="shared" si="60"/>
        <v>0.10337757324188465</v>
      </c>
      <c r="CO144" s="5">
        <f t="shared" si="58"/>
        <v>218266.38655462186</v>
      </c>
      <c r="CP144" s="106">
        <f t="shared" si="59"/>
        <v>41470.613445378156</v>
      </c>
      <c r="CQ144" s="106">
        <f t="shared" si="54"/>
        <v>259737</v>
      </c>
      <c r="CR144" s="122">
        <f>+CQ144*E144*F144</f>
        <v>259737</v>
      </c>
      <c r="CS144" s="79" t="s">
        <v>731</v>
      </c>
    </row>
    <row r="145" spans="1:143" ht="73.400000000000006" customHeight="1">
      <c r="A145" s="90">
        <f t="shared" si="56"/>
        <v>132</v>
      </c>
      <c r="B145" s="88" t="s">
        <v>125</v>
      </c>
      <c r="C145" s="1" t="s">
        <v>126</v>
      </c>
      <c r="D145" s="91" t="s">
        <v>277</v>
      </c>
      <c r="E145" s="1">
        <v>1</v>
      </c>
      <c r="F145" s="1">
        <v>8</v>
      </c>
      <c r="G145" s="106"/>
      <c r="H145" s="106"/>
      <c r="I145" s="106"/>
      <c r="J145" s="106"/>
      <c r="K145" s="106"/>
      <c r="L145" s="106"/>
      <c r="M145" s="106"/>
      <c r="N145" s="106"/>
      <c r="O145" s="106"/>
      <c r="P145" s="106"/>
      <c r="Q145" s="106"/>
      <c r="R145" s="106"/>
      <c r="S145" s="106"/>
      <c r="T145" s="106"/>
      <c r="U145" s="106"/>
      <c r="V145" s="106"/>
      <c r="W145" s="106"/>
      <c r="X145" s="112">
        <v>2200000</v>
      </c>
      <c r="Y145" s="112">
        <v>2000000</v>
      </c>
      <c r="Z145" s="112">
        <v>2000000</v>
      </c>
      <c r="AA145" s="112"/>
      <c r="AB145" s="112"/>
      <c r="AC145" s="112"/>
      <c r="AD145" s="112"/>
      <c r="AE145" s="112"/>
      <c r="AF145" s="112"/>
      <c r="AG145" s="112"/>
      <c r="AH145" s="112"/>
      <c r="AI145" s="112"/>
      <c r="AJ145" s="112"/>
      <c r="AK145" s="112"/>
      <c r="AL145" s="112"/>
      <c r="AM145" s="112"/>
      <c r="AN145" s="112"/>
      <c r="AO145" s="112"/>
      <c r="AP145" s="112"/>
      <c r="AQ145" s="112"/>
      <c r="AR145" s="112"/>
      <c r="AS145" s="112"/>
      <c r="AT145" s="112"/>
      <c r="AU145" s="112"/>
      <c r="AV145" s="112"/>
      <c r="AW145" s="112"/>
      <c r="AX145" s="112"/>
      <c r="AY145" s="112"/>
      <c r="AZ145" s="112"/>
      <c r="BA145" s="112"/>
      <c r="BB145" s="112"/>
      <c r="BC145" s="112"/>
      <c r="BD145" s="112"/>
      <c r="BE145" s="112"/>
      <c r="BF145" s="112"/>
      <c r="BG145" s="112"/>
      <c r="BH145" s="112"/>
      <c r="BI145" s="112"/>
      <c r="BJ145" s="112"/>
      <c r="BK145" s="112"/>
      <c r="BL145" s="112"/>
      <c r="BM145" s="112"/>
      <c r="BN145" s="112"/>
      <c r="BO145" s="112"/>
      <c r="BP145" s="112"/>
      <c r="BQ145" s="112"/>
      <c r="BR145" s="112"/>
      <c r="BS145" s="112"/>
      <c r="BT145" s="112"/>
      <c r="BU145" s="112"/>
      <c r="BV145" s="112"/>
      <c r="BW145" s="112"/>
      <c r="BX145" s="112"/>
      <c r="BY145" s="112"/>
      <c r="BZ145" s="112"/>
      <c r="CA145" s="112"/>
      <c r="CB145" s="112"/>
      <c r="CC145" s="112"/>
      <c r="CD145" s="112"/>
      <c r="CE145" s="112"/>
      <c r="CF145" s="112"/>
      <c r="CG145" s="112"/>
      <c r="CH145" s="112"/>
      <c r="CI145" s="112"/>
      <c r="CJ145" s="112"/>
      <c r="CK145" s="109">
        <f>+MEDIAN(H145,I145,J145,K145,M145,M145,M145,O145,O145,Q145,S145,U145,W145,X145,Y145,Z145,AA145,AC145,AE145,AG145,AH145,AI145,AJ145,AK145,AL145,AM145,AO145,AP145,AQ145,AS145,AU145,AX145,AZ145,BB145,BC145,BE145,BG145,BH145,BI145,BK145,BL145,BM145,BN145,BP145,BR145,BT145,BV145)</f>
        <v>2000000</v>
      </c>
      <c r="CL145" s="109">
        <f>+AVERAGE(H145,I145,J145,K145,M145,M145,M145,O145,O145,Q145,S145,U145,W145,X145,Y145,Z145,AA145,AC145,AE145,AG145,AH145,AI145,AJ145,AK145,AL145,AM145,AO145,AP145,AQ145,AS145,AU145,AX145,AZ145,BB145,BC145,BE145,BG145,BH145,BI145,BK145,BL145,BM145,BN145,BP145,BR145,BT145,BV145)</f>
        <v>2066666.6666666667</v>
      </c>
      <c r="CM145" s="109">
        <f>+STDEV(H145,I145,J145,K145,M145,M145,M145,O145,O145,Q145,S145,U145,W145,X145,Y145,Z145,AA145,AC145,AE145,AG145,AH145,AI145,AJ145,AK145,AL145,AM145,AO145,AP145,AQ145,AS145,AU145,AX145,AZ145,BB145,BC145,BE145,BG145,BH145,BI145,BK145,BL145,BM145,BN145,BP145,BR145,BT145,BV145)</f>
        <v>115470.05383792515</v>
      </c>
      <c r="CN145" s="103">
        <f t="shared" si="60"/>
        <v>5.5872606695770231E-2</v>
      </c>
      <c r="CO145" s="110">
        <f t="shared" si="58"/>
        <v>1736694.9579831935</v>
      </c>
      <c r="CP145" s="107">
        <f t="shared" si="59"/>
        <v>329972.04201680678</v>
      </c>
      <c r="CQ145" s="106">
        <f t="shared" si="54"/>
        <v>2066667</v>
      </c>
      <c r="CR145" s="122">
        <f>+CQ145*E145*F145</f>
        <v>16533336</v>
      </c>
      <c r="CS145" s="89" t="s">
        <v>732</v>
      </c>
    </row>
    <row r="146" spans="1:143" ht="73.400000000000006" customHeight="1">
      <c r="A146" s="90">
        <f t="shared" si="56"/>
        <v>133</v>
      </c>
      <c r="B146" s="88" t="s">
        <v>57</v>
      </c>
      <c r="C146" s="1" t="s">
        <v>58</v>
      </c>
      <c r="D146" s="91" t="s">
        <v>4</v>
      </c>
      <c r="E146" s="1">
        <v>800</v>
      </c>
      <c r="F146" s="1"/>
      <c r="G146" s="106"/>
      <c r="H146" s="106"/>
      <c r="I146" s="106"/>
      <c r="J146" s="106"/>
      <c r="K146" s="106"/>
      <c r="L146" s="106"/>
      <c r="M146" s="106"/>
      <c r="N146" s="106"/>
      <c r="O146" s="106"/>
      <c r="P146" s="106"/>
      <c r="Q146" s="106"/>
      <c r="R146" s="106"/>
      <c r="S146" s="106"/>
      <c r="T146" s="106"/>
      <c r="U146" s="106"/>
      <c r="V146" s="106"/>
      <c r="W146" s="106"/>
      <c r="X146" s="112">
        <v>20000</v>
      </c>
      <c r="Y146" s="112">
        <v>25000</v>
      </c>
      <c r="Z146" s="112">
        <v>24500</v>
      </c>
      <c r="AA146" s="112"/>
      <c r="AB146" s="112"/>
      <c r="AC146" s="112"/>
      <c r="AD146" s="112"/>
      <c r="AE146" s="112"/>
      <c r="AF146" s="112"/>
      <c r="AG146" s="112"/>
      <c r="AH146" s="112"/>
      <c r="AI146" s="112"/>
      <c r="AJ146" s="112"/>
      <c r="AK146" s="112"/>
      <c r="AL146" s="112"/>
      <c r="AM146" s="112"/>
      <c r="AN146" s="112"/>
      <c r="AO146" s="112"/>
      <c r="AP146" s="112"/>
      <c r="AQ146" s="112"/>
      <c r="AR146" s="112"/>
      <c r="AS146" s="112"/>
      <c r="AT146" s="112"/>
      <c r="AU146" s="112"/>
      <c r="AV146" s="112"/>
      <c r="AW146" s="112"/>
      <c r="AX146" s="112"/>
      <c r="AY146" s="112"/>
      <c r="AZ146" s="112"/>
      <c r="BA146" s="112"/>
      <c r="BB146" s="112"/>
      <c r="BC146" s="112"/>
      <c r="BD146" s="112"/>
      <c r="BE146" s="112"/>
      <c r="BF146" s="112"/>
      <c r="BG146" s="112"/>
      <c r="BH146" s="112"/>
      <c r="BI146" s="112"/>
      <c r="BJ146" s="112"/>
      <c r="BK146" s="112"/>
      <c r="BL146" s="112"/>
      <c r="BM146" s="112"/>
      <c r="BN146" s="112"/>
      <c r="BO146" s="112"/>
      <c r="BP146" s="112"/>
      <c r="BQ146" s="112"/>
      <c r="BR146" s="112"/>
      <c r="BS146" s="112"/>
      <c r="BT146" s="112"/>
      <c r="BU146" s="112"/>
      <c r="BV146" s="112"/>
      <c r="BW146" s="112"/>
      <c r="BX146" s="112"/>
      <c r="BY146" s="112"/>
      <c r="BZ146" s="112"/>
      <c r="CA146" s="112"/>
      <c r="CB146" s="112"/>
      <c r="CC146" s="112"/>
      <c r="CD146" s="112"/>
      <c r="CE146" s="112"/>
      <c r="CF146" s="112"/>
      <c r="CG146" s="112"/>
      <c r="CH146" s="112"/>
      <c r="CI146" s="112"/>
      <c r="CJ146" s="112"/>
      <c r="CK146" s="109">
        <f>+MEDIAN(H146,I146,J146,K146,M146,M146,M146,O146,O146,Q146,S146,U146,W146,X146,Y146,Z146,AA146,AC146,AE146,AG146,AH146,AI146,AJ146,AK146,AL146,AM146,AO146,AP146,AQ146,AS146,AU146,AX146,AZ146,BB146,BC146,BE146,BG146,BH146,BI146,BK146,BL146,BM146,BN146,BP146,BR146,BT146,BV146)</f>
        <v>24500</v>
      </c>
      <c r="CL146" s="109">
        <f>+AVERAGE(H146,I146,J146,K146,M146,M146,M146,O146,O146,Q146,S146,U146,W146,X146,Y146,Z146,AA146,AC146,AE146,AG146,AH146,AI146,AJ146,AK146,AL146,AM146,AO146,AP146,AQ146,AS146,AU146,AX146,AZ146,BB146,BC146,BE146,BG146,BH146,BI146,BK146,BL146,BM146,BN146,BP146,BR146,BT146,BV146)</f>
        <v>23166.666666666668</v>
      </c>
      <c r="CM146" s="109">
        <f>+STDEV(H146,I146,J146,K146,M146,M146,M146,O146,O146,Q146,S146,U146,W146,X146,Y146,Z146,AA146,AC146,AE146,AG146,AH146,AI146,AJ146,AK146,AL146,AM146,AO146,AP146,AQ146,AS146,AU146,AX146,AZ146,BB146,BC146,BE146,BG146,BH146,BI146,BK146,BL146,BM146,BN146,BP146,BR146,BT146,BV146)</f>
        <v>2753.7852736430509</v>
      </c>
      <c r="CN146" s="103">
        <f t="shared" si="60"/>
        <v>0.1188684290781173</v>
      </c>
      <c r="CO146" s="110">
        <f>CQ146/1.08</f>
        <v>21450.925925925923</v>
      </c>
      <c r="CP146" s="107">
        <f>CO146*8%</f>
        <v>1716.0740740740739</v>
      </c>
      <c r="CQ146" s="106">
        <f t="shared" si="54"/>
        <v>23167</v>
      </c>
      <c r="CR146" s="122">
        <f>+CQ146*E146</f>
        <v>18533600</v>
      </c>
      <c r="CS146" s="89" t="s">
        <v>732</v>
      </c>
    </row>
    <row r="147" spans="1:143" ht="119.65" customHeight="1">
      <c r="A147" s="90">
        <f t="shared" si="56"/>
        <v>134</v>
      </c>
      <c r="B147" s="88" t="s">
        <v>37</v>
      </c>
      <c r="C147" s="1" t="s">
        <v>38</v>
      </c>
      <c r="D147" s="91" t="s">
        <v>28</v>
      </c>
      <c r="E147" s="1">
        <v>1</v>
      </c>
      <c r="F147" s="1">
        <v>8</v>
      </c>
      <c r="G147" s="106"/>
      <c r="H147" s="106"/>
      <c r="I147" s="106"/>
      <c r="J147" s="106"/>
      <c r="K147" s="106"/>
      <c r="L147" s="106"/>
      <c r="M147" s="106"/>
      <c r="N147" s="106"/>
      <c r="O147" s="106"/>
      <c r="P147" s="106"/>
      <c r="Q147" s="106"/>
      <c r="R147" s="112">
        <v>1700000</v>
      </c>
      <c r="S147" s="112">
        <v>1786700</v>
      </c>
      <c r="T147" s="112">
        <v>1700000</v>
      </c>
      <c r="U147" s="112">
        <v>1786700</v>
      </c>
      <c r="V147" s="106"/>
      <c r="W147" s="106"/>
      <c r="X147" s="106"/>
      <c r="Y147" s="106"/>
      <c r="Z147" s="106"/>
      <c r="AA147" s="106"/>
      <c r="AB147" s="106"/>
      <c r="AC147" s="106"/>
      <c r="AD147" s="106"/>
      <c r="AE147" s="106"/>
      <c r="AF147" s="106"/>
      <c r="AG147" s="106"/>
      <c r="AH147" s="106"/>
      <c r="AI147" s="106"/>
      <c r="AJ147" s="106"/>
      <c r="AK147" s="106"/>
      <c r="AL147" s="106"/>
      <c r="AM147" s="106"/>
      <c r="AN147" s="106"/>
      <c r="AO147" s="106"/>
      <c r="AP147" s="106"/>
      <c r="AQ147" s="106"/>
      <c r="AR147" s="106"/>
      <c r="AS147" s="106"/>
      <c r="AT147" s="106"/>
      <c r="AU147" s="106"/>
      <c r="AV147" s="106"/>
      <c r="AW147" s="106"/>
      <c r="AX147" s="106"/>
      <c r="AY147" s="106"/>
      <c r="AZ147" s="106"/>
      <c r="BA147" s="106"/>
      <c r="BB147" s="106"/>
      <c r="BC147" s="106"/>
      <c r="BD147" s="106"/>
      <c r="BE147" s="106"/>
      <c r="BF147" s="106"/>
      <c r="BG147" s="106"/>
      <c r="BH147" s="106"/>
      <c r="BI147" s="106"/>
      <c r="BJ147" s="106"/>
      <c r="BK147" s="106"/>
      <c r="BL147" s="106"/>
      <c r="BM147" s="106"/>
      <c r="BN147" s="106"/>
      <c r="BO147" s="106"/>
      <c r="BP147" s="106"/>
      <c r="BQ147" s="106"/>
      <c r="BR147" s="106"/>
      <c r="BS147" s="106"/>
      <c r="BT147" s="106"/>
      <c r="BU147" s="106"/>
      <c r="BV147" s="106"/>
      <c r="BW147" s="106"/>
      <c r="BX147" s="106"/>
      <c r="BY147" s="106"/>
      <c r="BZ147" s="106"/>
      <c r="CA147" s="106"/>
      <c r="CB147" s="106"/>
      <c r="CC147" s="106"/>
      <c r="CD147" s="106"/>
      <c r="CE147" s="106"/>
      <c r="CF147" s="106"/>
      <c r="CG147" s="106"/>
      <c r="CH147" s="106"/>
      <c r="CI147" s="106"/>
      <c r="CJ147" s="106"/>
      <c r="CK147" s="109">
        <f>+MEDIAN(H147,I147,J147,K147,M147,M147,M147,O147,O147,Q147,S147,U147,W147,X147,Y147,Z147,AA147,AC147,AE147,AG147,AH147,AI147,AJ147,AK147,AL147,AM147,AO147,AP147,AQ147,AS147,AU147,AX147,AZ147,BB147,BC147,BE147,BG147,BH147,BI147,BK147,BL147,BM147,BN147,BP147,BR147,BT147,BV147)</f>
        <v>1786700</v>
      </c>
      <c r="CL147" s="109">
        <f>+AVERAGE(H147,I147,J147,K147,M147,M147,M147,O147,O147,Q147,S147,U147,W147,X147,Y147,Z147,AA147,AC147,AE147,AG147,AH147,AI147,AJ147,AK147,AL147,AM147,AO147,AP147,AQ147,AS147,AU147,AX147,AZ147,BB147,BC147,BE147,BG147,BH147,BI147,BK147,BL147,BM147,BN147,BP147,BR147,BT147,BV147)</f>
        <v>1786700</v>
      </c>
      <c r="CM147" s="109">
        <f>+STDEV(H147,I147,J147,K147,M147,M147,M147,O147,O147,Q147,S147,U147,W147,X147,Y147,Z147,AA147,AC147,AE147,AG147,AH147,AI147,AJ147,AK147,AL147,AM147,AO147,AP147,AQ147,AS147,AU147,AX147,AZ147,BB147,BC147,BE147,BG147,BH147,BI147,BK147,BL147,BM147,BN147,BP147,BR147,BT147,BV147)</f>
        <v>0</v>
      </c>
      <c r="CN147" s="103">
        <f t="shared" si="60"/>
        <v>0</v>
      </c>
      <c r="CO147" s="110">
        <f t="shared" si="58"/>
        <v>1501428.5714285716</v>
      </c>
      <c r="CP147" s="107">
        <f t="shared" si="59"/>
        <v>285271.42857142858</v>
      </c>
      <c r="CQ147" s="106">
        <f t="shared" si="54"/>
        <v>1786700</v>
      </c>
      <c r="CR147" s="122">
        <f>+CQ147*E147*F147</f>
        <v>14293600</v>
      </c>
      <c r="CS147" s="79" t="s">
        <v>731</v>
      </c>
    </row>
    <row r="148" spans="1:143" ht="131.65" customHeight="1">
      <c r="A148" s="90">
        <f t="shared" si="56"/>
        <v>135</v>
      </c>
      <c r="B148" s="88" t="s">
        <v>75</v>
      </c>
      <c r="C148" s="1" t="s">
        <v>76</v>
      </c>
      <c r="D148" s="91" t="s">
        <v>28</v>
      </c>
      <c r="E148" s="1">
        <v>50</v>
      </c>
      <c r="F148" s="1">
        <v>8</v>
      </c>
      <c r="G148" s="106"/>
      <c r="H148" s="106"/>
      <c r="I148" s="106"/>
      <c r="J148" s="106"/>
      <c r="K148" s="106"/>
      <c r="L148" s="106"/>
      <c r="M148" s="106"/>
      <c r="N148" s="106"/>
      <c r="O148" s="106"/>
      <c r="P148" s="106"/>
      <c r="Q148" s="106"/>
      <c r="R148" s="112">
        <v>4000</v>
      </c>
      <c r="S148" s="112">
        <v>4204</v>
      </c>
      <c r="T148" s="112">
        <v>3800</v>
      </c>
      <c r="U148" s="112">
        <v>3994</v>
      </c>
      <c r="V148" s="112">
        <v>3500</v>
      </c>
      <c r="W148" s="112">
        <v>3679</v>
      </c>
      <c r="X148" s="106"/>
      <c r="Y148" s="106"/>
      <c r="Z148" s="106"/>
      <c r="AA148" s="106"/>
      <c r="AB148" s="106"/>
      <c r="AC148" s="106"/>
      <c r="AD148" s="106"/>
      <c r="AE148" s="106"/>
      <c r="AF148" s="106"/>
      <c r="AG148" s="106"/>
      <c r="AH148" s="106"/>
      <c r="AI148" s="106"/>
      <c r="AJ148" s="106"/>
      <c r="AK148" s="106"/>
      <c r="AL148" s="106"/>
      <c r="AM148" s="106"/>
      <c r="AN148" s="106"/>
      <c r="AO148" s="106"/>
      <c r="AP148" s="106"/>
      <c r="AQ148" s="106"/>
      <c r="AR148" s="106"/>
      <c r="AS148" s="106"/>
      <c r="AT148" s="106"/>
      <c r="AU148" s="106"/>
      <c r="AV148" s="106"/>
      <c r="AW148" s="106"/>
      <c r="AX148" s="106"/>
      <c r="AY148" s="106"/>
      <c r="AZ148" s="106"/>
      <c r="BA148" s="106"/>
      <c r="BB148" s="106"/>
      <c r="BC148" s="106"/>
      <c r="BD148" s="106"/>
      <c r="BE148" s="106"/>
      <c r="BF148" s="106"/>
      <c r="BG148" s="106"/>
      <c r="BH148" s="106"/>
      <c r="BI148" s="106"/>
      <c r="BJ148" s="106"/>
      <c r="BK148" s="106"/>
      <c r="BL148" s="106"/>
      <c r="BM148" s="106"/>
      <c r="BN148" s="106"/>
      <c r="BO148" s="106"/>
      <c r="BP148" s="106"/>
      <c r="BQ148" s="106"/>
      <c r="BR148" s="106"/>
      <c r="BS148" s="106"/>
      <c r="BT148" s="106"/>
      <c r="BU148" s="106"/>
      <c r="BV148" s="106"/>
      <c r="BW148" s="106"/>
      <c r="BX148" s="106"/>
      <c r="BY148" s="106"/>
      <c r="BZ148" s="106"/>
      <c r="CA148" s="106"/>
      <c r="CB148" s="106"/>
      <c r="CC148" s="106"/>
      <c r="CD148" s="106"/>
      <c r="CE148" s="106"/>
      <c r="CF148" s="106"/>
      <c r="CG148" s="106"/>
      <c r="CH148" s="106"/>
      <c r="CI148" s="106"/>
      <c r="CJ148" s="106"/>
      <c r="CK148" s="109">
        <f>+MEDIAN(H148,I148,J148,K148,M148,M148,M148,O148,O148,Q148,S148,U148,W148,X148,Y148,Z148,AA148,AC148,AE148,AG148,AH148,AI148,AJ148,AK148,AL148,AM148,AO148,AP148,AQ148,AS148,AU148,AX148,AZ148,BB148,BC148,BE148,BG148,BH148,BI148,BK148,BL148,BM148,BN148,BP148,BR148,BT148,BV148)</f>
        <v>3994</v>
      </c>
      <c r="CL148" s="109">
        <f>+AVERAGE(H148,I148,J148,K148,M148,M148,M148,O148,O148,Q148,S148,U148,W148,X148,Y148,Z148,AA148,AC148,AE148,AG148,AH148,AI148,AJ148,AK148,AL148,AM148,AO148,AP148,AQ148,AS148,AU148,AX148,AZ148,BB148,BC148,BE148,BG148,BH148,BI148,BK148,BL148,BM148,BN148,BP148,BR148,BT148,BV148)</f>
        <v>3959</v>
      </c>
      <c r="CM148" s="109">
        <f>+STDEV(H148,I148,J148,K148,M148,M148,M148,O148,O148,Q148,S148,U148,W148,X148,Y148,Z148,AA148,AC148,AE148,AG148,AH148,AI148,AJ148,AK148,AL148,AM148,AO148,AP148,AQ148,AS148,AU148,AX148,AZ148,BB148,BC148,BE148,BG148,BH148,BI148,BK148,BL148,BM148,BN148,BP148,BR148,BT148,BV148)</f>
        <v>264.24420523447623</v>
      </c>
      <c r="CN148" s="103">
        <f t="shared" si="60"/>
        <v>6.6745189501004346E-2</v>
      </c>
      <c r="CO148" s="110">
        <f t="shared" si="58"/>
        <v>3326.8907563025214</v>
      </c>
      <c r="CP148" s="107">
        <f t="shared" si="59"/>
        <v>632.10924369747909</v>
      </c>
      <c r="CQ148" s="106">
        <f t="shared" si="54"/>
        <v>3959</v>
      </c>
      <c r="CR148" s="122">
        <f>+CQ148*E148*F148</f>
        <v>1583600</v>
      </c>
      <c r="CS148" s="79" t="s">
        <v>731</v>
      </c>
    </row>
    <row r="149" spans="1:143" ht="92.65" customHeight="1">
      <c r="A149" s="90">
        <f t="shared" si="56"/>
        <v>136</v>
      </c>
      <c r="B149" s="88" t="s">
        <v>263</v>
      </c>
      <c r="C149" s="1" t="s">
        <v>59</v>
      </c>
      <c r="D149" s="91" t="s">
        <v>127</v>
      </c>
      <c r="E149" s="1">
        <v>1</v>
      </c>
      <c r="F149" s="1">
        <v>13</v>
      </c>
      <c r="G149" s="106"/>
      <c r="H149" s="106"/>
      <c r="I149" s="106"/>
      <c r="J149" s="106"/>
      <c r="K149" s="106"/>
      <c r="L149" s="106"/>
      <c r="M149" s="106"/>
      <c r="N149" s="106">
        <v>670000</v>
      </c>
      <c r="O149" s="106">
        <f>(N149*5.1%)+N149</f>
        <v>704170</v>
      </c>
      <c r="P149" s="106"/>
      <c r="Q149" s="106"/>
      <c r="R149" s="106"/>
      <c r="S149" s="106"/>
      <c r="T149" s="106"/>
      <c r="U149" s="106"/>
      <c r="V149" s="106"/>
      <c r="W149" s="106"/>
      <c r="X149" s="106"/>
      <c r="Y149" s="106"/>
      <c r="Z149" s="106"/>
      <c r="AA149" s="106"/>
      <c r="AB149" s="106"/>
      <c r="AC149" s="106"/>
      <c r="AD149" s="106"/>
      <c r="AE149" s="106"/>
      <c r="AF149" s="106"/>
      <c r="AG149" s="106"/>
      <c r="AH149" s="106"/>
      <c r="AI149" s="106"/>
      <c r="AJ149" s="106"/>
      <c r="AK149" s="106"/>
      <c r="AL149" s="106"/>
      <c r="AM149" s="331">
        <v>665000</v>
      </c>
      <c r="AN149" s="106"/>
      <c r="AO149" s="106"/>
      <c r="AP149" s="106"/>
      <c r="AQ149" s="106"/>
      <c r="AR149" s="106"/>
      <c r="AS149" s="106"/>
      <c r="AT149" s="332">
        <v>650000</v>
      </c>
      <c r="AU149" s="332">
        <v>683150</v>
      </c>
      <c r="AV149" s="106"/>
      <c r="AW149" s="106"/>
      <c r="AX149" s="106"/>
      <c r="AY149" s="106"/>
      <c r="AZ149" s="106"/>
      <c r="BA149" s="106"/>
      <c r="BB149" s="106"/>
      <c r="BC149" s="106"/>
      <c r="BD149" s="106"/>
      <c r="BE149" s="106"/>
      <c r="BF149" s="106"/>
      <c r="BG149" s="106"/>
      <c r="BH149" s="106"/>
      <c r="BI149" s="106"/>
      <c r="BJ149" s="106"/>
      <c r="BK149" s="106"/>
      <c r="BL149" s="106"/>
      <c r="BM149" s="106"/>
      <c r="BN149" s="106"/>
      <c r="BO149" s="106"/>
      <c r="BP149" s="106"/>
      <c r="BQ149" s="106"/>
      <c r="BR149" s="106"/>
      <c r="BS149" s="106"/>
      <c r="BT149" s="106"/>
      <c r="BU149" s="106"/>
      <c r="BV149" s="106"/>
      <c r="BW149" s="106"/>
      <c r="BX149" s="106"/>
      <c r="BY149" s="106"/>
      <c r="BZ149" s="106"/>
      <c r="CA149" s="106"/>
      <c r="CB149" s="106"/>
      <c r="CC149" s="106"/>
      <c r="CD149" s="106"/>
      <c r="CE149" s="106"/>
      <c r="CF149" s="106"/>
      <c r="CG149" s="106"/>
      <c r="CH149" s="106"/>
      <c r="CI149" s="106"/>
      <c r="CJ149" s="106"/>
      <c r="CK149" s="109">
        <f>+MEDIAN(H149,I149,J149,K149,M149,M149,M149,O149,O149,Q149,S149,U149,W149,X149,Y149,Z149,AA149,AC149,AE149,AG149,AH149,AI149,AJ149,AK149,AL149,AM149,AO149,AP149,AQ149,AS149,AU149,AX149,AZ149,BB149,BC149,BE149,BG149,BH149,BI149,BK149,BL149,BM149,BN149,BP149,BR149,BT149,BV149)</f>
        <v>693660</v>
      </c>
      <c r="CL149" s="109">
        <f>+AVERAGE(H149,I149,J149,K149,M149,M149,M149,O149,O149,Q149,S149,U149,W149,X149,Y149,Z149,AA149,AC149,AE149,AG149,AH149,AI149,AJ149,AK149,AL149,AM149,AO149,AP149,AQ149,AS149,AU149,AX149,AZ149,BB149,BC149,BE149,BG149,BH149,BI149,BK149,BL149,BM149,BN149,BP149,BR149,BT149,BV149)</f>
        <v>689122.5</v>
      </c>
      <c r="CM149" s="109">
        <f>+STDEV(H149,I149,J149,K149,M149,M149,M149,O149,O149,Q149,S149,U149,W149,X149,Y149,Z149,AA149,AC149,AE149,AG149,AH149,AI149,AJ149,AK149,AL149,AM149,AO149,AP149,AQ149,AS149,AU149,AX149,AZ149,BB149,BC149,BE149,BG149,BH149,BI149,BK149,BL149,BM149,BN149,BP149,BR149,BT149,BV149)</f>
        <v>18889.329218723815</v>
      </c>
      <c r="CN149" s="103">
        <f t="shared" si="60"/>
        <v>2.7410698705562241E-2</v>
      </c>
      <c r="CO149" s="110">
        <f>(CQ149/1.08)</f>
        <v>638076.8518518518</v>
      </c>
      <c r="CP149" s="107">
        <f>+CO149*8%</f>
        <v>51046.148148148146</v>
      </c>
      <c r="CQ149" s="106">
        <f t="shared" si="54"/>
        <v>689123</v>
      </c>
      <c r="CR149" s="122">
        <f>+CQ149*E149*F149</f>
        <v>8958599</v>
      </c>
      <c r="CS149" s="79" t="s">
        <v>731</v>
      </c>
    </row>
    <row r="150" spans="1:143" s="256" customFormat="1" ht="136.4" customHeight="1">
      <c r="A150" s="247">
        <f t="shared" si="56"/>
        <v>137</v>
      </c>
      <c r="B150" s="248" t="s">
        <v>897</v>
      </c>
      <c r="C150" s="249" t="s">
        <v>919</v>
      </c>
      <c r="D150" s="250" t="s">
        <v>4</v>
      </c>
      <c r="E150" s="249">
        <v>24</v>
      </c>
      <c r="F150" s="249"/>
      <c r="G150" s="251"/>
      <c r="H150" s="251"/>
      <c r="I150" s="251"/>
      <c r="J150" s="251"/>
      <c r="K150" s="251"/>
      <c r="L150" s="251"/>
      <c r="M150" s="251"/>
      <c r="N150" s="251"/>
      <c r="O150" s="251"/>
      <c r="P150" s="251"/>
      <c r="Q150" s="251"/>
      <c r="R150" s="251"/>
      <c r="S150" s="251"/>
      <c r="T150" s="251"/>
      <c r="U150" s="251"/>
      <c r="V150" s="251"/>
      <c r="W150" s="251"/>
      <c r="X150" s="251"/>
      <c r="Y150" s="251"/>
      <c r="Z150" s="251"/>
      <c r="AA150" s="251"/>
      <c r="AB150" s="251"/>
      <c r="AC150" s="251"/>
      <c r="AD150" s="251"/>
      <c r="AE150" s="251"/>
      <c r="AF150" s="251"/>
      <c r="AG150" s="251"/>
      <c r="AH150" s="251"/>
      <c r="AI150" s="251"/>
      <c r="AJ150" s="251"/>
      <c r="AK150" s="251"/>
      <c r="AL150" s="251"/>
      <c r="AM150" s="251"/>
      <c r="AN150" s="251"/>
      <c r="AO150" s="251"/>
      <c r="AP150" s="251"/>
      <c r="AQ150" s="251"/>
      <c r="AR150" s="251"/>
      <c r="AS150" s="251"/>
      <c r="AT150" s="251"/>
      <c r="AU150" s="251"/>
      <c r="AV150" s="251"/>
      <c r="AW150" s="251"/>
      <c r="AX150" s="251"/>
      <c r="AY150" s="251"/>
      <c r="AZ150" s="251"/>
      <c r="BA150" s="251"/>
      <c r="BB150" s="251"/>
      <c r="BC150" s="251"/>
      <c r="BD150" s="251"/>
      <c r="BE150" s="251"/>
      <c r="BF150" s="251"/>
      <c r="BG150" s="251"/>
      <c r="BH150" s="251"/>
      <c r="BI150" s="251"/>
      <c r="BJ150" s="251"/>
      <c r="BK150" s="251"/>
      <c r="BL150" s="251"/>
      <c r="BM150" s="251"/>
      <c r="BN150" s="251"/>
      <c r="BO150" s="251"/>
      <c r="BP150" s="251"/>
      <c r="BQ150" s="251"/>
      <c r="BR150" s="251"/>
      <c r="BS150" s="251"/>
      <c r="BT150" s="251"/>
      <c r="BU150" s="251"/>
      <c r="BV150" s="251"/>
      <c r="BW150" s="251"/>
      <c r="BX150" s="251"/>
      <c r="BY150" s="251"/>
      <c r="BZ150" s="251"/>
      <c r="CA150" s="251"/>
      <c r="CB150" s="251"/>
      <c r="CC150" s="251"/>
      <c r="CD150" s="251"/>
      <c r="CE150" s="251"/>
      <c r="CF150" s="251"/>
      <c r="CG150" s="251"/>
      <c r="CH150" s="251"/>
      <c r="CI150" s="251"/>
      <c r="CJ150" s="251"/>
      <c r="CK150" s="252"/>
      <c r="CL150" s="252"/>
      <c r="CM150" s="252"/>
      <c r="CN150" s="253"/>
      <c r="CO150" s="254">
        <v>1000000</v>
      </c>
      <c r="CP150" s="251"/>
      <c r="CQ150" s="251">
        <v>1000000</v>
      </c>
      <c r="CR150" s="251">
        <f>+CQ150*E150</f>
        <v>24000000</v>
      </c>
      <c r="CS150" s="255" t="s">
        <v>733</v>
      </c>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row>
    <row r="151" spans="1:143" ht="136.4" customHeight="1">
      <c r="A151" s="90">
        <f t="shared" si="56"/>
        <v>138</v>
      </c>
      <c r="B151" s="80" t="s">
        <v>281</v>
      </c>
      <c r="C151" s="8" t="s">
        <v>282</v>
      </c>
      <c r="D151" s="8" t="s">
        <v>270</v>
      </c>
      <c r="E151" s="1">
        <v>24</v>
      </c>
      <c r="F151" s="1"/>
      <c r="G151" s="106"/>
      <c r="H151" s="106"/>
      <c r="I151" s="106"/>
      <c r="J151" s="106"/>
      <c r="K151" s="106"/>
      <c r="L151" s="106"/>
      <c r="M151" s="106"/>
      <c r="N151" s="106"/>
      <c r="O151" s="106"/>
      <c r="P151" s="106"/>
      <c r="Q151" s="106"/>
      <c r="R151" s="106"/>
      <c r="S151" s="106"/>
      <c r="T151" s="106"/>
      <c r="U151" s="106"/>
      <c r="V151" s="106"/>
      <c r="W151" s="106"/>
      <c r="X151" s="106"/>
      <c r="Y151" s="106"/>
      <c r="Z151" s="106"/>
      <c r="AA151" s="106"/>
      <c r="AB151" s="106"/>
      <c r="AC151" s="106"/>
      <c r="AD151" s="106"/>
      <c r="AE151" s="106"/>
      <c r="AF151" s="106"/>
      <c r="AG151" s="106"/>
      <c r="AH151" s="106"/>
      <c r="AI151" s="106"/>
      <c r="AJ151" s="106"/>
      <c r="AK151" s="106"/>
      <c r="AL151" s="106"/>
      <c r="AM151" s="106"/>
      <c r="AN151" s="106"/>
      <c r="AO151" s="106"/>
      <c r="AP151" s="106"/>
      <c r="AQ151" s="106"/>
      <c r="AR151" s="106"/>
      <c r="AS151" s="106"/>
      <c r="AT151" s="106"/>
      <c r="AU151" s="106"/>
      <c r="AV151" s="106"/>
      <c r="AW151" s="106"/>
      <c r="AX151" s="106"/>
      <c r="AY151" s="106"/>
      <c r="AZ151" s="106"/>
      <c r="BA151" s="106"/>
      <c r="BB151" s="106"/>
      <c r="BC151" s="106"/>
      <c r="BD151" s="106"/>
      <c r="BE151" s="106"/>
      <c r="BF151" s="106"/>
      <c r="BG151" s="106"/>
      <c r="BH151" s="106"/>
      <c r="BI151" s="106"/>
      <c r="BJ151" s="106"/>
      <c r="BK151" s="106"/>
      <c r="BL151" s="106"/>
      <c r="BM151" s="106"/>
      <c r="BN151" s="106"/>
      <c r="BO151" s="106"/>
      <c r="BP151" s="106"/>
      <c r="BQ151" s="106"/>
      <c r="BR151" s="106"/>
      <c r="BS151" s="106"/>
      <c r="BT151" s="106"/>
      <c r="BU151" s="106"/>
      <c r="BV151" s="106"/>
      <c r="BW151" s="106"/>
      <c r="BX151" s="106"/>
      <c r="BY151" s="106"/>
      <c r="BZ151" s="106"/>
      <c r="CA151" s="106"/>
      <c r="CB151" s="106"/>
      <c r="CC151" s="106"/>
      <c r="CD151" s="106"/>
      <c r="CE151" s="106"/>
      <c r="CF151" s="106"/>
      <c r="CG151" s="106"/>
      <c r="CH151" s="106"/>
      <c r="CI151" s="106"/>
      <c r="CJ151" s="106"/>
      <c r="CK151" s="109"/>
      <c r="CL151" s="109"/>
      <c r="CM151" s="109"/>
      <c r="CN151" s="103"/>
      <c r="CO151" s="5">
        <f>+(CO150*10%)</f>
        <v>100000</v>
      </c>
      <c r="CP151" s="106">
        <f>+CO151*19%</f>
        <v>19000</v>
      </c>
      <c r="CQ151" s="5">
        <f>+((CO151*7%)+CP151)+CO151</f>
        <v>126000</v>
      </c>
      <c r="CR151" s="122">
        <f>+CQ151*E151</f>
        <v>3024000</v>
      </c>
      <c r="CS151" s="79" t="s">
        <v>734</v>
      </c>
    </row>
    <row r="152" spans="1:143" ht="101.5">
      <c r="A152" s="90">
        <f t="shared" si="56"/>
        <v>139</v>
      </c>
      <c r="B152" s="88" t="s">
        <v>61</v>
      </c>
      <c r="C152" s="1" t="s">
        <v>62</v>
      </c>
      <c r="D152" s="91" t="s">
        <v>4</v>
      </c>
      <c r="E152" s="1">
        <v>24</v>
      </c>
      <c r="F152" s="1"/>
      <c r="G152" s="106"/>
      <c r="H152" s="106"/>
      <c r="I152" s="106"/>
      <c r="J152" s="106"/>
      <c r="K152" s="106"/>
      <c r="L152" s="106"/>
      <c r="M152" s="106"/>
      <c r="N152" s="106"/>
      <c r="O152" s="106"/>
      <c r="P152" s="106"/>
      <c r="Q152" s="106"/>
      <c r="R152" s="106"/>
      <c r="S152" s="106"/>
      <c r="T152" s="106"/>
      <c r="U152" s="106"/>
      <c r="V152" s="106"/>
      <c r="W152" s="106"/>
      <c r="X152" s="112">
        <v>130000</v>
      </c>
      <c r="Y152" s="112">
        <v>97000</v>
      </c>
      <c r="Z152" s="112">
        <v>100000</v>
      </c>
      <c r="AA152" s="112"/>
      <c r="AB152" s="112"/>
      <c r="AC152" s="112"/>
      <c r="AD152" s="112"/>
      <c r="AE152" s="112"/>
      <c r="AF152" s="112"/>
      <c r="AG152" s="112"/>
      <c r="AH152" s="112"/>
      <c r="AI152" s="112"/>
      <c r="AJ152" s="112"/>
      <c r="AK152" s="112"/>
      <c r="AL152" s="112"/>
      <c r="AM152" s="112"/>
      <c r="AN152" s="112"/>
      <c r="AO152" s="112"/>
      <c r="AP152" s="112"/>
      <c r="AQ152" s="112"/>
      <c r="AR152" s="112"/>
      <c r="AS152" s="112"/>
      <c r="AT152" s="112"/>
      <c r="AU152" s="112"/>
      <c r="AV152" s="112"/>
      <c r="AW152" s="112"/>
      <c r="AX152" s="112"/>
      <c r="AY152" s="112"/>
      <c r="AZ152" s="112"/>
      <c r="BA152" s="112"/>
      <c r="BB152" s="112"/>
      <c r="BC152" s="112"/>
      <c r="BD152" s="112"/>
      <c r="BE152" s="112"/>
      <c r="BF152" s="112"/>
      <c r="BG152" s="112"/>
      <c r="BH152" s="112"/>
      <c r="BI152" s="112"/>
      <c r="BJ152" s="112"/>
      <c r="BK152" s="112"/>
      <c r="BL152" s="112"/>
      <c r="BM152" s="112"/>
      <c r="BN152" s="112"/>
      <c r="BO152" s="112"/>
      <c r="BP152" s="112"/>
      <c r="BQ152" s="112"/>
      <c r="BR152" s="112"/>
      <c r="BS152" s="112"/>
      <c r="BT152" s="112"/>
      <c r="BU152" s="112"/>
      <c r="BV152" s="112"/>
      <c r="BW152" s="112"/>
      <c r="BX152" s="112"/>
      <c r="BY152" s="112"/>
      <c r="BZ152" s="112"/>
      <c r="CA152" s="112"/>
      <c r="CB152" s="112"/>
      <c r="CC152" s="112"/>
      <c r="CD152" s="112"/>
      <c r="CE152" s="112"/>
      <c r="CF152" s="112"/>
      <c r="CG152" s="112"/>
      <c r="CH152" s="112"/>
      <c r="CI152" s="112"/>
      <c r="CJ152" s="112"/>
      <c r="CK152" s="109">
        <f>+MEDIAN(H152,I152,J152,K152,M152,M152,M152,O152,O152,Q152,S152,U152,W152,X152,Y152,Z152,AA152,AC152,AE152,AG152,AH152,AI152,AJ152,AK152,AL152,AM152,AO152,AP152,AQ152,AS152,AU152,AX152,AZ152,BB152,BC152,BE152,BG152,BH152,BI152,BK152,BL152,BM152,BN152,BP152,BR152,BT152,BV152)</f>
        <v>100000</v>
      </c>
      <c r="CL152" s="109">
        <f>+AVERAGE(H152,I152,J152,K152,M152,M152,M152,O152,O152,Q152,S152,U152,W152,X152,Y152,Z152,AA152,AC152,AE152,AG152,AH152,AI152,AJ152,AK152,AL152,AM152,AO152,AP152,AQ152,AS152,AU152,AX152,AZ152,BB152,BC152,BE152,BG152,BH152,BI152,BK152,BL152,BM152,BN152,BP152,BR152,BT152,BV152)</f>
        <v>109000</v>
      </c>
      <c r="CM152" s="109">
        <f>+STDEV(H152,I152,J152,K152,M152,M152,M152,O152,O152,Q152,S152,U152,W152,X152,Y152,Z152,AA152,AC152,AE152,AG152,AH152,AI152,AJ152,AK152,AL152,AM152,AO152,AP152,AQ152,AS152,AU152,AX152,AZ152,BB152,BC152,BE152,BG152,BH152,BI152,BK152,BL152,BM152,BN152,BP152,BR152,BT152,BV152)</f>
        <v>18248.287590894659</v>
      </c>
      <c r="CN152" s="103">
        <f t="shared" si="60"/>
        <v>0.1674154824852721</v>
      </c>
      <c r="CO152" s="110">
        <f t="shared" si="58"/>
        <v>84033.613445378156</v>
      </c>
      <c r="CP152" s="107">
        <f t="shared" si="59"/>
        <v>15966.386554621849</v>
      </c>
      <c r="CQ152" s="106">
        <f>ROUNDUP(IF(CN152&lt;15%,CL152,CK152),0)</f>
        <v>100000</v>
      </c>
      <c r="CR152" s="122">
        <f>+CQ152*E152</f>
        <v>2400000</v>
      </c>
      <c r="CS152" s="89" t="s">
        <v>380</v>
      </c>
    </row>
    <row r="153" spans="1:143" ht="189.65" customHeight="1">
      <c r="A153" s="90">
        <f t="shared" si="56"/>
        <v>140</v>
      </c>
      <c r="B153" s="88" t="s">
        <v>16</v>
      </c>
      <c r="C153" s="1" t="s">
        <v>63</v>
      </c>
      <c r="D153" s="91" t="s">
        <v>4</v>
      </c>
      <c r="E153" s="1">
        <v>900</v>
      </c>
      <c r="F153" s="1"/>
      <c r="G153" s="106"/>
      <c r="H153" s="106"/>
      <c r="I153" s="106"/>
      <c r="J153" s="106"/>
      <c r="K153" s="106"/>
      <c r="L153" s="106"/>
      <c r="M153" s="106"/>
      <c r="N153" s="106">
        <v>25200</v>
      </c>
      <c r="O153" s="5">
        <f>+(N153*5.1%)+N153</f>
        <v>26485.200000000001</v>
      </c>
      <c r="P153" s="106"/>
      <c r="Q153" s="106"/>
      <c r="R153" s="106"/>
      <c r="S153" s="106"/>
      <c r="T153" s="106"/>
      <c r="U153" s="106"/>
      <c r="V153" s="106"/>
      <c r="W153" s="106"/>
      <c r="X153" s="106"/>
      <c r="Y153" s="106"/>
      <c r="Z153" s="106"/>
      <c r="AA153" s="106"/>
      <c r="AB153" s="106"/>
      <c r="AC153" s="106"/>
      <c r="AD153" s="106"/>
      <c r="AE153" s="106"/>
      <c r="AF153" s="106"/>
      <c r="AG153" s="106"/>
      <c r="AH153" s="106"/>
      <c r="AI153" s="106"/>
      <c r="AJ153" s="106"/>
      <c r="AK153" s="106"/>
      <c r="AL153" s="106"/>
      <c r="AM153" s="112">
        <v>26000</v>
      </c>
      <c r="AN153" s="106"/>
      <c r="AO153" s="106"/>
      <c r="AP153" s="106"/>
      <c r="AQ153" s="106"/>
      <c r="AR153" s="106"/>
      <c r="AS153" s="106"/>
      <c r="AT153" s="106">
        <v>27000</v>
      </c>
      <c r="AU153" s="106">
        <v>28377</v>
      </c>
      <c r="AV153" s="106"/>
      <c r="AW153" s="106"/>
      <c r="AX153" s="106"/>
      <c r="AY153" s="106"/>
      <c r="AZ153" s="106"/>
      <c r="BA153" s="106"/>
      <c r="BB153" s="106"/>
      <c r="BC153" s="106"/>
      <c r="BD153" s="106"/>
      <c r="BE153" s="106"/>
      <c r="BF153" s="106"/>
      <c r="BG153" s="106"/>
      <c r="BH153" s="106"/>
      <c r="BI153" s="106"/>
      <c r="BJ153" s="106"/>
      <c r="BK153" s="106"/>
      <c r="BL153" s="106"/>
      <c r="BM153" s="106"/>
      <c r="BN153" s="106"/>
      <c r="BO153" s="106"/>
      <c r="BP153" s="106"/>
      <c r="BQ153" s="106"/>
      <c r="BR153" s="106"/>
      <c r="BS153" s="106"/>
      <c r="BT153" s="106"/>
      <c r="BU153" s="106"/>
      <c r="BV153" s="106"/>
      <c r="BW153" s="106"/>
      <c r="BX153" s="106"/>
      <c r="BY153" s="106"/>
      <c r="BZ153" s="106"/>
      <c r="CA153" s="106"/>
      <c r="CB153" s="106"/>
      <c r="CC153" s="106"/>
      <c r="CD153" s="106"/>
      <c r="CE153" s="106"/>
      <c r="CF153" s="106"/>
      <c r="CG153" s="106"/>
      <c r="CH153" s="106"/>
      <c r="CI153" s="106"/>
      <c r="CJ153" s="106"/>
      <c r="CK153" s="109">
        <f>+MEDIAN(H153,I153,J153,K153,M153,M153,M153,O153,O153,Q153,S153,U153,W153,X153,Y153,Z153,AA153,AC153,AE153,AG153,AH153,AI153,AJ153,AK153,AL153,AM153,AO153,AP153,AQ153,AS153,AU153,AX153,AZ153,BB153,BC153,BE153,BG153,BH153,BI153,BK153,BL153,BM153,BN153,BP153,BR153,BT153,BV153)</f>
        <v>26485.200000000001</v>
      </c>
      <c r="CL153" s="109">
        <f>+AVERAGE(H153,I153,J153,K153,M153,M153,M153,O153,O153,Q153,S153,U153,W153,X153,Y153,Z153,AA153,AC153,AE153,AG153,AH153,AI153,AJ153,AK153,AL153,AM153,AO153,AP153,AQ153,AS153,AU153,AX153,AZ153,BB153,BC153,BE153,BG153,BH153,BI153,BK153,BL153,BM153,BN153,BP153,BR153,BT153,BV153)</f>
        <v>26836.85</v>
      </c>
      <c r="CM153" s="109">
        <f>+STDEV(H153,I153,J153,K153,M153,M153,M153,O153,O153,Q153,S153,U153,W153,X153,Y153,Z153,AA153,AC153,AE153,AG153,AH153,AI153,AJ153,AK153,AL153,AM153,AO153,AP153,AQ153,AS153,AU153,AX153,AZ153,BB153,BC153,BE153,BG153,BH153,BI153,BK153,BL153,BM153,BN153,BP153,BR153,BT153,BV153)</f>
        <v>1051.9339950776377</v>
      </c>
      <c r="CN153" s="103">
        <f t="shared" si="60"/>
        <v>3.9197372086427353E-2</v>
      </c>
      <c r="CO153" s="110">
        <f>CQ153/1.08</f>
        <v>24849.074074074073</v>
      </c>
      <c r="CP153" s="107">
        <f>CO153*8%</f>
        <v>1987.9259259259259</v>
      </c>
      <c r="CQ153" s="106">
        <f>ROUNDUP(IF(CN153&lt;15%,CL153,CK153),0)</f>
        <v>26837</v>
      </c>
      <c r="CR153" s="122">
        <f>+CQ153*E153</f>
        <v>24153300</v>
      </c>
      <c r="CS153" s="79" t="s">
        <v>731</v>
      </c>
    </row>
    <row r="154" spans="1:143" s="256" customFormat="1" ht="225" customHeight="1">
      <c r="A154" s="247">
        <f t="shared" si="56"/>
        <v>141</v>
      </c>
      <c r="B154" s="260" t="s">
        <v>128</v>
      </c>
      <c r="C154" s="249" t="s">
        <v>790</v>
      </c>
      <c r="D154" s="250" t="s">
        <v>52</v>
      </c>
      <c r="E154" s="314">
        <v>1</v>
      </c>
      <c r="F154" s="249"/>
      <c r="G154" s="249"/>
      <c r="H154" s="249"/>
      <c r="I154" s="249"/>
      <c r="J154" s="249"/>
      <c r="K154" s="249"/>
      <c r="L154" s="249"/>
      <c r="M154" s="249"/>
      <c r="N154" s="249"/>
      <c r="O154" s="249"/>
      <c r="P154" s="249"/>
      <c r="Q154" s="249"/>
      <c r="R154" s="249"/>
      <c r="S154" s="249"/>
      <c r="T154" s="249"/>
      <c r="U154" s="249"/>
      <c r="V154" s="249"/>
      <c r="W154" s="249"/>
      <c r="X154" s="249"/>
      <c r="Y154" s="249"/>
      <c r="Z154" s="249"/>
      <c r="AA154" s="249"/>
      <c r="AB154" s="249"/>
      <c r="AC154" s="249"/>
      <c r="AD154" s="249"/>
      <c r="AE154" s="249"/>
      <c r="AF154" s="249"/>
      <c r="AG154" s="249"/>
      <c r="AH154" s="249"/>
      <c r="AI154" s="249"/>
      <c r="AJ154" s="249"/>
      <c r="AK154" s="249"/>
      <c r="AL154" s="249"/>
      <c r="AM154" s="249"/>
      <c r="AN154" s="249"/>
      <c r="AO154" s="249"/>
      <c r="AP154" s="249"/>
      <c r="AQ154" s="249"/>
      <c r="AR154" s="249"/>
      <c r="AS154" s="249"/>
      <c r="AT154" s="249"/>
      <c r="AU154" s="249"/>
      <c r="AV154" s="249"/>
      <c r="AW154" s="249"/>
      <c r="AX154" s="249"/>
      <c r="AY154" s="249"/>
      <c r="AZ154" s="249"/>
      <c r="BA154" s="249"/>
      <c r="BB154" s="249"/>
      <c r="BC154" s="249"/>
      <c r="BD154" s="249"/>
      <c r="BE154" s="249"/>
      <c r="BF154" s="249"/>
      <c r="BG154" s="249"/>
      <c r="BH154" s="249"/>
      <c r="BI154" s="249"/>
      <c r="BJ154" s="249"/>
      <c r="BK154" s="249"/>
      <c r="BL154" s="249"/>
      <c r="BM154" s="249"/>
      <c r="BN154" s="249"/>
      <c r="BO154" s="249"/>
      <c r="BP154" s="249"/>
      <c r="BQ154" s="249"/>
      <c r="BR154" s="249"/>
      <c r="BS154" s="249"/>
      <c r="BT154" s="249"/>
      <c r="BU154" s="249"/>
      <c r="BV154" s="249"/>
      <c r="BW154" s="249"/>
      <c r="BX154" s="249"/>
      <c r="BY154" s="249"/>
      <c r="BZ154" s="249"/>
      <c r="CA154" s="249"/>
      <c r="CB154" s="249"/>
      <c r="CC154" s="249"/>
      <c r="CD154" s="249"/>
      <c r="CE154" s="249"/>
      <c r="CF154" s="249"/>
      <c r="CG154" s="249"/>
      <c r="CH154" s="249"/>
      <c r="CI154" s="249"/>
      <c r="CJ154" s="249"/>
      <c r="CK154" s="249"/>
      <c r="CL154" s="249"/>
      <c r="CM154" s="249"/>
      <c r="CN154" s="249"/>
      <c r="CO154" s="254">
        <v>15000000</v>
      </c>
      <c r="CP154" s="251"/>
      <c r="CQ154" s="254">
        <v>15000000</v>
      </c>
      <c r="CR154" s="251">
        <f>+CQ154</f>
        <v>15000000</v>
      </c>
      <c r="CS154" s="261" t="s">
        <v>791</v>
      </c>
    </row>
    <row r="155" spans="1:143" ht="72.5">
      <c r="A155" s="90">
        <f t="shared" si="56"/>
        <v>142</v>
      </c>
      <c r="B155" s="88" t="s">
        <v>129</v>
      </c>
      <c r="C155" s="1" t="s">
        <v>130</v>
      </c>
      <c r="D155" s="91" t="s">
        <v>270</v>
      </c>
      <c r="E155" s="62">
        <v>6</v>
      </c>
      <c r="F155" s="1"/>
      <c r="G155" s="106"/>
      <c r="H155" s="106"/>
      <c r="I155" s="106"/>
      <c r="J155" s="106"/>
      <c r="K155" s="106"/>
      <c r="L155" s="106"/>
      <c r="M155" s="106"/>
      <c r="N155" s="106"/>
      <c r="O155" s="106"/>
      <c r="P155" s="106"/>
      <c r="Q155" s="106"/>
      <c r="R155" s="106"/>
      <c r="S155" s="106"/>
      <c r="T155" s="106"/>
      <c r="U155" s="106"/>
      <c r="V155" s="106"/>
      <c r="W155" s="106"/>
      <c r="X155" s="112">
        <v>23700</v>
      </c>
      <c r="Y155" s="112">
        <v>34700</v>
      </c>
      <c r="Z155" s="112">
        <v>35000</v>
      </c>
      <c r="AA155" s="112"/>
      <c r="AB155" s="112"/>
      <c r="AC155" s="112"/>
      <c r="AD155" s="112"/>
      <c r="AE155" s="112"/>
      <c r="AF155" s="112"/>
      <c r="AG155" s="112"/>
      <c r="AH155" s="112"/>
      <c r="AI155" s="112"/>
      <c r="AJ155" s="112"/>
      <c r="AK155" s="112"/>
      <c r="AL155" s="112"/>
      <c r="AM155" s="112"/>
      <c r="AN155" s="112"/>
      <c r="AO155" s="112"/>
      <c r="AP155" s="112"/>
      <c r="AQ155" s="112"/>
      <c r="AR155" s="112"/>
      <c r="AS155" s="112"/>
      <c r="AT155" s="112"/>
      <c r="AU155" s="112"/>
      <c r="AV155" s="112"/>
      <c r="AW155" s="112"/>
      <c r="AX155" s="112"/>
      <c r="AY155" s="112"/>
      <c r="AZ155" s="112"/>
      <c r="BA155" s="112"/>
      <c r="BB155" s="112"/>
      <c r="BC155" s="112"/>
      <c r="BD155" s="112"/>
      <c r="BE155" s="112"/>
      <c r="BF155" s="112"/>
      <c r="BG155" s="112"/>
      <c r="BH155" s="112"/>
      <c r="BI155" s="112"/>
      <c r="BJ155" s="112"/>
      <c r="BK155" s="112"/>
      <c r="BL155" s="112"/>
      <c r="BM155" s="112"/>
      <c r="BN155" s="112"/>
      <c r="BO155" s="112"/>
      <c r="BP155" s="112"/>
      <c r="BQ155" s="112"/>
      <c r="BR155" s="112"/>
      <c r="BS155" s="112"/>
      <c r="BT155" s="112"/>
      <c r="BU155" s="112"/>
      <c r="BV155" s="112"/>
      <c r="BW155" s="112"/>
      <c r="BX155" s="112"/>
      <c r="BY155" s="112"/>
      <c r="BZ155" s="112"/>
      <c r="CA155" s="112"/>
      <c r="CB155" s="112"/>
      <c r="CC155" s="112"/>
      <c r="CD155" s="112"/>
      <c r="CE155" s="112"/>
      <c r="CF155" s="112"/>
      <c r="CG155" s="112"/>
      <c r="CH155" s="112"/>
      <c r="CI155" s="112"/>
      <c r="CJ155" s="112"/>
      <c r="CK155" s="109">
        <f>+MEDIAN(H155,I155,J155,K155,M155,M155,M155,O155,O155,Q155,S155,U155,W155,X155,Y155,Z155,AA155,AC155,AE155,AG155,AH155,AI155,AJ155,AK155,AL155,AM155,AO155,AP155,AQ155,AS155,AU155,AX155,AZ155,BB155,BC155,BE155,BG155,BH155,BI155,BK155,BL155,BM155,BN155,BP155,BR155,BT155,BV155)</f>
        <v>34700</v>
      </c>
      <c r="CL155" s="109">
        <f>+AVERAGE(H155,I155,J155,K155,M155,M155,M155,O155,O155,Q155,S155,U155,W155,X155,Y155,Z155,AA155,AC155,AE155,AG155,AH155,AI155,AJ155,AK155,AL155,AM155,AO155,AP155,AQ155,AS155,AU155,AX155,AZ155,BB155,BC155,BE155,BG155,BH155,BI155,BK155,BL155,BM155,BN155,BP155,BR155,BT155,BV155)</f>
        <v>31133.333333333332</v>
      </c>
      <c r="CM155" s="109">
        <f>+STDEV(H155,I155,J155,K155,M155,M155,M155,O155,O155,Q155,S155,U155,W155,X155,Y155,Z155,AA155,AC155,AE155,AG155,AH155,AI155,AJ155,AK155,AL155,AM155,AO155,AP155,AQ155,AS155,AU155,AX155,AZ155,BB155,BC155,BE155,BG155,BH155,BI155,BK155,BL155,BM155,BN155,BP155,BR155,BT155,BV155)</f>
        <v>6439.2028492145873</v>
      </c>
      <c r="CN155" s="103">
        <f t="shared" ref="CN155:CN158" si="63">CM155/CL155</f>
        <v>0.20682664397905529</v>
      </c>
      <c r="CO155" s="110">
        <f>CQ155/1.19</f>
        <v>29159.663865546219</v>
      </c>
      <c r="CP155" s="107">
        <f t="shared" ref="CP155:CP196" si="64">CO155*19%</f>
        <v>5540.3361344537816</v>
      </c>
      <c r="CQ155" s="106">
        <f>ROUNDUP(IF(CN155&lt;15%,CL155,CK155),0)</f>
        <v>34700</v>
      </c>
      <c r="CR155" s="122">
        <f>+CQ155*E155</f>
        <v>208200</v>
      </c>
      <c r="CS155" s="89" t="s">
        <v>380</v>
      </c>
    </row>
    <row r="156" spans="1:143" s="256" customFormat="1" ht="152.5" customHeight="1">
      <c r="A156" s="247">
        <f t="shared" si="56"/>
        <v>143</v>
      </c>
      <c r="B156" s="260" t="s">
        <v>128</v>
      </c>
      <c r="C156" s="249" t="s">
        <v>896</v>
      </c>
      <c r="D156" s="250" t="s">
        <v>52</v>
      </c>
      <c r="E156" s="314">
        <v>1</v>
      </c>
      <c r="F156" s="249"/>
      <c r="G156" s="251"/>
      <c r="H156" s="251"/>
      <c r="I156" s="251"/>
      <c r="J156" s="251"/>
      <c r="K156" s="251"/>
      <c r="L156" s="251"/>
      <c r="M156" s="251"/>
      <c r="N156" s="251"/>
      <c r="O156" s="251"/>
      <c r="P156" s="251"/>
      <c r="Q156" s="251"/>
      <c r="R156" s="251"/>
      <c r="S156" s="251"/>
      <c r="T156" s="251"/>
      <c r="U156" s="251"/>
      <c r="V156" s="251"/>
      <c r="W156" s="251"/>
      <c r="X156" s="323"/>
      <c r="Y156" s="323"/>
      <c r="Z156" s="323"/>
      <c r="AA156" s="323"/>
      <c r="AB156" s="323"/>
      <c r="AC156" s="323"/>
      <c r="AD156" s="323"/>
      <c r="AE156" s="323"/>
      <c r="AF156" s="323"/>
      <c r="AG156" s="323"/>
      <c r="AH156" s="323"/>
      <c r="AI156" s="323"/>
      <c r="AJ156" s="323"/>
      <c r="AK156" s="323"/>
      <c r="AL156" s="323"/>
      <c r="AM156" s="323"/>
      <c r="AN156" s="323"/>
      <c r="AO156" s="323"/>
      <c r="AP156" s="323"/>
      <c r="AQ156" s="323"/>
      <c r="AR156" s="323"/>
      <c r="AS156" s="323"/>
      <c r="AT156" s="323"/>
      <c r="AU156" s="323"/>
      <c r="AV156" s="323"/>
      <c r="AW156" s="323"/>
      <c r="AX156" s="323"/>
      <c r="AY156" s="323"/>
      <c r="AZ156" s="323"/>
      <c r="BA156" s="323"/>
      <c r="BB156" s="323"/>
      <c r="BC156" s="323"/>
      <c r="BD156" s="323"/>
      <c r="BE156" s="323"/>
      <c r="BF156" s="323"/>
      <c r="BG156" s="323"/>
      <c r="BH156" s="323"/>
      <c r="BI156" s="323"/>
      <c r="BJ156" s="323"/>
      <c r="BK156" s="323"/>
      <c r="BL156" s="323"/>
      <c r="BM156" s="323"/>
      <c r="BN156" s="323"/>
      <c r="BO156" s="323"/>
      <c r="BP156" s="323"/>
      <c r="BQ156" s="323"/>
      <c r="BR156" s="323"/>
      <c r="BS156" s="323"/>
      <c r="BT156" s="323"/>
      <c r="BU156" s="323"/>
      <c r="BV156" s="323"/>
      <c r="BW156" s="323"/>
      <c r="BX156" s="323"/>
      <c r="BY156" s="323"/>
      <c r="BZ156" s="323"/>
      <c r="CA156" s="323"/>
      <c r="CB156" s="323"/>
      <c r="CC156" s="323"/>
      <c r="CD156" s="323"/>
      <c r="CE156" s="323"/>
      <c r="CF156" s="323"/>
      <c r="CG156" s="323"/>
      <c r="CH156" s="323"/>
      <c r="CI156" s="323"/>
      <c r="CJ156" s="323"/>
      <c r="CK156" s="252"/>
      <c r="CL156" s="252"/>
      <c r="CM156" s="252"/>
      <c r="CN156" s="253"/>
      <c r="CO156" s="254">
        <v>818250</v>
      </c>
      <c r="CP156" s="251"/>
      <c r="CQ156" s="254">
        <v>818250</v>
      </c>
      <c r="CR156" s="254">
        <v>818250</v>
      </c>
      <c r="CS156" s="261" t="s">
        <v>791</v>
      </c>
    </row>
    <row r="157" spans="1:143" ht="231" customHeight="1">
      <c r="A157" s="90">
        <f>+A156+1</f>
        <v>144</v>
      </c>
      <c r="B157" s="80" t="s">
        <v>66</v>
      </c>
      <c r="C157" s="1" t="s">
        <v>131</v>
      </c>
      <c r="D157" s="91" t="s">
        <v>4</v>
      </c>
      <c r="E157" s="62">
        <v>800</v>
      </c>
      <c r="F157" s="1"/>
      <c r="G157" s="106"/>
      <c r="H157" s="106"/>
      <c r="I157" s="106"/>
      <c r="J157" s="106"/>
      <c r="K157" s="106"/>
      <c r="L157" s="106"/>
      <c r="M157" s="106"/>
      <c r="N157" s="106"/>
      <c r="O157" s="106"/>
      <c r="P157" s="106"/>
      <c r="Q157" s="106"/>
      <c r="R157" s="106"/>
      <c r="S157" s="106"/>
      <c r="T157" s="106"/>
      <c r="U157" s="106"/>
      <c r="V157" s="106"/>
      <c r="W157" s="106"/>
      <c r="X157" s="106"/>
      <c r="Y157" s="106"/>
      <c r="Z157" s="106"/>
      <c r="AA157" s="106"/>
      <c r="AB157" s="106"/>
      <c r="AC157" s="106"/>
      <c r="AD157" s="106"/>
      <c r="AE157" s="106"/>
      <c r="AF157" s="106"/>
      <c r="AG157" s="106"/>
      <c r="AH157" s="106"/>
      <c r="AI157" s="106"/>
      <c r="AJ157" s="106"/>
      <c r="AK157" s="106"/>
      <c r="AL157" s="106"/>
      <c r="AM157" s="106"/>
      <c r="AN157" s="106"/>
      <c r="AO157" s="106"/>
      <c r="AP157" s="106"/>
      <c r="AQ157" s="106"/>
      <c r="AR157" s="112">
        <v>27500</v>
      </c>
      <c r="AS157" s="112">
        <v>28903</v>
      </c>
      <c r="AT157" s="112">
        <v>29000</v>
      </c>
      <c r="AU157" s="112">
        <v>30479</v>
      </c>
      <c r="AV157" s="106"/>
      <c r="AW157" s="106"/>
      <c r="AX157" s="106"/>
      <c r="AY157" s="106"/>
      <c r="AZ157" s="106"/>
      <c r="BA157" s="106"/>
      <c r="BB157" s="106"/>
      <c r="BC157" s="106"/>
      <c r="BD157" s="106"/>
      <c r="BE157" s="106"/>
      <c r="BF157" s="106"/>
      <c r="BG157" s="106"/>
      <c r="BH157" s="106"/>
      <c r="BI157" s="106"/>
      <c r="BJ157" s="106"/>
      <c r="BK157" s="106"/>
      <c r="BL157" s="106"/>
      <c r="BM157" s="106"/>
      <c r="BN157" s="106"/>
      <c r="BO157" s="106"/>
      <c r="BP157" s="106"/>
      <c r="BQ157" s="106"/>
      <c r="BR157" s="106"/>
      <c r="BS157" s="106"/>
      <c r="BT157" s="106"/>
      <c r="BU157" s="112">
        <v>27000</v>
      </c>
      <c r="BV157" s="112">
        <v>28404</v>
      </c>
      <c r="BW157" s="112"/>
      <c r="BX157" s="112"/>
      <c r="BY157" s="112"/>
      <c r="BZ157" s="112"/>
      <c r="CA157" s="112"/>
      <c r="CB157" s="112"/>
      <c r="CC157" s="112"/>
      <c r="CD157" s="112"/>
      <c r="CE157" s="112"/>
      <c r="CF157" s="112"/>
      <c r="CG157" s="112"/>
      <c r="CH157" s="112"/>
      <c r="CI157" s="112"/>
      <c r="CJ157" s="112"/>
      <c r="CK157" s="109">
        <f>+MEDIAN(H157,I157,J157,K157,M157,M157,M157,O157,O157,Q157,S157,U157,W157,X157,Y157,Z157,AA157,AC157,AE157,AG157,AH157,AI157,AJ157,AK157,AL157,AM157,AO157,AP157,AQ157,AS157,AU157,AX157,AZ157,BB157,BC157,BE157,BG157,BH157,BI157,BK157,BL157,BM157,BN157,BP157,BR157,BT157,BV157)</f>
        <v>28903</v>
      </c>
      <c r="CL157" s="109">
        <f>+AVERAGE(H157,I157,J157,K157,M157,M157,M157,O157,O157,Q157,S157,U157,W157,X157,Y157,Z157,AA157,AC157,AE157,AG157,AH157,AI157,AJ157,AK157,AL157,AM157,AO157,AP157,AQ157,AS157,AU157,AX157,AZ157,BB157,BC157,BE157,BG157,BH157,BI157,BK157,BL157,BM157,BN157,BP157,BR157,BT157,BV157)</f>
        <v>29262</v>
      </c>
      <c r="CM157" s="109">
        <f>+STDEV(H157,I157,J157,K157,M157,M157,M157,O157,O157,Q157,S157,U157,W157,X157,Y157,Z157,AA157,AC157,AE157,AG157,AH157,AI157,AJ157,AK157,AL157,AM157,AO157,AP157,AQ157,AS157,AU157,AX157,AZ157,BB157,BC157,BE157,BG157,BH157,BI157,BK157,BL157,BM157,BN157,BP157,BR157,BT157,BV157)</f>
        <v>1083.0821760143594</v>
      </c>
      <c r="CN157" s="103">
        <f t="shared" si="63"/>
        <v>3.7013265532580122E-2</v>
      </c>
      <c r="CO157" s="110">
        <f>CQ157/1.08</f>
        <v>27094.444444444442</v>
      </c>
      <c r="CP157" s="107">
        <f>CO157*8%</f>
        <v>2167.5555555555552</v>
      </c>
      <c r="CQ157" s="106">
        <f>ROUNDUP(IF(CN157&lt;15%,CL157,CK157),0)</f>
        <v>29262</v>
      </c>
      <c r="CR157" s="122">
        <f>+CQ157*E157</f>
        <v>23409600</v>
      </c>
      <c r="CS157" s="79" t="s">
        <v>731</v>
      </c>
    </row>
    <row r="158" spans="1:143" ht="150" customHeight="1">
      <c r="A158" s="90">
        <f t="shared" si="56"/>
        <v>145</v>
      </c>
      <c r="B158" s="80" t="s">
        <v>46</v>
      </c>
      <c r="C158" s="1" t="s">
        <v>912</v>
      </c>
      <c r="D158" s="91" t="s">
        <v>789</v>
      </c>
      <c r="E158" s="62">
        <v>10</v>
      </c>
      <c r="F158" s="1"/>
      <c r="G158" s="106"/>
      <c r="H158" s="106"/>
      <c r="I158" s="106"/>
      <c r="J158" s="106"/>
      <c r="K158" s="106"/>
      <c r="L158" s="326">
        <v>530000</v>
      </c>
      <c r="M158" s="326">
        <f>+((L158/1.19)*23%)+L158</f>
        <v>632436.97478991596</v>
      </c>
      <c r="N158" s="326">
        <v>540000</v>
      </c>
      <c r="O158" s="326">
        <f>+((N158)*23%)+N158</f>
        <v>664200</v>
      </c>
      <c r="P158" s="326">
        <v>600000</v>
      </c>
      <c r="Q158" s="326">
        <f>+((P158)*23%)+P158</f>
        <v>738000</v>
      </c>
      <c r="R158" s="106"/>
      <c r="S158" s="106"/>
      <c r="T158" s="106"/>
      <c r="U158" s="106"/>
      <c r="V158" s="106"/>
      <c r="W158" s="106"/>
      <c r="X158" s="106"/>
      <c r="Y158" s="106"/>
      <c r="Z158" s="106"/>
      <c r="AA158" s="106"/>
      <c r="AB158" s="106"/>
      <c r="AC158" s="106"/>
      <c r="AD158" s="106"/>
      <c r="AE158" s="106"/>
      <c r="AF158" s="106"/>
      <c r="AG158" s="106"/>
      <c r="AH158" s="106"/>
      <c r="AI158" s="106"/>
      <c r="AJ158" s="106"/>
      <c r="AK158" s="106"/>
      <c r="AL158" s="106"/>
      <c r="AM158" s="106"/>
      <c r="AN158" s="106"/>
      <c r="AO158" s="106"/>
      <c r="AP158" s="106"/>
      <c r="AQ158" s="106"/>
      <c r="AR158" s="106"/>
      <c r="AS158" s="106"/>
      <c r="AT158" s="106"/>
      <c r="AU158" s="106"/>
      <c r="AV158" s="106"/>
      <c r="AW158" s="106"/>
      <c r="AX158" s="106"/>
      <c r="AY158" s="106"/>
      <c r="AZ158" s="106"/>
      <c r="BA158" s="106"/>
      <c r="BB158" s="106"/>
      <c r="BC158" s="106"/>
      <c r="BD158" s="106"/>
      <c r="BE158" s="106"/>
      <c r="BF158" s="106"/>
      <c r="BG158" s="106"/>
      <c r="BH158" s="106"/>
      <c r="BI158" s="106"/>
      <c r="BJ158" s="106"/>
      <c r="BK158" s="106"/>
      <c r="BL158" s="106"/>
      <c r="BM158" s="106"/>
      <c r="BN158" s="106"/>
      <c r="BO158" s="106"/>
      <c r="BP158" s="106"/>
      <c r="BQ158" s="106"/>
      <c r="BR158" s="106"/>
      <c r="BS158" s="106"/>
      <c r="BT158" s="106"/>
      <c r="BU158" s="106"/>
      <c r="BV158" s="106"/>
      <c r="BW158" s="106"/>
      <c r="BX158" s="106"/>
      <c r="BY158" s="106"/>
      <c r="BZ158" s="106"/>
      <c r="CA158" s="106"/>
      <c r="CB158" s="106"/>
      <c r="CC158" s="106"/>
      <c r="CD158" s="106"/>
      <c r="CE158" s="106"/>
      <c r="CF158" s="106"/>
      <c r="CG158" s="106"/>
      <c r="CH158" s="106"/>
      <c r="CI158" s="106"/>
      <c r="CJ158" s="106"/>
      <c r="CK158" s="109">
        <f>+MEDIAN(M158,O158,Q158)</f>
        <v>664200</v>
      </c>
      <c r="CL158" s="109">
        <f>+AVERAGE(M158,O158,Q158)</f>
        <v>678212.32492997206</v>
      </c>
      <c r="CM158" s="109">
        <f>+STDEV(M158,O158,Q158)</f>
        <v>54158.53589540199</v>
      </c>
      <c r="CN158" s="103">
        <f t="shared" si="63"/>
        <v>7.985483882351159E-2</v>
      </c>
      <c r="CO158" s="5">
        <f>CQ158</f>
        <v>678213</v>
      </c>
      <c r="CP158" s="106"/>
      <c r="CQ158" s="106">
        <f t="shared" ref="CQ158" si="65">ROUNDUP(IF(CN158&lt;15%,CL158,CK158),0)</f>
        <v>678213</v>
      </c>
      <c r="CR158" s="122">
        <f>+CQ158*E158</f>
        <v>6782130</v>
      </c>
      <c r="CS158" s="79" t="s">
        <v>733</v>
      </c>
    </row>
    <row r="159" spans="1:143" ht="93.65" customHeight="1">
      <c r="A159" s="90">
        <f>+A158+1</f>
        <v>146</v>
      </c>
      <c r="B159" s="88" t="s">
        <v>710</v>
      </c>
      <c r="C159" s="1" t="s">
        <v>428</v>
      </c>
      <c r="D159" s="92" t="s">
        <v>273</v>
      </c>
      <c r="E159" s="62">
        <v>1</v>
      </c>
      <c r="F159" s="62">
        <v>2</v>
      </c>
      <c r="G159" s="106"/>
      <c r="H159" s="106"/>
      <c r="I159" s="106"/>
      <c r="J159" s="106"/>
      <c r="K159" s="106"/>
      <c r="L159" s="106"/>
      <c r="M159" s="106"/>
      <c r="N159" s="106"/>
      <c r="O159" s="106"/>
      <c r="P159" s="106"/>
      <c r="Q159" s="106"/>
      <c r="R159" s="106"/>
      <c r="S159" s="106"/>
      <c r="T159" s="106"/>
      <c r="U159" s="106"/>
      <c r="V159" s="106"/>
      <c r="W159" s="106"/>
      <c r="X159" s="106"/>
      <c r="Y159" s="106"/>
      <c r="Z159" s="106"/>
      <c r="AA159" s="106"/>
      <c r="AB159" s="106"/>
      <c r="AC159" s="106"/>
      <c r="AD159" s="106"/>
      <c r="AE159" s="106"/>
      <c r="AF159" s="106"/>
      <c r="AG159" s="106"/>
      <c r="AH159" s="106"/>
      <c r="AI159" s="106"/>
      <c r="AJ159" s="106"/>
      <c r="AK159" s="106"/>
      <c r="AL159" s="106"/>
      <c r="AM159" s="106"/>
      <c r="AN159" s="106"/>
      <c r="AO159" s="106"/>
      <c r="AP159" s="106"/>
      <c r="AQ159" s="106"/>
      <c r="AR159" s="106"/>
      <c r="AS159" s="106"/>
      <c r="AT159" s="106"/>
      <c r="AU159" s="106"/>
      <c r="AV159" s="106"/>
      <c r="AW159" s="106"/>
      <c r="AX159" s="106"/>
      <c r="AY159" s="106"/>
      <c r="AZ159" s="106"/>
      <c r="BA159" s="106"/>
      <c r="BB159" s="106"/>
      <c r="BC159" s="106"/>
      <c r="BD159" s="106"/>
      <c r="BE159" s="106"/>
      <c r="BF159" s="106"/>
      <c r="BG159" s="106"/>
      <c r="BH159" s="112">
        <v>2350000</v>
      </c>
      <c r="BI159" s="112"/>
      <c r="BJ159" s="106"/>
      <c r="BK159" s="106"/>
      <c r="BL159" s="106"/>
      <c r="BM159" s="106"/>
      <c r="BN159" s="106"/>
      <c r="BO159" s="106"/>
      <c r="BP159" s="106"/>
      <c r="BQ159" s="106"/>
      <c r="BR159" s="106"/>
      <c r="BS159" s="106"/>
      <c r="BT159" s="106"/>
      <c r="BU159" s="106"/>
      <c r="BV159" s="106"/>
      <c r="BW159" s="106"/>
      <c r="BX159" s="112">
        <v>2000000</v>
      </c>
      <c r="BY159" s="112">
        <f>+(BX159*5.1%)+BX159</f>
        <v>2102000</v>
      </c>
      <c r="BZ159" s="112">
        <v>2460000</v>
      </c>
      <c r="CA159" s="112"/>
      <c r="CB159" s="112"/>
      <c r="CC159" s="112"/>
      <c r="CD159" s="112"/>
      <c r="CE159" s="112"/>
      <c r="CF159" s="112"/>
      <c r="CG159" s="112"/>
      <c r="CH159" s="112"/>
      <c r="CI159" s="112"/>
      <c r="CJ159" s="112"/>
      <c r="CK159" s="109">
        <f>+MEDIAN(BH159,BY159,BZ159)</f>
        <v>2350000</v>
      </c>
      <c r="CL159" s="109">
        <f>+AVERAGE(BH159,BY159,BZ159)</f>
        <v>2304000</v>
      </c>
      <c r="CM159" s="109">
        <f>+STDEV(BH159,BY159,BZ159)</f>
        <v>183379.38815472147</v>
      </c>
      <c r="CN159" s="103">
        <f t="shared" ref="CN159" si="66">CM159/CL159</f>
        <v>7.9591748331042309E-2</v>
      </c>
      <c r="CO159" s="110">
        <f t="shared" ref="CO159" si="67">CQ159/1.19</f>
        <v>1936134.4537815128</v>
      </c>
      <c r="CP159" s="107">
        <f t="shared" ref="CP159" si="68">CO159*19%</f>
        <v>367865.54621848743</v>
      </c>
      <c r="CQ159" s="106">
        <f t="shared" ref="CQ159:CQ172" si="69">ROUNDUP(IF(CN159&lt;15%,CL159,CK159),0)</f>
        <v>2304000</v>
      </c>
      <c r="CR159" s="122">
        <f>+CQ159*E159*F159</f>
        <v>4608000</v>
      </c>
      <c r="CS159" s="79" t="s">
        <v>731</v>
      </c>
    </row>
    <row r="160" spans="1:143" ht="124.4" customHeight="1">
      <c r="A160" s="90">
        <f t="shared" si="56"/>
        <v>147</v>
      </c>
      <c r="B160" s="80" t="s">
        <v>264</v>
      </c>
      <c r="C160" s="1" t="s">
        <v>8</v>
      </c>
      <c r="D160" s="91" t="s">
        <v>5</v>
      </c>
      <c r="E160" s="62">
        <v>1</v>
      </c>
      <c r="F160" s="1">
        <v>2</v>
      </c>
      <c r="G160" s="106"/>
      <c r="H160" s="106"/>
      <c r="I160" s="106"/>
      <c r="J160" s="106"/>
      <c r="K160" s="106"/>
      <c r="L160" s="106"/>
      <c r="M160" s="106"/>
      <c r="N160" s="106"/>
      <c r="O160" s="106"/>
      <c r="P160" s="106"/>
      <c r="Q160" s="106"/>
      <c r="R160" s="106">
        <v>4500000</v>
      </c>
      <c r="S160" s="106">
        <v>4729500</v>
      </c>
      <c r="T160" s="106">
        <v>4200000</v>
      </c>
      <c r="U160" s="106">
        <v>4414200</v>
      </c>
      <c r="V160" s="106"/>
      <c r="W160" s="106"/>
      <c r="X160" s="106"/>
      <c r="Y160" s="106"/>
      <c r="Z160" s="106"/>
      <c r="AA160" s="106"/>
      <c r="AB160" s="106"/>
      <c r="AC160" s="106"/>
      <c r="AD160" s="106"/>
      <c r="AE160" s="106"/>
      <c r="AF160" s="106"/>
      <c r="AG160" s="106"/>
      <c r="AH160" s="106"/>
      <c r="AI160" s="106"/>
      <c r="AJ160" s="106"/>
      <c r="AK160" s="106"/>
      <c r="AL160" s="106"/>
      <c r="AM160" s="106"/>
      <c r="AN160" s="106"/>
      <c r="AO160" s="106"/>
      <c r="AP160" s="106"/>
      <c r="AQ160" s="106"/>
      <c r="AR160" s="106"/>
      <c r="AS160" s="106"/>
      <c r="AT160" s="106"/>
      <c r="AU160" s="106"/>
      <c r="AV160" s="106"/>
      <c r="AW160" s="106"/>
      <c r="AX160" s="106"/>
      <c r="AY160" s="106"/>
      <c r="AZ160" s="106"/>
      <c r="BA160" s="106"/>
      <c r="BB160" s="106"/>
      <c r="BC160" s="106"/>
      <c r="BD160" s="106"/>
      <c r="BE160" s="106"/>
      <c r="BF160" s="106"/>
      <c r="BG160" s="106"/>
      <c r="BH160" s="106"/>
      <c r="BI160" s="106"/>
      <c r="BJ160" s="106"/>
      <c r="BK160" s="106"/>
      <c r="BL160" s="106"/>
      <c r="BM160" s="106"/>
      <c r="BN160" s="106"/>
      <c r="BO160" s="106"/>
      <c r="BP160" s="106"/>
      <c r="BQ160" s="106"/>
      <c r="BR160" s="106"/>
      <c r="BS160" s="106"/>
      <c r="BT160" s="106"/>
      <c r="BU160" s="106"/>
      <c r="BV160" s="106"/>
      <c r="BW160" s="106"/>
      <c r="BX160" s="106"/>
      <c r="BY160" s="106"/>
      <c r="BZ160" s="106"/>
      <c r="CA160" s="106"/>
      <c r="CB160" s="106"/>
      <c r="CC160" s="106"/>
      <c r="CD160" s="106"/>
      <c r="CE160" s="106"/>
      <c r="CF160" s="106"/>
      <c r="CG160" s="106"/>
      <c r="CH160" s="106"/>
      <c r="CI160" s="106"/>
      <c r="CJ160" s="106"/>
      <c r="CK160" s="109">
        <f t="shared" ref="CK160:CK172" si="70">+MEDIAN(H160,I160,J160,K160,M160,M160,M160,O160,O160,Q160,S160,U160,W160,X160,Y160,Z160,AA160,AC160,AE160,AG160,AH160,AI160,AJ160,AK160,AL160,AM160,AO160,AP160,AQ160,AS160,AU160,AX160,AZ160,BB160,BC160,BE160,BG160,BH160,BI160,BK160,BL160,BM160,BN160,BP160,BR160,BT160,BV160)</f>
        <v>4571850</v>
      </c>
      <c r="CL160" s="109">
        <f t="shared" ref="CL160:CL172" si="71">+AVERAGE(H160,I160,J160,K160,M160,M160,M160,O160,O160,Q160,S160,U160,W160,X160,Y160,Z160,AA160,AC160,AE160,AG160,AH160,AI160,AJ160,AK160,AL160,AM160,AO160,AP160,AQ160,AS160,AU160,AX160,AZ160,BB160,BC160,BE160,BG160,BH160,BI160,BK160,BL160,BM160,BN160,BP160,BR160,BT160,BV160)</f>
        <v>4571850</v>
      </c>
      <c r="CM160" s="109">
        <f t="shared" ref="CM160:CM172" si="72">+STDEV(H160,I160,J160,K160,M160,M160,M160,O160,O160,Q160,S160,U160,W160,X160,Y160,Z160,AA160,AC160,AE160,AG160,AH160,AI160,AJ160,AK160,AL160,AM160,AO160,AP160,AQ160,AS160,AU160,AX160,AZ160,BB160,BC160,BE160,BG160,BH160,BI160,BK160,BL160,BM160,BN160,BP160,BR160,BT160,BV160)</f>
        <v>222950.76810811844</v>
      </c>
      <c r="CN160" s="103">
        <f t="shared" ref="CN160:CN171" si="73">CM160/CL160</f>
        <v>4.8765984909417075E-2</v>
      </c>
      <c r="CO160" s="110">
        <f t="shared" ref="CO160:CO166" si="74">CQ160/1.19</f>
        <v>3841890.7563025211</v>
      </c>
      <c r="CP160" s="107">
        <f t="shared" si="64"/>
        <v>729959.24369747902</v>
      </c>
      <c r="CQ160" s="106">
        <f t="shared" si="69"/>
        <v>4571850</v>
      </c>
      <c r="CR160" s="122">
        <f>+CQ160*E160*F160</f>
        <v>9143700</v>
      </c>
      <c r="CS160" s="79" t="s">
        <v>731</v>
      </c>
    </row>
    <row r="161" spans="1:97" ht="204.65" customHeight="1">
      <c r="A161" s="90">
        <f t="shared" si="56"/>
        <v>148</v>
      </c>
      <c r="B161" s="80" t="s">
        <v>245</v>
      </c>
      <c r="C161" s="1" t="s">
        <v>9</v>
      </c>
      <c r="D161" s="91" t="s">
        <v>7</v>
      </c>
      <c r="E161" s="62">
        <v>1</v>
      </c>
      <c r="F161" s="62">
        <v>2</v>
      </c>
      <c r="G161" s="106"/>
      <c r="H161" s="106"/>
      <c r="I161" s="106"/>
      <c r="J161" s="106"/>
      <c r="K161" s="106"/>
      <c r="L161" s="106"/>
      <c r="M161" s="106"/>
      <c r="N161" s="106"/>
      <c r="O161" s="106"/>
      <c r="P161" s="106"/>
      <c r="Q161" s="106"/>
      <c r="R161" s="106">
        <v>5000000</v>
      </c>
      <c r="S161" s="106">
        <v>5255000</v>
      </c>
      <c r="T161" s="106">
        <v>5200000</v>
      </c>
      <c r="U161" s="106">
        <v>5465200</v>
      </c>
      <c r="V161" s="106">
        <v>5450000</v>
      </c>
      <c r="W161" s="106">
        <v>5727950</v>
      </c>
      <c r="X161" s="106"/>
      <c r="Y161" s="106"/>
      <c r="Z161" s="106"/>
      <c r="AA161" s="106"/>
      <c r="AB161" s="106"/>
      <c r="AC161" s="106"/>
      <c r="AD161" s="106"/>
      <c r="AE161" s="106"/>
      <c r="AF161" s="106"/>
      <c r="AG161" s="106"/>
      <c r="AH161" s="106"/>
      <c r="AI161" s="106"/>
      <c r="AJ161" s="106"/>
      <c r="AK161" s="106"/>
      <c r="AL161" s="106"/>
      <c r="AM161" s="106"/>
      <c r="AN161" s="106"/>
      <c r="AO161" s="106"/>
      <c r="AP161" s="106"/>
      <c r="AQ161" s="106"/>
      <c r="AR161" s="106"/>
      <c r="AS161" s="106"/>
      <c r="AT161" s="106"/>
      <c r="AU161" s="106"/>
      <c r="AV161" s="106"/>
      <c r="AW161" s="106"/>
      <c r="AX161" s="106"/>
      <c r="AY161" s="106"/>
      <c r="AZ161" s="106"/>
      <c r="BA161" s="106"/>
      <c r="BB161" s="106"/>
      <c r="BC161" s="106"/>
      <c r="BD161" s="106"/>
      <c r="BE161" s="106"/>
      <c r="BF161" s="106"/>
      <c r="BG161" s="106"/>
      <c r="BH161" s="106"/>
      <c r="BI161" s="106"/>
      <c r="BJ161" s="106"/>
      <c r="BK161" s="106"/>
      <c r="BL161" s="106"/>
      <c r="BM161" s="106"/>
      <c r="BN161" s="106"/>
      <c r="BO161" s="106"/>
      <c r="BP161" s="106"/>
      <c r="BQ161" s="106"/>
      <c r="BR161" s="106"/>
      <c r="BS161" s="106"/>
      <c r="BT161" s="106"/>
      <c r="BU161" s="106"/>
      <c r="BV161" s="106"/>
      <c r="BW161" s="106"/>
      <c r="BX161" s="106"/>
      <c r="BY161" s="106"/>
      <c r="BZ161" s="106"/>
      <c r="CA161" s="106"/>
      <c r="CB161" s="106"/>
      <c r="CC161" s="106"/>
      <c r="CD161" s="106"/>
      <c r="CE161" s="106"/>
      <c r="CF161" s="106"/>
      <c r="CG161" s="106"/>
      <c r="CH161" s="106"/>
      <c r="CI161" s="106"/>
      <c r="CJ161" s="106"/>
      <c r="CK161" s="109">
        <f t="shared" si="70"/>
        <v>5465200</v>
      </c>
      <c r="CL161" s="109">
        <f t="shared" si="71"/>
        <v>5482716.666666667</v>
      </c>
      <c r="CM161" s="109">
        <f t="shared" si="72"/>
        <v>236961.07451084309</v>
      </c>
      <c r="CN161" s="103">
        <f t="shared" si="73"/>
        <v>4.3219646193190679E-2</v>
      </c>
      <c r="CO161" s="110">
        <f t="shared" si="74"/>
        <v>4607325.2100840341</v>
      </c>
      <c r="CP161" s="107">
        <f t="shared" si="64"/>
        <v>875391.78991596645</v>
      </c>
      <c r="CQ161" s="106">
        <f t="shared" si="69"/>
        <v>5482717</v>
      </c>
      <c r="CR161" s="122">
        <f>+CQ161*E161*F161</f>
        <v>10965434</v>
      </c>
      <c r="CS161" s="79" t="s">
        <v>731</v>
      </c>
    </row>
    <row r="162" spans="1:97" ht="162" customHeight="1">
      <c r="A162" s="90">
        <f t="shared" si="56"/>
        <v>149</v>
      </c>
      <c r="B162" s="88" t="s">
        <v>709</v>
      </c>
      <c r="C162" s="1" t="s">
        <v>108</v>
      </c>
      <c r="D162" s="91" t="s">
        <v>5</v>
      </c>
      <c r="E162" s="62">
        <v>4</v>
      </c>
      <c r="F162" s="1">
        <v>2</v>
      </c>
      <c r="G162" s="106"/>
      <c r="H162" s="106"/>
      <c r="I162" s="106"/>
      <c r="J162" s="106"/>
      <c r="K162" s="106"/>
      <c r="L162" s="106"/>
      <c r="M162" s="106"/>
      <c r="N162" s="106"/>
      <c r="O162" s="106"/>
      <c r="P162" s="106"/>
      <c r="Q162" s="106"/>
      <c r="R162" s="106">
        <v>480000</v>
      </c>
      <c r="S162" s="106">
        <v>504480</v>
      </c>
      <c r="T162" s="106">
        <v>495000</v>
      </c>
      <c r="U162" s="106">
        <v>520245</v>
      </c>
      <c r="V162" s="106"/>
      <c r="W162" s="106"/>
      <c r="X162" s="106"/>
      <c r="Y162" s="106"/>
      <c r="Z162" s="106"/>
      <c r="AA162" s="106"/>
      <c r="AB162" s="106"/>
      <c r="AC162" s="106"/>
      <c r="AD162" s="106"/>
      <c r="AE162" s="106"/>
      <c r="AF162" s="106"/>
      <c r="AG162" s="106"/>
      <c r="AH162" s="106"/>
      <c r="AI162" s="106"/>
      <c r="AJ162" s="106"/>
      <c r="AK162" s="106"/>
      <c r="AL162" s="106"/>
      <c r="AM162" s="106"/>
      <c r="AN162" s="106"/>
      <c r="AO162" s="106"/>
      <c r="AP162" s="106"/>
      <c r="AQ162" s="106"/>
      <c r="AR162" s="106"/>
      <c r="AS162" s="106"/>
      <c r="AT162" s="106"/>
      <c r="AU162" s="106"/>
      <c r="AV162" s="106"/>
      <c r="AW162" s="106"/>
      <c r="AX162" s="106"/>
      <c r="AY162" s="106"/>
      <c r="AZ162" s="106"/>
      <c r="BA162" s="106"/>
      <c r="BB162" s="106"/>
      <c r="BC162" s="106"/>
      <c r="BD162" s="106"/>
      <c r="BE162" s="106"/>
      <c r="BF162" s="106"/>
      <c r="BG162" s="106"/>
      <c r="BH162" s="106"/>
      <c r="BI162" s="106"/>
      <c r="BJ162" s="106"/>
      <c r="BK162" s="106"/>
      <c r="BL162" s="106"/>
      <c r="BM162" s="106"/>
      <c r="BN162" s="106"/>
      <c r="BO162" s="106"/>
      <c r="BP162" s="106"/>
      <c r="BQ162" s="106"/>
      <c r="BR162" s="106"/>
      <c r="BS162" s="106"/>
      <c r="BT162" s="106"/>
      <c r="BU162" s="106"/>
      <c r="BV162" s="106"/>
      <c r="BW162" s="106"/>
      <c r="BX162" s="106"/>
      <c r="BY162" s="106"/>
      <c r="BZ162" s="106"/>
      <c r="CA162" s="106"/>
      <c r="CB162" s="106"/>
      <c r="CC162" s="106"/>
      <c r="CD162" s="106"/>
      <c r="CE162" s="106"/>
      <c r="CF162" s="106"/>
      <c r="CG162" s="106"/>
      <c r="CH162" s="106"/>
      <c r="CI162" s="106"/>
      <c r="CJ162" s="106"/>
      <c r="CK162" s="109">
        <f t="shared" si="70"/>
        <v>512362.5</v>
      </c>
      <c r="CL162" s="109">
        <f t="shared" si="71"/>
        <v>512362.5</v>
      </c>
      <c r="CM162" s="109">
        <f t="shared" si="72"/>
        <v>11147.538405405921</v>
      </c>
      <c r="CN162" s="103">
        <f t="shared" si="73"/>
        <v>2.1757131728816846E-2</v>
      </c>
      <c r="CO162" s="110">
        <f t="shared" si="74"/>
        <v>430557.1428571429</v>
      </c>
      <c r="CP162" s="107">
        <f t="shared" si="64"/>
        <v>81805.857142857145</v>
      </c>
      <c r="CQ162" s="106">
        <f t="shared" si="69"/>
        <v>512363</v>
      </c>
      <c r="CR162" s="122">
        <f>+CQ162*E162*F162</f>
        <v>4098904</v>
      </c>
      <c r="CS162" s="79" t="s">
        <v>731</v>
      </c>
    </row>
    <row r="163" spans="1:97" ht="106.9" customHeight="1">
      <c r="A163" s="90">
        <f t="shared" si="56"/>
        <v>150</v>
      </c>
      <c r="B163" s="88" t="s">
        <v>27</v>
      </c>
      <c r="C163" s="1" t="s">
        <v>10</v>
      </c>
      <c r="D163" s="91" t="s">
        <v>49</v>
      </c>
      <c r="E163" s="62">
        <v>12</v>
      </c>
      <c r="F163" s="1"/>
      <c r="G163" s="106"/>
      <c r="H163" s="106"/>
      <c r="I163" s="106"/>
      <c r="J163" s="106"/>
      <c r="K163" s="106"/>
      <c r="L163" s="106"/>
      <c r="M163" s="106"/>
      <c r="N163" s="106">
        <v>23000</v>
      </c>
      <c r="O163" s="106">
        <f>+N163*5.1%+N163</f>
        <v>24173</v>
      </c>
      <c r="P163" s="106"/>
      <c r="Q163" s="106"/>
      <c r="R163" s="106"/>
      <c r="S163" s="106"/>
      <c r="T163" s="106"/>
      <c r="U163" s="106"/>
      <c r="V163" s="106"/>
      <c r="W163" s="106"/>
      <c r="X163" s="106"/>
      <c r="Y163" s="106"/>
      <c r="Z163" s="106"/>
      <c r="AA163" s="106"/>
      <c r="AB163" s="106"/>
      <c r="AC163" s="106"/>
      <c r="AD163" s="106"/>
      <c r="AE163" s="106"/>
      <c r="AF163" s="106"/>
      <c r="AG163" s="106"/>
      <c r="AH163" s="106"/>
      <c r="AI163" s="106"/>
      <c r="AJ163" s="106"/>
      <c r="AK163" s="106"/>
      <c r="AL163" s="106"/>
      <c r="AM163" s="112">
        <v>21000</v>
      </c>
      <c r="AN163" s="106"/>
      <c r="AO163" s="106"/>
      <c r="AP163" s="106"/>
      <c r="AQ163" s="106"/>
      <c r="AR163" s="106"/>
      <c r="AS163" s="106"/>
      <c r="AT163" s="106">
        <v>22000</v>
      </c>
      <c r="AU163" s="106">
        <v>23122</v>
      </c>
      <c r="AV163" s="106"/>
      <c r="AW163" s="106"/>
      <c r="AX163" s="106"/>
      <c r="AY163" s="106"/>
      <c r="AZ163" s="106"/>
      <c r="BA163" s="106"/>
      <c r="BB163" s="106"/>
      <c r="BC163" s="106"/>
      <c r="BD163" s="106"/>
      <c r="BE163" s="106"/>
      <c r="BF163" s="106"/>
      <c r="BG163" s="106"/>
      <c r="BH163" s="106"/>
      <c r="BI163" s="106"/>
      <c r="BJ163" s="106"/>
      <c r="BK163" s="106"/>
      <c r="BL163" s="106"/>
      <c r="BM163" s="106"/>
      <c r="BN163" s="106"/>
      <c r="BO163" s="106"/>
      <c r="BP163" s="106"/>
      <c r="BQ163" s="106"/>
      <c r="BR163" s="106"/>
      <c r="BS163" s="106"/>
      <c r="BT163" s="106"/>
      <c r="BU163" s="106"/>
      <c r="BV163" s="106"/>
      <c r="BW163" s="106"/>
      <c r="BX163" s="106"/>
      <c r="BY163" s="106"/>
      <c r="BZ163" s="106"/>
      <c r="CA163" s="106"/>
      <c r="CB163" s="106"/>
      <c r="CC163" s="106"/>
      <c r="CD163" s="106"/>
      <c r="CE163" s="106"/>
      <c r="CF163" s="106"/>
      <c r="CG163" s="106"/>
      <c r="CH163" s="106"/>
      <c r="CI163" s="106"/>
      <c r="CJ163" s="106"/>
      <c r="CK163" s="109">
        <f t="shared" si="70"/>
        <v>23647.5</v>
      </c>
      <c r="CL163" s="109">
        <f t="shared" si="71"/>
        <v>23117</v>
      </c>
      <c r="CM163" s="109">
        <f t="shared" si="72"/>
        <v>1495.7702586515975</v>
      </c>
      <c r="CN163" s="103">
        <f t="shared" si="73"/>
        <v>6.470434133545E-2</v>
      </c>
      <c r="CO163" s="110">
        <f>CQ163</f>
        <v>23117</v>
      </c>
      <c r="CP163" s="107"/>
      <c r="CQ163" s="106">
        <f t="shared" si="69"/>
        <v>23117</v>
      </c>
      <c r="CR163" s="122">
        <f t="shared" ref="CR163:CR169" si="75">+CQ163*E163</f>
        <v>277404</v>
      </c>
      <c r="CS163" s="79" t="s">
        <v>731</v>
      </c>
    </row>
    <row r="164" spans="1:97" ht="64.900000000000006" customHeight="1">
      <c r="A164" s="90">
        <f t="shared" si="56"/>
        <v>151</v>
      </c>
      <c r="B164" s="88" t="s">
        <v>67</v>
      </c>
      <c r="C164" s="1" t="s">
        <v>132</v>
      </c>
      <c r="D164" s="91" t="s">
        <v>4</v>
      </c>
      <c r="E164" s="62">
        <v>100</v>
      </c>
      <c r="F164" s="1"/>
      <c r="G164" s="106"/>
      <c r="H164" s="106"/>
      <c r="I164" s="106"/>
      <c r="J164" s="106"/>
      <c r="K164" s="106"/>
      <c r="L164" s="106"/>
      <c r="M164" s="106"/>
      <c r="N164" s="106">
        <v>65450</v>
      </c>
      <c r="O164" s="106">
        <f>+N164*5.1%+N164</f>
        <v>68787.95</v>
      </c>
      <c r="P164" s="112">
        <v>69020</v>
      </c>
      <c r="Q164" s="112">
        <f>+P164*5.1%+P164</f>
        <v>72540.02</v>
      </c>
      <c r="R164" s="106"/>
      <c r="S164" s="106"/>
      <c r="T164" s="106"/>
      <c r="U164" s="106"/>
      <c r="V164" s="106"/>
      <c r="W164" s="106"/>
      <c r="X164" s="106"/>
      <c r="Y164" s="106"/>
      <c r="Z164" s="106"/>
      <c r="AA164" s="106"/>
      <c r="AB164" s="106"/>
      <c r="AC164" s="106"/>
      <c r="AD164" s="106"/>
      <c r="AE164" s="106"/>
      <c r="AF164" s="106"/>
      <c r="AG164" s="106"/>
      <c r="AH164" s="106"/>
      <c r="AI164" s="106"/>
      <c r="AJ164" s="106"/>
      <c r="AK164" s="106"/>
      <c r="AL164" s="106"/>
      <c r="AM164" s="112">
        <v>63070</v>
      </c>
      <c r="AN164" s="106"/>
      <c r="AO164" s="106"/>
      <c r="AP164" s="106"/>
      <c r="AQ164" s="106"/>
      <c r="AR164" s="106"/>
      <c r="AS164" s="106"/>
      <c r="AT164" s="106"/>
      <c r="AU164" s="106"/>
      <c r="AV164" s="106"/>
      <c r="AW164" s="106"/>
      <c r="AX164" s="106"/>
      <c r="AY164" s="106"/>
      <c r="AZ164" s="106"/>
      <c r="BA164" s="106"/>
      <c r="BB164" s="106"/>
      <c r="BC164" s="106"/>
      <c r="BD164" s="106"/>
      <c r="BE164" s="106"/>
      <c r="BF164" s="106"/>
      <c r="BG164" s="106"/>
      <c r="BH164" s="106"/>
      <c r="BI164" s="106"/>
      <c r="BJ164" s="106"/>
      <c r="BK164" s="106"/>
      <c r="BL164" s="106"/>
      <c r="BM164" s="106"/>
      <c r="BN164" s="106"/>
      <c r="BO164" s="106"/>
      <c r="BP164" s="106"/>
      <c r="BQ164" s="106"/>
      <c r="BR164" s="106"/>
      <c r="BS164" s="106"/>
      <c r="BT164" s="106"/>
      <c r="BU164" s="106"/>
      <c r="BV164" s="106"/>
      <c r="BW164" s="106"/>
      <c r="BX164" s="106"/>
      <c r="BY164" s="106"/>
      <c r="BZ164" s="106"/>
      <c r="CA164" s="106"/>
      <c r="CB164" s="106"/>
      <c r="CC164" s="106"/>
      <c r="CD164" s="106"/>
      <c r="CE164" s="106"/>
      <c r="CF164" s="106"/>
      <c r="CG164" s="106"/>
      <c r="CH164" s="106"/>
      <c r="CI164" s="106"/>
      <c r="CJ164" s="106"/>
      <c r="CK164" s="109">
        <f t="shared" si="70"/>
        <v>68787.95</v>
      </c>
      <c r="CL164" s="109">
        <f t="shared" si="71"/>
        <v>68296.479999999996</v>
      </c>
      <c r="CM164" s="109">
        <f t="shared" si="72"/>
        <v>3907.5486963824278</v>
      </c>
      <c r="CN164" s="103">
        <f t="shared" si="73"/>
        <v>5.7214496213896064E-2</v>
      </c>
      <c r="CO164" s="110">
        <f t="shared" si="74"/>
        <v>57392.436974789918</v>
      </c>
      <c r="CP164" s="107">
        <f t="shared" si="64"/>
        <v>10904.563025210085</v>
      </c>
      <c r="CQ164" s="106">
        <f t="shared" si="69"/>
        <v>68297</v>
      </c>
      <c r="CR164" s="122">
        <f t="shared" si="75"/>
        <v>6829700</v>
      </c>
      <c r="CS164" s="79" t="s">
        <v>731</v>
      </c>
    </row>
    <row r="165" spans="1:97" ht="66.650000000000006" customHeight="1">
      <c r="A165" s="90">
        <f t="shared" si="56"/>
        <v>152</v>
      </c>
      <c r="B165" s="80" t="s">
        <v>68</v>
      </c>
      <c r="C165" s="1" t="s">
        <v>69</v>
      </c>
      <c r="D165" s="91" t="s">
        <v>4</v>
      </c>
      <c r="E165" s="62">
        <v>100</v>
      </c>
      <c r="F165" s="1"/>
      <c r="G165" s="106"/>
      <c r="H165" s="106"/>
      <c r="I165" s="106"/>
      <c r="J165" s="106"/>
      <c r="K165" s="106"/>
      <c r="L165" s="106"/>
      <c r="M165" s="106"/>
      <c r="N165" s="106">
        <v>39270</v>
      </c>
      <c r="O165" s="106">
        <f>+N165*5.1%+N165</f>
        <v>41272.769999999997</v>
      </c>
      <c r="P165" s="112">
        <v>47600</v>
      </c>
      <c r="Q165" s="112">
        <f>+P165*5.1%+P165</f>
        <v>50027.6</v>
      </c>
      <c r="R165" s="106"/>
      <c r="S165" s="106"/>
      <c r="T165" s="106"/>
      <c r="U165" s="106"/>
      <c r="V165" s="106"/>
      <c r="W165" s="106"/>
      <c r="X165" s="106"/>
      <c r="Y165" s="106"/>
      <c r="Z165" s="106"/>
      <c r="AA165" s="106"/>
      <c r="AB165" s="106"/>
      <c r="AC165" s="106"/>
      <c r="AD165" s="106"/>
      <c r="AE165" s="106"/>
      <c r="AF165" s="106"/>
      <c r="AG165" s="106"/>
      <c r="AH165" s="106"/>
      <c r="AI165" s="106"/>
      <c r="AJ165" s="106"/>
      <c r="AK165" s="106"/>
      <c r="AL165" s="106"/>
      <c r="AM165" s="331">
        <v>42840</v>
      </c>
      <c r="AN165" s="106"/>
      <c r="AO165" s="106"/>
      <c r="AP165" s="106"/>
      <c r="AQ165" s="106"/>
      <c r="AR165" s="106"/>
      <c r="AS165" s="106"/>
      <c r="AT165" s="106"/>
      <c r="AU165" s="106"/>
      <c r="AV165" s="106"/>
      <c r="AW165" s="106"/>
      <c r="AX165" s="106"/>
      <c r="AY165" s="106"/>
      <c r="AZ165" s="106"/>
      <c r="BA165" s="106"/>
      <c r="BB165" s="106"/>
      <c r="BC165" s="106"/>
      <c r="BD165" s="106"/>
      <c r="BE165" s="106"/>
      <c r="BF165" s="106"/>
      <c r="BG165" s="106"/>
      <c r="BH165" s="106"/>
      <c r="BI165" s="106"/>
      <c r="BJ165" s="106"/>
      <c r="BK165" s="106"/>
      <c r="BL165" s="106"/>
      <c r="BM165" s="106"/>
      <c r="BN165" s="106"/>
      <c r="BO165" s="106"/>
      <c r="BP165" s="106"/>
      <c r="BQ165" s="106"/>
      <c r="BR165" s="106"/>
      <c r="BS165" s="106"/>
      <c r="BT165" s="106"/>
      <c r="BU165" s="106"/>
      <c r="BV165" s="106"/>
      <c r="BW165" s="106"/>
      <c r="BX165" s="106"/>
      <c r="BY165" s="106"/>
      <c r="BZ165" s="106"/>
      <c r="CA165" s="106"/>
      <c r="CB165" s="106"/>
      <c r="CC165" s="106"/>
      <c r="CD165" s="106"/>
      <c r="CE165" s="106"/>
      <c r="CF165" s="106"/>
      <c r="CG165" s="106"/>
      <c r="CH165" s="106"/>
      <c r="CI165" s="106"/>
      <c r="CJ165" s="106"/>
      <c r="CK165" s="109">
        <f t="shared" si="70"/>
        <v>42056.384999999995</v>
      </c>
      <c r="CL165" s="109">
        <f t="shared" si="71"/>
        <v>43853.284999999996</v>
      </c>
      <c r="CM165" s="109">
        <f t="shared" si="72"/>
        <v>4181.9862721319405</v>
      </c>
      <c r="CN165" s="103">
        <f t="shared" si="73"/>
        <v>9.5363124384682724E-2</v>
      </c>
      <c r="CO165" s="110">
        <f t="shared" si="74"/>
        <v>36852.100840336134</v>
      </c>
      <c r="CP165" s="107">
        <f t="shared" si="64"/>
        <v>7001.8991596638652</v>
      </c>
      <c r="CQ165" s="106">
        <f t="shared" si="69"/>
        <v>43854</v>
      </c>
      <c r="CR165" s="122">
        <f t="shared" si="75"/>
        <v>4385400</v>
      </c>
      <c r="CS165" s="79" t="s">
        <v>731</v>
      </c>
    </row>
    <row r="166" spans="1:97" ht="76.150000000000006" customHeight="1">
      <c r="A166" s="90">
        <f t="shared" si="56"/>
        <v>153</v>
      </c>
      <c r="B166" s="80" t="s">
        <v>32</v>
      </c>
      <c r="C166" s="1" t="s">
        <v>99</v>
      </c>
      <c r="D166" s="91" t="s">
        <v>138</v>
      </c>
      <c r="E166" s="62">
        <v>1</v>
      </c>
      <c r="F166" s="1"/>
      <c r="G166" s="106"/>
      <c r="H166" s="106"/>
      <c r="I166" s="106"/>
      <c r="J166" s="106"/>
      <c r="K166" s="106"/>
      <c r="L166" s="106"/>
      <c r="M166" s="106"/>
      <c r="N166" s="106"/>
      <c r="O166" s="106"/>
      <c r="P166" s="106"/>
      <c r="Q166" s="106"/>
      <c r="R166" s="106"/>
      <c r="S166" s="106"/>
      <c r="T166" s="106"/>
      <c r="U166" s="106"/>
      <c r="V166" s="106"/>
      <c r="W166" s="106"/>
      <c r="X166" s="112">
        <v>200000</v>
      </c>
      <c r="Y166" s="112">
        <v>230000</v>
      </c>
      <c r="Z166" s="112">
        <v>235000</v>
      </c>
      <c r="AA166" s="112"/>
      <c r="AB166" s="112"/>
      <c r="AC166" s="112"/>
      <c r="AD166" s="112"/>
      <c r="AE166" s="112"/>
      <c r="AF166" s="112"/>
      <c r="AG166" s="112"/>
      <c r="AH166" s="112"/>
      <c r="AI166" s="112"/>
      <c r="AJ166" s="112"/>
      <c r="AK166" s="112"/>
      <c r="AL166" s="112"/>
      <c r="AM166" s="112"/>
      <c r="AN166" s="112"/>
      <c r="AO166" s="112"/>
      <c r="AP166" s="112"/>
      <c r="AQ166" s="112"/>
      <c r="AR166" s="112"/>
      <c r="AS166" s="112"/>
      <c r="AT166" s="112"/>
      <c r="AU166" s="112"/>
      <c r="AV166" s="112"/>
      <c r="AW166" s="112"/>
      <c r="AX166" s="112"/>
      <c r="AY166" s="112"/>
      <c r="AZ166" s="112"/>
      <c r="BA166" s="112"/>
      <c r="BB166" s="112"/>
      <c r="BC166" s="112"/>
      <c r="BD166" s="112"/>
      <c r="BE166" s="112"/>
      <c r="BF166" s="112"/>
      <c r="BG166" s="112"/>
      <c r="BH166" s="112"/>
      <c r="BI166" s="112"/>
      <c r="BJ166" s="112"/>
      <c r="BK166" s="112"/>
      <c r="BL166" s="112"/>
      <c r="BM166" s="112"/>
      <c r="BN166" s="112"/>
      <c r="BO166" s="112"/>
      <c r="BP166" s="112"/>
      <c r="BQ166" s="112"/>
      <c r="BR166" s="112"/>
      <c r="BS166" s="112"/>
      <c r="BT166" s="112"/>
      <c r="BU166" s="112"/>
      <c r="BV166" s="112"/>
      <c r="BW166" s="112"/>
      <c r="BX166" s="112"/>
      <c r="BY166" s="112"/>
      <c r="BZ166" s="112"/>
      <c r="CA166" s="112"/>
      <c r="CB166" s="112"/>
      <c r="CC166" s="112"/>
      <c r="CD166" s="112"/>
      <c r="CE166" s="112"/>
      <c r="CF166" s="112"/>
      <c r="CG166" s="112"/>
      <c r="CH166" s="112"/>
      <c r="CI166" s="112"/>
      <c r="CJ166" s="112"/>
      <c r="CK166" s="109">
        <f t="shared" si="70"/>
        <v>230000</v>
      </c>
      <c r="CL166" s="109">
        <f t="shared" si="71"/>
        <v>221666.66666666666</v>
      </c>
      <c r="CM166" s="109">
        <f t="shared" si="72"/>
        <v>18929.69448600091</v>
      </c>
      <c r="CN166" s="103">
        <f t="shared" si="73"/>
        <v>8.5397117981958995E-2</v>
      </c>
      <c r="CO166" s="110">
        <f t="shared" si="74"/>
        <v>186274.78991596639</v>
      </c>
      <c r="CP166" s="107">
        <f t="shared" si="64"/>
        <v>35392.210084033613</v>
      </c>
      <c r="CQ166" s="106">
        <f t="shared" si="69"/>
        <v>221667</v>
      </c>
      <c r="CR166" s="122">
        <f t="shared" si="75"/>
        <v>221667</v>
      </c>
      <c r="CS166" s="89" t="s">
        <v>732</v>
      </c>
    </row>
    <row r="167" spans="1:97" ht="190.4" customHeight="1">
      <c r="A167" s="90">
        <f t="shared" si="56"/>
        <v>154</v>
      </c>
      <c r="B167" s="80" t="s">
        <v>71</v>
      </c>
      <c r="C167" s="1" t="s">
        <v>72</v>
      </c>
      <c r="D167" s="91" t="s">
        <v>54</v>
      </c>
      <c r="E167" s="62">
        <v>1</v>
      </c>
      <c r="F167" s="1">
        <v>1</v>
      </c>
      <c r="G167" s="106"/>
      <c r="H167" s="106"/>
      <c r="I167" s="106"/>
      <c r="J167" s="106"/>
      <c r="K167" s="106"/>
      <c r="L167" s="106"/>
      <c r="M167" s="106"/>
      <c r="N167" s="106"/>
      <c r="O167" s="106"/>
      <c r="P167" s="106"/>
      <c r="Q167" s="106"/>
      <c r="R167" s="106"/>
      <c r="S167" s="106"/>
      <c r="T167" s="106"/>
      <c r="U167" s="106"/>
      <c r="V167" s="106"/>
      <c r="W167" s="106"/>
      <c r="X167" s="106"/>
      <c r="Y167" s="106"/>
      <c r="Z167" s="106"/>
      <c r="AA167" s="106"/>
      <c r="AB167" s="106"/>
      <c r="AC167" s="106"/>
      <c r="AD167" s="106"/>
      <c r="AE167" s="106"/>
      <c r="AF167" s="106"/>
      <c r="AG167" s="106"/>
      <c r="AH167" s="106"/>
      <c r="AI167" s="106"/>
      <c r="AJ167" s="106"/>
      <c r="AK167" s="106"/>
      <c r="AL167" s="106"/>
      <c r="AM167" s="106"/>
      <c r="AN167" s="106"/>
      <c r="AO167" s="106"/>
      <c r="AP167" s="106"/>
      <c r="AQ167" s="106"/>
      <c r="AR167" s="106"/>
      <c r="AS167" s="106"/>
      <c r="AT167" s="106"/>
      <c r="AU167" s="106"/>
      <c r="AV167" s="106"/>
      <c r="AW167" s="106"/>
      <c r="AX167" s="106"/>
      <c r="AY167" s="106"/>
      <c r="AZ167" s="106"/>
      <c r="BA167" s="106"/>
      <c r="BB167" s="106"/>
      <c r="BC167" s="106"/>
      <c r="BD167" s="106"/>
      <c r="BE167" s="106"/>
      <c r="BF167" s="106"/>
      <c r="BG167" s="106"/>
      <c r="BH167" s="106"/>
      <c r="BI167" s="106"/>
      <c r="BJ167" s="106"/>
      <c r="BK167" s="106"/>
      <c r="BL167" s="326">
        <v>1500000</v>
      </c>
      <c r="BM167" s="326">
        <v>1600000</v>
      </c>
      <c r="BN167" s="326">
        <v>1550000</v>
      </c>
      <c r="BO167" s="326"/>
      <c r="BP167" s="326"/>
      <c r="BQ167" s="326"/>
      <c r="BR167" s="326"/>
      <c r="BS167" s="326"/>
      <c r="BT167" s="326"/>
      <c r="BU167" s="326"/>
      <c r="BV167" s="326"/>
      <c r="BW167" s="326"/>
      <c r="BX167" s="326"/>
      <c r="BY167" s="326"/>
      <c r="BZ167" s="326"/>
      <c r="CA167" s="326"/>
      <c r="CB167" s="326"/>
      <c r="CC167" s="326"/>
      <c r="CD167" s="326"/>
      <c r="CE167" s="326"/>
      <c r="CF167" s="326"/>
      <c r="CG167" s="326"/>
      <c r="CH167" s="326"/>
      <c r="CI167" s="326"/>
      <c r="CJ167" s="326"/>
      <c r="CK167" s="109">
        <f t="shared" si="70"/>
        <v>1550000</v>
      </c>
      <c r="CL167" s="109">
        <f t="shared" si="71"/>
        <v>1550000</v>
      </c>
      <c r="CM167" s="109">
        <f t="shared" si="72"/>
        <v>50000</v>
      </c>
      <c r="CN167" s="103">
        <f t="shared" si="73"/>
        <v>3.2258064516129031E-2</v>
      </c>
      <c r="CO167" s="110">
        <f>CQ167</f>
        <v>1550000</v>
      </c>
      <c r="CP167" s="107"/>
      <c r="CQ167" s="106">
        <f t="shared" si="69"/>
        <v>1550000</v>
      </c>
      <c r="CR167" s="122">
        <f t="shared" si="75"/>
        <v>1550000</v>
      </c>
      <c r="CS167" s="79" t="s">
        <v>731</v>
      </c>
    </row>
    <row r="168" spans="1:97" ht="130.4" customHeight="1">
      <c r="A168" s="90">
        <f t="shared" si="56"/>
        <v>155</v>
      </c>
      <c r="B168" s="88" t="s">
        <v>73</v>
      </c>
      <c r="C168" s="1" t="s">
        <v>133</v>
      </c>
      <c r="D168" s="91" t="s">
        <v>54</v>
      </c>
      <c r="E168" s="62">
        <v>1</v>
      </c>
      <c r="F168" s="1">
        <v>1</v>
      </c>
      <c r="G168" s="106"/>
      <c r="H168" s="106"/>
      <c r="I168" s="106"/>
      <c r="J168" s="106"/>
      <c r="K168" s="106"/>
      <c r="L168" s="106"/>
      <c r="M168" s="106"/>
      <c r="N168" s="106"/>
      <c r="O168" s="106"/>
      <c r="P168" s="106"/>
      <c r="Q168" s="106"/>
      <c r="R168" s="106"/>
      <c r="S168" s="106"/>
      <c r="T168" s="106"/>
      <c r="U168" s="106"/>
      <c r="V168" s="106"/>
      <c r="W168" s="106"/>
      <c r="X168" s="106"/>
      <c r="Y168" s="106">
        <v>1100000</v>
      </c>
      <c r="Z168" s="106"/>
      <c r="AA168" s="106">
        <v>1000000</v>
      </c>
      <c r="AB168" s="106"/>
      <c r="AC168" s="106"/>
      <c r="AD168" s="106"/>
      <c r="AE168" s="106"/>
      <c r="AF168" s="106"/>
      <c r="AG168" s="106"/>
      <c r="AH168" s="106"/>
      <c r="AI168" s="106"/>
      <c r="AJ168" s="106"/>
      <c r="AK168" s="106"/>
      <c r="AL168" s="106"/>
      <c r="AM168" s="106"/>
      <c r="AN168" s="106"/>
      <c r="AO168" s="106"/>
      <c r="AP168" s="106"/>
      <c r="AQ168" s="106"/>
      <c r="AR168" s="106"/>
      <c r="AS168" s="106"/>
      <c r="AT168" s="106"/>
      <c r="AU168" s="106"/>
      <c r="AV168" s="106"/>
      <c r="AW168" s="106"/>
      <c r="AX168" s="106"/>
      <c r="AY168" s="106"/>
      <c r="AZ168" s="106"/>
      <c r="BA168" s="106"/>
      <c r="BB168" s="106"/>
      <c r="BC168" s="106"/>
      <c r="BD168" s="106"/>
      <c r="BE168" s="106"/>
      <c r="BF168" s="106"/>
      <c r="BG168" s="106"/>
      <c r="BH168" s="106"/>
      <c r="BI168" s="106"/>
      <c r="BJ168" s="106"/>
      <c r="BK168" s="106"/>
      <c r="BL168" s="106"/>
      <c r="BM168" s="106"/>
      <c r="BN168" s="106"/>
      <c r="BO168" s="106"/>
      <c r="BP168" s="106"/>
      <c r="BQ168" s="106"/>
      <c r="BR168" s="106"/>
      <c r="BS168" s="106"/>
      <c r="BT168" s="106"/>
      <c r="BU168" s="106"/>
      <c r="BV168" s="106"/>
      <c r="BW168" s="106"/>
      <c r="BX168" s="106"/>
      <c r="BY168" s="106"/>
      <c r="BZ168" s="106"/>
      <c r="CA168" s="106"/>
      <c r="CB168" s="106"/>
      <c r="CC168" s="106"/>
      <c r="CD168" s="106"/>
      <c r="CE168" s="106"/>
      <c r="CF168" s="106"/>
      <c r="CG168" s="106"/>
      <c r="CH168" s="106"/>
      <c r="CI168" s="106"/>
      <c r="CJ168" s="106"/>
      <c r="CK168" s="109">
        <f t="shared" si="70"/>
        <v>1050000</v>
      </c>
      <c r="CL168" s="109">
        <f t="shared" si="71"/>
        <v>1050000</v>
      </c>
      <c r="CM168" s="109">
        <f t="shared" si="72"/>
        <v>70710.67811865476</v>
      </c>
      <c r="CN168" s="103">
        <f t="shared" si="73"/>
        <v>6.7343502970147393E-2</v>
      </c>
      <c r="CO168" s="110">
        <f>CQ168</f>
        <v>1050000</v>
      </c>
      <c r="CP168" s="107"/>
      <c r="CQ168" s="106">
        <f t="shared" si="69"/>
        <v>1050000</v>
      </c>
      <c r="CR168" s="122">
        <f t="shared" si="75"/>
        <v>1050000</v>
      </c>
      <c r="CS168" s="79" t="s">
        <v>731</v>
      </c>
    </row>
    <row r="169" spans="1:97" ht="93.65" customHeight="1">
      <c r="A169" s="90">
        <f t="shared" si="56"/>
        <v>156</v>
      </c>
      <c r="B169" s="95" t="s">
        <v>74</v>
      </c>
      <c r="C169" s="1" t="s">
        <v>792</v>
      </c>
      <c r="D169" s="91" t="s">
        <v>4</v>
      </c>
      <c r="E169" s="62">
        <v>150</v>
      </c>
      <c r="F169" s="1"/>
      <c r="G169" s="106"/>
      <c r="H169" s="106"/>
      <c r="I169" s="106"/>
      <c r="J169" s="106"/>
      <c r="K169" s="106"/>
      <c r="L169" s="106"/>
      <c r="M169" s="106"/>
      <c r="N169" s="106"/>
      <c r="O169" s="106"/>
      <c r="P169" s="106"/>
      <c r="Q169" s="106"/>
      <c r="R169" s="106"/>
      <c r="S169" s="106"/>
      <c r="T169" s="106"/>
      <c r="U169" s="106"/>
      <c r="V169" s="106"/>
      <c r="W169" s="106"/>
      <c r="X169" s="112">
        <v>12000</v>
      </c>
      <c r="Y169" s="112">
        <v>8500</v>
      </c>
      <c r="Z169" s="112">
        <v>9200</v>
      </c>
      <c r="AA169" s="112"/>
      <c r="AB169" s="112"/>
      <c r="AC169" s="112"/>
      <c r="AD169" s="112"/>
      <c r="AE169" s="112"/>
      <c r="AF169" s="112"/>
      <c r="AG169" s="112"/>
      <c r="AH169" s="112"/>
      <c r="AI169" s="112"/>
      <c r="AJ169" s="112"/>
      <c r="AK169" s="112"/>
      <c r="AL169" s="112"/>
      <c r="AM169" s="112"/>
      <c r="AN169" s="112"/>
      <c r="AO169" s="112"/>
      <c r="AP169" s="112"/>
      <c r="AQ169" s="112"/>
      <c r="AR169" s="112"/>
      <c r="AS169" s="112"/>
      <c r="AT169" s="112"/>
      <c r="AU169" s="112"/>
      <c r="AV169" s="112"/>
      <c r="AW169" s="112"/>
      <c r="AX169" s="112"/>
      <c r="AY169" s="112"/>
      <c r="AZ169" s="112"/>
      <c r="BA169" s="112"/>
      <c r="BB169" s="112"/>
      <c r="BC169" s="112"/>
      <c r="BD169" s="112"/>
      <c r="BE169" s="112"/>
      <c r="BF169" s="112"/>
      <c r="BG169" s="112"/>
      <c r="BH169" s="112"/>
      <c r="BI169" s="112"/>
      <c r="BJ169" s="112"/>
      <c r="BK169" s="112"/>
      <c r="BL169" s="112"/>
      <c r="BM169" s="112"/>
      <c r="BN169" s="112"/>
      <c r="BO169" s="112"/>
      <c r="BP169" s="112"/>
      <c r="BQ169" s="112"/>
      <c r="BR169" s="112"/>
      <c r="BS169" s="112"/>
      <c r="BT169" s="112"/>
      <c r="BU169" s="112"/>
      <c r="BV169" s="112"/>
      <c r="BW169" s="112"/>
      <c r="BX169" s="112"/>
      <c r="BY169" s="112"/>
      <c r="BZ169" s="112"/>
      <c r="CA169" s="112"/>
      <c r="CB169" s="112"/>
      <c r="CC169" s="112"/>
      <c r="CD169" s="112"/>
      <c r="CE169" s="112"/>
      <c r="CF169" s="112"/>
      <c r="CG169" s="112"/>
      <c r="CH169" s="112"/>
      <c r="CI169" s="112"/>
      <c r="CJ169" s="112"/>
      <c r="CK169" s="109">
        <f t="shared" si="70"/>
        <v>9200</v>
      </c>
      <c r="CL169" s="109">
        <f t="shared" si="71"/>
        <v>9900</v>
      </c>
      <c r="CM169" s="109">
        <f t="shared" si="72"/>
        <v>1852.0259177452135</v>
      </c>
      <c r="CN169" s="103">
        <f t="shared" si="73"/>
        <v>0.18707332502476903</v>
      </c>
      <c r="CO169" s="110">
        <f t="shared" ref="CO169:CO202" si="76">CQ169/1.19</f>
        <v>7731.09243697479</v>
      </c>
      <c r="CP169" s="107">
        <f t="shared" si="64"/>
        <v>1468.90756302521</v>
      </c>
      <c r="CQ169" s="106">
        <f t="shared" si="69"/>
        <v>9200</v>
      </c>
      <c r="CR169" s="122">
        <f t="shared" si="75"/>
        <v>1380000</v>
      </c>
      <c r="CS169" s="89" t="s">
        <v>380</v>
      </c>
    </row>
    <row r="170" spans="1:97" ht="58.4" customHeight="1">
      <c r="A170" s="90">
        <f t="shared" si="56"/>
        <v>157</v>
      </c>
      <c r="B170" s="95" t="s">
        <v>75</v>
      </c>
      <c r="C170" s="1" t="s">
        <v>76</v>
      </c>
      <c r="D170" s="91" t="s">
        <v>5</v>
      </c>
      <c r="E170" s="62">
        <v>250</v>
      </c>
      <c r="F170" s="1">
        <v>2</v>
      </c>
      <c r="G170" s="106"/>
      <c r="H170" s="106"/>
      <c r="I170" s="106"/>
      <c r="J170" s="106"/>
      <c r="K170" s="106"/>
      <c r="L170" s="106"/>
      <c r="M170" s="106"/>
      <c r="N170" s="106"/>
      <c r="O170" s="106"/>
      <c r="P170" s="106"/>
      <c r="Q170" s="106"/>
      <c r="R170" s="112">
        <v>4000</v>
      </c>
      <c r="S170" s="112">
        <v>4204</v>
      </c>
      <c r="T170" s="112">
        <v>3800</v>
      </c>
      <c r="U170" s="112">
        <v>3994</v>
      </c>
      <c r="V170" s="112">
        <v>3500</v>
      </c>
      <c r="W170" s="112">
        <v>3679</v>
      </c>
      <c r="X170" s="106"/>
      <c r="Y170" s="106"/>
      <c r="Z170" s="106"/>
      <c r="AA170" s="106"/>
      <c r="AB170" s="106"/>
      <c r="AC170" s="106"/>
      <c r="AD170" s="106"/>
      <c r="AE170" s="106"/>
      <c r="AF170" s="106"/>
      <c r="AG170" s="106"/>
      <c r="AH170" s="106"/>
      <c r="AI170" s="106"/>
      <c r="AJ170" s="106"/>
      <c r="AK170" s="106"/>
      <c r="AL170" s="106"/>
      <c r="AM170" s="106"/>
      <c r="AN170" s="106"/>
      <c r="AO170" s="106"/>
      <c r="AP170" s="106"/>
      <c r="AQ170" s="106"/>
      <c r="AR170" s="106"/>
      <c r="AS170" s="106"/>
      <c r="AT170" s="106"/>
      <c r="AU170" s="106"/>
      <c r="AV170" s="106"/>
      <c r="AW170" s="106"/>
      <c r="AX170" s="106"/>
      <c r="AY170" s="106"/>
      <c r="AZ170" s="106"/>
      <c r="BA170" s="106"/>
      <c r="BB170" s="106"/>
      <c r="BC170" s="106"/>
      <c r="BD170" s="106"/>
      <c r="BE170" s="106"/>
      <c r="BF170" s="106"/>
      <c r="BG170" s="106"/>
      <c r="BH170" s="106"/>
      <c r="BI170" s="106"/>
      <c r="BJ170" s="106"/>
      <c r="BK170" s="106"/>
      <c r="BL170" s="106"/>
      <c r="BM170" s="106"/>
      <c r="BN170" s="106"/>
      <c r="BO170" s="106"/>
      <c r="BP170" s="106"/>
      <c r="BQ170" s="106"/>
      <c r="BR170" s="106"/>
      <c r="BS170" s="106"/>
      <c r="BT170" s="106"/>
      <c r="BU170" s="106"/>
      <c r="BV170" s="106"/>
      <c r="BW170" s="106"/>
      <c r="BX170" s="106"/>
      <c r="BY170" s="106"/>
      <c r="BZ170" s="106"/>
      <c r="CA170" s="106"/>
      <c r="CB170" s="106"/>
      <c r="CC170" s="106"/>
      <c r="CD170" s="106"/>
      <c r="CE170" s="106"/>
      <c r="CF170" s="106"/>
      <c r="CG170" s="106"/>
      <c r="CH170" s="106"/>
      <c r="CI170" s="106"/>
      <c r="CJ170" s="106"/>
      <c r="CK170" s="109">
        <f t="shared" si="70"/>
        <v>3994</v>
      </c>
      <c r="CL170" s="109">
        <f t="shared" si="71"/>
        <v>3959</v>
      </c>
      <c r="CM170" s="109">
        <f t="shared" si="72"/>
        <v>264.24420523447623</v>
      </c>
      <c r="CN170" s="103">
        <f t="shared" si="73"/>
        <v>6.6745189501004346E-2</v>
      </c>
      <c r="CO170" s="110">
        <f t="shared" si="76"/>
        <v>3326.8907563025214</v>
      </c>
      <c r="CP170" s="107">
        <f t="shared" si="64"/>
        <v>632.10924369747909</v>
      </c>
      <c r="CQ170" s="106">
        <f t="shared" si="69"/>
        <v>3959</v>
      </c>
      <c r="CR170" s="122">
        <f>+CQ170*E170*F170</f>
        <v>1979500</v>
      </c>
      <c r="CS170" s="79" t="s">
        <v>731</v>
      </c>
    </row>
    <row r="171" spans="1:97" ht="42.65" customHeight="1">
      <c r="A171" s="90">
        <f t="shared" si="56"/>
        <v>158</v>
      </c>
      <c r="B171" s="88" t="s">
        <v>77</v>
      </c>
      <c r="C171" s="1" t="s">
        <v>78</v>
      </c>
      <c r="D171" s="91" t="s">
        <v>5</v>
      </c>
      <c r="E171" s="62">
        <v>20</v>
      </c>
      <c r="F171" s="1">
        <v>2</v>
      </c>
      <c r="G171" s="106"/>
      <c r="H171" s="106"/>
      <c r="I171" s="106"/>
      <c r="J171" s="106"/>
      <c r="K171" s="106"/>
      <c r="L171" s="106">
        <v>5000</v>
      </c>
      <c r="M171" s="106">
        <v>5255</v>
      </c>
      <c r="N171" s="106">
        <v>5250</v>
      </c>
      <c r="O171" s="106">
        <v>5518</v>
      </c>
      <c r="P171" s="106">
        <v>6000</v>
      </c>
      <c r="Q171" s="112">
        <v>6306</v>
      </c>
      <c r="R171" s="106"/>
      <c r="S171" s="106"/>
      <c r="T171" s="106"/>
      <c r="U171" s="106"/>
      <c r="V171" s="106"/>
      <c r="W171" s="106"/>
      <c r="X171" s="106"/>
      <c r="Y171" s="106"/>
      <c r="Z171" s="106"/>
      <c r="AA171" s="106"/>
      <c r="AB171" s="106"/>
      <c r="AC171" s="106"/>
      <c r="AD171" s="106"/>
      <c r="AE171" s="106"/>
      <c r="AF171" s="106"/>
      <c r="AG171" s="106"/>
      <c r="AH171" s="106"/>
      <c r="AI171" s="106"/>
      <c r="AJ171" s="106"/>
      <c r="AK171" s="106"/>
      <c r="AL171" s="106"/>
      <c r="AM171" s="106"/>
      <c r="AN171" s="106"/>
      <c r="AO171" s="106"/>
      <c r="AP171" s="106"/>
      <c r="AQ171" s="106"/>
      <c r="AR171" s="106"/>
      <c r="AS171" s="106"/>
      <c r="AT171" s="106"/>
      <c r="AU171" s="106"/>
      <c r="AV171" s="106"/>
      <c r="AW171" s="106"/>
      <c r="AX171" s="106"/>
      <c r="AY171" s="106"/>
      <c r="AZ171" s="106"/>
      <c r="BA171" s="106"/>
      <c r="BB171" s="106"/>
      <c r="BC171" s="106"/>
      <c r="BD171" s="106"/>
      <c r="BE171" s="106"/>
      <c r="BF171" s="106"/>
      <c r="BG171" s="106"/>
      <c r="BH171" s="106"/>
      <c r="BI171" s="106"/>
      <c r="BJ171" s="106"/>
      <c r="BK171" s="106"/>
      <c r="BL171" s="106"/>
      <c r="BM171" s="106"/>
      <c r="BN171" s="106"/>
      <c r="BO171" s="106"/>
      <c r="BP171" s="106"/>
      <c r="BQ171" s="106"/>
      <c r="BR171" s="106"/>
      <c r="BS171" s="106"/>
      <c r="BT171" s="106"/>
      <c r="BU171" s="106"/>
      <c r="BV171" s="106"/>
      <c r="BW171" s="106"/>
      <c r="BX171" s="106"/>
      <c r="BY171" s="106"/>
      <c r="BZ171" s="106"/>
      <c r="CA171" s="106"/>
      <c r="CB171" s="106"/>
      <c r="CC171" s="106"/>
      <c r="CD171" s="106"/>
      <c r="CE171" s="106"/>
      <c r="CF171" s="106"/>
      <c r="CG171" s="106"/>
      <c r="CH171" s="106"/>
      <c r="CI171" s="106"/>
      <c r="CJ171" s="106"/>
      <c r="CK171" s="109">
        <f t="shared" si="70"/>
        <v>5386.5</v>
      </c>
      <c r="CL171" s="109">
        <f t="shared" si="71"/>
        <v>5517.833333333333</v>
      </c>
      <c r="CM171" s="109">
        <f t="shared" si="72"/>
        <v>407.05057015887678</v>
      </c>
      <c r="CN171" s="103">
        <f t="shared" si="73"/>
        <v>7.3770000934946109E-2</v>
      </c>
      <c r="CO171" s="110">
        <f t="shared" si="76"/>
        <v>4636.9747899159665</v>
      </c>
      <c r="CP171" s="107">
        <f t="shared" si="64"/>
        <v>881.02521008403369</v>
      </c>
      <c r="CQ171" s="106">
        <f t="shared" si="69"/>
        <v>5518</v>
      </c>
      <c r="CR171" s="122">
        <f>+CQ171*E171*F171</f>
        <v>220720</v>
      </c>
      <c r="CS171" s="79" t="s">
        <v>731</v>
      </c>
    </row>
    <row r="172" spans="1:97" ht="67.150000000000006" customHeight="1">
      <c r="A172" s="90">
        <f t="shared" si="56"/>
        <v>159</v>
      </c>
      <c r="B172" s="88" t="s">
        <v>79</v>
      </c>
      <c r="C172" s="1" t="s">
        <v>793</v>
      </c>
      <c r="D172" s="91" t="s">
        <v>134</v>
      </c>
      <c r="E172" s="62">
        <v>4</v>
      </c>
      <c r="F172" s="1"/>
      <c r="G172" s="106"/>
      <c r="H172" s="106"/>
      <c r="I172" s="106"/>
      <c r="J172" s="106"/>
      <c r="K172" s="106"/>
      <c r="L172" s="106"/>
      <c r="M172" s="106"/>
      <c r="N172" s="106"/>
      <c r="O172" s="106"/>
      <c r="P172" s="106"/>
      <c r="Q172" s="106"/>
      <c r="R172" s="106"/>
      <c r="S172" s="106"/>
      <c r="T172" s="106"/>
      <c r="U172" s="106"/>
      <c r="V172" s="106"/>
      <c r="W172" s="106"/>
      <c r="X172" s="112">
        <v>12000</v>
      </c>
      <c r="Y172" s="112">
        <v>15000</v>
      </c>
      <c r="Z172" s="112">
        <v>16000</v>
      </c>
      <c r="AA172" s="112"/>
      <c r="AB172" s="112"/>
      <c r="AC172" s="112"/>
      <c r="AD172" s="112"/>
      <c r="AE172" s="112"/>
      <c r="AF172" s="112"/>
      <c r="AG172" s="112"/>
      <c r="AH172" s="112"/>
      <c r="AI172" s="112"/>
      <c r="AJ172" s="112"/>
      <c r="AK172" s="112"/>
      <c r="AL172" s="112"/>
      <c r="AM172" s="112"/>
      <c r="AN172" s="112"/>
      <c r="AO172" s="112"/>
      <c r="AP172" s="112"/>
      <c r="AQ172" s="112"/>
      <c r="AR172" s="112"/>
      <c r="AS172" s="112"/>
      <c r="AT172" s="112"/>
      <c r="AU172" s="112"/>
      <c r="AV172" s="112"/>
      <c r="AW172" s="112"/>
      <c r="AX172" s="112"/>
      <c r="AY172" s="112"/>
      <c r="AZ172" s="112"/>
      <c r="BA172" s="112"/>
      <c r="BB172" s="112"/>
      <c r="BC172" s="112"/>
      <c r="BD172" s="112"/>
      <c r="BE172" s="112"/>
      <c r="BF172" s="112"/>
      <c r="BG172" s="112"/>
      <c r="BH172" s="112"/>
      <c r="BI172" s="112"/>
      <c r="BJ172" s="112"/>
      <c r="BK172" s="112"/>
      <c r="BL172" s="112"/>
      <c r="BM172" s="112"/>
      <c r="BN172" s="112"/>
      <c r="BO172" s="112"/>
      <c r="BP172" s="112"/>
      <c r="BQ172" s="112"/>
      <c r="BR172" s="112"/>
      <c r="BS172" s="112"/>
      <c r="BT172" s="112"/>
      <c r="BU172" s="112"/>
      <c r="BV172" s="112"/>
      <c r="BW172" s="112"/>
      <c r="BX172" s="112"/>
      <c r="BY172" s="112"/>
      <c r="BZ172" s="112"/>
      <c r="CA172" s="112"/>
      <c r="CB172" s="112"/>
      <c r="CC172" s="112"/>
      <c r="CD172" s="112"/>
      <c r="CE172" s="112"/>
      <c r="CF172" s="112"/>
      <c r="CG172" s="112"/>
      <c r="CH172" s="112"/>
      <c r="CI172" s="112"/>
      <c r="CJ172" s="112"/>
      <c r="CK172" s="109">
        <f t="shared" si="70"/>
        <v>15000</v>
      </c>
      <c r="CL172" s="109">
        <f t="shared" si="71"/>
        <v>14333.333333333334</v>
      </c>
      <c r="CM172" s="109">
        <f t="shared" si="72"/>
        <v>2081.6659994661281</v>
      </c>
      <c r="CN172" s="103">
        <f t="shared" ref="CN172:CN194" si="77">CM172/CL172</f>
        <v>0.14523251159066008</v>
      </c>
      <c r="CO172" s="110">
        <f t="shared" si="76"/>
        <v>12045.378151260506</v>
      </c>
      <c r="CP172" s="107">
        <f t="shared" si="64"/>
        <v>2288.6218487394963</v>
      </c>
      <c r="CQ172" s="106">
        <f t="shared" si="69"/>
        <v>14334</v>
      </c>
      <c r="CR172" s="122">
        <f>+CQ172*E172</f>
        <v>57336</v>
      </c>
      <c r="CS172" s="89" t="s">
        <v>732</v>
      </c>
    </row>
    <row r="173" spans="1:97" s="256" customFormat="1" ht="232.5" customHeight="1">
      <c r="A173" s="247">
        <f t="shared" si="56"/>
        <v>160</v>
      </c>
      <c r="B173" s="248" t="s">
        <v>135</v>
      </c>
      <c r="C173" s="249" t="s">
        <v>136</v>
      </c>
      <c r="D173" s="250" t="s">
        <v>52</v>
      </c>
      <c r="E173" s="314">
        <v>1</v>
      </c>
      <c r="F173" s="249"/>
      <c r="G173" s="251"/>
      <c r="H173" s="251"/>
      <c r="I173" s="251"/>
      <c r="J173" s="251"/>
      <c r="K173" s="251"/>
      <c r="L173" s="251"/>
      <c r="M173" s="251"/>
      <c r="N173" s="251"/>
      <c r="O173" s="251"/>
      <c r="P173" s="251"/>
      <c r="Q173" s="251"/>
      <c r="R173" s="251"/>
      <c r="S173" s="251"/>
      <c r="T173" s="251"/>
      <c r="U173" s="251"/>
      <c r="V173" s="251"/>
      <c r="W173" s="251"/>
      <c r="X173" s="251"/>
      <c r="Y173" s="251"/>
      <c r="Z173" s="251"/>
      <c r="AA173" s="251"/>
      <c r="AB173" s="251"/>
      <c r="AC173" s="251"/>
      <c r="AD173" s="251"/>
      <c r="AE173" s="251"/>
      <c r="AF173" s="251"/>
      <c r="AG173" s="251"/>
      <c r="AH173" s="251"/>
      <c r="AI173" s="251"/>
      <c r="AJ173" s="251"/>
      <c r="AK173" s="251"/>
      <c r="AL173" s="251"/>
      <c r="AM173" s="251"/>
      <c r="AN173" s="251"/>
      <c r="AO173" s="251"/>
      <c r="AP173" s="251"/>
      <c r="AQ173" s="251"/>
      <c r="AR173" s="251"/>
      <c r="AS173" s="251"/>
      <c r="AT173" s="251"/>
      <c r="AU173" s="251"/>
      <c r="AV173" s="251"/>
      <c r="AW173" s="251"/>
      <c r="AX173" s="251"/>
      <c r="AY173" s="251"/>
      <c r="AZ173" s="251"/>
      <c r="BA173" s="251"/>
      <c r="BB173" s="251"/>
      <c r="BC173" s="251"/>
      <c r="BD173" s="251"/>
      <c r="BE173" s="251"/>
      <c r="BF173" s="251"/>
      <c r="BG173" s="251"/>
      <c r="BH173" s="251"/>
      <c r="BI173" s="251"/>
      <c r="BJ173" s="251"/>
      <c r="BK173" s="251"/>
      <c r="BL173" s="251"/>
      <c r="BM173" s="251"/>
      <c r="BN173" s="251"/>
      <c r="BO173" s="251"/>
      <c r="BP173" s="251"/>
      <c r="BQ173" s="251"/>
      <c r="BR173" s="251"/>
      <c r="BS173" s="251"/>
      <c r="BT173" s="251"/>
      <c r="BU173" s="251"/>
      <c r="BV173" s="251"/>
      <c r="BW173" s="251"/>
      <c r="BX173" s="251"/>
      <c r="BY173" s="251"/>
      <c r="BZ173" s="251"/>
      <c r="CA173" s="251"/>
      <c r="CB173" s="251"/>
      <c r="CC173" s="251"/>
      <c r="CD173" s="251"/>
      <c r="CE173" s="251"/>
      <c r="CF173" s="251"/>
      <c r="CG173" s="251"/>
      <c r="CH173" s="251"/>
      <c r="CI173" s="251"/>
      <c r="CJ173" s="251"/>
      <c r="CK173" s="252"/>
      <c r="CL173" s="252"/>
      <c r="CM173" s="252"/>
      <c r="CN173" s="253"/>
      <c r="CO173" s="254">
        <v>5000000</v>
      </c>
      <c r="CP173" s="251"/>
      <c r="CQ173" s="254">
        <v>5000000</v>
      </c>
      <c r="CR173" s="254">
        <v>5000000</v>
      </c>
      <c r="CS173" s="261" t="s">
        <v>794</v>
      </c>
    </row>
    <row r="174" spans="1:97" ht="124.5" customHeight="1">
      <c r="A174" s="90">
        <f t="shared" si="56"/>
        <v>161</v>
      </c>
      <c r="B174" s="95" t="s">
        <v>85</v>
      </c>
      <c r="C174" s="1" t="s">
        <v>274</v>
      </c>
      <c r="D174" s="91" t="s">
        <v>107</v>
      </c>
      <c r="E174" s="62">
        <v>12</v>
      </c>
      <c r="F174" s="62">
        <v>2</v>
      </c>
      <c r="G174" s="107"/>
      <c r="H174" s="107"/>
      <c r="I174" s="107"/>
      <c r="J174" s="107"/>
      <c r="K174" s="107"/>
      <c r="L174" s="106"/>
      <c r="M174" s="106"/>
      <c r="N174" s="106"/>
      <c r="O174" s="106"/>
      <c r="P174" s="106"/>
      <c r="Q174" s="107"/>
      <c r="R174" s="111">
        <v>270000</v>
      </c>
      <c r="S174" s="111">
        <v>283770</v>
      </c>
      <c r="T174" s="111">
        <v>270000</v>
      </c>
      <c r="U174" s="111">
        <v>283770</v>
      </c>
      <c r="V174" s="107"/>
      <c r="W174" s="107"/>
      <c r="X174" s="107"/>
      <c r="Y174" s="107"/>
      <c r="Z174" s="107"/>
      <c r="AA174" s="107"/>
      <c r="AB174" s="107"/>
      <c r="AC174" s="107"/>
      <c r="AD174" s="107"/>
      <c r="AE174" s="107"/>
      <c r="AF174" s="107"/>
      <c r="AG174" s="107"/>
      <c r="AH174" s="107"/>
      <c r="AI174" s="107"/>
      <c r="AJ174" s="107"/>
      <c r="AK174" s="107"/>
      <c r="AL174" s="107"/>
      <c r="AM174" s="107"/>
      <c r="AN174" s="107"/>
      <c r="AO174" s="107"/>
      <c r="AP174" s="107"/>
      <c r="AQ174" s="107"/>
      <c r="AR174" s="107"/>
      <c r="AS174" s="107"/>
      <c r="AT174" s="107"/>
      <c r="AU174" s="107"/>
      <c r="AV174" s="107"/>
      <c r="AW174" s="107"/>
      <c r="AX174" s="107"/>
      <c r="AY174" s="107"/>
      <c r="AZ174" s="107"/>
      <c r="BA174" s="107"/>
      <c r="BB174" s="107"/>
      <c r="BC174" s="107"/>
      <c r="BD174" s="107"/>
      <c r="BE174" s="107"/>
      <c r="BF174" s="107"/>
      <c r="BG174" s="107"/>
      <c r="BH174" s="107"/>
      <c r="BI174" s="107"/>
      <c r="BJ174" s="107"/>
      <c r="BK174" s="107"/>
      <c r="BL174" s="107"/>
      <c r="BM174" s="107"/>
      <c r="BN174" s="107"/>
      <c r="BO174" s="107"/>
      <c r="BP174" s="107"/>
      <c r="BQ174" s="107"/>
      <c r="BR174" s="107"/>
      <c r="BS174" s="107"/>
      <c r="BT174" s="107"/>
      <c r="BU174" s="107"/>
      <c r="BV174" s="107"/>
      <c r="BW174" s="107"/>
      <c r="BX174" s="107"/>
      <c r="BY174" s="107"/>
      <c r="BZ174" s="107"/>
      <c r="CA174" s="107"/>
      <c r="CB174" s="107"/>
      <c r="CC174" s="107"/>
      <c r="CD174" s="107"/>
      <c r="CE174" s="107"/>
      <c r="CF174" s="107"/>
      <c r="CG174" s="107"/>
      <c r="CH174" s="107"/>
      <c r="CI174" s="107"/>
      <c r="CJ174" s="107"/>
      <c r="CK174" s="108">
        <f>+MEDIAN(H174,I174,J174,K174,M174,M174,M174,O174,O174,Q174,S174,U174,W174,X174,Y174,Z174,AA174,AC174,AE174,AG174,AH174,AI174,AJ174,AK174,AL174,AM174,AO174,AP174,AQ174,AS174,AU174,AX174,AZ174,BB174,BC174,BE174,BG174,BH174,BI174,BK174,BL174,BM174,BN174,BP174,BR174,BT174,BV174)</f>
        <v>283770</v>
      </c>
      <c r="CL174" s="108">
        <f>+AVERAGE(H174,I174,J174,K174,M174,M174,M174,O174,O174,Q174,S174,U174,W174,X174,Y174,Z174,AA174,AC174,AE174,AG174,AH174,AI174,AJ174,AK174,AL174,AM174,AO174,AP174,AQ174,AS174,AU174,AX174,AZ174,BB174,BC174,BE174,BG174,BH174,BI174,BK174,BL174,BM174,BN174,BP174,BR174,BT174,BV174)</f>
        <v>283770</v>
      </c>
      <c r="CM174" s="108">
        <f>+STDEV(H174,I174,J174,K174,M174,M174,M174,O174,O174,Q174,S174,U174,W174,X174,Y174,Z174,AA174,AC174,AE174,AG174,AH174,AI174,AJ174,AK174,AL174,AM174,AO174,AP174,AQ174,AS174,AU174,AX174,AZ174,BB174,BC174,BE174,BG174,BH174,BI174,BK174,BL174,BM174,BN174,BP174,BR174,BT174,BV174)</f>
        <v>0</v>
      </c>
      <c r="CN174" s="103">
        <f t="shared" si="77"/>
        <v>0</v>
      </c>
      <c r="CO174" s="110">
        <f t="shared" si="76"/>
        <v>238462.18487394959</v>
      </c>
      <c r="CP174" s="107">
        <f t="shared" si="64"/>
        <v>45307.815126050424</v>
      </c>
      <c r="CQ174" s="106">
        <f>ROUNDUP(IF(CN174&lt;15%,CL174,CK174),0)</f>
        <v>283770</v>
      </c>
      <c r="CR174" s="122">
        <f>+CQ174*E174*F174</f>
        <v>6810480</v>
      </c>
      <c r="CS174" s="79" t="s">
        <v>731</v>
      </c>
    </row>
    <row r="175" spans="1:97" s="256" customFormat="1" ht="133.5" customHeight="1">
      <c r="A175" s="247">
        <f t="shared" si="56"/>
        <v>162</v>
      </c>
      <c r="B175" s="260" t="s">
        <v>128</v>
      </c>
      <c r="C175" s="249" t="s">
        <v>790</v>
      </c>
      <c r="D175" s="260" t="s">
        <v>52</v>
      </c>
      <c r="E175" s="249">
        <v>1</v>
      </c>
      <c r="F175" s="249"/>
      <c r="G175" s="251"/>
      <c r="H175" s="251"/>
      <c r="I175" s="251"/>
      <c r="J175" s="251"/>
      <c r="K175" s="251"/>
      <c r="L175" s="251"/>
      <c r="M175" s="251"/>
      <c r="N175" s="251"/>
      <c r="O175" s="251"/>
      <c r="P175" s="251"/>
      <c r="Q175" s="251"/>
      <c r="R175" s="251"/>
      <c r="S175" s="251"/>
      <c r="T175" s="251"/>
      <c r="U175" s="251"/>
      <c r="V175" s="251"/>
      <c r="W175" s="251"/>
      <c r="X175" s="251"/>
      <c r="Y175" s="251"/>
      <c r="Z175" s="251"/>
      <c r="AA175" s="251"/>
      <c r="AB175" s="251"/>
      <c r="AC175" s="251"/>
      <c r="AD175" s="251"/>
      <c r="AE175" s="251"/>
      <c r="AF175" s="251"/>
      <c r="AG175" s="251"/>
      <c r="AH175" s="251"/>
      <c r="AI175" s="251"/>
      <c r="AJ175" s="251"/>
      <c r="AK175" s="251"/>
      <c r="AL175" s="251"/>
      <c r="AM175" s="251"/>
      <c r="AN175" s="251"/>
      <c r="AO175" s="251"/>
      <c r="AP175" s="251"/>
      <c r="AQ175" s="251"/>
      <c r="AR175" s="251"/>
      <c r="AS175" s="251"/>
      <c r="AT175" s="251"/>
      <c r="AU175" s="251"/>
      <c r="AV175" s="251"/>
      <c r="AW175" s="251"/>
      <c r="AX175" s="251"/>
      <c r="AY175" s="251"/>
      <c r="AZ175" s="251"/>
      <c r="BA175" s="251"/>
      <c r="BB175" s="251"/>
      <c r="BC175" s="251"/>
      <c r="BD175" s="251"/>
      <c r="BE175" s="251"/>
      <c r="BF175" s="251"/>
      <c r="BG175" s="251"/>
      <c r="BH175" s="251"/>
      <c r="BI175" s="251"/>
      <c r="BJ175" s="251"/>
      <c r="BK175" s="251"/>
      <c r="BL175" s="251"/>
      <c r="BM175" s="251"/>
      <c r="BN175" s="251"/>
      <c r="BO175" s="251"/>
      <c r="BP175" s="251"/>
      <c r="BQ175" s="251"/>
      <c r="BR175" s="251"/>
      <c r="BS175" s="251"/>
      <c r="BT175" s="251"/>
      <c r="BU175" s="251"/>
      <c r="BV175" s="251"/>
      <c r="BW175" s="251"/>
      <c r="BX175" s="251"/>
      <c r="BY175" s="251"/>
      <c r="BZ175" s="251"/>
      <c r="CA175" s="251"/>
      <c r="CB175" s="251"/>
      <c r="CC175" s="251"/>
      <c r="CD175" s="251"/>
      <c r="CE175" s="251"/>
      <c r="CF175" s="251"/>
      <c r="CG175" s="251"/>
      <c r="CH175" s="251"/>
      <c r="CI175" s="251"/>
      <c r="CJ175" s="251"/>
      <c r="CK175" s="252"/>
      <c r="CL175" s="252"/>
      <c r="CM175" s="252"/>
      <c r="CN175" s="253"/>
      <c r="CO175" s="254">
        <v>10000000</v>
      </c>
      <c r="CP175" s="251"/>
      <c r="CQ175" s="254">
        <v>10000000</v>
      </c>
      <c r="CR175" s="251">
        <f>+CQ175</f>
        <v>10000000</v>
      </c>
      <c r="CS175" s="261" t="s">
        <v>791</v>
      </c>
    </row>
    <row r="176" spans="1:97" ht="69.650000000000006" customHeight="1">
      <c r="A176" s="90">
        <f t="shared" si="56"/>
        <v>163</v>
      </c>
      <c r="B176" s="63" t="s">
        <v>712</v>
      </c>
      <c r="C176" s="1" t="s">
        <v>795</v>
      </c>
      <c r="D176" s="63" t="s">
        <v>134</v>
      </c>
      <c r="E176" s="1">
        <v>80</v>
      </c>
      <c r="F176" s="1"/>
      <c r="G176" s="106"/>
      <c r="H176" s="106"/>
      <c r="I176" s="106"/>
      <c r="J176" s="106"/>
      <c r="K176" s="106"/>
      <c r="L176" s="106"/>
      <c r="M176" s="106"/>
      <c r="N176" s="106"/>
      <c r="O176" s="106"/>
      <c r="P176" s="106"/>
      <c r="Q176" s="106"/>
      <c r="R176" s="106"/>
      <c r="S176" s="106"/>
      <c r="T176" s="106"/>
      <c r="U176" s="106"/>
      <c r="V176" s="106"/>
      <c r="W176" s="106"/>
      <c r="X176" s="112">
        <v>26000</v>
      </c>
      <c r="Y176" s="112">
        <v>22000</v>
      </c>
      <c r="Z176" s="112">
        <v>22500</v>
      </c>
      <c r="AA176" s="112"/>
      <c r="AB176" s="112"/>
      <c r="AC176" s="112"/>
      <c r="AD176" s="112"/>
      <c r="AE176" s="112"/>
      <c r="AF176" s="112"/>
      <c r="AG176" s="112"/>
      <c r="AH176" s="112"/>
      <c r="AI176" s="112"/>
      <c r="AJ176" s="112"/>
      <c r="AK176" s="112"/>
      <c r="AL176" s="112"/>
      <c r="AM176" s="112"/>
      <c r="AN176" s="112"/>
      <c r="AO176" s="112"/>
      <c r="AP176" s="112"/>
      <c r="AQ176" s="112"/>
      <c r="AR176" s="112"/>
      <c r="AS176" s="112"/>
      <c r="AT176" s="112"/>
      <c r="AU176" s="112"/>
      <c r="AV176" s="112"/>
      <c r="AW176" s="112"/>
      <c r="AX176" s="112"/>
      <c r="AY176" s="112"/>
      <c r="AZ176" s="112"/>
      <c r="BA176" s="112"/>
      <c r="BB176" s="112"/>
      <c r="BC176" s="112"/>
      <c r="BD176" s="112"/>
      <c r="BE176" s="112"/>
      <c r="BF176" s="112"/>
      <c r="BG176" s="112"/>
      <c r="BH176" s="112"/>
      <c r="BI176" s="112"/>
      <c r="BJ176" s="112"/>
      <c r="BK176" s="112"/>
      <c r="BL176" s="112"/>
      <c r="BM176" s="112"/>
      <c r="BN176" s="112"/>
      <c r="BO176" s="112"/>
      <c r="BP176" s="112"/>
      <c r="BQ176" s="112"/>
      <c r="BR176" s="112"/>
      <c r="BS176" s="112"/>
      <c r="BT176" s="112"/>
      <c r="BU176" s="112"/>
      <c r="BV176" s="112"/>
      <c r="BW176" s="112"/>
      <c r="BX176" s="112"/>
      <c r="BY176" s="112"/>
      <c r="BZ176" s="112"/>
      <c r="CA176" s="112"/>
      <c r="CB176" s="112"/>
      <c r="CC176" s="112"/>
      <c r="CD176" s="112"/>
      <c r="CE176" s="112"/>
      <c r="CF176" s="112"/>
      <c r="CG176" s="112"/>
      <c r="CH176" s="112"/>
      <c r="CI176" s="112"/>
      <c r="CJ176" s="112"/>
      <c r="CK176" s="109">
        <f t="shared" ref="CK176:CK186" si="78">+MEDIAN(H176,I176,J176,K176,M176,M176,M176,O176,O176,Q176,S176,U176,W176,X176,Y176,Z176,AA176,AC176,AE176,AG176,AH176,AI176,AJ176,AK176,AL176,AM176,AO176,AP176,AQ176,AS176,AU176,AX176,AZ176,BB176,BC176,BE176,BG176,BH176,BI176,BK176,BL176,BM176,BN176,BP176,BR176,BT176,BV176)</f>
        <v>22500</v>
      </c>
      <c r="CL176" s="109">
        <f t="shared" ref="CL176:CL186" si="79">+AVERAGE(H176,I176,J176,K176,M176,M176,M176,O176,O176,Q176,S176,U176,W176,X176,Y176,Z176,AA176,AC176,AE176,AG176,AH176,AI176,AJ176,AK176,AL176,AM176,AO176,AP176,AQ176,AS176,AU176,AX176,AZ176,BB176,BC176,BE176,BG176,BH176,BI176,BK176,BL176,BM176,BN176,BP176,BR176,BT176,BV176)</f>
        <v>23500</v>
      </c>
      <c r="CM176" s="109">
        <f t="shared" ref="CM176:CM186" si="80">+STDEV(H176,I176,J176,K176,M176,M176,M176,O176,O176,Q176,S176,U176,W176,X176,Y176,Z176,AA176,AC176,AE176,AG176,AH176,AI176,AJ176,AK176,AL176,AM176,AO176,AP176,AQ176,AS176,AU176,AX176,AZ176,BB176,BC176,BE176,BG176,BH176,BI176,BK176,BL176,BM176,BN176,BP176,BR176,BT176,BV176)</f>
        <v>2179.4494717703369</v>
      </c>
      <c r="CN176" s="103">
        <f t="shared" si="77"/>
        <v>9.2742530713631352E-2</v>
      </c>
      <c r="CO176" s="110">
        <f t="shared" si="76"/>
        <v>19747.899159663866</v>
      </c>
      <c r="CP176" s="107">
        <f t="shared" si="64"/>
        <v>3752.1008403361348</v>
      </c>
      <c r="CQ176" s="106">
        <f t="shared" ref="CQ176:CQ186" si="81">ROUNDUP(IF(CN176&lt;15%,CL176,CK176),0)</f>
        <v>23500</v>
      </c>
      <c r="CR176" s="122">
        <f t="shared" ref="CR176:CR186" si="82">+CQ176*E176</f>
        <v>1880000</v>
      </c>
      <c r="CS176" s="89" t="s">
        <v>732</v>
      </c>
    </row>
    <row r="177" spans="1:143" ht="63.65" customHeight="1">
      <c r="A177" s="90">
        <f t="shared" si="56"/>
        <v>164</v>
      </c>
      <c r="B177" s="63" t="s">
        <v>713</v>
      </c>
      <c r="C177" s="1" t="s">
        <v>796</v>
      </c>
      <c r="D177" s="63" t="s">
        <v>134</v>
      </c>
      <c r="E177" s="1">
        <v>80</v>
      </c>
      <c r="F177" s="1"/>
      <c r="G177" s="106"/>
      <c r="H177" s="106"/>
      <c r="I177" s="106"/>
      <c r="J177" s="106"/>
      <c r="K177" s="106"/>
      <c r="L177" s="106"/>
      <c r="M177" s="106"/>
      <c r="N177" s="106"/>
      <c r="O177" s="106"/>
      <c r="P177" s="106"/>
      <c r="Q177" s="106"/>
      <c r="R177" s="106"/>
      <c r="S177" s="106"/>
      <c r="T177" s="106"/>
      <c r="U177" s="106"/>
      <c r="V177" s="106"/>
      <c r="W177" s="106"/>
      <c r="X177" s="112">
        <v>19000</v>
      </c>
      <c r="Y177" s="112">
        <v>21800</v>
      </c>
      <c r="Z177" s="112">
        <v>22000</v>
      </c>
      <c r="AA177" s="112"/>
      <c r="AB177" s="112"/>
      <c r="AC177" s="112"/>
      <c r="AD177" s="112"/>
      <c r="AE177" s="112"/>
      <c r="AF177" s="112"/>
      <c r="AG177" s="112"/>
      <c r="AH177" s="112"/>
      <c r="AI177" s="112"/>
      <c r="AJ177" s="112"/>
      <c r="AK177" s="112"/>
      <c r="AL177" s="112"/>
      <c r="AM177" s="112"/>
      <c r="AN177" s="112"/>
      <c r="AO177" s="112"/>
      <c r="AP177" s="112"/>
      <c r="AQ177" s="112"/>
      <c r="AR177" s="112"/>
      <c r="AS177" s="112"/>
      <c r="AT177" s="112"/>
      <c r="AU177" s="112"/>
      <c r="AV177" s="112"/>
      <c r="AW177" s="112"/>
      <c r="AX177" s="112"/>
      <c r="AY177" s="112"/>
      <c r="AZ177" s="112"/>
      <c r="BA177" s="112"/>
      <c r="BB177" s="112"/>
      <c r="BC177" s="112"/>
      <c r="BD177" s="112"/>
      <c r="BE177" s="112"/>
      <c r="BF177" s="112"/>
      <c r="BG177" s="112"/>
      <c r="BH177" s="112"/>
      <c r="BI177" s="112"/>
      <c r="BJ177" s="112"/>
      <c r="BK177" s="112"/>
      <c r="BL177" s="112"/>
      <c r="BM177" s="112"/>
      <c r="BN177" s="112"/>
      <c r="BO177" s="112"/>
      <c r="BP177" s="112"/>
      <c r="BQ177" s="112"/>
      <c r="BR177" s="112"/>
      <c r="BS177" s="112"/>
      <c r="BT177" s="112"/>
      <c r="BU177" s="112"/>
      <c r="BV177" s="112"/>
      <c r="BW177" s="112"/>
      <c r="BX177" s="112"/>
      <c r="BY177" s="112"/>
      <c r="BZ177" s="112"/>
      <c r="CA177" s="112"/>
      <c r="CB177" s="112"/>
      <c r="CC177" s="112"/>
      <c r="CD177" s="112"/>
      <c r="CE177" s="112"/>
      <c r="CF177" s="112"/>
      <c r="CG177" s="112"/>
      <c r="CH177" s="112"/>
      <c r="CI177" s="112"/>
      <c r="CJ177" s="112"/>
      <c r="CK177" s="109">
        <f t="shared" si="78"/>
        <v>21800</v>
      </c>
      <c r="CL177" s="109">
        <f t="shared" si="79"/>
        <v>20933.333333333332</v>
      </c>
      <c r="CM177" s="109">
        <f t="shared" si="80"/>
        <v>1677.2994167212164</v>
      </c>
      <c r="CN177" s="103">
        <f t="shared" si="77"/>
        <v>8.0125768314707801E-2</v>
      </c>
      <c r="CO177" s="110">
        <f t="shared" si="76"/>
        <v>17591.596638655465</v>
      </c>
      <c r="CP177" s="107">
        <f t="shared" si="64"/>
        <v>3342.4033613445381</v>
      </c>
      <c r="CQ177" s="106">
        <f t="shared" si="81"/>
        <v>20934</v>
      </c>
      <c r="CR177" s="122">
        <f t="shared" si="82"/>
        <v>1674720</v>
      </c>
      <c r="CS177" s="89" t="s">
        <v>732</v>
      </c>
    </row>
    <row r="178" spans="1:143" ht="87" customHeight="1">
      <c r="A178" s="90">
        <f t="shared" si="56"/>
        <v>165</v>
      </c>
      <c r="B178" s="63" t="s">
        <v>754</v>
      </c>
      <c r="C178" s="1" t="s">
        <v>137</v>
      </c>
      <c r="D178" s="63" t="s">
        <v>4</v>
      </c>
      <c r="E178" s="1">
        <v>80</v>
      </c>
      <c r="F178" s="1"/>
      <c r="G178" s="106"/>
      <c r="H178" s="106"/>
      <c r="I178" s="106"/>
      <c r="J178" s="106"/>
      <c r="K178" s="106"/>
      <c r="L178" s="106"/>
      <c r="M178" s="106"/>
      <c r="N178" s="106"/>
      <c r="O178" s="106"/>
      <c r="P178" s="106"/>
      <c r="Q178" s="106"/>
      <c r="R178" s="106"/>
      <c r="S178" s="106"/>
      <c r="T178" s="106"/>
      <c r="U178" s="106"/>
      <c r="V178" s="106"/>
      <c r="W178" s="106"/>
      <c r="X178" s="112">
        <v>39000</v>
      </c>
      <c r="Y178" s="112">
        <v>32000</v>
      </c>
      <c r="Z178" s="112">
        <v>32500</v>
      </c>
      <c r="AA178" s="112"/>
      <c r="AB178" s="112"/>
      <c r="AC178" s="112"/>
      <c r="AD178" s="112"/>
      <c r="AE178" s="112"/>
      <c r="AF178" s="112"/>
      <c r="AG178" s="112"/>
      <c r="AH178" s="112"/>
      <c r="AI178" s="112"/>
      <c r="AJ178" s="112"/>
      <c r="AK178" s="112"/>
      <c r="AL178" s="112"/>
      <c r="AM178" s="112"/>
      <c r="AN178" s="112"/>
      <c r="AO178" s="112"/>
      <c r="AP178" s="112"/>
      <c r="AQ178" s="112"/>
      <c r="AR178" s="112"/>
      <c r="AS178" s="112"/>
      <c r="AT178" s="112"/>
      <c r="AU178" s="112"/>
      <c r="AV178" s="112"/>
      <c r="AW178" s="112"/>
      <c r="AX178" s="112"/>
      <c r="AY178" s="112"/>
      <c r="AZ178" s="112"/>
      <c r="BA178" s="112"/>
      <c r="BB178" s="112"/>
      <c r="BC178" s="112"/>
      <c r="BD178" s="112"/>
      <c r="BE178" s="112"/>
      <c r="BF178" s="112"/>
      <c r="BG178" s="112"/>
      <c r="BH178" s="112"/>
      <c r="BI178" s="112"/>
      <c r="BJ178" s="112"/>
      <c r="BK178" s="112"/>
      <c r="BL178" s="112"/>
      <c r="BM178" s="112"/>
      <c r="BN178" s="112"/>
      <c r="BO178" s="112"/>
      <c r="BP178" s="112"/>
      <c r="BQ178" s="112"/>
      <c r="BR178" s="112"/>
      <c r="BS178" s="112"/>
      <c r="BT178" s="112"/>
      <c r="BU178" s="112"/>
      <c r="BV178" s="112"/>
      <c r="BW178" s="112"/>
      <c r="BX178" s="112"/>
      <c r="BY178" s="112"/>
      <c r="BZ178" s="112"/>
      <c r="CA178" s="112"/>
      <c r="CB178" s="112"/>
      <c r="CC178" s="112"/>
      <c r="CD178" s="112"/>
      <c r="CE178" s="112"/>
      <c r="CF178" s="112"/>
      <c r="CG178" s="112"/>
      <c r="CH178" s="112"/>
      <c r="CI178" s="112"/>
      <c r="CJ178" s="112"/>
      <c r="CK178" s="109">
        <f t="shared" si="78"/>
        <v>32500</v>
      </c>
      <c r="CL178" s="109">
        <f t="shared" si="79"/>
        <v>34500</v>
      </c>
      <c r="CM178" s="109">
        <f t="shared" si="80"/>
        <v>3905.1248379533272</v>
      </c>
      <c r="CN178" s="103">
        <f t="shared" si="77"/>
        <v>0.11319202428850224</v>
      </c>
      <c r="CO178" s="110">
        <f t="shared" si="76"/>
        <v>28991.596638655465</v>
      </c>
      <c r="CP178" s="107">
        <f t="shared" si="64"/>
        <v>5508.4033613445381</v>
      </c>
      <c r="CQ178" s="106">
        <f t="shared" si="81"/>
        <v>34500</v>
      </c>
      <c r="CR178" s="122">
        <f t="shared" si="82"/>
        <v>2760000</v>
      </c>
      <c r="CS178" s="89" t="s">
        <v>732</v>
      </c>
    </row>
    <row r="179" spans="1:143" ht="103.4" customHeight="1">
      <c r="A179" s="90">
        <f t="shared" si="56"/>
        <v>166</v>
      </c>
      <c r="B179" s="63" t="s">
        <v>714</v>
      </c>
      <c r="C179" s="1" t="s">
        <v>797</v>
      </c>
      <c r="D179" s="63" t="s">
        <v>11</v>
      </c>
      <c r="E179" s="1">
        <v>80</v>
      </c>
      <c r="F179" s="1"/>
      <c r="G179" s="106"/>
      <c r="H179" s="106"/>
      <c r="I179" s="106"/>
      <c r="J179" s="106"/>
      <c r="K179" s="106"/>
      <c r="L179" s="106"/>
      <c r="M179" s="106"/>
      <c r="N179" s="106"/>
      <c r="O179" s="106"/>
      <c r="P179" s="106"/>
      <c r="Q179" s="106"/>
      <c r="R179" s="106"/>
      <c r="S179" s="106"/>
      <c r="T179" s="106"/>
      <c r="U179" s="106"/>
      <c r="V179" s="106"/>
      <c r="W179" s="106"/>
      <c r="X179" s="112">
        <v>28000</v>
      </c>
      <c r="Y179" s="112">
        <v>34000</v>
      </c>
      <c r="Z179" s="112">
        <v>34800</v>
      </c>
      <c r="AA179" s="112"/>
      <c r="AB179" s="112"/>
      <c r="AC179" s="112"/>
      <c r="AD179" s="112"/>
      <c r="AE179" s="112"/>
      <c r="AF179" s="112"/>
      <c r="AG179" s="112"/>
      <c r="AH179" s="112"/>
      <c r="AI179" s="112"/>
      <c r="AJ179" s="112"/>
      <c r="AK179" s="112"/>
      <c r="AL179" s="112"/>
      <c r="AM179" s="112"/>
      <c r="AN179" s="112"/>
      <c r="AO179" s="112"/>
      <c r="AP179" s="112"/>
      <c r="AQ179" s="112"/>
      <c r="AR179" s="112"/>
      <c r="AS179" s="112"/>
      <c r="AT179" s="112"/>
      <c r="AU179" s="112"/>
      <c r="AV179" s="112"/>
      <c r="AW179" s="112"/>
      <c r="AX179" s="112"/>
      <c r="AY179" s="112"/>
      <c r="AZ179" s="112"/>
      <c r="BA179" s="112"/>
      <c r="BB179" s="112"/>
      <c r="BC179" s="112"/>
      <c r="BD179" s="112"/>
      <c r="BE179" s="112"/>
      <c r="BF179" s="112"/>
      <c r="BG179" s="112"/>
      <c r="BH179" s="112"/>
      <c r="BI179" s="112"/>
      <c r="BJ179" s="112"/>
      <c r="BK179" s="112"/>
      <c r="BL179" s="112"/>
      <c r="BM179" s="112"/>
      <c r="BN179" s="112"/>
      <c r="BO179" s="112"/>
      <c r="BP179" s="112"/>
      <c r="BQ179" s="112"/>
      <c r="BR179" s="112"/>
      <c r="BS179" s="112"/>
      <c r="BT179" s="112"/>
      <c r="BU179" s="112"/>
      <c r="BV179" s="112"/>
      <c r="BW179" s="112"/>
      <c r="BX179" s="112"/>
      <c r="BY179" s="112"/>
      <c r="BZ179" s="112"/>
      <c r="CA179" s="112"/>
      <c r="CB179" s="112"/>
      <c r="CC179" s="112"/>
      <c r="CD179" s="112"/>
      <c r="CE179" s="112"/>
      <c r="CF179" s="112"/>
      <c r="CG179" s="112"/>
      <c r="CH179" s="112"/>
      <c r="CI179" s="112"/>
      <c r="CJ179" s="112"/>
      <c r="CK179" s="109">
        <f t="shared" si="78"/>
        <v>34000</v>
      </c>
      <c r="CL179" s="109">
        <f t="shared" si="79"/>
        <v>32266.666666666668</v>
      </c>
      <c r="CM179" s="109">
        <f t="shared" si="80"/>
        <v>3716.629297271028</v>
      </c>
      <c r="CN179" s="103">
        <f t="shared" si="77"/>
        <v>0.11518479227079632</v>
      </c>
      <c r="CO179" s="110">
        <f t="shared" si="76"/>
        <v>27115.126050420171</v>
      </c>
      <c r="CP179" s="107">
        <f t="shared" si="64"/>
        <v>5151.8739495798327</v>
      </c>
      <c r="CQ179" s="106">
        <f t="shared" si="81"/>
        <v>32267</v>
      </c>
      <c r="CR179" s="122">
        <f t="shared" si="82"/>
        <v>2581360</v>
      </c>
      <c r="CS179" s="89" t="s">
        <v>732</v>
      </c>
    </row>
    <row r="180" spans="1:143" ht="105.65" customHeight="1">
      <c r="A180" s="90">
        <f t="shared" si="56"/>
        <v>167</v>
      </c>
      <c r="B180" s="63" t="s">
        <v>112</v>
      </c>
      <c r="C180" s="1" t="s">
        <v>350</v>
      </c>
      <c r="D180" s="91" t="s">
        <v>4</v>
      </c>
      <c r="E180" s="1">
        <v>150</v>
      </c>
      <c r="F180" s="1"/>
      <c r="G180" s="106"/>
      <c r="H180" s="106"/>
      <c r="I180" s="106"/>
      <c r="J180" s="106"/>
      <c r="K180" s="106"/>
      <c r="L180" s="106"/>
      <c r="M180" s="106"/>
      <c r="N180" s="106"/>
      <c r="O180" s="106"/>
      <c r="P180" s="106"/>
      <c r="Q180" s="106"/>
      <c r="R180" s="106"/>
      <c r="S180" s="106"/>
      <c r="T180" s="106"/>
      <c r="U180" s="106"/>
      <c r="V180" s="106"/>
      <c r="W180" s="106"/>
      <c r="X180" s="106"/>
      <c r="Y180" s="106"/>
      <c r="Z180" s="106"/>
      <c r="AA180" s="106"/>
      <c r="AB180" s="106">
        <v>16832</v>
      </c>
      <c r="AC180" s="106">
        <v>17690</v>
      </c>
      <c r="AD180" s="106">
        <v>18963</v>
      </c>
      <c r="AE180" s="106">
        <v>19930</v>
      </c>
      <c r="AF180" s="106">
        <v>15100</v>
      </c>
      <c r="AG180" s="106">
        <v>15870</v>
      </c>
      <c r="AH180" s="106"/>
      <c r="AI180" s="106"/>
      <c r="AJ180" s="106"/>
      <c r="AK180" s="106"/>
      <c r="AL180" s="106"/>
      <c r="AM180" s="106"/>
      <c r="AN180" s="106"/>
      <c r="AO180" s="106"/>
      <c r="AP180" s="106"/>
      <c r="AQ180" s="106"/>
      <c r="AR180" s="106"/>
      <c r="AS180" s="106"/>
      <c r="AT180" s="106"/>
      <c r="AU180" s="106"/>
      <c r="AV180" s="106"/>
      <c r="AW180" s="106"/>
      <c r="AX180" s="106"/>
      <c r="AY180" s="106"/>
      <c r="AZ180" s="106"/>
      <c r="BA180" s="106"/>
      <c r="BB180" s="106"/>
      <c r="BC180" s="106"/>
      <c r="BD180" s="106"/>
      <c r="BE180" s="106"/>
      <c r="BF180" s="106"/>
      <c r="BG180" s="106"/>
      <c r="BH180" s="106"/>
      <c r="BI180" s="106"/>
      <c r="BJ180" s="106"/>
      <c r="BK180" s="106"/>
      <c r="BL180" s="106"/>
      <c r="BM180" s="106"/>
      <c r="BN180" s="106"/>
      <c r="BO180" s="106"/>
      <c r="BP180" s="106"/>
      <c r="BQ180" s="106"/>
      <c r="BR180" s="106"/>
      <c r="BS180" s="106"/>
      <c r="BT180" s="106"/>
      <c r="BU180" s="106"/>
      <c r="BV180" s="106"/>
      <c r="BW180" s="106"/>
      <c r="BX180" s="106"/>
      <c r="BY180" s="106"/>
      <c r="BZ180" s="106"/>
      <c r="CA180" s="106"/>
      <c r="CB180" s="106"/>
      <c r="CC180" s="106"/>
      <c r="CD180" s="106"/>
      <c r="CE180" s="106"/>
      <c r="CF180" s="106"/>
      <c r="CG180" s="106"/>
      <c r="CH180" s="106"/>
      <c r="CI180" s="106"/>
      <c r="CJ180" s="106"/>
      <c r="CK180" s="109">
        <f t="shared" si="78"/>
        <v>17690</v>
      </c>
      <c r="CL180" s="109">
        <f t="shared" si="79"/>
        <v>17830</v>
      </c>
      <c r="CM180" s="109">
        <f t="shared" si="80"/>
        <v>2033.6174664867531</v>
      </c>
      <c r="CN180" s="103">
        <f t="shared" si="77"/>
        <v>0.11405594315685659</v>
      </c>
      <c r="CO180" s="110">
        <f t="shared" si="76"/>
        <v>14983.193277310926</v>
      </c>
      <c r="CP180" s="107">
        <f t="shared" si="64"/>
        <v>2846.8067226890757</v>
      </c>
      <c r="CQ180" s="106">
        <f t="shared" si="81"/>
        <v>17830</v>
      </c>
      <c r="CR180" s="122">
        <f t="shared" si="82"/>
        <v>2674500</v>
      </c>
      <c r="CS180" s="89" t="s">
        <v>732</v>
      </c>
    </row>
    <row r="181" spans="1:143" ht="118.4" customHeight="1">
      <c r="A181" s="90">
        <f t="shared" si="56"/>
        <v>168</v>
      </c>
      <c r="B181" s="63" t="s">
        <v>82</v>
      </c>
      <c r="C181" s="1" t="s">
        <v>45</v>
      </c>
      <c r="D181" s="91" t="s">
        <v>4</v>
      </c>
      <c r="E181" s="1">
        <v>200</v>
      </c>
      <c r="F181" s="1"/>
      <c r="G181" s="106"/>
      <c r="H181" s="106"/>
      <c r="I181" s="106"/>
      <c r="J181" s="106"/>
      <c r="K181" s="106"/>
      <c r="L181" s="106"/>
      <c r="M181" s="106"/>
      <c r="N181" s="106"/>
      <c r="O181" s="106"/>
      <c r="P181" s="106"/>
      <c r="Q181" s="106"/>
      <c r="R181" s="106"/>
      <c r="S181" s="106"/>
      <c r="T181" s="106"/>
      <c r="U181" s="106"/>
      <c r="V181" s="106"/>
      <c r="W181" s="106"/>
      <c r="X181" s="112">
        <v>85000</v>
      </c>
      <c r="Y181" s="112">
        <v>60000</v>
      </c>
      <c r="Z181" s="112">
        <v>62000</v>
      </c>
      <c r="AA181" s="112"/>
      <c r="AB181" s="112"/>
      <c r="AC181" s="112"/>
      <c r="AD181" s="112"/>
      <c r="AE181" s="112"/>
      <c r="AF181" s="112"/>
      <c r="AG181" s="112"/>
      <c r="AH181" s="112"/>
      <c r="AI181" s="112"/>
      <c r="AJ181" s="112"/>
      <c r="AK181" s="112"/>
      <c r="AL181" s="112"/>
      <c r="AM181" s="112"/>
      <c r="AN181" s="112"/>
      <c r="AO181" s="112"/>
      <c r="AP181" s="112"/>
      <c r="AQ181" s="112"/>
      <c r="AR181" s="112"/>
      <c r="AS181" s="112"/>
      <c r="AT181" s="112"/>
      <c r="AU181" s="112"/>
      <c r="AV181" s="112"/>
      <c r="AW181" s="112"/>
      <c r="AX181" s="112"/>
      <c r="AY181" s="112"/>
      <c r="AZ181" s="112"/>
      <c r="BA181" s="112"/>
      <c r="BB181" s="112"/>
      <c r="BC181" s="112"/>
      <c r="BD181" s="112"/>
      <c r="BE181" s="112"/>
      <c r="BF181" s="112"/>
      <c r="BG181" s="112"/>
      <c r="BH181" s="112"/>
      <c r="BI181" s="112"/>
      <c r="BJ181" s="112"/>
      <c r="BK181" s="112"/>
      <c r="BL181" s="112"/>
      <c r="BM181" s="112"/>
      <c r="BN181" s="112"/>
      <c r="BO181" s="112"/>
      <c r="BP181" s="112"/>
      <c r="BQ181" s="112"/>
      <c r="BR181" s="112"/>
      <c r="BS181" s="112"/>
      <c r="BT181" s="112"/>
      <c r="BU181" s="112"/>
      <c r="BV181" s="112"/>
      <c r="BW181" s="112"/>
      <c r="BX181" s="112"/>
      <c r="BY181" s="112"/>
      <c r="BZ181" s="112"/>
      <c r="CA181" s="112"/>
      <c r="CB181" s="112"/>
      <c r="CC181" s="112"/>
      <c r="CD181" s="112"/>
      <c r="CE181" s="112"/>
      <c r="CF181" s="112"/>
      <c r="CG181" s="112"/>
      <c r="CH181" s="112"/>
      <c r="CI181" s="112"/>
      <c r="CJ181" s="112"/>
      <c r="CK181" s="109">
        <f t="shared" si="78"/>
        <v>62000</v>
      </c>
      <c r="CL181" s="109">
        <f t="shared" si="79"/>
        <v>69000</v>
      </c>
      <c r="CM181" s="109">
        <f t="shared" si="80"/>
        <v>13892.443989449805</v>
      </c>
      <c r="CN181" s="103">
        <f t="shared" si="77"/>
        <v>0.20133976796304065</v>
      </c>
      <c r="CO181" s="110">
        <f t="shared" si="76"/>
        <v>52100.840336134454</v>
      </c>
      <c r="CP181" s="107">
        <f t="shared" si="64"/>
        <v>9899.1596638655465</v>
      </c>
      <c r="CQ181" s="106">
        <f t="shared" si="81"/>
        <v>62000</v>
      </c>
      <c r="CR181" s="122">
        <f t="shared" si="82"/>
        <v>12400000</v>
      </c>
      <c r="CS181" s="89" t="s">
        <v>380</v>
      </c>
    </row>
    <row r="182" spans="1:143" ht="126.65" customHeight="1">
      <c r="A182" s="90">
        <f t="shared" si="56"/>
        <v>169</v>
      </c>
      <c r="B182" s="63" t="s">
        <v>83</v>
      </c>
      <c r="C182" s="1" t="s">
        <v>84</v>
      </c>
      <c r="D182" s="91" t="s">
        <v>4</v>
      </c>
      <c r="E182" s="1">
        <v>200</v>
      </c>
      <c r="F182" s="1"/>
      <c r="G182" s="106"/>
      <c r="H182" s="106"/>
      <c r="I182" s="106"/>
      <c r="J182" s="106"/>
      <c r="K182" s="106"/>
      <c r="L182" s="106"/>
      <c r="M182" s="106"/>
      <c r="N182" s="106"/>
      <c r="O182" s="106"/>
      <c r="P182" s="106"/>
      <c r="Q182" s="106"/>
      <c r="R182" s="106"/>
      <c r="S182" s="106"/>
      <c r="T182" s="106"/>
      <c r="U182" s="106"/>
      <c r="V182" s="106"/>
      <c r="W182" s="106"/>
      <c r="X182" s="112">
        <v>65000</v>
      </c>
      <c r="Y182" s="112">
        <v>50000</v>
      </c>
      <c r="Z182" s="112">
        <v>52000</v>
      </c>
      <c r="AA182" s="112"/>
      <c r="AB182" s="112"/>
      <c r="AC182" s="112"/>
      <c r="AD182" s="112"/>
      <c r="AE182" s="112"/>
      <c r="AF182" s="112"/>
      <c r="AG182" s="112"/>
      <c r="AH182" s="112"/>
      <c r="AI182" s="112"/>
      <c r="AJ182" s="112"/>
      <c r="AK182" s="112"/>
      <c r="AL182" s="112"/>
      <c r="AM182" s="112"/>
      <c r="AN182" s="112"/>
      <c r="AO182" s="112"/>
      <c r="AP182" s="112"/>
      <c r="AQ182" s="112"/>
      <c r="AR182" s="112"/>
      <c r="AS182" s="112"/>
      <c r="AT182" s="112"/>
      <c r="AU182" s="112"/>
      <c r="AV182" s="112"/>
      <c r="AW182" s="112"/>
      <c r="AX182" s="112"/>
      <c r="AY182" s="112"/>
      <c r="AZ182" s="112"/>
      <c r="BA182" s="112"/>
      <c r="BB182" s="112"/>
      <c r="BC182" s="112"/>
      <c r="BD182" s="112"/>
      <c r="BE182" s="112"/>
      <c r="BF182" s="112"/>
      <c r="BG182" s="112"/>
      <c r="BH182" s="112"/>
      <c r="BI182" s="112"/>
      <c r="BJ182" s="112"/>
      <c r="BK182" s="112"/>
      <c r="BL182" s="112"/>
      <c r="BM182" s="112"/>
      <c r="BN182" s="112"/>
      <c r="BO182" s="112"/>
      <c r="BP182" s="112"/>
      <c r="BQ182" s="112"/>
      <c r="BR182" s="112"/>
      <c r="BS182" s="112"/>
      <c r="BT182" s="112"/>
      <c r="BU182" s="112"/>
      <c r="BV182" s="112"/>
      <c r="BW182" s="112"/>
      <c r="BX182" s="112"/>
      <c r="BY182" s="112"/>
      <c r="BZ182" s="112"/>
      <c r="CA182" s="112"/>
      <c r="CB182" s="112"/>
      <c r="CC182" s="112"/>
      <c r="CD182" s="112"/>
      <c r="CE182" s="112"/>
      <c r="CF182" s="112"/>
      <c r="CG182" s="112"/>
      <c r="CH182" s="112"/>
      <c r="CI182" s="112"/>
      <c r="CJ182" s="112"/>
      <c r="CK182" s="109">
        <f t="shared" si="78"/>
        <v>52000</v>
      </c>
      <c r="CL182" s="109">
        <f t="shared" si="79"/>
        <v>55666.666666666664</v>
      </c>
      <c r="CM182" s="109">
        <f t="shared" si="80"/>
        <v>8144.5278152470582</v>
      </c>
      <c r="CN182" s="103">
        <f t="shared" si="77"/>
        <v>0.14630888290862978</v>
      </c>
      <c r="CO182" s="110">
        <f t="shared" si="76"/>
        <v>46778.991596638654</v>
      </c>
      <c r="CP182" s="107">
        <f t="shared" si="64"/>
        <v>8888.0084033613439</v>
      </c>
      <c r="CQ182" s="106">
        <f t="shared" si="81"/>
        <v>55667</v>
      </c>
      <c r="CR182" s="122">
        <f t="shared" si="82"/>
        <v>11133400</v>
      </c>
      <c r="CS182" s="89" t="s">
        <v>732</v>
      </c>
    </row>
    <row r="183" spans="1:143" ht="63" customHeight="1">
      <c r="A183" s="90">
        <f t="shared" si="56"/>
        <v>170</v>
      </c>
      <c r="B183" s="88" t="s">
        <v>424</v>
      </c>
      <c r="C183" s="8" t="s">
        <v>425</v>
      </c>
      <c r="D183" s="91" t="s">
        <v>4</v>
      </c>
      <c r="E183" s="1">
        <v>200</v>
      </c>
      <c r="F183" s="1"/>
      <c r="G183" s="106"/>
      <c r="H183" s="106"/>
      <c r="I183" s="106"/>
      <c r="J183" s="106"/>
      <c r="K183" s="106"/>
      <c r="L183" s="106"/>
      <c r="M183" s="106"/>
      <c r="N183" s="106"/>
      <c r="O183" s="106"/>
      <c r="P183" s="106"/>
      <c r="Q183" s="106"/>
      <c r="R183" s="106"/>
      <c r="S183" s="106"/>
      <c r="T183" s="106"/>
      <c r="U183" s="106"/>
      <c r="V183" s="106"/>
      <c r="W183" s="106"/>
      <c r="X183" s="106">
        <v>24000</v>
      </c>
      <c r="Y183" s="106">
        <v>28100</v>
      </c>
      <c r="Z183" s="106">
        <v>29500</v>
      </c>
      <c r="AA183" s="112"/>
      <c r="AB183" s="112"/>
      <c r="AC183" s="112"/>
      <c r="AD183" s="112"/>
      <c r="AE183" s="112"/>
      <c r="AF183" s="112"/>
      <c r="AG183" s="112"/>
      <c r="AH183" s="112"/>
      <c r="AI183" s="112"/>
      <c r="AJ183" s="112"/>
      <c r="AK183" s="112"/>
      <c r="AL183" s="112"/>
      <c r="AM183" s="112"/>
      <c r="AN183" s="112"/>
      <c r="AO183" s="112"/>
      <c r="AP183" s="112"/>
      <c r="AQ183" s="112"/>
      <c r="AR183" s="112"/>
      <c r="AS183" s="112"/>
      <c r="AT183" s="112"/>
      <c r="AU183" s="112"/>
      <c r="AV183" s="112"/>
      <c r="AW183" s="112"/>
      <c r="AX183" s="112"/>
      <c r="AY183" s="112"/>
      <c r="AZ183" s="112"/>
      <c r="BA183" s="112"/>
      <c r="BB183" s="112"/>
      <c r="BC183" s="112"/>
      <c r="BD183" s="112"/>
      <c r="BE183" s="112"/>
      <c r="BF183" s="112"/>
      <c r="BG183" s="112"/>
      <c r="BH183" s="112"/>
      <c r="BI183" s="112"/>
      <c r="BJ183" s="112"/>
      <c r="BK183" s="112"/>
      <c r="BL183" s="112"/>
      <c r="BM183" s="112"/>
      <c r="BN183" s="112"/>
      <c r="BO183" s="112"/>
      <c r="BP183" s="112"/>
      <c r="BQ183" s="112"/>
      <c r="BR183" s="112"/>
      <c r="BS183" s="112"/>
      <c r="BT183" s="112"/>
      <c r="BU183" s="112"/>
      <c r="BV183" s="112"/>
      <c r="BW183" s="112"/>
      <c r="BX183" s="112"/>
      <c r="BY183" s="112"/>
      <c r="BZ183" s="112"/>
      <c r="CA183" s="112"/>
      <c r="CB183" s="112"/>
      <c r="CC183" s="112"/>
      <c r="CD183" s="112"/>
      <c r="CE183" s="112"/>
      <c r="CF183" s="112"/>
      <c r="CG183" s="112"/>
      <c r="CH183" s="112"/>
      <c r="CI183" s="112"/>
      <c r="CJ183" s="112"/>
      <c r="CK183" s="109">
        <f t="shared" si="78"/>
        <v>28100</v>
      </c>
      <c r="CL183" s="109">
        <f t="shared" si="79"/>
        <v>27200</v>
      </c>
      <c r="CM183" s="109">
        <f t="shared" si="80"/>
        <v>2858.3211855912905</v>
      </c>
      <c r="CN183" s="103">
        <f t="shared" si="77"/>
        <v>0.10508533770556215</v>
      </c>
      <c r="CO183" s="110">
        <f t="shared" si="76"/>
        <v>22857.142857142859</v>
      </c>
      <c r="CP183" s="107">
        <f t="shared" si="64"/>
        <v>4342.8571428571431</v>
      </c>
      <c r="CQ183" s="106">
        <f t="shared" si="81"/>
        <v>27200</v>
      </c>
      <c r="CR183" s="122">
        <f t="shared" si="82"/>
        <v>5440000</v>
      </c>
      <c r="CS183" s="89" t="s">
        <v>732</v>
      </c>
    </row>
    <row r="184" spans="1:143" ht="90.65" customHeight="1">
      <c r="A184" s="90">
        <f t="shared" si="56"/>
        <v>171</v>
      </c>
      <c r="B184" s="63" t="s">
        <v>32</v>
      </c>
      <c r="C184" s="1" t="s">
        <v>99</v>
      </c>
      <c r="D184" s="91" t="s">
        <v>138</v>
      </c>
      <c r="E184" s="1">
        <v>2</v>
      </c>
      <c r="F184" s="1"/>
      <c r="G184" s="106"/>
      <c r="H184" s="106"/>
      <c r="I184" s="106"/>
      <c r="J184" s="106"/>
      <c r="K184" s="106"/>
      <c r="L184" s="106"/>
      <c r="M184" s="106"/>
      <c r="N184" s="106"/>
      <c r="O184" s="106"/>
      <c r="P184" s="106"/>
      <c r="Q184" s="106"/>
      <c r="R184" s="106"/>
      <c r="S184" s="106"/>
      <c r="T184" s="106"/>
      <c r="U184" s="106"/>
      <c r="V184" s="106"/>
      <c r="W184" s="106"/>
      <c r="X184" s="112">
        <v>200000</v>
      </c>
      <c r="Y184" s="112">
        <v>230000</v>
      </c>
      <c r="Z184" s="112">
        <v>235000</v>
      </c>
      <c r="AA184" s="112"/>
      <c r="AB184" s="112"/>
      <c r="AC184" s="112"/>
      <c r="AD184" s="112"/>
      <c r="AE184" s="112"/>
      <c r="AF184" s="112"/>
      <c r="AG184" s="112"/>
      <c r="AH184" s="112"/>
      <c r="AI184" s="112"/>
      <c r="AJ184" s="112"/>
      <c r="AK184" s="112"/>
      <c r="AL184" s="112"/>
      <c r="AM184" s="112"/>
      <c r="AN184" s="112"/>
      <c r="AO184" s="112"/>
      <c r="AP184" s="112"/>
      <c r="AQ184" s="112"/>
      <c r="AR184" s="112"/>
      <c r="AS184" s="112"/>
      <c r="AT184" s="112"/>
      <c r="AU184" s="112"/>
      <c r="AV184" s="112"/>
      <c r="AW184" s="112"/>
      <c r="AX184" s="112"/>
      <c r="AY184" s="112"/>
      <c r="AZ184" s="112"/>
      <c r="BA184" s="112"/>
      <c r="BB184" s="112"/>
      <c r="BC184" s="112"/>
      <c r="BD184" s="112"/>
      <c r="BE184" s="112"/>
      <c r="BF184" s="112"/>
      <c r="BG184" s="112"/>
      <c r="BH184" s="112"/>
      <c r="BI184" s="112"/>
      <c r="BJ184" s="112"/>
      <c r="BK184" s="112"/>
      <c r="BL184" s="112"/>
      <c r="BM184" s="112"/>
      <c r="BN184" s="112"/>
      <c r="BO184" s="112"/>
      <c r="BP184" s="112"/>
      <c r="BQ184" s="112"/>
      <c r="BR184" s="112"/>
      <c r="BS184" s="112"/>
      <c r="BT184" s="112"/>
      <c r="BU184" s="112"/>
      <c r="BV184" s="112"/>
      <c r="BW184" s="112"/>
      <c r="BX184" s="112"/>
      <c r="BY184" s="112"/>
      <c r="BZ184" s="112"/>
      <c r="CA184" s="112"/>
      <c r="CB184" s="112"/>
      <c r="CC184" s="112"/>
      <c r="CD184" s="112"/>
      <c r="CE184" s="112"/>
      <c r="CF184" s="112"/>
      <c r="CG184" s="112"/>
      <c r="CH184" s="112"/>
      <c r="CI184" s="112"/>
      <c r="CJ184" s="112"/>
      <c r="CK184" s="109">
        <f t="shared" si="78"/>
        <v>230000</v>
      </c>
      <c r="CL184" s="109">
        <f t="shared" si="79"/>
        <v>221666.66666666666</v>
      </c>
      <c r="CM184" s="109">
        <f t="shared" si="80"/>
        <v>18929.69448600091</v>
      </c>
      <c r="CN184" s="103">
        <f t="shared" si="77"/>
        <v>8.5397117981958995E-2</v>
      </c>
      <c r="CO184" s="110">
        <f t="shared" si="76"/>
        <v>186274.78991596639</v>
      </c>
      <c r="CP184" s="107">
        <f t="shared" si="64"/>
        <v>35392.210084033613</v>
      </c>
      <c r="CQ184" s="106">
        <f t="shared" si="81"/>
        <v>221667</v>
      </c>
      <c r="CR184" s="122">
        <f t="shared" si="82"/>
        <v>443334</v>
      </c>
      <c r="CS184" s="89" t="s">
        <v>732</v>
      </c>
    </row>
    <row r="185" spans="1:143" ht="94.9" customHeight="1">
      <c r="A185" s="90">
        <f t="shared" si="56"/>
        <v>172</v>
      </c>
      <c r="B185" s="63" t="s">
        <v>86</v>
      </c>
      <c r="C185" s="1" t="s">
        <v>298</v>
      </c>
      <c r="D185" s="91" t="s">
        <v>138</v>
      </c>
      <c r="E185" s="1">
        <v>10</v>
      </c>
      <c r="F185" s="1"/>
      <c r="G185" s="106"/>
      <c r="H185" s="106"/>
      <c r="I185" s="106"/>
      <c r="J185" s="106"/>
      <c r="K185" s="106"/>
      <c r="L185" s="106"/>
      <c r="M185" s="106"/>
      <c r="N185" s="106"/>
      <c r="O185" s="106"/>
      <c r="P185" s="106"/>
      <c r="Q185" s="106"/>
      <c r="R185" s="106"/>
      <c r="S185" s="106"/>
      <c r="T185" s="106"/>
      <c r="U185" s="106"/>
      <c r="V185" s="106"/>
      <c r="W185" s="106"/>
      <c r="X185" s="112">
        <v>32000</v>
      </c>
      <c r="Y185" s="112">
        <v>31200</v>
      </c>
      <c r="Z185" s="112">
        <v>31500</v>
      </c>
      <c r="AA185" s="112"/>
      <c r="AB185" s="112"/>
      <c r="AC185" s="112"/>
      <c r="AD185" s="112"/>
      <c r="AE185" s="112"/>
      <c r="AF185" s="112"/>
      <c r="AG185" s="112"/>
      <c r="AH185" s="112"/>
      <c r="AI185" s="112"/>
      <c r="AJ185" s="112"/>
      <c r="AK185" s="112"/>
      <c r="AL185" s="112"/>
      <c r="AM185" s="112"/>
      <c r="AN185" s="112"/>
      <c r="AO185" s="112"/>
      <c r="AP185" s="112"/>
      <c r="AQ185" s="112"/>
      <c r="AR185" s="112"/>
      <c r="AS185" s="112"/>
      <c r="AT185" s="112"/>
      <c r="AU185" s="112"/>
      <c r="AV185" s="112"/>
      <c r="AW185" s="112"/>
      <c r="AX185" s="112"/>
      <c r="AY185" s="112"/>
      <c r="AZ185" s="112"/>
      <c r="BA185" s="112"/>
      <c r="BB185" s="112"/>
      <c r="BC185" s="112"/>
      <c r="BD185" s="112"/>
      <c r="BE185" s="112"/>
      <c r="BF185" s="112"/>
      <c r="BG185" s="112"/>
      <c r="BH185" s="112"/>
      <c r="BI185" s="112"/>
      <c r="BJ185" s="112"/>
      <c r="BK185" s="112"/>
      <c r="BL185" s="112"/>
      <c r="BM185" s="112"/>
      <c r="BN185" s="112"/>
      <c r="BO185" s="112"/>
      <c r="BP185" s="112"/>
      <c r="BQ185" s="112"/>
      <c r="BR185" s="112"/>
      <c r="BS185" s="112"/>
      <c r="BT185" s="112"/>
      <c r="BU185" s="112"/>
      <c r="BV185" s="112"/>
      <c r="BW185" s="112"/>
      <c r="BX185" s="112"/>
      <c r="BY185" s="112"/>
      <c r="BZ185" s="112"/>
      <c r="CA185" s="112"/>
      <c r="CB185" s="112"/>
      <c r="CC185" s="112"/>
      <c r="CD185" s="112"/>
      <c r="CE185" s="112"/>
      <c r="CF185" s="112"/>
      <c r="CG185" s="112"/>
      <c r="CH185" s="112"/>
      <c r="CI185" s="112"/>
      <c r="CJ185" s="112"/>
      <c r="CK185" s="109">
        <f t="shared" si="78"/>
        <v>31500</v>
      </c>
      <c r="CL185" s="109">
        <f t="shared" si="79"/>
        <v>31566.666666666668</v>
      </c>
      <c r="CM185" s="109">
        <f t="shared" si="80"/>
        <v>404.14518843273805</v>
      </c>
      <c r="CN185" s="103">
        <f t="shared" si="77"/>
        <v>1.2802909876433096E-2</v>
      </c>
      <c r="CO185" s="110">
        <f t="shared" si="76"/>
        <v>26526.89075630252</v>
      </c>
      <c r="CP185" s="107">
        <f t="shared" si="64"/>
        <v>5040.1092436974786</v>
      </c>
      <c r="CQ185" s="106">
        <f t="shared" si="81"/>
        <v>31567</v>
      </c>
      <c r="CR185" s="122">
        <f t="shared" si="82"/>
        <v>315670</v>
      </c>
      <c r="CS185" s="89" t="s">
        <v>732</v>
      </c>
    </row>
    <row r="186" spans="1:143" ht="90.65" customHeight="1">
      <c r="A186" s="90">
        <f t="shared" si="56"/>
        <v>173</v>
      </c>
      <c r="B186" s="63" t="s">
        <v>31</v>
      </c>
      <c r="C186" s="1" t="s">
        <v>87</v>
      </c>
      <c r="D186" s="63" t="s">
        <v>270</v>
      </c>
      <c r="E186" s="1">
        <v>300</v>
      </c>
      <c r="F186" s="1"/>
      <c r="G186" s="106"/>
      <c r="H186" s="106"/>
      <c r="I186" s="106"/>
      <c r="J186" s="106"/>
      <c r="K186" s="106"/>
      <c r="L186" s="106"/>
      <c r="M186" s="106"/>
      <c r="N186" s="106"/>
      <c r="O186" s="106"/>
      <c r="P186" s="106"/>
      <c r="Q186" s="106"/>
      <c r="R186" s="106"/>
      <c r="S186" s="106"/>
      <c r="T186" s="106"/>
      <c r="U186" s="106"/>
      <c r="V186" s="106"/>
      <c r="W186" s="106"/>
      <c r="X186" s="112">
        <v>5000</v>
      </c>
      <c r="Y186" s="112">
        <v>6200</v>
      </c>
      <c r="Z186" s="112">
        <v>6400</v>
      </c>
      <c r="AA186" s="112"/>
      <c r="AB186" s="112"/>
      <c r="AC186" s="112"/>
      <c r="AD186" s="112"/>
      <c r="AE186" s="112"/>
      <c r="AF186" s="112"/>
      <c r="AG186" s="112"/>
      <c r="AH186" s="112"/>
      <c r="AI186" s="112"/>
      <c r="AJ186" s="112"/>
      <c r="AK186" s="112"/>
      <c r="AL186" s="112"/>
      <c r="AM186" s="112"/>
      <c r="AN186" s="112"/>
      <c r="AO186" s="112"/>
      <c r="AP186" s="112"/>
      <c r="AQ186" s="112"/>
      <c r="AR186" s="112"/>
      <c r="AS186" s="112"/>
      <c r="AT186" s="112"/>
      <c r="AU186" s="112"/>
      <c r="AV186" s="112"/>
      <c r="AW186" s="112"/>
      <c r="AX186" s="112"/>
      <c r="AY186" s="112"/>
      <c r="AZ186" s="112"/>
      <c r="BA186" s="112"/>
      <c r="BB186" s="112"/>
      <c r="BC186" s="112"/>
      <c r="BD186" s="112"/>
      <c r="BE186" s="112"/>
      <c r="BF186" s="112"/>
      <c r="BG186" s="112"/>
      <c r="BH186" s="112"/>
      <c r="BI186" s="112"/>
      <c r="BJ186" s="112"/>
      <c r="BK186" s="112"/>
      <c r="BL186" s="112"/>
      <c r="BM186" s="112"/>
      <c r="BN186" s="112"/>
      <c r="BO186" s="112"/>
      <c r="BP186" s="112"/>
      <c r="BQ186" s="112"/>
      <c r="BR186" s="112"/>
      <c r="BS186" s="112"/>
      <c r="BT186" s="112"/>
      <c r="BU186" s="112"/>
      <c r="BV186" s="112"/>
      <c r="BW186" s="112"/>
      <c r="BX186" s="112"/>
      <c r="BY186" s="112"/>
      <c r="BZ186" s="112"/>
      <c r="CA186" s="112"/>
      <c r="CB186" s="112"/>
      <c r="CC186" s="112"/>
      <c r="CD186" s="112"/>
      <c r="CE186" s="112"/>
      <c r="CF186" s="112"/>
      <c r="CG186" s="112"/>
      <c r="CH186" s="112"/>
      <c r="CI186" s="112"/>
      <c r="CJ186" s="112"/>
      <c r="CK186" s="109">
        <f t="shared" si="78"/>
        <v>6200</v>
      </c>
      <c r="CL186" s="109">
        <f t="shared" si="79"/>
        <v>5866.666666666667</v>
      </c>
      <c r="CM186" s="109">
        <f t="shared" si="80"/>
        <v>757.18777944003807</v>
      </c>
      <c r="CN186" s="103">
        <f t="shared" si="77"/>
        <v>0.12906609876818831</v>
      </c>
      <c r="CO186" s="110">
        <f t="shared" si="76"/>
        <v>4930.2521008403364</v>
      </c>
      <c r="CP186" s="107">
        <f t="shared" si="64"/>
        <v>936.74789915966392</v>
      </c>
      <c r="CQ186" s="106">
        <f t="shared" si="81"/>
        <v>5867</v>
      </c>
      <c r="CR186" s="122">
        <f t="shared" si="82"/>
        <v>1760100</v>
      </c>
      <c r="CS186" s="89" t="s">
        <v>732</v>
      </c>
    </row>
    <row r="187" spans="1:143" s="129" customFormat="1" ht="14.5">
      <c r="A187" s="124" t="s">
        <v>139</v>
      </c>
      <c r="B187" s="125"/>
      <c r="C187" s="93"/>
      <c r="D187" s="125"/>
      <c r="E187" s="125"/>
      <c r="F187" s="125"/>
      <c r="G187" s="114"/>
      <c r="H187" s="114"/>
      <c r="I187" s="114"/>
      <c r="J187" s="114"/>
      <c r="K187" s="114"/>
      <c r="L187" s="113"/>
      <c r="M187" s="113"/>
      <c r="N187" s="113"/>
      <c r="O187" s="113"/>
      <c r="P187" s="113"/>
      <c r="Q187" s="114"/>
      <c r="R187" s="114"/>
      <c r="S187" s="114"/>
      <c r="T187" s="114"/>
      <c r="U187" s="114"/>
      <c r="V187" s="114"/>
      <c r="W187" s="114"/>
      <c r="X187" s="114"/>
      <c r="Y187" s="114"/>
      <c r="Z187" s="114"/>
      <c r="AA187" s="114"/>
      <c r="AB187" s="114"/>
      <c r="AC187" s="114"/>
      <c r="AD187" s="114"/>
      <c r="AE187" s="114"/>
      <c r="AF187" s="114"/>
      <c r="AG187" s="114"/>
      <c r="AH187" s="114"/>
      <c r="AI187" s="114"/>
      <c r="AJ187" s="114"/>
      <c r="AK187" s="114"/>
      <c r="AL187" s="114"/>
      <c r="AM187" s="114"/>
      <c r="AN187" s="114"/>
      <c r="AO187" s="114"/>
      <c r="AP187" s="114"/>
      <c r="AQ187" s="114"/>
      <c r="AR187" s="114"/>
      <c r="AS187" s="114"/>
      <c r="AT187" s="114"/>
      <c r="AU187" s="114"/>
      <c r="AV187" s="114"/>
      <c r="AW187" s="114"/>
      <c r="AX187" s="114"/>
      <c r="AY187" s="114"/>
      <c r="AZ187" s="114"/>
      <c r="BA187" s="114"/>
      <c r="BB187" s="114"/>
      <c r="BC187" s="114"/>
      <c r="BD187" s="114"/>
      <c r="BE187" s="114"/>
      <c r="BF187" s="114"/>
      <c r="BG187" s="114"/>
      <c r="BH187" s="114"/>
      <c r="BI187" s="114"/>
      <c r="BJ187" s="114"/>
      <c r="BK187" s="114"/>
      <c r="BL187" s="114"/>
      <c r="BM187" s="114"/>
      <c r="BN187" s="114"/>
      <c r="BO187" s="114"/>
      <c r="BP187" s="114"/>
      <c r="BQ187" s="114"/>
      <c r="BR187" s="114"/>
      <c r="BS187" s="114"/>
      <c r="BT187" s="114"/>
      <c r="BU187" s="114"/>
      <c r="BV187" s="114"/>
      <c r="BW187" s="114"/>
      <c r="BX187" s="114"/>
      <c r="BY187" s="114"/>
      <c r="BZ187" s="114"/>
      <c r="CA187" s="114"/>
      <c r="CB187" s="114"/>
      <c r="CC187" s="114"/>
      <c r="CD187" s="114"/>
      <c r="CE187" s="114"/>
      <c r="CF187" s="114"/>
      <c r="CG187" s="114"/>
      <c r="CH187" s="114"/>
      <c r="CI187" s="114"/>
      <c r="CJ187" s="114"/>
      <c r="CK187" s="118"/>
      <c r="CL187" s="118"/>
      <c r="CM187" s="118"/>
      <c r="CN187" s="105"/>
      <c r="CO187" s="60"/>
      <c r="CP187" s="113"/>
      <c r="CQ187" s="113"/>
      <c r="CR187" s="116"/>
      <c r="CS187" s="131"/>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row>
    <row r="188" spans="1:143" s="129" customFormat="1" ht="14.5">
      <c r="A188" s="126" t="s">
        <v>140</v>
      </c>
      <c r="B188" s="127"/>
      <c r="C188" s="94"/>
      <c r="D188" s="127"/>
      <c r="E188" s="127"/>
      <c r="F188" s="127"/>
      <c r="G188" s="117"/>
      <c r="H188" s="117"/>
      <c r="I188" s="117"/>
      <c r="J188" s="117"/>
      <c r="K188" s="117"/>
      <c r="L188" s="113"/>
      <c r="M188" s="113"/>
      <c r="N188" s="113"/>
      <c r="O188" s="113"/>
      <c r="P188" s="113"/>
      <c r="Q188" s="117"/>
      <c r="R188" s="117"/>
      <c r="S188" s="117"/>
      <c r="T188" s="117"/>
      <c r="U188" s="117"/>
      <c r="V188" s="117"/>
      <c r="W188" s="117"/>
      <c r="X188" s="117"/>
      <c r="Y188" s="117"/>
      <c r="Z188" s="117"/>
      <c r="AA188" s="117"/>
      <c r="AB188" s="117"/>
      <c r="AC188" s="117"/>
      <c r="AD188" s="117"/>
      <c r="AE188" s="117"/>
      <c r="AF188" s="117"/>
      <c r="AG188" s="117"/>
      <c r="AH188" s="117"/>
      <c r="AI188" s="117"/>
      <c r="AJ188" s="117"/>
      <c r="AK188" s="117"/>
      <c r="AL188" s="117"/>
      <c r="AM188" s="117"/>
      <c r="AN188" s="117"/>
      <c r="AO188" s="117"/>
      <c r="AP188" s="117"/>
      <c r="AQ188" s="117"/>
      <c r="AR188" s="117"/>
      <c r="AS188" s="117"/>
      <c r="AT188" s="117"/>
      <c r="AU188" s="117"/>
      <c r="AV188" s="117"/>
      <c r="AW188" s="117"/>
      <c r="AX188" s="117"/>
      <c r="AY188" s="117"/>
      <c r="AZ188" s="117"/>
      <c r="BA188" s="117"/>
      <c r="BB188" s="117"/>
      <c r="BC188" s="117"/>
      <c r="BD188" s="117"/>
      <c r="BE188" s="117"/>
      <c r="BF188" s="117"/>
      <c r="BG188" s="117"/>
      <c r="BH188" s="117"/>
      <c r="BI188" s="117"/>
      <c r="BJ188" s="117"/>
      <c r="BK188" s="117"/>
      <c r="BL188" s="117"/>
      <c r="BM188" s="117"/>
      <c r="BN188" s="117"/>
      <c r="BO188" s="117"/>
      <c r="BP188" s="117"/>
      <c r="BQ188" s="117"/>
      <c r="BR188" s="117"/>
      <c r="BS188" s="117"/>
      <c r="BT188" s="117"/>
      <c r="BU188" s="117"/>
      <c r="BV188" s="117"/>
      <c r="BW188" s="117"/>
      <c r="BX188" s="117"/>
      <c r="BY188" s="117"/>
      <c r="BZ188" s="117"/>
      <c r="CA188" s="117"/>
      <c r="CB188" s="117"/>
      <c r="CC188" s="117"/>
      <c r="CD188" s="117"/>
      <c r="CE188" s="117"/>
      <c r="CF188" s="117"/>
      <c r="CG188" s="117"/>
      <c r="CH188" s="117"/>
      <c r="CI188" s="117"/>
      <c r="CJ188" s="117"/>
      <c r="CK188" s="118"/>
      <c r="CL188" s="118"/>
      <c r="CM188" s="118"/>
      <c r="CN188" s="105"/>
      <c r="CO188" s="60"/>
      <c r="CP188" s="113"/>
      <c r="CQ188" s="113"/>
      <c r="CR188" s="116"/>
      <c r="CS188" s="131"/>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row>
    <row r="189" spans="1:143" ht="154.5" customHeight="1">
      <c r="A189" s="90">
        <f>+A186+1</f>
        <v>174</v>
      </c>
      <c r="B189" s="63" t="s">
        <v>15</v>
      </c>
      <c r="C189" s="1" t="s">
        <v>280</v>
      </c>
      <c r="D189" s="63" t="s">
        <v>270</v>
      </c>
      <c r="E189" s="58">
        <v>1</v>
      </c>
      <c r="F189" s="1"/>
      <c r="G189" s="106"/>
      <c r="H189" s="106"/>
      <c r="I189" s="106"/>
      <c r="J189" s="106"/>
      <c r="K189" s="106"/>
      <c r="L189" s="106"/>
      <c r="M189" s="106"/>
      <c r="N189" s="106"/>
      <c r="O189" s="106"/>
      <c r="P189" s="106"/>
      <c r="Q189" s="106"/>
      <c r="R189" s="106"/>
      <c r="S189" s="106"/>
      <c r="T189" s="106"/>
      <c r="U189" s="106"/>
      <c r="V189" s="106"/>
      <c r="W189" s="106"/>
      <c r="X189" s="112"/>
      <c r="Y189" s="112">
        <v>175000000</v>
      </c>
      <c r="Z189" s="112"/>
      <c r="AA189" s="112">
        <v>168000000</v>
      </c>
      <c r="AB189" s="112"/>
      <c r="AC189" s="112"/>
      <c r="AD189" s="112"/>
      <c r="AE189" s="112"/>
      <c r="AF189" s="112"/>
      <c r="AG189" s="112"/>
      <c r="AH189" s="112"/>
      <c r="AI189" s="112"/>
      <c r="AJ189" s="112"/>
      <c r="AK189" s="112"/>
      <c r="AL189" s="112"/>
      <c r="AM189" s="112"/>
      <c r="AN189" s="112"/>
      <c r="AO189" s="112"/>
      <c r="AP189" s="112"/>
      <c r="AQ189" s="112"/>
      <c r="AR189" s="112"/>
      <c r="AS189" s="112"/>
      <c r="AT189" s="112"/>
      <c r="AU189" s="112"/>
      <c r="AV189" s="112"/>
      <c r="AW189" s="112"/>
      <c r="AX189" s="112"/>
      <c r="AY189" s="112"/>
      <c r="AZ189" s="112"/>
      <c r="BA189" s="112"/>
      <c r="BB189" s="112"/>
      <c r="BC189" s="112"/>
      <c r="BD189" s="112"/>
      <c r="BE189" s="112"/>
      <c r="BF189" s="112"/>
      <c r="BG189" s="112"/>
      <c r="BH189" s="112"/>
      <c r="BI189" s="112"/>
      <c r="BJ189" s="112"/>
      <c r="BK189" s="112"/>
      <c r="BL189" s="112"/>
      <c r="BM189" s="112"/>
      <c r="BN189" s="112"/>
      <c r="BO189" s="112"/>
      <c r="BP189" s="112"/>
      <c r="BQ189" s="112"/>
      <c r="BR189" s="112"/>
      <c r="BS189" s="112"/>
      <c r="BT189" s="112"/>
      <c r="BU189" s="112"/>
      <c r="BV189" s="112"/>
      <c r="BW189" s="112"/>
      <c r="BX189" s="112"/>
      <c r="BY189" s="112"/>
      <c r="BZ189" s="112"/>
      <c r="CA189" s="112"/>
      <c r="CB189" s="112"/>
      <c r="CC189" s="112"/>
      <c r="CD189" s="112"/>
      <c r="CE189" s="112"/>
      <c r="CF189" s="112"/>
      <c r="CG189" s="112"/>
      <c r="CH189" s="112"/>
      <c r="CI189" s="112"/>
      <c r="CJ189" s="112"/>
      <c r="CK189" s="109">
        <f>+MEDIAN(H189,I189,J189,K189,M189,M189,M189,O189,O189,Q189,S189,U189,W189,X189,Y189,Z189,AA189,AC189,AE189,AG189,AH189,AI189,AJ189,AK189,AL189,AM189,AO189,AP189,AQ189,AS189,AU189,AX189,AZ189,BB189,BC189,BE189,BG189,BH189,BI189,BK189,BL189,BM189,BN189,BP189,BR189,BT189,BV189)</f>
        <v>171500000</v>
      </c>
      <c r="CL189" s="109">
        <f>+AVERAGE(H189,I189,J189,K189,M189,M189,M189,O189,O189,Q189,S189,U189,W189,X189,Y189,Z189,AA189,AC189,AE189,AG189,AH189,AI189,AJ189,AK189,AL189,AM189,AO189,AP189,AQ189,AS189,AU189,AX189,AZ189,BB189,BC189,BE189,BG189,BH189,BI189,BK189,BL189,BM189,BN189,BP189,BR189,BT189,BV189)</f>
        <v>171500000</v>
      </c>
      <c r="CM189" s="109">
        <f>+STDEV(H189,I189,J189,K189,M189,M189,M189,O189,O189,Q189,S189,U189,W189,X189,Y189,Z189,AA189,AC189,AE189,AG189,AH189,AI189,AJ189,AK189,AL189,AM189,AO189,AP189,AQ189,AS189,AU189,AX189,AZ189,BB189,BC189,BE189,BG189,BH189,BI189,BK189,BL189,BM189,BN189,BP189,BR189,BT189,BV189)</f>
        <v>4949747.4683058327</v>
      </c>
      <c r="CN189" s="103">
        <f t="shared" si="77"/>
        <v>2.8861501272920306E-2</v>
      </c>
      <c r="CO189" s="110">
        <f t="shared" si="76"/>
        <v>144117647.05882353</v>
      </c>
      <c r="CP189" s="107">
        <f t="shared" si="64"/>
        <v>27382352.94117647</v>
      </c>
      <c r="CQ189" s="106">
        <f t="shared" ref="CQ189:CQ196" si="83">ROUNDUP(IF(CN189&lt;15%,CL189,CK189),0)</f>
        <v>171500000</v>
      </c>
      <c r="CR189" s="122">
        <f>+CQ189*E189</f>
        <v>171500000</v>
      </c>
      <c r="CS189" s="89" t="s">
        <v>732</v>
      </c>
    </row>
    <row r="190" spans="1:143" ht="103.9" customHeight="1">
      <c r="A190" s="90">
        <f>+A189+1</f>
        <v>175</v>
      </c>
      <c r="B190" s="88" t="s">
        <v>80</v>
      </c>
      <c r="C190" s="1" t="s">
        <v>276</v>
      </c>
      <c r="D190" s="91" t="s">
        <v>750</v>
      </c>
      <c r="E190" s="1">
        <v>1</v>
      </c>
      <c r="F190" s="1">
        <v>1</v>
      </c>
      <c r="G190" s="106"/>
      <c r="H190" s="106"/>
      <c r="I190" s="106"/>
      <c r="J190" s="106"/>
      <c r="K190" s="106"/>
      <c r="L190" s="106">
        <v>200000</v>
      </c>
      <c r="M190" s="106">
        <f>+((L190/1.19*23%)+L190)</f>
        <v>238655.46218487396</v>
      </c>
      <c r="N190" s="106">
        <v>210000</v>
      </c>
      <c r="O190" s="106">
        <f>+((N190/1.19*23%)+N190)</f>
        <v>250588.23529411765</v>
      </c>
      <c r="P190" s="106">
        <v>243000</v>
      </c>
      <c r="Q190" s="106">
        <f>+((P190/1.19*23%)+P190)</f>
        <v>289966.38655462186</v>
      </c>
      <c r="R190" s="106"/>
      <c r="S190" s="106"/>
      <c r="T190" s="106"/>
      <c r="U190" s="106"/>
      <c r="V190" s="106"/>
      <c r="W190" s="106"/>
      <c r="X190" s="106"/>
      <c r="Y190" s="106"/>
      <c r="Z190" s="106"/>
      <c r="AA190" s="106"/>
      <c r="AB190" s="106"/>
      <c r="AC190" s="106"/>
      <c r="AD190" s="106"/>
      <c r="AE190" s="106"/>
      <c r="AF190" s="106"/>
      <c r="AG190" s="106"/>
      <c r="AH190" s="106"/>
      <c r="AI190" s="106"/>
      <c r="AJ190" s="106"/>
      <c r="AK190" s="106"/>
      <c r="AL190" s="106"/>
      <c r="AM190" s="106"/>
      <c r="AN190" s="106"/>
      <c r="AO190" s="106"/>
      <c r="AP190" s="106"/>
      <c r="AQ190" s="106"/>
      <c r="AR190" s="106"/>
      <c r="AS190" s="106"/>
      <c r="AT190" s="106"/>
      <c r="AU190" s="106"/>
      <c r="AV190" s="106"/>
      <c r="AW190" s="106"/>
      <c r="AX190" s="106"/>
      <c r="AY190" s="106"/>
      <c r="AZ190" s="106"/>
      <c r="BA190" s="106"/>
      <c r="BB190" s="106"/>
      <c r="BC190" s="106"/>
      <c r="BD190" s="106"/>
      <c r="BE190" s="106"/>
      <c r="BF190" s="106"/>
      <c r="BG190" s="106"/>
      <c r="BH190" s="106"/>
      <c r="BI190" s="106"/>
      <c r="BJ190" s="106"/>
      <c r="BK190" s="106"/>
      <c r="BL190" s="106"/>
      <c r="BM190" s="106"/>
      <c r="BN190" s="106"/>
      <c r="BO190" s="106"/>
      <c r="BP190" s="106"/>
      <c r="BQ190" s="106"/>
      <c r="BR190" s="106"/>
      <c r="BS190" s="106"/>
      <c r="BT190" s="106"/>
      <c r="BU190" s="106"/>
      <c r="BV190" s="106"/>
      <c r="BW190" s="106"/>
      <c r="BX190" s="106"/>
      <c r="BY190" s="106"/>
      <c r="BZ190" s="106"/>
      <c r="CA190" s="106"/>
      <c r="CB190" s="106"/>
      <c r="CC190" s="106"/>
      <c r="CD190" s="106"/>
      <c r="CE190" s="106"/>
      <c r="CF190" s="106"/>
      <c r="CG190" s="106"/>
      <c r="CH190" s="106"/>
      <c r="CI190" s="106"/>
      <c r="CJ190" s="106"/>
      <c r="CK190" s="109">
        <f>+MEDIAN(M190,O190,Q190)</f>
        <v>250588.23529411765</v>
      </c>
      <c r="CL190" s="109">
        <f>+AVERAGE(M190,O190,Q190)</f>
        <v>259736.69467787116</v>
      </c>
      <c r="CM190" s="109">
        <f>+STDEV(M190,O190,Q190)</f>
        <v>26850.949177666658</v>
      </c>
      <c r="CN190" s="198">
        <f t="shared" si="77"/>
        <v>0.10337757324188465</v>
      </c>
      <c r="CO190" s="5">
        <f t="shared" si="76"/>
        <v>218266.38655462186</v>
      </c>
      <c r="CP190" s="106">
        <f t="shared" si="64"/>
        <v>41470.613445378156</v>
      </c>
      <c r="CQ190" s="106">
        <f t="shared" si="83"/>
        <v>259737</v>
      </c>
      <c r="CR190" s="122">
        <f>+CQ190*E190*F190</f>
        <v>259737</v>
      </c>
      <c r="CS190" s="79" t="s">
        <v>731</v>
      </c>
    </row>
    <row r="191" spans="1:143" ht="94.9" customHeight="1">
      <c r="A191" s="90">
        <f>+A190+1</f>
        <v>176</v>
      </c>
      <c r="B191" s="63" t="s">
        <v>46</v>
      </c>
      <c r="C191" s="1" t="s">
        <v>912</v>
      </c>
      <c r="D191" s="91" t="s">
        <v>789</v>
      </c>
      <c r="E191" s="1">
        <v>5</v>
      </c>
      <c r="F191" s="1"/>
      <c r="G191" s="106"/>
      <c r="H191" s="106"/>
      <c r="I191" s="106"/>
      <c r="J191" s="106"/>
      <c r="K191" s="106"/>
      <c r="L191" s="326">
        <v>530000</v>
      </c>
      <c r="M191" s="326">
        <f>+((L191/1.19)*23%)+L191</f>
        <v>632436.97478991596</v>
      </c>
      <c r="N191" s="326">
        <v>540000</v>
      </c>
      <c r="O191" s="326">
        <f>+((N191)*23%)+N191</f>
        <v>664200</v>
      </c>
      <c r="P191" s="326">
        <v>600000</v>
      </c>
      <c r="Q191" s="326">
        <f>+((P191)*23%)+P191</f>
        <v>738000</v>
      </c>
      <c r="R191" s="112"/>
      <c r="S191" s="112"/>
      <c r="T191" s="112"/>
      <c r="U191" s="112"/>
      <c r="V191" s="112"/>
      <c r="W191" s="112"/>
      <c r="X191" s="106"/>
      <c r="Y191" s="112"/>
      <c r="Z191" s="106"/>
      <c r="AA191" s="121"/>
      <c r="AB191" s="106"/>
      <c r="AC191" s="106"/>
      <c r="AD191" s="106"/>
      <c r="AE191" s="106"/>
      <c r="AF191" s="106"/>
      <c r="AG191" s="106"/>
      <c r="AH191" s="106"/>
      <c r="AI191" s="106"/>
      <c r="AJ191" s="106"/>
      <c r="AK191" s="106"/>
      <c r="AL191" s="106"/>
      <c r="AM191" s="106"/>
      <c r="AN191" s="106"/>
      <c r="AO191" s="106"/>
      <c r="AP191" s="106"/>
      <c r="AQ191" s="106"/>
      <c r="AR191" s="106"/>
      <c r="AS191" s="106"/>
      <c r="AT191" s="106"/>
      <c r="AU191" s="106"/>
      <c r="AV191" s="106"/>
      <c r="AW191" s="106"/>
      <c r="AX191" s="106"/>
      <c r="AY191" s="106"/>
      <c r="AZ191" s="106"/>
      <c r="BA191" s="106"/>
      <c r="BB191" s="106"/>
      <c r="BC191" s="106"/>
      <c r="BD191" s="106"/>
      <c r="BE191" s="106"/>
      <c r="BF191" s="106"/>
      <c r="BG191" s="106"/>
      <c r="BH191" s="106"/>
      <c r="BI191" s="106"/>
      <c r="BJ191" s="106"/>
      <c r="BK191" s="106"/>
      <c r="BL191" s="106"/>
      <c r="BM191" s="106"/>
      <c r="BN191" s="106"/>
      <c r="BO191" s="106"/>
      <c r="BP191" s="106"/>
      <c r="BQ191" s="106"/>
      <c r="BR191" s="106"/>
      <c r="BS191" s="106"/>
      <c r="BT191" s="106"/>
      <c r="BU191" s="106"/>
      <c r="BV191" s="106"/>
      <c r="BW191" s="106"/>
      <c r="BX191" s="106"/>
      <c r="BY191" s="106"/>
      <c r="BZ191" s="106"/>
      <c r="CA191" s="106"/>
      <c r="CB191" s="106"/>
      <c r="CC191" s="106"/>
      <c r="CD191" s="106"/>
      <c r="CE191" s="106"/>
      <c r="CF191" s="106"/>
      <c r="CG191" s="106"/>
      <c r="CH191" s="106"/>
      <c r="CI191" s="106"/>
      <c r="CJ191" s="106"/>
      <c r="CK191" s="109">
        <f>+MEDIAN(M191,O191,Q191)</f>
        <v>664200</v>
      </c>
      <c r="CL191" s="109">
        <f>+AVERAGE(M191,O191,Q191)</f>
        <v>678212.32492997206</v>
      </c>
      <c r="CM191" s="109">
        <f>+STDEV(M191,O191,Q191)</f>
        <v>54158.53589540199</v>
      </c>
      <c r="CN191" s="103">
        <f t="shared" si="77"/>
        <v>7.985483882351159E-2</v>
      </c>
      <c r="CO191" s="5">
        <f>CQ191</f>
        <v>678213</v>
      </c>
      <c r="CP191" s="106"/>
      <c r="CQ191" s="106">
        <f t="shared" si="83"/>
        <v>678213</v>
      </c>
      <c r="CR191" s="122">
        <f t="shared" ref="CR191:CR199" si="84">+CQ191*E191</f>
        <v>3391065</v>
      </c>
      <c r="CS191" s="79" t="s">
        <v>731</v>
      </c>
    </row>
    <row r="192" spans="1:143" ht="90.65" customHeight="1">
      <c r="A192" s="90">
        <f t="shared" ref="A192:A204" si="85">+A191+1</f>
        <v>177</v>
      </c>
      <c r="B192" s="63" t="s">
        <v>112</v>
      </c>
      <c r="C192" s="1" t="s">
        <v>350</v>
      </c>
      <c r="D192" s="63" t="s">
        <v>4</v>
      </c>
      <c r="E192" s="1">
        <v>200</v>
      </c>
      <c r="F192" s="1"/>
      <c r="G192" s="106"/>
      <c r="H192" s="106"/>
      <c r="I192" s="106"/>
      <c r="J192" s="106"/>
      <c r="K192" s="106"/>
      <c r="L192" s="106"/>
      <c r="M192" s="106"/>
      <c r="N192" s="106"/>
      <c r="O192" s="106"/>
      <c r="P192" s="106"/>
      <c r="Q192" s="106"/>
      <c r="R192" s="106"/>
      <c r="S192" s="106"/>
      <c r="T192" s="106"/>
      <c r="U192" s="106"/>
      <c r="V192" s="106"/>
      <c r="W192" s="106"/>
      <c r="X192" s="106"/>
      <c r="Y192" s="106"/>
      <c r="Z192" s="106"/>
      <c r="AA192" s="106"/>
      <c r="AB192" s="106">
        <v>16832</v>
      </c>
      <c r="AC192" s="106">
        <v>17690</v>
      </c>
      <c r="AD192" s="106">
        <v>18963</v>
      </c>
      <c r="AE192" s="106">
        <v>19930</v>
      </c>
      <c r="AF192" s="106">
        <v>15100</v>
      </c>
      <c r="AG192" s="106">
        <v>15870</v>
      </c>
      <c r="AH192" s="106"/>
      <c r="AI192" s="106"/>
      <c r="AJ192" s="106"/>
      <c r="AK192" s="106"/>
      <c r="AL192" s="106"/>
      <c r="AM192" s="106"/>
      <c r="AN192" s="106"/>
      <c r="AO192" s="106"/>
      <c r="AP192" s="106"/>
      <c r="AQ192" s="106"/>
      <c r="AR192" s="106"/>
      <c r="AS192" s="106"/>
      <c r="AT192" s="106"/>
      <c r="AU192" s="106"/>
      <c r="AV192" s="106"/>
      <c r="AW192" s="106"/>
      <c r="AX192" s="106"/>
      <c r="AY192" s="106"/>
      <c r="AZ192" s="106"/>
      <c r="BA192" s="106"/>
      <c r="BB192" s="106"/>
      <c r="BC192" s="106"/>
      <c r="BD192" s="106"/>
      <c r="BE192" s="106"/>
      <c r="BF192" s="106"/>
      <c r="BG192" s="106"/>
      <c r="BH192" s="106"/>
      <c r="BI192" s="106"/>
      <c r="BJ192" s="106"/>
      <c r="BK192" s="106"/>
      <c r="BL192" s="106"/>
      <c r="BM192" s="106"/>
      <c r="BN192" s="106"/>
      <c r="BO192" s="106"/>
      <c r="BP192" s="106"/>
      <c r="BQ192" s="106"/>
      <c r="BR192" s="106"/>
      <c r="BS192" s="106"/>
      <c r="BT192" s="106"/>
      <c r="BU192" s="106"/>
      <c r="BV192" s="106"/>
      <c r="BW192" s="106"/>
      <c r="BX192" s="106"/>
      <c r="BY192" s="106"/>
      <c r="BZ192" s="106"/>
      <c r="CA192" s="106"/>
      <c r="CB192" s="106"/>
      <c r="CC192" s="106"/>
      <c r="CD192" s="106"/>
      <c r="CE192" s="106"/>
      <c r="CF192" s="106"/>
      <c r="CG192" s="106"/>
      <c r="CH192" s="106"/>
      <c r="CI192" s="106"/>
      <c r="CJ192" s="106"/>
      <c r="CK192" s="109">
        <f t="shared" ref="CK192:CK197" si="86">+MEDIAN(H192,I192,J192,K192,M192,M192,M192,O192,O192,Q192,S192,U192,W192,X192,Y192,Z192,AA192,AC192,AE192,AG192,AH192,AI192,AJ192,AK192,AL192,AM192,AO192,AP192,AQ192,AS192,AU192,AX192,AZ192,BB192,BC192,BE192,BG192,BH192,BI192,BK192,BL192,BM192,BN192,BP192,BR192,BT192,BV192)</f>
        <v>17690</v>
      </c>
      <c r="CL192" s="109">
        <f t="shared" ref="CL192:CL197" si="87">+AVERAGE(H192,I192,J192,K192,M192,M192,M192,O192,O192,Q192,S192,U192,W192,X192,Y192,Z192,AA192,AC192,AE192,AG192,AH192,AI192,AJ192,AK192,AL192,AM192,AO192,AP192,AQ192,AS192,AU192,AX192,AZ192,BB192,BC192,BE192,BG192,BH192,BI192,BK192,BL192,BM192,BN192,BP192,BR192,BT192,BV192)</f>
        <v>17830</v>
      </c>
      <c r="CM192" s="109">
        <f t="shared" ref="CM192:CM197" si="88">+STDEV(H192,I192,J192,K192,M192,M192,M192,O192,O192,Q192,S192,U192,W192,X192,Y192,Z192,AA192,AC192,AE192,AG192,AH192,AI192,AJ192,AK192,AL192,AM192,AO192,AP192,AQ192,AS192,AU192,AX192,AZ192,BB192,BC192,BE192,BG192,BH192,BI192,BK192,BL192,BM192,BN192,BP192,BR192,BT192,BV192)</f>
        <v>2033.6174664867531</v>
      </c>
      <c r="CN192" s="103">
        <f t="shared" si="77"/>
        <v>0.11405594315685659</v>
      </c>
      <c r="CO192" s="110">
        <f t="shared" si="76"/>
        <v>14983.193277310926</v>
      </c>
      <c r="CP192" s="107">
        <f t="shared" si="64"/>
        <v>2846.8067226890757</v>
      </c>
      <c r="CQ192" s="106">
        <f t="shared" si="83"/>
        <v>17830</v>
      </c>
      <c r="CR192" s="122">
        <f t="shared" si="84"/>
        <v>3566000</v>
      </c>
      <c r="CS192" s="89" t="s">
        <v>732</v>
      </c>
    </row>
    <row r="193" spans="1:143" ht="103.9" customHeight="1">
      <c r="A193" s="90">
        <f t="shared" si="85"/>
        <v>178</v>
      </c>
      <c r="B193" s="63" t="s">
        <v>43</v>
      </c>
      <c r="C193" s="1" t="s">
        <v>265</v>
      </c>
      <c r="D193" s="63" t="s">
        <v>4</v>
      </c>
      <c r="E193" s="1">
        <v>200</v>
      </c>
      <c r="F193" s="1"/>
      <c r="G193" s="106"/>
      <c r="H193" s="106"/>
      <c r="I193" s="106"/>
      <c r="J193" s="106"/>
      <c r="K193" s="106"/>
      <c r="L193" s="106"/>
      <c r="M193" s="106"/>
      <c r="N193" s="106"/>
      <c r="O193" s="106"/>
      <c r="P193" s="106"/>
      <c r="Q193" s="106"/>
      <c r="R193" s="106"/>
      <c r="S193" s="106"/>
      <c r="T193" s="106"/>
      <c r="U193" s="106"/>
      <c r="V193" s="106"/>
      <c r="W193" s="106"/>
      <c r="X193" s="106"/>
      <c r="Y193" s="106"/>
      <c r="Z193" s="106"/>
      <c r="AA193" s="106"/>
      <c r="AB193" s="106"/>
      <c r="AC193" s="106"/>
      <c r="AD193" s="106"/>
      <c r="AE193" s="106"/>
      <c r="AF193" s="106"/>
      <c r="AG193" s="106"/>
      <c r="AH193" s="106"/>
      <c r="AI193" s="106"/>
      <c r="AJ193" s="106"/>
      <c r="AK193" s="106"/>
      <c r="AL193" s="106"/>
      <c r="AM193" s="106"/>
      <c r="AN193" s="106"/>
      <c r="AO193" s="106"/>
      <c r="AP193" s="106"/>
      <c r="AQ193" s="106"/>
      <c r="AR193" s="106"/>
      <c r="AS193" s="106"/>
      <c r="AT193" s="106"/>
      <c r="AU193" s="106"/>
      <c r="AV193" s="106"/>
      <c r="AW193" s="106"/>
      <c r="AX193" s="106"/>
      <c r="AY193" s="106"/>
      <c r="AZ193" s="106"/>
      <c r="BA193" s="106"/>
      <c r="BB193" s="106"/>
      <c r="BC193" s="106"/>
      <c r="BD193" s="106"/>
      <c r="BE193" s="106"/>
      <c r="BF193" s="106"/>
      <c r="BG193" s="106"/>
      <c r="BH193" s="106"/>
      <c r="BI193" s="106"/>
      <c r="BJ193" s="106"/>
      <c r="BK193" s="106"/>
      <c r="BL193" s="106"/>
      <c r="BM193" s="106"/>
      <c r="BN193" s="106"/>
      <c r="BO193" s="112">
        <v>6500</v>
      </c>
      <c r="BP193" s="112">
        <v>6832</v>
      </c>
      <c r="BQ193" s="112">
        <v>6000</v>
      </c>
      <c r="BR193" s="112">
        <v>6306</v>
      </c>
      <c r="BS193" s="112">
        <v>6000</v>
      </c>
      <c r="BT193" s="112">
        <v>6306</v>
      </c>
      <c r="BU193" s="106"/>
      <c r="BV193" s="106"/>
      <c r="BW193" s="106"/>
      <c r="BX193" s="106"/>
      <c r="BY193" s="106"/>
      <c r="BZ193" s="106"/>
      <c r="CA193" s="106"/>
      <c r="CB193" s="106"/>
      <c r="CC193" s="106"/>
      <c r="CD193" s="106"/>
      <c r="CE193" s="106"/>
      <c r="CF193" s="106"/>
      <c r="CG193" s="106"/>
      <c r="CH193" s="106"/>
      <c r="CI193" s="106"/>
      <c r="CJ193" s="106"/>
      <c r="CK193" s="109">
        <f t="shared" si="86"/>
        <v>6306</v>
      </c>
      <c r="CL193" s="109">
        <f t="shared" si="87"/>
        <v>6481.333333333333</v>
      </c>
      <c r="CM193" s="109">
        <f t="shared" si="88"/>
        <v>303.68624159374315</v>
      </c>
      <c r="CN193" s="103">
        <f t="shared" si="77"/>
        <v>4.6855519686341773E-2</v>
      </c>
      <c r="CO193" s="110">
        <f>CQ193</f>
        <v>6482</v>
      </c>
      <c r="CP193" s="107"/>
      <c r="CQ193" s="106">
        <f t="shared" si="83"/>
        <v>6482</v>
      </c>
      <c r="CR193" s="122">
        <f t="shared" si="84"/>
        <v>1296400</v>
      </c>
      <c r="CS193" s="79" t="s">
        <v>731</v>
      </c>
    </row>
    <row r="194" spans="1:143" ht="94.9" customHeight="1">
      <c r="A194" s="90">
        <f t="shared" si="85"/>
        <v>179</v>
      </c>
      <c r="B194" s="63" t="s">
        <v>798</v>
      </c>
      <c r="C194" s="1" t="s">
        <v>141</v>
      </c>
      <c r="D194" s="63" t="s">
        <v>4</v>
      </c>
      <c r="E194" s="1">
        <v>200</v>
      </c>
      <c r="F194" s="1"/>
      <c r="G194" s="106"/>
      <c r="H194" s="106"/>
      <c r="I194" s="106"/>
      <c r="J194" s="106"/>
      <c r="K194" s="106"/>
      <c r="L194" s="106"/>
      <c r="M194" s="106"/>
      <c r="N194" s="106"/>
      <c r="O194" s="106"/>
      <c r="P194" s="106"/>
      <c r="Q194" s="106"/>
      <c r="R194" s="106"/>
      <c r="S194" s="106"/>
      <c r="T194" s="106"/>
      <c r="U194" s="106"/>
      <c r="V194" s="106"/>
      <c r="W194" s="106"/>
      <c r="X194" s="106"/>
      <c r="Y194" s="106">
        <v>24300</v>
      </c>
      <c r="Z194" s="106"/>
      <c r="AA194" s="106">
        <v>25000</v>
      </c>
      <c r="AB194" s="106"/>
      <c r="AC194" s="106"/>
      <c r="AD194" s="106"/>
      <c r="AE194" s="106"/>
      <c r="AF194" s="106"/>
      <c r="AG194" s="106"/>
      <c r="AH194" s="106"/>
      <c r="AI194" s="106"/>
      <c r="AJ194" s="106"/>
      <c r="AK194" s="106"/>
      <c r="AL194" s="106"/>
      <c r="AM194" s="106"/>
      <c r="AN194" s="106"/>
      <c r="AO194" s="106"/>
      <c r="AP194" s="106"/>
      <c r="AQ194" s="106"/>
      <c r="AR194" s="106"/>
      <c r="AS194" s="106"/>
      <c r="AT194" s="106"/>
      <c r="AU194" s="106"/>
      <c r="AV194" s="106"/>
      <c r="AW194" s="106"/>
      <c r="AX194" s="106"/>
      <c r="AY194" s="106"/>
      <c r="AZ194" s="106"/>
      <c r="BA194" s="106"/>
      <c r="BB194" s="106"/>
      <c r="BC194" s="106"/>
      <c r="BD194" s="106"/>
      <c r="BE194" s="106"/>
      <c r="BF194" s="106"/>
      <c r="BG194" s="106"/>
      <c r="BH194" s="106"/>
      <c r="BI194" s="106"/>
      <c r="BJ194" s="106"/>
      <c r="BK194" s="106"/>
      <c r="BL194" s="106"/>
      <c r="BM194" s="106"/>
      <c r="BN194" s="106"/>
      <c r="BO194" s="106"/>
      <c r="BP194" s="106"/>
      <c r="BQ194" s="106"/>
      <c r="BR194" s="106"/>
      <c r="BS194" s="106"/>
      <c r="BT194" s="106"/>
      <c r="BU194" s="106"/>
      <c r="BV194" s="106"/>
      <c r="BW194" s="106"/>
      <c r="BX194" s="106"/>
      <c r="BY194" s="106"/>
      <c r="BZ194" s="106"/>
      <c r="CA194" s="106"/>
      <c r="CB194" s="106"/>
      <c r="CC194" s="106"/>
      <c r="CD194" s="106"/>
      <c r="CE194" s="106"/>
      <c r="CF194" s="106"/>
      <c r="CG194" s="106"/>
      <c r="CH194" s="106"/>
      <c r="CI194" s="106"/>
      <c r="CJ194" s="106"/>
      <c r="CK194" s="109">
        <f t="shared" si="86"/>
        <v>24650</v>
      </c>
      <c r="CL194" s="109">
        <f t="shared" si="87"/>
        <v>24650</v>
      </c>
      <c r="CM194" s="109">
        <f t="shared" si="88"/>
        <v>494.97474683058329</v>
      </c>
      <c r="CN194" s="103">
        <f t="shared" si="77"/>
        <v>2.0080111433289381E-2</v>
      </c>
      <c r="CO194" s="110">
        <f t="shared" si="76"/>
        <v>20714.285714285714</v>
      </c>
      <c r="CP194" s="107">
        <f t="shared" si="64"/>
        <v>3935.7142857142858</v>
      </c>
      <c r="CQ194" s="106">
        <f t="shared" si="83"/>
        <v>24650</v>
      </c>
      <c r="CR194" s="122">
        <f t="shared" si="84"/>
        <v>4930000</v>
      </c>
      <c r="CS194" s="89" t="s">
        <v>732</v>
      </c>
    </row>
    <row r="195" spans="1:143" ht="90.65" customHeight="1">
      <c r="A195" s="90">
        <f t="shared" si="85"/>
        <v>180</v>
      </c>
      <c r="B195" s="63" t="s">
        <v>142</v>
      </c>
      <c r="C195" s="1" t="s">
        <v>143</v>
      </c>
      <c r="D195" s="63" t="s">
        <v>4</v>
      </c>
      <c r="E195" s="1">
        <v>200</v>
      </c>
      <c r="F195" s="1"/>
      <c r="G195" s="106"/>
      <c r="H195" s="106"/>
      <c r="I195" s="106"/>
      <c r="J195" s="106"/>
      <c r="K195" s="106"/>
      <c r="L195" s="106"/>
      <c r="M195" s="106"/>
      <c r="N195" s="106"/>
      <c r="O195" s="106"/>
      <c r="P195" s="106"/>
      <c r="Q195" s="106"/>
      <c r="R195" s="106"/>
      <c r="S195" s="106"/>
      <c r="T195" s="106"/>
      <c r="U195" s="106"/>
      <c r="V195" s="106"/>
      <c r="W195" s="106"/>
      <c r="X195" s="106"/>
      <c r="Y195" s="106">
        <v>24000</v>
      </c>
      <c r="Z195" s="106"/>
      <c r="AA195" s="106">
        <v>25000</v>
      </c>
      <c r="AB195" s="106"/>
      <c r="AC195" s="106"/>
      <c r="AD195" s="106"/>
      <c r="AE195" s="106"/>
      <c r="AF195" s="106"/>
      <c r="AG195" s="106"/>
      <c r="AH195" s="106"/>
      <c r="AI195" s="106"/>
      <c r="AJ195" s="106"/>
      <c r="AK195" s="106"/>
      <c r="AL195" s="106"/>
      <c r="AM195" s="106"/>
      <c r="AN195" s="106"/>
      <c r="AO195" s="106"/>
      <c r="AP195" s="106"/>
      <c r="AQ195" s="106"/>
      <c r="AR195" s="106"/>
      <c r="AS195" s="106"/>
      <c r="AT195" s="106"/>
      <c r="AU195" s="106"/>
      <c r="AV195" s="106"/>
      <c r="AW195" s="106"/>
      <c r="AX195" s="106"/>
      <c r="AY195" s="106"/>
      <c r="AZ195" s="106"/>
      <c r="BA195" s="106"/>
      <c r="BB195" s="106"/>
      <c r="BC195" s="106"/>
      <c r="BD195" s="106"/>
      <c r="BE195" s="106"/>
      <c r="BF195" s="106"/>
      <c r="BG195" s="106"/>
      <c r="BH195" s="106"/>
      <c r="BI195" s="106"/>
      <c r="BJ195" s="106"/>
      <c r="BK195" s="106"/>
      <c r="BL195" s="106"/>
      <c r="BM195" s="106"/>
      <c r="BN195" s="106"/>
      <c r="BO195" s="106"/>
      <c r="BP195" s="106"/>
      <c r="BQ195" s="106"/>
      <c r="BR195" s="106"/>
      <c r="BS195" s="106"/>
      <c r="BT195" s="106"/>
      <c r="BU195" s="106"/>
      <c r="BV195" s="106"/>
      <c r="BW195" s="106"/>
      <c r="BX195" s="106"/>
      <c r="BY195" s="106"/>
      <c r="BZ195" s="106"/>
      <c r="CA195" s="106"/>
      <c r="CB195" s="106"/>
      <c r="CC195" s="106"/>
      <c r="CD195" s="106"/>
      <c r="CE195" s="106"/>
      <c r="CF195" s="106"/>
      <c r="CG195" s="106"/>
      <c r="CH195" s="106"/>
      <c r="CI195" s="106"/>
      <c r="CJ195" s="106"/>
      <c r="CK195" s="109">
        <f t="shared" si="86"/>
        <v>24500</v>
      </c>
      <c r="CL195" s="109">
        <f t="shared" si="87"/>
        <v>24500</v>
      </c>
      <c r="CM195" s="109">
        <f t="shared" si="88"/>
        <v>707.10678118654755</v>
      </c>
      <c r="CN195" s="103">
        <f t="shared" ref="CN195:CN197" si="89">CM195/CL195</f>
        <v>2.8861501272920309E-2</v>
      </c>
      <c r="CO195" s="110">
        <f t="shared" si="76"/>
        <v>20588.235294117647</v>
      </c>
      <c r="CP195" s="107">
        <f t="shared" si="64"/>
        <v>3911.7647058823532</v>
      </c>
      <c r="CQ195" s="106">
        <f t="shared" si="83"/>
        <v>24500</v>
      </c>
      <c r="CR195" s="122">
        <f t="shared" si="84"/>
        <v>4900000</v>
      </c>
      <c r="CS195" s="89" t="s">
        <v>732</v>
      </c>
    </row>
    <row r="196" spans="1:143" ht="103.9" customHeight="1">
      <c r="A196" s="90">
        <f t="shared" si="85"/>
        <v>181</v>
      </c>
      <c r="B196" s="63" t="s">
        <v>82</v>
      </c>
      <c r="C196" s="1" t="s">
        <v>45</v>
      </c>
      <c r="D196" s="63" t="s">
        <v>4</v>
      </c>
      <c r="E196" s="1">
        <v>200</v>
      </c>
      <c r="F196" s="1"/>
      <c r="G196" s="106"/>
      <c r="H196" s="106"/>
      <c r="I196" s="106"/>
      <c r="J196" s="106"/>
      <c r="K196" s="106"/>
      <c r="L196" s="106"/>
      <c r="M196" s="106"/>
      <c r="N196" s="106"/>
      <c r="O196" s="106"/>
      <c r="P196" s="106"/>
      <c r="Q196" s="106"/>
      <c r="R196" s="106"/>
      <c r="S196" s="106"/>
      <c r="T196" s="106"/>
      <c r="U196" s="106"/>
      <c r="V196" s="106"/>
      <c r="W196" s="106"/>
      <c r="X196" s="112">
        <v>85000</v>
      </c>
      <c r="Y196" s="112">
        <v>60000</v>
      </c>
      <c r="Z196" s="112">
        <v>62000</v>
      </c>
      <c r="AA196" s="112"/>
      <c r="AB196" s="112"/>
      <c r="AC196" s="112"/>
      <c r="AD196" s="112"/>
      <c r="AE196" s="112"/>
      <c r="AF196" s="112"/>
      <c r="AG196" s="112"/>
      <c r="AH196" s="112"/>
      <c r="AI196" s="112"/>
      <c r="AJ196" s="112"/>
      <c r="AK196" s="112"/>
      <c r="AL196" s="112"/>
      <c r="AM196" s="112"/>
      <c r="AN196" s="112"/>
      <c r="AO196" s="112"/>
      <c r="AP196" s="112"/>
      <c r="AQ196" s="112"/>
      <c r="AR196" s="112"/>
      <c r="AS196" s="112"/>
      <c r="AT196" s="112"/>
      <c r="AU196" s="112"/>
      <c r="AV196" s="112"/>
      <c r="AW196" s="112"/>
      <c r="AX196" s="112"/>
      <c r="AY196" s="112"/>
      <c r="AZ196" s="112"/>
      <c r="BA196" s="112"/>
      <c r="BB196" s="112"/>
      <c r="BC196" s="112"/>
      <c r="BD196" s="112"/>
      <c r="BE196" s="112"/>
      <c r="BF196" s="112"/>
      <c r="BG196" s="112"/>
      <c r="BH196" s="112"/>
      <c r="BI196" s="112"/>
      <c r="BJ196" s="112"/>
      <c r="BK196" s="112"/>
      <c r="BL196" s="112"/>
      <c r="BM196" s="112"/>
      <c r="BN196" s="112"/>
      <c r="BO196" s="112"/>
      <c r="BP196" s="112"/>
      <c r="BQ196" s="112"/>
      <c r="BR196" s="112"/>
      <c r="BS196" s="112"/>
      <c r="BT196" s="112"/>
      <c r="BU196" s="112"/>
      <c r="BV196" s="112"/>
      <c r="BW196" s="112"/>
      <c r="BX196" s="112"/>
      <c r="BY196" s="112"/>
      <c r="BZ196" s="112"/>
      <c r="CA196" s="112"/>
      <c r="CB196" s="112"/>
      <c r="CC196" s="112"/>
      <c r="CD196" s="112"/>
      <c r="CE196" s="112"/>
      <c r="CF196" s="112"/>
      <c r="CG196" s="112"/>
      <c r="CH196" s="112"/>
      <c r="CI196" s="112"/>
      <c r="CJ196" s="112"/>
      <c r="CK196" s="109">
        <f t="shared" si="86"/>
        <v>62000</v>
      </c>
      <c r="CL196" s="109">
        <f t="shared" si="87"/>
        <v>69000</v>
      </c>
      <c r="CM196" s="109">
        <f t="shared" si="88"/>
        <v>13892.443989449805</v>
      </c>
      <c r="CN196" s="103">
        <f t="shared" si="89"/>
        <v>0.20133976796304065</v>
      </c>
      <c r="CO196" s="110">
        <f t="shared" si="76"/>
        <v>52100.840336134454</v>
      </c>
      <c r="CP196" s="107">
        <f t="shared" si="64"/>
        <v>9899.1596638655465</v>
      </c>
      <c r="CQ196" s="106">
        <f t="shared" si="83"/>
        <v>62000</v>
      </c>
      <c r="CR196" s="122">
        <f t="shared" si="84"/>
        <v>12400000</v>
      </c>
      <c r="CS196" s="89" t="s">
        <v>732</v>
      </c>
    </row>
    <row r="197" spans="1:143" ht="94.9" customHeight="1">
      <c r="A197" s="90">
        <f>A196+1</f>
        <v>182</v>
      </c>
      <c r="B197" s="63" t="s">
        <v>799</v>
      </c>
      <c r="C197" s="1" t="s">
        <v>144</v>
      </c>
      <c r="D197" s="63" t="s">
        <v>4</v>
      </c>
      <c r="E197" s="1">
        <v>200</v>
      </c>
      <c r="F197" s="1"/>
      <c r="G197" s="106"/>
      <c r="H197" s="106"/>
      <c r="I197" s="106"/>
      <c r="J197" s="106"/>
      <c r="K197" s="106"/>
      <c r="L197" s="106"/>
      <c r="M197" s="106"/>
      <c r="N197" s="106"/>
      <c r="O197" s="106"/>
      <c r="P197" s="106"/>
      <c r="Q197" s="106"/>
      <c r="R197" s="106"/>
      <c r="S197" s="106"/>
      <c r="T197" s="106"/>
      <c r="U197" s="106"/>
      <c r="V197" s="106"/>
      <c r="W197" s="106"/>
      <c r="X197" s="112">
        <v>21000</v>
      </c>
      <c r="Y197" s="112">
        <v>25000</v>
      </c>
      <c r="Z197" s="112">
        <v>25500</v>
      </c>
      <c r="AA197" s="112"/>
      <c r="AB197" s="112"/>
      <c r="AC197" s="112"/>
      <c r="AD197" s="112"/>
      <c r="AE197" s="112"/>
      <c r="AF197" s="112"/>
      <c r="AG197" s="112"/>
      <c r="AH197" s="112"/>
      <c r="AI197" s="112"/>
      <c r="AJ197" s="112"/>
      <c r="AK197" s="112"/>
      <c r="AL197" s="112"/>
      <c r="AM197" s="112"/>
      <c r="AN197" s="112"/>
      <c r="AO197" s="112"/>
      <c r="AP197" s="112"/>
      <c r="AQ197" s="112"/>
      <c r="AR197" s="112"/>
      <c r="AS197" s="112"/>
      <c r="AT197" s="112"/>
      <c r="AU197" s="112"/>
      <c r="AV197" s="112"/>
      <c r="AW197" s="112"/>
      <c r="AX197" s="112"/>
      <c r="AY197" s="112"/>
      <c r="AZ197" s="112"/>
      <c r="BA197" s="112"/>
      <c r="BB197" s="112"/>
      <c r="BC197" s="112"/>
      <c r="BD197" s="112"/>
      <c r="BE197" s="112"/>
      <c r="BF197" s="112"/>
      <c r="BG197" s="112"/>
      <c r="BH197" s="112"/>
      <c r="BI197" s="112"/>
      <c r="BJ197" s="112"/>
      <c r="BK197" s="112"/>
      <c r="BL197" s="112"/>
      <c r="BM197" s="112"/>
      <c r="BN197" s="112"/>
      <c r="BO197" s="112"/>
      <c r="BP197" s="112"/>
      <c r="BQ197" s="112"/>
      <c r="BR197" s="112"/>
      <c r="BS197" s="112"/>
      <c r="BT197" s="112"/>
      <c r="BU197" s="112"/>
      <c r="BV197" s="112"/>
      <c r="BW197" s="112"/>
      <c r="BX197" s="112"/>
      <c r="BY197" s="112"/>
      <c r="BZ197" s="112"/>
      <c r="CA197" s="112"/>
      <c r="CB197" s="112"/>
      <c r="CC197" s="112"/>
      <c r="CD197" s="112"/>
      <c r="CE197" s="112"/>
      <c r="CF197" s="112"/>
      <c r="CG197" s="112"/>
      <c r="CH197" s="112"/>
      <c r="CI197" s="112"/>
      <c r="CJ197" s="112"/>
      <c r="CK197" s="109">
        <f t="shared" si="86"/>
        <v>25000</v>
      </c>
      <c r="CL197" s="109">
        <f t="shared" si="87"/>
        <v>23833.333333333332</v>
      </c>
      <c r="CM197" s="109">
        <f t="shared" si="88"/>
        <v>2466.4414311581236</v>
      </c>
      <c r="CN197" s="103">
        <f t="shared" si="89"/>
        <v>0.10348705305558561</v>
      </c>
      <c r="CO197" s="110">
        <f t="shared" si="76"/>
        <v>20028.571428571431</v>
      </c>
      <c r="CP197" s="107">
        <f t="shared" ref="CP197:CP243" si="90">CO197*19%</f>
        <v>3805.428571428572</v>
      </c>
      <c r="CQ197" s="106">
        <f>ROUNDUP(IF(CN197&lt;15%,CL197,CK197),0)</f>
        <v>23834</v>
      </c>
      <c r="CR197" s="122">
        <f t="shared" si="84"/>
        <v>4766800</v>
      </c>
      <c r="CS197" s="89" t="s">
        <v>732</v>
      </c>
    </row>
    <row r="198" spans="1:143" ht="172.5" customHeight="1">
      <c r="A198" s="90">
        <f t="shared" si="85"/>
        <v>183</v>
      </c>
      <c r="B198" s="63" t="s">
        <v>801</v>
      </c>
      <c r="C198" s="1" t="s">
        <v>800</v>
      </c>
      <c r="D198" s="63" t="s">
        <v>4</v>
      </c>
      <c r="E198" s="1">
        <v>200</v>
      </c>
      <c r="F198" s="1"/>
      <c r="G198" s="106"/>
      <c r="H198" s="106"/>
      <c r="I198" s="106"/>
      <c r="J198" s="106"/>
      <c r="K198" s="106"/>
      <c r="L198" s="106"/>
      <c r="M198" s="106"/>
      <c r="N198" s="106"/>
      <c r="O198" s="106"/>
      <c r="P198" s="106"/>
      <c r="Q198" s="106"/>
      <c r="R198" s="106"/>
      <c r="S198" s="106"/>
      <c r="T198" s="106"/>
      <c r="U198" s="106"/>
      <c r="V198" s="106"/>
      <c r="W198" s="106"/>
      <c r="X198" s="112"/>
      <c r="Y198" s="112"/>
      <c r="Z198" s="112"/>
      <c r="AA198" s="112"/>
      <c r="AB198" s="112"/>
      <c r="AC198" s="112"/>
      <c r="AD198" s="112"/>
      <c r="AE198" s="112"/>
      <c r="AF198" s="112"/>
      <c r="AG198" s="112"/>
      <c r="AH198" s="112"/>
      <c r="AI198" s="112"/>
      <c r="AJ198" s="112"/>
      <c r="AK198" s="112"/>
      <c r="AL198" s="112"/>
      <c r="AM198" s="112"/>
      <c r="AN198" s="112"/>
      <c r="AO198" s="112"/>
      <c r="AP198" s="112"/>
      <c r="AQ198" s="112"/>
      <c r="AR198" s="112"/>
      <c r="AS198" s="112"/>
      <c r="AT198" s="112"/>
      <c r="AU198" s="112"/>
      <c r="AV198" s="112"/>
      <c r="AW198" s="112"/>
      <c r="AX198" s="112"/>
      <c r="AY198" s="112"/>
      <c r="AZ198" s="112"/>
      <c r="BA198" s="112"/>
      <c r="BB198" s="112"/>
      <c r="BC198" s="112"/>
      <c r="BD198" s="112"/>
      <c r="BE198" s="112"/>
      <c r="BF198" s="112"/>
      <c r="BG198" s="112"/>
      <c r="BH198" s="112"/>
      <c r="BI198" s="112"/>
      <c r="BJ198" s="112"/>
      <c r="BK198" s="112"/>
      <c r="BL198" s="112"/>
      <c r="BM198" s="112"/>
      <c r="BN198" s="112"/>
      <c r="BO198" s="112"/>
      <c r="BP198" s="112"/>
      <c r="BQ198" s="112"/>
      <c r="BR198" s="112"/>
      <c r="BS198" s="112"/>
      <c r="BT198" s="112"/>
      <c r="BU198" s="112"/>
      <c r="BV198" s="112"/>
      <c r="BW198" s="112"/>
      <c r="BX198" s="112"/>
      <c r="BY198" s="112"/>
      <c r="BZ198" s="112"/>
      <c r="CA198" s="112"/>
      <c r="CB198" s="112"/>
      <c r="CC198" s="112"/>
      <c r="CD198" s="112"/>
      <c r="CE198" s="112">
        <f>104990/1.19</f>
        <v>88226.890756302528</v>
      </c>
      <c r="CF198" s="112">
        <f>+CE198*19%</f>
        <v>16763.10924369748</v>
      </c>
      <c r="CG198" s="112">
        <f>+((CE198*17%)+CE198+CF198)</f>
        <v>119988.57142857145</v>
      </c>
      <c r="CH198" s="112">
        <f>89990/1.19</f>
        <v>75621.848739495807</v>
      </c>
      <c r="CI198" s="112">
        <f>+CH198*19%</f>
        <v>14368.151260504203</v>
      </c>
      <c r="CJ198" s="112">
        <f>+((CH198*17%)+CH198+CI198)</f>
        <v>102845.7142857143</v>
      </c>
      <c r="CK198" s="109">
        <f>+MEDIAN(H198,I198,J198,K198,M198,M198,M198,O198,O198,Q198,S198,U198,W198,X198,Y198,Z198,AA198,AC198,AE198,AG198,AH198,AI198,AJ198,AK198,AL198,AM198,AO198,AP198,AQ198,AS198,AU198,AX198,AZ198,BB198,BC198,BE198,BG198,BH198,BI198,BK198,BL198,BM198,BN198,BP198,BR198,BT198,BV198,CG198,CJ198)</f>
        <v>111417.14285714287</v>
      </c>
      <c r="CL198" s="109">
        <f>+AVERAGE(H198,I198,J198,K198,M198,M198,M198,O198,O198,Q198,S198,U198,W198,X198,Y198,Z198,AA198,AC198,AE198,AG198,AH198,AI198,AJ198,AK198,AL198,AM198,AO198,AP198,AQ198,AS198,AU198,AX198,AZ198,BB198,BC198,BE198,BG198,BH198,BI198,BK198,BL198,BM198,BN198,BP198,BR198,BT198,BV198,CG198,CJ198)</f>
        <v>111417.14285714287</v>
      </c>
      <c r="CM198" s="109">
        <f>+STDEV(H198,I198,J198,K198,M198,M198,M198,O198,O198,Q198,S198,U198,W198,X198,Y198,Z198,AA198,AC198,AE198,AG198,AH198,AI198,AJ198,AK198,AL198,AM198,AO198,AP198,AQ198,AS198,AU198,AX198,AZ198,BB198,BC198,BE198,BG198,BH198,BI198,BK198,BL198,BM198,BN198,BP198,BR198,BT198,BV198,CG198,CJ198)</f>
        <v>12121.830534626532</v>
      </c>
      <c r="CN198" s="103">
        <f t="shared" ref="CN198:CN255" si="91">CM198/CL198</f>
        <v>0.10879681729201163</v>
      </c>
      <c r="CO198" s="110">
        <f t="shared" si="76"/>
        <v>93628.571428571435</v>
      </c>
      <c r="CP198" s="107">
        <f t="shared" si="90"/>
        <v>17789.428571428572</v>
      </c>
      <c r="CQ198" s="106">
        <f>ROUNDUP(IF(CN198&lt;15%,CL198,CK198),0)</f>
        <v>111418</v>
      </c>
      <c r="CR198" s="122">
        <f t="shared" si="84"/>
        <v>22283600</v>
      </c>
      <c r="CS198" s="89" t="s">
        <v>380</v>
      </c>
    </row>
    <row r="199" spans="1:143" ht="103.9" customHeight="1">
      <c r="A199" s="90">
        <f t="shared" si="85"/>
        <v>184</v>
      </c>
      <c r="B199" s="63" t="s">
        <v>805</v>
      </c>
      <c r="C199" s="1" t="s">
        <v>145</v>
      </c>
      <c r="D199" s="63" t="s">
        <v>4</v>
      </c>
      <c r="E199" s="1">
        <v>200</v>
      </c>
      <c r="F199" s="1"/>
      <c r="G199" s="106"/>
      <c r="H199" s="106"/>
      <c r="I199" s="106"/>
      <c r="J199" s="106"/>
      <c r="K199" s="106"/>
      <c r="L199" s="106"/>
      <c r="M199" s="106"/>
      <c r="N199" s="106"/>
      <c r="O199" s="106"/>
      <c r="P199" s="106"/>
      <c r="Q199" s="106"/>
      <c r="R199" s="106"/>
      <c r="S199" s="106"/>
      <c r="T199" s="106"/>
      <c r="U199" s="106"/>
      <c r="V199" s="106"/>
      <c r="W199" s="106"/>
      <c r="X199" s="112">
        <v>15000</v>
      </c>
      <c r="Y199" s="112">
        <v>21600</v>
      </c>
      <c r="Z199" s="112"/>
      <c r="AA199" s="112"/>
      <c r="AB199" s="112"/>
      <c r="AC199" s="112"/>
      <c r="AD199" s="112"/>
      <c r="AE199" s="112"/>
      <c r="AF199" s="112"/>
      <c r="AG199" s="112"/>
      <c r="AH199" s="112"/>
      <c r="AI199" s="112"/>
      <c r="AJ199" s="112"/>
      <c r="AK199" s="112"/>
      <c r="AL199" s="112"/>
      <c r="AM199" s="112"/>
      <c r="AN199" s="112"/>
      <c r="AO199" s="112"/>
      <c r="AP199" s="112"/>
      <c r="AQ199" s="112"/>
      <c r="AR199" s="112"/>
      <c r="AS199" s="112"/>
      <c r="AT199" s="112"/>
      <c r="AU199" s="112"/>
      <c r="AV199" s="112"/>
      <c r="AW199" s="112"/>
      <c r="AX199" s="112"/>
      <c r="AY199" s="112"/>
      <c r="AZ199" s="112"/>
      <c r="BA199" s="112"/>
      <c r="BB199" s="112"/>
      <c r="BC199" s="112"/>
      <c r="BD199" s="112"/>
      <c r="BE199" s="112"/>
      <c r="BF199" s="112"/>
      <c r="BG199" s="112"/>
      <c r="BH199" s="112"/>
      <c r="BI199" s="112"/>
      <c r="BJ199" s="112"/>
      <c r="BK199" s="112"/>
      <c r="BL199" s="112"/>
      <c r="BM199" s="112"/>
      <c r="BN199" s="112"/>
      <c r="BO199" s="112"/>
      <c r="BP199" s="112"/>
      <c r="BQ199" s="112"/>
      <c r="BR199" s="112"/>
      <c r="BS199" s="112"/>
      <c r="BT199" s="112"/>
      <c r="BU199" s="112"/>
      <c r="BV199" s="112"/>
      <c r="BW199" s="112"/>
      <c r="BX199" s="112"/>
      <c r="BY199" s="112"/>
      <c r="BZ199" s="112"/>
      <c r="CA199" s="112"/>
      <c r="CB199" s="112"/>
      <c r="CC199" s="112"/>
      <c r="CD199" s="112"/>
      <c r="CE199" s="112"/>
      <c r="CF199" s="112"/>
      <c r="CG199" s="112"/>
      <c r="CH199" s="112"/>
      <c r="CI199" s="112"/>
      <c r="CJ199" s="112"/>
      <c r="CK199" s="109">
        <f>+MEDIAN(H199,I199,J199,K199,M199,M199,M199,O199,O199,Q199,S199,U199,W199,X199,Y199,Z199,AA199,AC199,AE199,AG199,AH199,AI199,AJ199,AK199,AL199,AM199,AO199,AP199,AQ199,AS199,AU199,AX199,AZ199,BB199,BC199,BE199,BG199,BH199,BI199,BK199,BL199,BM199,BN199,BP199,BR199,BT199,BV199)</f>
        <v>18300</v>
      </c>
      <c r="CL199" s="109">
        <f>+AVERAGE(H199,I199,J199,K199,M199,M199,M199,O199,O199,Q199,S199,U199,W199,X199,Y199,Z199,AA199,AC199,AE199,AG199,AH199,AI199,AJ199,AK199,AL199,AM199,AO199,AP199,AQ199,AS199,AU199,AX199,AZ199,BB199,BC199,BE199,BG199,BH199,BI199,BK199,BL199,BM199,BN199,BP199,BR199,BT199,BV199)</f>
        <v>18300</v>
      </c>
      <c r="CM199" s="109">
        <f>+STDEV(H199,I199,J199,K199,M199,M199,M199,O199,O199,Q199,S199,U199,W199,X199,Y199,Z199,AA199,AC199,AE199,AG199,AH199,AI199,AJ199,AK199,AL199,AM199,AO199,AP199,AQ199,AS199,AU199,AX199,AZ199,BB199,BC199,BE199,BG199,BH199,BI199,BK199,BL199,BM199,BN199,BP199,BR199,BT199,BV199)</f>
        <v>4666.9047558312141</v>
      </c>
      <c r="CN199" s="103">
        <f t="shared" si="91"/>
        <v>0.25502211780498435</v>
      </c>
      <c r="CO199" s="110">
        <f t="shared" si="76"/>
        <v>15378.151260504203</v>
      </c>
      <c r="CP199" s="107">
        <f t="shared" si="90"/>
        <v>2921.8487394957983</v>
      </c>
      <c r="CQ199" s="106">
        <f>ROUNDUP(IF(CN199&lt;15%,CL199,CK199),0)</f>
        <v>18300</v>
      </c>
      <c r="CR199" s="122">
        <f t="shared" si="84"/>
        <v>3660000</v>
      </c>
      <c r="CS199" s="89" t="s">
        <v>380</v>
      </c>
    </row>
    <row r="200" spans="1:143" s="256" customFormat="1" ht="186" customHeight="1">
      <c r="A200" s="247">
        <f t="shared" si="85"/>
        <v>185</v>
      </c>
      <c r="B200" s="260" t="s">
        <v>128</v>
      </c>
      <c r="C200" s="249" t="s">
        <v>790</v>
      </c>
      <c r="D200" s="260" t="s">
        <v>52</v>
      </c>
      <c r="E200" s="249">
        <v>1</v>
      </c>
      <c r="F200" s="249"/>
      <c r="G200" s="251"/>
      <c r="H200" s="251"/>
      <c r="I200" s="251"/>
      <c r="J200" s="251"/>
      <c r="K200" s="251"/>
      <c r="L200" s="251"/>
      <c r="M200" s="251"/>
      <c r="N200" s="251"/>
      <c r="O200" s="251"/>
      <c r="P200" s="251"/>
      <c r="Q200" s="251"/>
      <c r="R200" s="251"/>
      <c r="S200" s="251"/>
      <c r="T200" s="251"/>
      <c r="U200" s="251"/>
      <c r="V200" s="251"/>
      <c r="W200" s="251"/>
      <c r="X200" s="251"/>
      <c r="Y200" s="251"/>
      <c r="Z200" s="251"/>
      <c r="AA200" s="251"/>
      <c r="AB200" s="251"/>
      <c r="AC200" s="251"/>
      <c r="AD200" s="251"/>
      <c r="AE200" s="251"/>
      <c r="AF200" s="251"/>
      <c r="AG200" s="251"/>
      <c r="AH200" s="251"/>
      <c r="AI200" s="251"/>
      <c r="AJ200" s="251"/>
      <c r="AK200" s="251"/>
      <c r="AL200" s="251"/>
      <c r="AM200" s="251"/>
      <c r="AN200" s="251"/>
      <c r="AO200" s="251"/>
      <c r="AP200" s="251"/>
      <c r="AQ200" s="251"/>
      <c r="AR200" s="251"/>
      <c r="AS200" s="251"/>
      <c r="AT200" s="251"/>
      <c r="AU200" s="251"/>
      <c r="AV200" s="251"/>
      <c r="AW200" s="251"/>
      <c r="AX200" s="251"/>
      <c r="AY200" s="251"/>
      <c r="AZ200" s="251"/>
      <c r="BA200" s="251"/>
      <c r="BB200" s="251"/>
      <c r="BC200" s="251"/>
      <c r="BD200" s="251"/>
      <c r="BE200" s="251"/>
      <c r="BF200" s="251"/>
      <c r="BG200" s="251"/>
      <c r="BH200" s="251"/>
      <c r="BI200" s="251"/>
      <c r="BJ200" s="251"/>
      <c r="BK200" s="251"/>
      <c r="BL200" s="251"/>
      <c r="BM200" s="251"/>
      <c r="BN200" s="251"/>
      <c r="BO200" s="251"/>
      <c r="BP200" s="251"/>
      <c r="BQ200" s="251"/>
      <c r="BR200" s="251"/>
      <c r="BS200" s="251"/>
      <c r="BT200" s="251"/>
      <c r="BU200" s="251"/>
      <c r="BV200" s="251"/>
      <c r="BW200" s="251"/>
      <c r="BX200" s="251"/>
      <c r="BY200" s="251"/>
      <c r="BZ200" s="251"/>
      <c r="CA200" s="251"/>
      <c r="CB200" s="251"/>
      <c r="CC200" s="251"/>
      <c r="CD200" s="251"/>
      <c r="CE200" s="251"/>
      <c r="CF200" s="251"/>
      <c r="CG200" s="251"/>
      <c r="CH200" s="251"/>
      <c r="CI200" s="251"/>
      <c r="CJ200" s="251"/>
      <c r="CK200" s="252"/>
      <c r="CL200" s="252"/>
      <c r="CM200" s="252"/>
      <c r="CN200" s="253"/>
      <c r="CO200" s="254">
        <v>20000000</v>
      </c>
      <c r="CP200" s="251"/>
      <c r="CQ200" s="254">
        <v>20000000</v>
      </c>
      <c r="CR200" s="254">
        <v>20000000</v>
      </c>
      <c r="CS200" s="261" t="s">
        <v>791</v>
      </c>
    </row>
    <row r="201" spans="1:143" ht="90.65" customHeight="1">
      <c r="A201" s="90">
        <f t="shared" si="85"/>
        <v>186</v>
      </c>
      <c r="B201" s="63" t="s">
        <v>285</v>
      </c>
      <c r="C201" s="1" t="s">
        <v>286</v>
      </c>
      <c r="D201" s="63" t="s">
        <v>127</v>
      </c>
      <c r="E201" s="1">
        <v>1</v>
      </c>
      <c r="F201" s="1">
        <v>1</v>
      </c>
      <c r="G201" s="106"/>
      <c r="H201" s="106"/>
      <c r="I201" s="106"/>
      <c r="J201" s="106"/>
      <c r="K201" s="106"/>
      <c r="L201" s="106"/>
      <c r="M201" s="106"/>
      <c r="N201" s="333">
        <v>1920000</v>
      </c>
      <c r="O201" s="106">
        <f>+N201*5.1%+N201</f>
        <v>2017920</v>
      </c>
      <c r="P201" s="106"/>
      <c r="Q201" s="106"/>
      <c r="R201" s="106"/>
      <c r="S201" s="106"/>
      <c r="T201" s="106"/>
      <c r="U201" s="106"/>
      <c r="V201" s="106"/>
      <c r="W201" s="106"/>
      <c r="X201" s="106"/>
      <c r="Y201" s="106"/>
      <c r="Z201" s="106"/>
      <c r="AA201" s="106"/>
      <c r="AB201" s="106"/>
      <c r="AC201" s="106"/>
      <c r="AD201" s="106"/>
      <c r="AE201" s="106"/>
      <c r="AF201" s="106"/>
      <c r="AG201" s="106"/>
      <c r="AH201" s="106"/>
      <c r="AI201" s="106"/>
      <c r="AJ201" s="106"/>
      <c r="AK201" s="106"/>
      <c r="AL201" s="106"/>
      <c r="AM201" s="333" t="s">
        <v>287</v>
      </c>
      <c r="AN201" s="106"/>
      <c r="AO201" s="106"/>
      <c r="AP201" s="106"/>
      <c r="AQ201" s="106"/>
      <c r="AR201" s="106"/>
      <c r="AS201" s="106"/>
      <c r="AT201" s="333">
        <v>1750000</v>
      </c>
      <c r="AU201" s="333">
        <v>1839250</v>
      </c>
      <c r="AV201" s="106"/>
      <c r="AW201" s="106"/>
      <c r="AX201" s="106"/>
      <c r="AY201" s="106"/>
      <c r="AZ201" s="106"/>
      <c r="BA201" s="106"/>
      <c r="BB201" s="106"/>
      <c r="BC201" s="106"/>
      <c r="BD201" s="106"/>
      <c r="BE201" s="106"/>
      <c r="BF201" s="106"/>
      <c r="BG201" s="106"/>
      <c r="BH201" s="106"/>
      <c r="BI201" s="106"/>
      <c r="BJ201" s="106"/>
      <c r="BK201" s="106"/>
      <c r="BL201" s="106"/>
      <c r="BM201" s="106"/>
      <c r="BN201" s="106"/>
      <c r="BO201" s="106"/>
      <c r="BP201" s="106"/>
      <c r="BQ201" s="106"/>
      <c r="BR201" s="106"/>
      <c r="BS201" s="106"/>
      <c r="BT201" s="106"/>
      <c r="BU201" s="106"/>
      <c r="BV201" s="106"/>
      <c r="BW201" s="106"/>
      <c r="BX201" s="106"/>
      <c r="BY201" s="106"/>
      <c r="BZ201" s="106"/>
      <c r="CA201" s="106"/>
      <c r="CB201" s="106"/>
      <c r="CC201" s="106"/>
      <c r="CD201" s="106"/>
      <c r="CE201" s="106"/>
      <c r="CF201" s="106"/>
      <c r="CG201" s="106"/>
      <c r="CH201" s="106"/>
      <c r="CI201" s="106"/>
      <c r="CJ201" s="106"/>
      <c r="CK201" s="109">
        <f>+MEDIAN(H201,I201,J201,K201,M201,M201,M201,O201,O201,Q201,S201,U201,W201,X201,Y201,Z201,AA201,AC201,AE201,AG201,AH201,AI201,AJ201,AK201,AL201,AM201,AO201,AP201,AQ201,AS201,AU201,AX201,AZ201,BB201,BC201,BE201,BG201,BH201,BI201,BK201,BL201,BM201,BN201,BP201,BR201,BT201,BV201)</f>
        <v>2017920</v>
      </c>
      <c r="CL201" s="109">
        <f>+AVERAGE(H201,I201,J201,K201,M201,M201,M201,O201,O201,Q201,S201,U201,W201,X201,Y201,Z201,AA201,AC201,AE201,AG201,AH201,AI201,AJ201,AK201,AL201,AM201,AO201,AP201,AQ201,AS201,AU201,AX201,AZ201,BB201,BC201,BE201,BG201,BH201,BI201,BK201,BL201,BM201,BN201,BP201,BR201,BT201,BV201)</f>
        <v>1958363.3333333333</v>
      </c>
      <c r="CM201" s="109">
        <f>+STDEV(H201,I201,J201,K201,M201,M201,M201,O201,O201,Q201,S201,U201,W201,X201,Y201,Z201,AA201,AC201,AE201,AG201,AH201,AI201,AJ201,AK201,AL201,AM201,AO201,AP201,AQ201,AS201,AU201,AX201,AZ201,BB201,BC201,BE201,BG201,BH201,BI201,BK201,BL201,BM201,BN201,BP201,BR201,BT201,BV201)</f>
        <v>103155.17259611044</v>
      </c>
      <c r="CN201" s="103">
        <f t="shared" si="91"/>
        <v>5.2674174827676057E-2</v>
      </c>
      <c r="CO201" s="110">
        <f>(CQ201/1.08)</f>
        <v>1813299.9999999998</v>
      </c>
      <c r="CP201" s="107">
        <f>+CO201*8%</f>
        <v>145063.99999999997</v>
      </c>
      <c r="CQ201" s="106">
        <f>ROUNDUP(IF(CN201&lt;15%,CL201,CK201),0)</f>
        <v>1958364</v>
      </c>
      <c r="CR201" s="122">
        <f>+CQ201*E201</f>
        <v>1958364</v>
      </c>
      <c r="CS201" s="79" t="s">
        <v>731</v>
      </c>
    </row>
    <row r="202" spans="1:143" ht="103.9" customHeight="1">
      <c r="A202" s="90">
        <f t="shared" si="85"/>
        <v>187</v>
      </c>
      <c r="B202" s="88" t="s">
        <v>245</v>
      </c>
      <c r="C202" s="1" t="s">
        <v>9</v>
      </c>
      <c r="D202" s="63" t="s">
        <v>127</v>
      </c>
      <c r="E202" s="1">
        <v>1</v>
      </c>
      <c r="F202" s="1">
        <v>1</v>
      </c>
      <c r="G202" s="106"/>
      <c r="H202" s="106"/>
      <c r="I202" s="106"/>
      <c r="J202" s="106"/>
      <c r="K202" s="106"/>
      <c r="L202" s="106"/>
      <c r="M202" s="106"/>
      <c r="N202" s="106"/>
      <c r="O202" s="106"/>
      <c r="P202" s="106"/>
      <c r="Q202" s="106"/>
      <c r="R202" s="106">
        <v>5000000</v>
      </c>
      <c r="S202" s="106">
        <v>5255000</v>
      </c>
      <c r="T202" s="106">
        <v>5200000</v>
      </c>
      <c r="U202" s="106">
        <v>5465200</v>
      </c>
      <c r="V202" s="106">
        <v>5450000</v>
      </c>
      <c r="W202" s="106">
        <v>5727950</v>
      </c>
      <c r="X202" s="106"/>
      <c r="Y202" s="106"/>
      <c r="Z202" s="106"/>
      <c r="AA202" s="106"/>
      <c r="AB202" s="106"/>
      <c r="AC202" s="106"/>
      <c r="AD202" s="106"/>
      <c r="AE202" s="106"/>
      <c r="AF202" s="106"/>
      <c r="AG202" s="106"/>
      <c r="AH202" s="106"/>
      <c r="AI202" s="106"/>
      <c r="AJ202" s="106"/>
      <c r="AK202" s="106"/>
      <c r="AL202" s="106"/>
      <c r="AM202" s="106"/>
      <c r="AN202" s="106"/>
      <c r="AO202" s="106"/>
      <c r="AP202" s="106"/>
      <c r="AQ202" s="106"/>
      <c r="AR202" s="106"/>
      <c r="AS202" s="106"/>
      <c r="AT202" s="106"/>
      <c r="AU202" s="106"/>
      <c r="AV202" s="106"/>
      <c r="AW202" s="106"/>
      <c r="AX202" s="106"/>
      <c r="AY202" s="106"/>
      <c r="AZ202" s="106"/>
      <c r="BA202" s="106"/>
      <c r="BB202" s="106"/>
      <c r="BC202" s="106"/>
      <c r="BD202" s="106"/>
      <c r="BE202" s="106"/>
      <c r="BF202" s="106"/>
      <c r="BG202" s="106"/>
      <c r="BH202" s="106"/>
      <c r="BI202" s="106"/>
      <c r="BJ202" s="106"/>
      <c r="BK202" s="106"/>
      <c r="BL202" s="106"/>
      <c r="BM202" s="106"/>
      <c r="BN202" s="106"/>
      <c r="BO202" s="106"/>
      <c r="BP202" s="106"/>
      <c r="BQ202" s="106"/>
      <c r="BR202" s="106"/>
      <c r="BS202" s="106"/>
      <c r="BT202" s="106"/>
      <c r="BU202" s="106"/>
      <c r="BV202" s="106"/>
      <c r="BW202" s="106"/>
      <c r="BX202" s="106"/>
      <c r="BY202" s="106"/>
      <c r="BZ202" s="106"/>
      <c r="CA202" s="106"/>
      <c r="CB202" s="106"/>
      <c r="CC202" s="106"/>
      <c r="CD202" s="106"/>
      <c r="CE202" s="106"/>
      <c r="CF202" s="106"/>
      <c r="CG202" s="106"/>
      <c r="CH202" s="106"/>
      <c r="CI202" s="106"/>
      <c r="CJ202" s="106"/>
      <c r="CK202" s="109">
        <f>+MEDIAN(H202,I202,J202,K202,M202,M202,M202,O202,O202,Q202,S202,U202,W202,X202,Y202,Z202,AA202,AC202,AE202,AG202,AH202,AI202,AJ202,AK202,AL202,AM202,AO202,AP202,AQ202,AS202,AU202,AX202,AZ202,BB202,BC202,BE202,BG202,BH202,BI202,BK202,BL202,BM202,BN202,BP202,BR202,BT202,BV202)</f>
        <v>5465200</v>
      </c>
      <c r="CL202" s="109">
        <f>+AVERAGE(H202,I202,J202,K202,M202,M202,M202,O202,O202,Q202,S202,U202,W202,X202,Y202,Z202,AA202,AC202,AE202,AG202,AH202,AI202,AJ202,AK202,AL202,AM202,AO202,AP202,AQ202,AS202,AU202,AX202,AZ202,BB202,BC202,BE202,BG202,BH202,BI202,BK202,BL202,BM202,BN202,BP202,BR202,BT202,BV202)</f>
        <v>5482716.666666667</v>
      </c>
      <c r="CM202" s="109">
        <f>+STDEV(H202,I202,J202,K202,M202,M202,M202,O202,O202,Q202,S202,U202,W202,X202,Y202,Z202,AA202,AC202,AE202,AG202,AH202,AI202,AJ202,AK202,AL202,AM202,AO202,AP202,AQ202,AS202,AU202,AX202,AZ202,BB202,BC202,BE202,BG202,BH202,BI202,BK202,BL202,BM202,BN202,BP202,BR202,BT202,BV202)</f>
        <v>236961.07451084309</v>
      </c>
      <c r="CN202" s="103">
        <f t="shared" si="91"/>
        <v>4.3219646193190679E-2</v>
      </c>
      <c r="CO202" s="110">
        <f t="shared" si="76"/>
        <v>4607325.2100840341</v>
      </c>
      <c r="CP202" s="107">
        <f t="shared" si="90"/>
        <v>875391.78991596645</v>
      </c>
      <c r="CQ202" s="106">
        <f>ROUNDUP(IF(CN202&lt;15%,CL202,CK202),0)</f>
        <v>5482717</v>
      </c>
      <c r="CR202" s="122">
        <f>+CQ202*E202</f>
        <v>5482717</v>
      </c>
      <c r="CS202" s="79" t="s">
        <v>731</v>
      </c>
    </row>
    <row r="203" spans="1:143" ht="263.64999999999998" customHeight="1">
      <c r="A203" s="90">
        <f t="shared" si="85"/>
        <v>188</v>
      </c>
      <c r="B203" s="63" t="s">
        <v>88</v>
      </c>
      <c r="C203" s="1" t="s">
        <v>117</v>
      </c>
      <c r="D203" s="63" t="s">
        <v>4</v>
      </c>
      <c r="E203" s="1">
        <v>300</v>
      </c>
      <c r="F203" s="1"/>
      <c r="G203" s="106"/>
      <c r="H203" s="106"/>
      <c r="I203" s="106"/>
      <c r="J203" s="106"/>
      <c r="K203" s="106"/>
      <c r="L203" s="106"/>
      <c r="M203" s="106"/>
      <c r="N203" s="106"/>
      <c r="O203" s="106"/>
      <c r="P203" s="106"/>
      <c r="Q203" s="106"/>
      <c r="R203" s="106"/>
      <c r="S203" s="106"/>
      <c r="T203" s="106"/>
      <c r="U203" s="106"/>
      <c r="V203" s="106"/>
      <c r="W203" s="106"/>
      <c r="X203" s="106"/>
      <c r="Y203" s="106"/>
      <c r="Z203" s="106"/>
      <c r="AA203" s="106"/>
      <c r="AB203" s="106"/>
      <c r="AC203" s="106"/>
      <c r="AD203" s="106"/>
      <c r="AE203" s="106"/>
      <c r="AF203" s="106"/>
      <c r="AG203" s="106"/>
      <c r="AH203" s="106"/>
      <c r="AI203" s="106"/>
      <c r="AJ203" s="106"/>
      <c r="AK203" s="106"/>
      <c r="AL203" s="106"/>
      <c r="AM203" s="106"/>
      <c r="AN203" s="106"/>
      <c r="AO203" s="106"/>
      <c r="AP203" s="106"/>
      <c r="AQ203" s="106"/>
      <c r="AR203" s="112">
        <v>27500</v>
      </c>
      <c r="AS203" s="112">
        <v>28903</v>
      </c>
      <c r="AT203" s="112">
        <v>29000</v>
      </c>
      <c r="AU203" s="112">
        <v>30479</v>
      </c>
      <c r="AV203" s="106"/>
      <c r="AW203" s="106"/>
      <c r="AX203" s="106"/>
      <c r="AY203" s="106"/>
      <c r="AZ203" s="106"/>
      <c r="BA203" s="106"/>
      <c r="BB203" s="106"/>
      <c r="BC203" s="106"/>
      <c r="BD203" s="106"/>
      <c r="BE203" s="106"/>
      <c r="BF203" s="106"/>
      <c r="BG203" s="106"/>
      <c r="BH203" s="106"/>
      <c r="BI203" s="106"/>
      <c r="BJ203" s="106"/>
      <c r="BK203" s="106"/>
      <c r="BL203" s="106"/>
      <c r="BM203" s="106"/>
      <c r="BN203" s="106"/>
      <c r="BO203" s="106"/>
      <c r="BP203" s="106"/>
      <c r="BQ203" s="106"/>
      <c r="BR203" s="106"/>
      <c r="BS203" s="106"/>
      <c r="BT203" s="106"/>
      <c r="BU203" s="112">
        <v>27000</v>
      </c>
      <c r="BV203" s="112">
        <v>28404</v>
      </c>
      <c r="BW203" s="112"/>
      <c r="BX203" s="112"/>
      <c r="BY203" s="112"/>
      <c r="BZ203" s="112"/>
      <c r="CA203" s="112"/>
      <c r="CB203" s="112"/>
      <c r="CC203" s="112"/>
      <c r="CD203" s="112"/>
      <c r="CE203" s="112"/>
      <c r="CF203" s="112"/>
      <c r="CG203" s="112"/>
      <c r="CH203" s="112"/>
      <c r="CI203" s="112"/>
      <c r="CJ203" s="112"/>
      <c r="CK203" s="109">
        <f>+MEDIAN(H203,I203,J203,K203,M203,M203,M203,O203,O203,Q203,S203,U203,W203,X203,Y203,Z203,AA203,AC203,AE203,AG203,AH203,AI203,AJ203,AK203,AL203,AM203,AO203,AP203,AQ203,AS203,AU203,AX203,AZ203,BB203,BC203,BE203,BG203,BH203,BI203,BK203,BL203,BM203,BN203,BP203,BR203,BT203,BV203)</f>
        <v>28903</v>
      </c>
      <c r="CL203" s="109">
        <f>+AVERAGE(H203,I203,J203,K203,M203,M203,M203,O203,O203,Q203,S203,U203,W203,X203,Y203,Z203,AA203,AC203,AE203,AG203,AH203,AI203,AJ203,AK203,AL203,AM203,AO203,AP203,AQ203,AS203,AU203,AX203,AZ203,BB203,BC203,BE203,BG203,BH203,BI203,BK203,BL203,BM203,BN203,BP203,BR203,BT203,BV203)</f>
        <v>29262</v>
      </c>
      <c r="CM203" s="109">
        <f>+STDEV(H203,I203,J203,K203,M203,M203,M203,O203,O203,Q203,S203,U203,W203,X203,Y203,Z203,AA203,AC203,AE203,AG203,AH203,AI203,AJ203,AK203,AL203,AM203,AO203,AP203,AQ203,AS203,AU203,AX203,AZ203,BB203,BC203,BE203,BG203,BH203,BI203,BK203,BL203,BM203,BN203,BP203,BR203,BT203,BV203)</f>
        <v>1083.0821760143594</v>
      </c>
      <c r="CN203" s="103">
        <f t="shared" si="91"/>
        <v>3.7013265532580122E-2</v>
      </c>
      <c r="CO203" s="110">
        <f>CQ203/1.08</f>
        <v>27094.444444444442</v>
      </c>
      <c r="CP203" s="107">
        <f>CO203*8%</f>
        <v>2167.5555555555552</v>
      </c>
      <c r="CQ203" s="106">
        <f>ROUNDUP(IF(CN203&lt;15%,CL203,CK203),0)</f>
        <v>29262</v>
      </c>
      <c r="CR203" s="122">
        <f>+CQ203*E203</f>
        <v>8778600</v>
      </c>
      <c r="CS203" s="79" t="s">
        <v>731</v>
      </c>
    </row>
    <row r="204" spans="1:143" ht="199.4" customHeight="1">
      <c r="A204" s="90">
        <f t="shared" si="85"/>
        <v>189</v>
      </c>
      <c r="B204" s="88" t="s">
        <v>16</v>
      </c>
      <c r="C204" s="1" t="s">
        <v>17</v>
      </c>
      <c r="D204" s="63" t="s">
        <v>4</v>
      </c>
      <c r="E204" s="1">
        <v>300</v>
      </c>
      <c r="F204" s="1"/>
      <c r="G204" s="106"/>
      <c r="H204" s="106"/>
      <c r="I204" s="106"/>
      <c r="J204" s="106"/>
      <c r="K204" s="106"/>
      <c r="L204" s="106"/>
      <c r="M204" s="106"/>
      <c r="N204" s="106">
        <v>25200</v>
      </c>
      <c r="O204" s="5">
        <f>+(N204*5.1%)+N204</f>
        <v>26485.200000000001</v>
      </c>
      <c r="P204" s="106"/>
      <c r="Q204" s="106"/>
      <c r="R204" s="106"/>
      <c r="S204" s="106"/>
      <c r="T204" s="106"/>
      <c r="U204" s="106"/>
      <c r="V204" s="106"/>
      <c r="W204" s="106"/>
      <c r="X204" s="106"/>
      <c r="Y204" s="106"/>
      <c r="Z204" s="106"/>
      <c r="AA204" s="106"/>
      <c r="AB204" s="106"/>
      <c r="AC204" s="106"/>
      <c r="AD204" s="106"/>
      <c r="AE204" s="106"/>
      <c r="AF204" s="106"/>
      <c r="AG204" s="106"/>
      <c r="AH204" s="106"/>
      <c r="AI204" s="106"/>
      <c r="AJ204" s="106"/>
      <c r="AK204" s="106"/>
      <c r="AL204" s="106"/>
      <c r="AM204" s="112">
        <v>26000</v>
      </c>
      <c r="AN204" s="106"/>
      <c r="AO204" s="106"/>
      <c r="AP204" s="106"/>
      <c r="AQ204" s="106"/>
      <c r="AR204" s="106"/>
      <c r="AS204" s="106"/>
      <c r="AT204" s="106">
        <v>27000</v>
      </c>
      <c r="AU204" s="106">
        <v>28377</v>
      </c>
      <c r="AV204" s="106"/>
      <c r="AW204" s="106"/>
      <c r="AX204" s="106"/>
      <c r="AY204" s="106"/>
      <c r="AZ204" s="106"/>
      <c r="BA204" s="106"/>
      <c r="BB204" s="106"/>
      <c r="BC204" s="106"/>
      <c r="BD204" s="106"/>
      <c r="BE204" s="106"/>
      <c r="BF204" s="106"/>
      <c r="BG204" s="106"/>
      <c r="BH204" s="106"/>
      <c r="BI204" s="106"/>
      <c r="BJ204" s="106"/>
      <c r="BK204" s="106"/>
      <c r="BL204" s="106"/>
      <c r="BM204" s="106"/>
      <c r="BN204" s="106"/>
      <c r="BO204" s="106"/>
      <c r="BP204" s="106"/>
      <c r="BQ204" s="106"/>
      <c r="BR204" s="106"/>
      <c r="BS204" s="106"/>
      <c r="BT204" s="106"/>
      <c r="BU204" s="106"/>
      <c r="BV204" s="106"/>
      <c r="BW204" s="106"/>
      <c r="BX204" s="106"/>
      <c r="BY204" s="106"/>
      <c r="BZ204" s="106"/>
      <c r="CA204" s="106"/>
      <c r="CB204" s="106"/>
      <c r="CC204" s="106"/>
      <c r="CD204" s="106"/>
      <c r="CE204" s="106"/>
      <c r="CF204" s="106"/>
      <c r="CG204" s="106"/>
      <c r="CH204" s="106"/>
      <c r="CI204" s="106"/>
      <c r="CJ204" s="106"/>
      <c r="CK204" s="109">
        <f>+MEDIAN(H204,I204,J204,K204,M204,M204,M204,O204,O204,Q204,S204,U204,W204,X204,Y204,Z204,AA204,AC204,AE204,AG204,AH204,AI204,AJ204,AK204,AL204,AM204,AO204,AP204,AQ204,AS204,AU204,AX204,AZ204,BB204,BC204,BE204,BG204,BH204,BI204,BK204,BL204,BM204,BN204,BP204,BR204,BT204,BV204)</f>
        <v>26485.200000000001</v>
      </c>
      <c r="CL204" s="109">
        <f>+AVERAGE(H204,I204,J204,K204,M204,M204,M204,O204,O204,Q204,S204,U204,W204,X204,Y204,Z204,AA204,AC204,AE204,AG204,AH204,AI204,AJ204,AK204,AL204,AM204,AO204,AP204,AQ204,AS204,AU204,AX204,AZ204,BB204,BC204,BE204,BG204,BH204,BI204,BK204,BL204,BM204,BN204,BP204,BR204,BT204,BV204)</f>
        <v>26836.85</v>
      </c>
      <c r="CM204" s="109">
        <f>+STDEV(H204,I204,J204,K204,M204,M204,M204,O204,O204,Q204,S204,U204,W204,X204,Y204,Z204,AA204,AC204,AE204,AG204,AH204,AI204,AJ204,AK204,AL204,AM204,AO204,AP204,AQ204,AS204,AU204,AX204,AZ204,BB204,BC204,BE204,BG204,BH204,BI204,BK204,BL204,BM204,BN204,BP204,BR204,BT204,BV204)</f>
        <v>1051.9339950776377</v>
      </c>
      <c r="CN204" s="103">
        <f t="shared" si="91"/>
        <v>3.9197372086427353E-2</v>
      </c>
      <c r="CO204" s="110">
        <f>CQ204/1.08</f>
        <v>24849.074074074073</v>
      </c>
      <c r="CP204" s="107">
        <f>CO204*8%</f>
        <v>1987.9259259259259</v>
      </c>
      <c r="CQ204" s="106">
        <f>ROUNDUP(IF(CN204&lt;15%,CL204,CK204),0)</f>
        <v>26837</v>
      </c>
      <c r="CR204" s="122">
        <f>+CQ204*E204</f>
        <v>8051100</v>
      </c>
      <c r="CS204" s="79" t="s">
        <v>731</v>
      </c>
    </row>
    <row r="205" spans="1:143" s="129" customFormat="1" ht="14.5">
      <c r="A205" s="345" t="s">
        <v>146</v>
      </c>
      <c r="B205" s="346"/>
      <c r="C205" s="346"/>
      <c r="D205" s="125"/>
      <c r="E205" s="125"/>
      <c r="F205" s="125"/>
      <c r="G205" s="114"/>
      <c r="H205" s="114"/>
      <c r="I205" s="114"/>
      <c r="J205" s="114"/>
      <c r="K205" s="114"/>
      <c r="L205" s="114"/>
      <c r="M205" s="114"/>
      <c r="N205" s="114"/>
      <c r="O205" s="114"/>
      <c r="P205" s="114"/>
      <c r="Q205" s="114"/>
      <c r="R205" s="114"/>
      <c r="S205" s="114"/>
      <c r="T205" s="114"/>
      <c r="U205" s="114"/>
      <c r="V205" s="114"/>
      <c r="W205" s="114"/>
      <c r="X205" s="114"/>
      <c r="Y205" s="114"/>
      <c r="Z205" s="114"/>
      <c r="AA205" s="114"/>
      <c r="AB205" s="114"/>
      <c r="AC205" s="114"/>
      <c r="AD205" s="114"/>
      <c r="AE205" s="114"/>
      <c r="AF205" s="114"/>
      <c r="AG205" s="114"/>
      <c r="AH205" s="114"/>
      <c r="AI205" s="114"/>
      <c r="AJ205" s="114"/>
      <c r="AK205" s="114"/>
      <c r="AL205" s="114"/>
      <c r="AM205" s="114"/>
      <c r="AN205" s="114"/>
      <c r="AO205" s="114"/>
      <c r="AP205" s="114"/>
      <c r="AQ205" s="114"/>
      <c r="AR205" s="114"/>
      <c r="AS205" s="114"/>
      <c r="AT205" s="114"/>
      <c r="AU205" s="114"/>
      <c r="AV205" s="114"/>
      <c r="AW205" s="114"/>
      <c r="AX205" s="114"/>
      <c r="AY205" s="114"/>
      <c r="AZ205" s="114"/>
      <c r="BA205" s="114"/>
      <c r="BB205" s="114"/>
      <c r="BC205" s="114"/>
      <c r="BD205" s="114"/>
      <c r="BE205" s="114"/>
      <c r="BF205" s="114"/>
      <c r="BG205" s="114"/>
      <c r="BH205" s="114"/>
      <c r="BI205" s="114"/>
      <c r="BJ205" s="114"/>
      <c r="BK205" s="114"/>
      <c r="BL205" s="114"/>
      <c r="BM205" s="114"/>
      <c r="BN205" s="114"/>
      <c r="BO205" s="114"/>
      <c r="BP205" s="114"/>
      <c r="BQ205" s="114"/>
      <c r="BR205" s="114"/>
      <c r="BS205" s="114"/>
      <c r="BT205" s="114"/>
      <c r="BU205" s="114"/>
      <c r="BV205" s="114"/>
      <c r="BW205" s="114"/>
      <c r="BX205" s="114"/>
      <c r="BY205" s="114"/>
      <c r="BZ205" s="114"/>
      <c r="CA205" s="114"/>
      <c r="CB205" s="114"/>
      <c r="CC205" s="114"/>
      <c r="CD205" s="114"/>
      <c r="CE205" s="114"/>
      <c r="CF205" s="114"/>
      <c r="CG205" s="114"/>
      <c r="CH205" s="114"/>
      <c r="CI205" s="114"/>
      <c r="CJ205" s="114"/>
      <c r="CK205" s="118"/>
      <c r="CL205" s="118"/>
      <c r="CM205" s="118"/>
      <c r="CN205" s="105"/>
      <c r="CO205" s="60"/>
      <c r="CP205" s="113"/>
      <c r="CQ205" s="113"/>
      <c r="CR205" s="116"/>
      <c r="CS205" s="13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row>
    <row r="206" spans="1:143" s="129" customFormat="1" ht="14.5">
      <c r="A206" s="345" t="s">
        <v>728</v>
      </c>
      <c r="B206" s="346"/>
      <c r="C206" s="346"/>
      <c r="D206" s="127"/>
      <c r="E206" s="127"/>
      <c r="F206" s="127"/>
      <c r="G206" s="117"/>
      <c r="H206" s="117"/>
      <c r="I206" s="117"/>
      <c r="J206" s="117"/>
      <c r="K206" s="117"/>
      <c r="L206" s="117"/>
      <c r="M206" s="117"/>
      <c r="N206" s="117"/>
      <c r="O206" s="117"/>
      <c r="P206" s="117"/>
      <c r="Q206" s="117"/>
      <c r="R206" s="117"/>
      <c r="S206" s="117"/>
      <c r="T206" s="117"/>
      <c r="U206" s="117"/>
      <c r="V206" s="117"/>
      <c r="W206" s="117"/>
      <c r="X206" s="117"/>
      <c r="Y206" s="117"/>
      <c r="Z206" s="117"/>
      <c r="AA206" s="117"/>
      <c r="AB206" s="117"/>
      <c r="AC206" s="117"/>
      <c r="AD206" s="117"/>
      <c r="AE206" s="117"/>
      <c r="AF206" s="117"/>
      <c r="AG206" s="117"/>
      <c r="AH206" s="117"/>
      <c r="AI206" s="117"/>
      <c r="AJ206" s="117"/>
      <c r="AK206" s="117"/>
      <c r="AL206" s="117"/>
      <c r="AM206" s="117"/>
      <c r="AN206" s="117"/>
      <c r="AO206" s="117"/>
      <c r="AP206" s="117"/>
      <c r="AQ206" s="117"/>
      <c r="AR206" s="117"/>
      <c r="AS206" s="117"/>
      <c r="AT206" s="117"/>
      <c r="AU206" s="117"/>
      <c r="AV206" s="117"/>
      <c r="AW206" s="117"/>
      <c r="AX206" s="117"/>
      <c r="AY206" s="117"/>
      <c r="AZ206" s="117"/>
      <c r="BA206" s="117"/>
      <c r="BB206" s="117"/>
      <c r="BC206" s="117"/>
      <c r="BD206" s="117"/>
      <c r="BE206" s="117"/>
      <c r="BF206" s="117"/>
      <c r="BG206" s="117"/>
      <c r="BH206" s="117"/>
      <c r="BI206" s="117"/>
      <c r="BJ206" s="117"/>
      <c r="BK206" s="117"/>
      <c r="BL206" s="117"/>
      <c r="BM206" s="117"/>
      <c r="BN206" s="117"/>
      <c r="BO206" s="117"/>
      <c r="BP206" s="117"/>
      <c r="BQ206" s="117"/>
      <c r="BR206" s="117"/>
      <c r="BS206" s="117"/>
      <c r="BT206" s="117"/>
      <c r="BU206" s="117"/>
      <c r="BV206" s="117"/>
      <c r="BW206" s="117"/>
      <c r="BX206" s="117"/>
      <c r="BY206" s="117"/>
      <c r="BZ206" s="117"/>
      <c r="CA206" s="117"/>
      <c r="CB206" s="117"/>
      <c r="CC206" s="117"/>
      <c r="CD206" s="117"/>
      <c r="CE206" s="117"/>
      <c r="CF206" s="117"/>
      <c r="CG206" s="117"/>
      <c r="CH206" s="117"/>
      <c r="CI206" s="117"/>
      <c r="CJ206" s="117"/>
      <c r="CK206" s="118"/>
      <c r="CL206" s="118"/>
      <c r="CM206" s="118"/>
      <c r="CN206" s="105"/>
      <c r="CO206" s="60"/>
      <c r="CP206" s="113"/>
      <c r="CQ206" s="113"/>
      <c r="CR206" s="116"/>
      <c r="CS206" s="13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row>
    <row r="207" spans="1:143" ht="103.9" customHeight="1">
      <c r="A207" s="90">
        <f>+A204+1</f>
        <v>190</v>
      </c>
      <c r="B207" s="63" t="s">
        <v>47</v>
      </c>
      <c r="C207" s="1" t="s">
        <v>920</v>
      </c>
      <c r="D207" s="63" t="s">
        <v>308</v>
      </c>
      <c r="E207" s="1">
        <v>4</v>
      </c>
      <c r="F207" s="1">
        <v>3</v>
      </c>
      <c r="G207" s="106">
        <v>3095000</v>
      </c>
      <c r="H207" s="106"/>
      <c r="I207" s="106"/>
      <c r="J207" s="106"/>
      <c r="K207" s="106"/>
      <c r="L207" s="106"/>
      <c r="M207" s="106"/>
      <c r="N207" s="106"/>
      <c r="O207" s="106"/>
      <c r="P207" s="106"/>
      <c r="Q207" s="325"/>
      <c r="R207" s="106"/>
      <c r="S207" s="106"/>
      <c r="T207" s="106"/>
      <c r="U207" s="106"/>
      <c r="V207" s="106"/>
      <c r="W207" s="106"/>
      <c r="X207" s="106"/>
      <c r="Y207" s="106"/>
      <c r="Z207" s="106"/>
      <c r="AA207" s="106"/>
      <c r="AB207" s="106"/>
      <c r="AC207" s="106"/>
      <c r="AD207" s="106"/>
      <c r="AE207" s="106"/>
      <c r="AF207" s="106"/>
      <c r="AG207" s="106"/>
      <c r="AH207" s="106"/>
      <c r="AI207" s="106"/>
      <c r="AJ207" s="106"/>
      <c r="AK207" s="106"/>
      <c r="AL207" s="106"/>
      <c r="AM207" s="106"/>
      <c r="AN207" s="106"/>
      <c r="AO207" s="106"/>
      <c r="AP207" s="106"/>
      <c r="AQ207" s="106"/>
      <c r="AR207" s="106"/>
      <c r="AS207" s="106"/>
      <c r="AT207" s="106"/>
      <c r="AU207" s="106"/>
      <c r="AV207" s="106"/>
      <c r="AW207" s="106"/>
      <c r="AX207" s="106"/>
      <c r="AY207" s="106"/>
      <c r="AZ207" s="106"/>
      <c r="BA207" s="106"/>
      <c r="BB207" s="106"/>
      <c r="BC207" s="106"/>
      <c r="BD207" s="106"/>
      <c r="BE207" s="106"/>
      <c r="BF207" s="106"/>
      <c r="BG207" s="106"/>
      <c r="BH207" s="106"/>
      <c r="BI207" s="106"/>
      <c r="BJ207" s="106"/>
      <c r="BK207" s="106"/>
      <c r="BL207" s="106"/>
      <c r="BM207" s="106"/>
      <c r="BN207" s="106"/>
      <c r="BO207" s="106"/>
      <c r="BP207" s="106"/>
      <c r="BQ207" s="106"/>
      <c r="BR207" s="106"/>
      <c r="BS207" s="106"/>
      <c r="BT207" s="106"/>
      <c r="BU207" s="106"/>
      <c r="BV207" s="106"/>
      <c r="BW207" s="106"/>
      <c r="BX207" s="106"/>
      <c r="BY207" s="106"/>
      <c r="BZ207" s="106"/>
      <c r="CA207" s="106"/>
      <c r="CB207" s="106"/>
      <c r="CC207" s="106"/>
      <c r="CD207" s="106"/>
      <c r="CE207" s="106"/>
      <c r="CF207" s="106"/>
      <c r="CG207" s="106"/>
      <c r="CH207" s="106"/>
      <c r="CI207" s="106"/>
      <c r="CJ207" s="106"/>
      <c r="CK207" s="109"/>
      <c r="CL207" s="109"/>
      <c r="CM207" s="109"/>
      <c r="CN207" s="103"/>
      <c r="CO207" s="107">
        <f>CQ207/1.19</f>
        <v>2600840.3361344538</v>
      </c>
      <c r="CP207" s="107">
        <f>+CO207*19%</f>
        <v>494159.66386554623</v>
      </c>
      <c r="CQ207" s="106">
        <f>+G207</f>
        <v>3095000</v>
      </c>
      <c r="CR207" s="122">
        <f>+CQ207*E207*F207</f>
        <v>37140000</v>
      </c>
      <c r="CS207" s="89" t="s">
        <v>730</v>
      </c>
    </row>
    <row r="208" spans="1:143" ht="94.9" customHeight="1">
      <c r="A208" s="90">
        <f>+A207+1</f>
        <v>191</v>
      </c>
      <c r="B208" s="63" t="s">
        <v>48</v>
      </c>
      <c r="C208" s="1" t="s">
        <v>921</v>
      </c>
      <c r="D208" s="63" t="s">
        <v>308</v>
      </c>
      <c r="E208" s="1">
        <v>4</v>
      </c>
      <c r="F208" s="1">
        <v>3</v>
      </c>
      <c r="G208" s="106">
        <v>3095000</v>
      </c>
      <c r="H208" s="106"/>
      <c r="I208" s="106"/>
      <c r="J208" s="106"/>
      <c r="K208" s="106"/>
      <c r="L208" s="106"/>
      <c r="M208" s="106"/>
      <c r="N208" s="106"/>
      <c r="O208" s="106"/>
      <c r="P208" s="106"/>
      <c r="Q208" s="325"/>
      <c r="R208" s="106"/>
      <c r="S208" s="106"/>
      <c r="T208" s="106"/>
      <c r="U208" s="106"/>
      <c r="V208" s="106"/>
      <c r="W208" s="106"/>
      <c r="X208" s="106"/>
      <c r="Y208" s="106"/>
      <c r="Z208" s="106"/>
      <c r="AA208" s="106"/>
      <c r="AB208" s="106"/>
      <c r="AC208" s="106"/>
      <c r="AD208" s="106"/>
      <c r="AE208" s="106"/>
      <c r="AF208" s="106"/>
      <c r="AG208" s="106"/>
      <c r="AH208" s="106"/>
      <c r="AI208" s="106"/>
      <c r="AJ208" s="106"/>
      <c r="AK208" s="106"/>
      <c r="AL208" s="106"/>
      <c r="AM208" s="106"/>
      <c r="AN208" s="106"/>
      <c r="AO208" s="106"/>
      <c r="AP208" s="106"/>
      <c r="AQ208" s="106"/>
      <c r="AR208" s="106"/>
      <c r="AS208" s="106"/>
      <c r="AT208" s="106"/>
      <c r="AU208" s="106"/>
      <c r="AV208" s="106"/>
      <c r="AW208" s="106"/>
      <c r="AX208" s="106"/>
      <c r="AY208" s="106"/>
      <c r="AZ208" s="106"/>
      <c r="BA208" s="106"/>
      <c r="BB208" s="106"/>
      <c r="BC208" s="106"/>
      <c r="BD208" s="106"/>
      <c r="BE208" s="106"/>
      <c r="BF208" s="106"/>
      <c r="BG208" s="106"/>
      <c r="BH208" s="106"/>
      <c r="BI208" s="106"/>
      <c r="BJ208" s="106"/>
      <c r="BK208" s="106"/>
      <c r="BL208" s="106"/>
      <c r="BM208" s="106"/>
      <c r="BN208" s="106"/>
      <c r="BO208" s="106"/>
      <c r="BP208" s="106"/>
      <c r="BQ208" s="106"/>
      <c r="BR208" s="106"/>
      <c r="BS208" s="106"/>
      <c r="BT208" s="106"/>
      <c r="BU208" s="106"/>
      <c r="BV208" s="106"/>
      <c r="BW208" s="106"/>
      <c r="BX208" s="106"/>
      <c r="BY208" s="106"/>
      <c r="BZ208" s="106"/>
      <c r="CA208" s="106"/>
      <c r="CB208" s="106"/>
      <c r="CC208" s="106"/>
      <c r="CD208" s="106"/>
      <c r="CE208" s="106"/>
      <c r="CF208" s="106"/>
      <c r="CG208" s="106"/>
      <c r="CH208" s="106"/>
      <c r="CI208" s="106"/>
      <c r="CJ208" s="106"/>
      <c r="CK208" s="109"/>
      <c r="CL208" s="109"/>
      <c r="CM208" s="109"/>
      <c r="CN208" s="103"/>
      <c r="CO208" s="107">
        <f>CQ208/1.19</f>
        <v>2600840.3361344538</v>
      </c>
      <c r="CP208" s="107">
        <f>+CO208*19%</f>
        <v>494159.66386554623</v>
      </c>
      <c r="CQ208" s="106">
        <f>+G208</f>
        <v>3095000</v>
      </c>
      <c r="CR208" s="122">
        <f>+CQ208*E208*F208</f>
        <v>37140000</v>
      </c>
      <c r="CS208" s="89" t="s">
        <v>730</v>
      </c>
    </row>
    <row r="209" spans="1:97" ht="110.65" customHeight="1">
      <c r="A209" s="90">
        <f t="shared" ref="A209:A247" si="92">+A208+1</f>
        <v>192</v>
      </c>
      <c r="B209" s="88" t="s">
        <v>39</v>
      </c>
      <c r="C209" s="1" t="s">
        <v>276</v>
      </c>
      <c r="D209" s="91" t="s">
        <v>750</v>
      </c>
      <c r="E209" s="1">
        <v>2</v>
      </c>
      <c r="F209" s="1">
        <v>2</v>
      </c>
      <c r="G209" s="106"/>
      <c r="H209" s="106"/>
      <c r="I209" s="106"/>
      <c r="J209" s="106"/>
      <c r="K209" s="106"/>
      <c r="L209" s="106">
        <v>200000</v>
      </c>
      <c r="M209" s="106">
        <f>+((L209/1.19*23%)+L209)</f>
        <v>238655.46218487396</v>
      </c>
      <c r="N209" s="106">
        <v>210000</v>
      </c>
      <c r="O209" s="106">
        <f>+((N209/1.19*23%)+N209)</f>
        <v>250588.23529411765</v>
      </c>
      <c r="P209" s="106">
        <v>243000</v>
      </c>
      <c r="Q209" s="106">
        <f>+((P209/1.19*23%)+P209)</f>
        <v>289966.38655462186</v>
      </c>
      <c r="R209" s="106"/>
      <c r="S209" s="106"/>
      <c r="T209" s="106"/>
      <c r="U209" s="106"/>
      <c r="V209" s="106"/>
      <c r="W209" s="106"/>
      <c r="X209" s="106"/>
      <c r="Y209" s="106"/>
      <c r="Z209" s="106"/>
      <c r="AA209" s="106"/>
      <c r="AB209" s="106"/>
      <c r="AC209" s="106"/>
      <c r="AD209" s="106"/>
      <c r="AE209" s="106"/>
      <c r="AF209" s="106"/>
      <c r="AG209" s="106"/>
      <c r="AH209" s="106"/>
      <c r="AI209" s="106"/>
      <c r="AJ209" s="106"/>
      <c r="AK209" s="106"/>
      <c r="AL209" s="106"/>
      <c r="AM209" s="106"/>
      <c r="AN209" s="106"/>
      <c r="AO209" s="106"/>
      <c r="AP209" s="106"/>
      <c r="AQ209" s="106"/>
      <c r="AR209" s="106"/>
      <c r="AS209" s="106"/>
      <c r="AT209" s="106"/>
      <c r="AU209" s="106"/>
      <c r="AV209" s="106"/>
      <c r="AW209" s="106"/>
      <c r="AX209" s="106"/>
      <c r="AY209" s="106"/>
      <c r="AZ209" s="106"/>
      <c r="BA209" s="106"/>
      <c r="BB209" s="106"/>
      <c r="BC209" s="106"/>
      <c r="BD209" s="106"/>
      <c r="BE209" s="106"/>
      <c r="BF209" s="106"/>
      <c r="BG209" s="106"/>
      <c r="BH209" s="106"/>
      <c r="BI209" s="106"/>
      <c r="BJ209" s="106"/>
      <c r="BK209" s="106"/>
      <c r="BL209" s="106"/>
      <c r="BM209" s="106"/>
      <c r="BN209" s="106"/>
      <c r="BO209" s="106"/>
      <c r="BP209" s="106"/>
      <c r="BQ209" s="106"/>
      <c r="BR209" s="106"/>
      <c r="BS209" s="106"/>
      <c r="BT209" s="106"/>
      <c r="BU209" s="106"/>
      <c r="BV209" s="106"/>
      <c r="BW209" s="106"/>
      <c r="BX209" s="106"/>
      <c r="BY209" s="106"/>
      <c r="BZ209" s="106"/>
      <c r="CA209" s="106"/>
      <c r="CB209" s="106"/>
      <c r="CC209" s="106"/>
      <c r="CD209" s="106"/>
      <c r="CE209" s="106"/>
      <c r="CF209" s="106"/>
      <c r="CG209" s="106"/>
      <c r="CH209" s="106"/>
      <c r="CI209" s="106"/>
      <c r="CJ209" s="106"/>
      <c r="CK209" s="109">
        <f>+MEDIAN(M209,O209,Q209)</f>
        <v>250588.23529411765</v>
      </c>
      <c r="CL209" s="109">
        <f>+AVERAGE(M209,O209,Q209)</f>
        <v>259736.69467787116</v>
      </c>
      <c r="CM209" s="109">
        <f>+STDEV(M209,O209,Q209)</f>
        <v>26850.949177666658</v>
      </c>
      <c r="CN209" s="198">
        <f t="shared" ref="CN209:CN210" si="93">CM209/CL209</f>
        <v>0.10337757324188465</v>
      </c>
      <c r="CO209" s="5">
        <f t="shared" ref="CO209:CO210" si="94">CQ209/1.19</f>
        <v>218266.38655462186</v>
      </c>
      <c r="CP209" s="106">
        <f t="shared" ref="CP209:CP210" si="95">CO209*19%</f>
        <v>41470.613445378156</v>
      </c>
      <c r="CQ209" s="106">
        <f t="shared" ref="CQ209:CQ243" si="96">ROUNDUP(IF(CN209&lt;15%,CL209,CK209),0)</f>
        <v>259737</v>
      </c>
      <c r="CR209" s="122">
        <f>+CQ209*E209*F209</f>
        <v>1038948</v>
      </c>
      <c r="CS209" s="79" t="s">
        <v>731</v>
      </c>
    </row>
    <row r="210" spans="1:97" ht="111.65" customHeight="1">
      <c r="A210" s="90">
        <f t="shared" si="92"/>
        <v>193</v>
      </c>
      <c r="B210" s="63" t="s">
        <v>60</v>
      </c>
      <c r="C210" s="1" t="s">
        <v>911</v>
      </c>
      <c r="D210" s="91" t="s">
        <v>750</v>
      </c>
      <c r="E210" s="1">
        <v>16</v>
      </c>
      <c r="F210" s="1">
        <v>17</v>
      </c>
      <c r="G210" s="106"/>
      <c r="H210" s="106"/>
      <c r="I210" s="106"/>
      <c r="J210" s="106"/>
      <c r="K210" s="106"/>
      <c r="L210" s="106">
        <v>115000</v>
      </c>
      <c r="M210" s="106">
        <f>+((L210/1.19*23%)+L210)</f>
        <v>137226.89075630251</v>
      </c>
      <c r="N210" s="106">
        <v>120000</v>
      </c>
      <c r="O210" s="106">
        <f>+((N210/1.19*23%)+N210)</f>
        <v>143193.27731092437</v>
      </c>
      <c r="P210" s="106">
        <v>148000</v>
      </c>
      <c r="Q210" s="106">
        <f>+((P210/1.19*23%)+P210)</f>
        <v>176605.04201680672</v>
      </c>
      <c r="R210" s="106"/>
      <c r="S210" s="106"/>
      <c r="T210" s="106"/>
      <c r="U210" s="106"/>
      <c r="V210" s="106"/>
      <c r="W210" s="106"/>
      <c r="X210" s="106"/>
      <c r="Y210" s="106"/>
      <c r="Z210" s="106"/>
      <c r="AA210" s="106"/>
      <c r="AB210" s="106"/>
      <c r="AC210" s="106"/>
      <c r="AD210" s="106"/>
      <c r="AE210" s="106"/>
      <c r="AF210" s="106"/>
      <c r="AG210" s="106"/>
      <c r="AH210" s="106"/>
      <c r="AI210" s="106"/>
      <c r="AJ210" s="106"/>
      <c r="AK210" s="106"/>
      <c r="AL210" s="106"/>
      <c r="AM210" s="106"/>
      <c r="AN210" s="106"/>
      <c r="AO210" s="106"/>
      <c r="AP210" s="106"/>
      <c r="AQ210" s="106"/>
      <c r="AR210" s="106"/>
      <c r="AS210" s="106"/>
      <c r="AT210" s="106"/>
      <c r="AU210" s="106"/>
      <c r="AV210" s="106"/>
      <c r="AW210" s="106"/>
      <c r="AX210" s="106"/>
      <c r="AY210" s="106"/>
      <c r="AZ210" s="106"/>
      <c r="BA210" s="106"/>
      <c r="BB210" s="106"/>
      <c r="BC210" s="106"/>
      <c r="BD210" s="106"/>
      <c r="BE210" s="106"/>
      <c r="BF210" s="106"/>
      <c r="BG210" s="106"/>
      <c r="BH210" s="106"/>
      <c r="BI210" s="106"/>
      <c r="BJ210" s="106"/>
      <c r="BK210" s="106"/>
      <c r="BL210" s="106"/>
      <c r="BM210" s="106"/>
      <c r="BN210" s="106"/>
      <c r="BO210" s="106"/>
      <c r="BP210" s="106"/>
      <c r="BQ210" s="106"/>
      <c r="BR210" s="106"/>
      <c r="BS210" s="106"/>
      <c r="BT210" s="106"/>
      <c r="BU210" s="106"/>
      <c r="BV210" s="106"/>
      <c r="BW210" s="106"/>
      <c r="BX210" s="106"/>
      <c r="BY210" s="106"/>
      <c r="BZ210" s="106"/>
      <c r="CA210" s="106"/>
      <c r="CB210" s="106"/>
      <c r="CC210" s="106"/>
      <c r="CD210" s="106"/>
      <c r="CE210" s="106"/>
      <c r="CF210" s="106"/>
      <c r="CG210" s="106"/>
      <c r="CH210" s="106"/>
      <c r="CI210" s="106"/>
      <c r="CJ210" s="106"/>
      <c r="CK210" s="109">
        <f>+MEDIAN(M210,O210,Q210)</f>
        <v>143193.27731092437</v>
      </c>
      <c r="CL210" s="109">
        <f>+AVERAGE(M210,O210,Q210)</f>
        <v>152341.73669467788</v>
      </c>
      <c r="CM210" s="109">
        <f>+STDEV(M210,O210,Q210)</f>
        <v>21223.346366582569</v>
      </c>
      <c r="CN210" s="198">
        <f t="shared" si="93"/>
        <v>0.13931406341466512</v>
      </c>
      <c r="CO210" s="5">
        <f t="shared" si="94"/>
        <v>128018.48739495799</v>
      </c>
      <c r="CP210" s="106">
        <f t="shared" si="95"/>
        <v>24323.512605042019</v>
      </c>
      <c r="CQ210" s="106">
        <f t="shared" si="96"/>
        <v>152342</v>
      </c>
      <c r="CR210" s="122">
        <f>+CQ210*E210*F210</f>
        <v>41437024</v>
      </c>
      <c r="CS210" s="79" t="s">
        <v>731</v>
      </c>
    </row>
    <row r="211" spans="1:97" ht="87">
      <c r="A211" s="90">
        <f t="shared" si="92"/>
        <v>194</v>
      </c>
      <c r="B211" s="63" t="s">
        <v>46</v>
      </c>
      <c r="C211" s="1" t="s">
        <v>912</v>
      </c>
      <c r="D211" s="91" t="s">
        <v>789</v>
      </c>
      <c r="E211" s="1">
        <v>3</v>
      </c>
      <c r="F211" s="1"/>
      <c r="G211" s="106"/>
      <c r="H211" s="106"/>
      <c r="I211" s="106"/>
      <c r="J211" s="106"/>
      <c r="K211" s="106"/>
      <c r="L211" s="326">
        <v>530000</v>
      </c>
      <c r="M211" s="326">
        <f>+((L211/1.19)*23%)+L211</f>
        <v>632436.97478991596</v>
      </c>
      <c r="N211" s="326">
        <v>540000</v>
      </c>
      <c r="O211" s="326">
        <f>+((N211)*23%)+N211</f>
        <v>664200</v>
      </c>
      <c r="P211" s="326">
        <v>600000</v>
      </c>
      <c r="Q211" s="326">
        <f>+((P211)*23%)+P211</f>
        <v>738000</v>
      </c>
      <c r="R211" s="106"/>
      <c r="S211" s="106"/>
      <c r="T211" s="106"/>
      <c r="U211" s="106"/>
      <c r="V211" s="106"/>
      <c r="W211" s="106"/>
      <c r="X211" s="106"/>
      <c r="Y211" s="106"/>
      <c r="Z211" s="106"/>
      <c r="AA211" s="106"/>
      <c r="AB211" s="106"/>
      <c r="AC211" s="106"/>
      <c r="AD211" s="106"/>
      <c r="AE211" s="106"/>
      <c r="AF211" s="106"/>
      <c r="AG211" s="106"/>
      <c r="AH211" s="106"/>
      <c r="AI211" s="106"/>
      <c r="AJ211" s="106"/>
      <c r="AK211" s="106"/>
      <c r="AL211" s="106"/>
      <c r="AM211" s="106"/>
      <c r="AN211" s="106"/>
      <c r="AO211" s="106"/>
      <c r="AP211" s="106"/>
      <c r="AQ211" s="106"/>
      <c r="AR211" s="106"/>
      <c r="AS211" s="106"/>
      <c r="AT211" s="106"/>
      <c r="AU211" s="106"/>
      <c r="AV211" s="106"/>
      <c r="AW211" s="106"/>
      <c r="AX211" s="106"/>
      <c r="AY211" s="106"/>
      <c r="AZ211" s="106"/>
      <c r="BA211" s="106"/>
      <c r="BB211" s="106"/>
      <c r="BC211" s="106"/>
      <c r="BD211" s="106"/>
      <c r="BE211" s="106"/>
      <c r="BF211" s="106"/>
      <c r="BG211" s="106"/>
      <c r="BH211" s="106"/>
      <c r="BI211" s="106"/>
      <c r="BJ211" s="106"/>
      <c r="BK211" s="106"/>
      <c r="BL211" s="106"/>
      <c r="BM211" s="106"/>
      <c r="BN211" s="106"/>
      <c r="BO211" s="106"/>
      <c r="BP211" s="106"/>
      <c r="BQ211" s="106"/>
      <c r="BR211" s="106"/>
      <c r="BS211" s="106"/>
      <c r="BT211" s="106"/>
      <c r="BU211" s="106"/>
      <c r="BV211" s="106"/>
      <c r="BW211" s="106"/>
      <c r="BX211" s="106"/>
      <c r="BY211" s="106"/>
      <c r="BZ211" s="106"/>
      <c r="CA211" s="106"/>
      <c r="CB211" s="106"/>
      <c r="CC211" s="106"/>
      <c r="CD211" s="106"/>
      <c r="CE211" s="106"/>
      <c r="CF211" s="106"/>
      <c r="CG211" s="106"/>
      <c r="CH211" s="106"/>
      <c r="CI211" s="106"/>
      <c r="CJ211" s="106"/>
      <c r="CK211" s="109">
        <f>+MEDIAN(M211,O211,Q211)</f>
        <v>664200</v>
      </c>
      <c r="CL211" s="109">
        <f>+AVERAGE(M211,O211,Q211)</f>
        <v>678212.32492997206</v>
      </c>
      <c r="CM211" s="109">
        <f>+STDEV(M211,O211,Q211)</f>
        <v>54158.53589540199</v>
      </c>
      <c r="CN211" s="103">
        <f t="shared" ref="CN211" si="97">CM211/CL211</f>
        <v>7.985483882351159E-2</v>
      </c>
      <c r="CO211" s="5">
        <f>CQ211</f>
        <v>678213</v>
      </c>
      <c r="CP211" s="106"/>
      <c r="CQ211" s="106">
        <f t="shared" si="96"/>
        <v>678213</v>
      </c>
      <c r="CR211" s="122">
        <f t="shared" ref="CR211:CR241" si="98">+CQ211*E211</f>
        <v>2034639</v>
      </c>
      <c r="CS211" s="79" t="s">
        <v>731</v>
      </c>
    </row>
    <row r="212" spans="1:97" ht="90.65" customHeight="1">
      <c r="A212" s="90">
        <f t="shared" si="92"/>
        <v>195</v>
      </c>
      <c r="B212" s="63" t="s">
        <v>715</v>
      </c>
      <c r="C212" s="1" t="s">
        <v>716</v>
      </c>
      <c r="D212" s="63" t="s">
        <v>4</v>
      </c>
      <c r="E212" s="1">
        <v>20</v>
      </c>
      <c r="F212" s="1"/>
      <c r="G212" s="106"/>
      <c r="H212" s="106"/>
      <c r="I212" s="106"/>
      <c r="J212" s="106"/>
      <c r="K212" s="106"/>
      <c r="L212" s="106"/>
      <c r="M212" s="106"/>
      <c r="N212" s="106"/>
      <c r="O212" s="106"/>
      <c r="P212" s="106"/>
      <c r="Q212" s="106"/>
      <c r="R212" s="106"/>
      <c r="S212" s="106"/>
      <c r="T212" s="106"/>
      <c r="U212" s="106"/>
      <c r="V212" s="106"/>
      <c r="W212" s="106"/>
      <c r="X212" s="112">
        <v>540000</v>
      </c>
      <c r="Y212" s="112">
        <v>600000</v>
      </c>
      <c r="Z212" s="112">
        <v>600000</v>
      </c>
      <c r="AA212" s="112"/>
      <c r="AB212" s="112"/>
      <c r="AC212" s="112"/>
      <c r="AD212" s="112"/>
      <c r="AE212" s="112"/>
      <c r="AF212" s="112"/>
      <c r="AG212" s="112"/>
      <c r="AH212" s="112"/>
      <c r="AI212" s="112"/>
      <c r="AJ212" s="112"/>
      <c r="AK212" s="112"/>
      <c r="AL212" s="112"/>
      <c r="AM212" s="112"/>
      <c r="AN212" s="112"/>
      <c r="AO212" s="112"/>
      <c r="AP212" s="112"/>
      <c r="AQ212" s="112"/>
      <c r="AR212" s="112"/>
      <c r="AS212" s="112"/>
      <c r="AT212" s="112"/>
      <c r="AU212" s="112"/>
      <c r="AV212" s="112"/>
      <c r="AW212" s="112"/>
      <c r="AX212" s="112"/>
      <c r="AY212" s="112"/>
      <c r="AZ212" s="112"/>
      <c r="BA212" s="112"/>
      <c r="BB212" s="112"/>
      <c r="BC212" s="112"/>
      <c r="BD212" s="112"/>
      <c r="BE212" s="112"/>
      <c r="BF212" s="112"/>
      <c r="BG212" s="112"/>
      <c r="BH212" s="112"/>
      <c r="BI212" s="112"/>
      <c r="BJ212" s="112"/>
      <c r="BK212" s="112"/>
      <c r="BL212" s="112"/>
      <c r="BM212" s="112"/>
      <c r="BN212" s="112"/>
      <c r="BO212" s="112"/>
      <c r="BP212" s="112"/>
      <c r="BQ212" s="112"/>
      <c r="BR212" s="112"/>
      <c r="BS212" s="112"/>
      <c r="BT212" s="112"/>
      <c r="BU212" s="112"/>
      <c r="BV212" s="112"/>
      <c r="BW212" s="112"/>
      <c r="BX212" s="112"/>
      <c r="BY212" s="112"/>
      <c r="BZ212" s="112"/>
      <c r="CA212" s="112"/>
      <c r="CB212" s="112"/>
      <c r="CC212" s="112"/>
      <c r="CD212" s="112"/>
      <c r="CE212" s="112"/>
      <c r="CF212" s="112"/>
      <c r="CG212" s="112"/>
      <c r="CH212" s="112"/>
      <c r="CI212" s="112"/>
      <c r="CJ212" s="112"/>
      <c r="CK212" s="109">
        <f t="shared" ref="CK212:CK244" si="99">+MEDIAN(H212,I212,J212,K212,M212,M212,M212,O212,O212,Q212,S212,U212,W212,X212,Y212,Z212,AA212,AC212,AE212,AG212,AH212,AI212,AJ212,AK212,AL212,AM212,AO212,AP212,AQ212,AS212,AU212,AX212,AZ212,BB212,BC212,BE212,BG212,BH212,BI212,BK212,BL212,BM212,BN212,BP212,BR212,BT212,BV212)</f>
        <v>600000</v>
      </c>
      <c r="CL212" s="109">
        <f t="shared" ref="CL212:CL244" si="100">+AVERAGE(H212,I212,J212,K212,M212,M212,M212,O212,O212,Q212,S212,U212,W212,X212,Y212,Z212,AA212,AC212,AE212,AG212,AH212,AI212,AJ212,AK212,AL212,AM212,AO212,AP212,AQ212,AS212,AU212,AX212,AZ212,BB212,BC212,BE212,BG212,BH212,BI212,BK212,BL212,BM212,BN212,BP212,BR212,BT212,BV212)</f>
        <v>580000</v>
      </c>
      <c r="CM212" s="109">
        <f t="shared" ref="CM212:CM244" si="101">+STDEV(H212,I212,J212,K212,M212,M212,M212,O212,O212,Q212,S212,U212,W212,X212,Y212,Z212,AA212,AC212,AE212,AG212,AH212,AI212,AJ212,AK212,AL212,AM212,AO212,AP212,AQ212,AS212,AU212,AX212,AZ212,BB212,BC212,BE212,BG212,BH212,BI212,BK212,BL212,BM212,BN212,BP212,BR212,BT212,BV212)</f>
        <v>34641.016151377546</v>
      </c>
      <c r="CN212" s="103">
        <f t="shared" si="91"/>
        <v>5.972588991616818E-2</v>
      </c>
      <c r="CO212" s="110">
        <f t="shared" ref="CO212:CO243" si="102">CQ212/1.19</f>
        <v>487394.95798319328</v>
      </c>
      <c r="CP212" s="107">
        <f t="shared" si="90"/>
        <v>92605.042016806721</v>
      </c>
      <c r="CQ212" s="106">
        <f t="shared" si="96"/>
        <v>580000</v>
      </c>
      <c r="CR212" s="122">
        <f t="shared" si="98"/>
        <v>11600000</v>
      </c>
      <c r="CS212" s="79" t="s">
        <v>167</v>
      </c>
    </row>
    <row r="213" spans="1:97" ht="103.9" customHeight="1">
      <c r="A213" s="90">
        <f t="shared" si="92"/>
        <v>196</v>
      </c>
      <c r="B213" s="63" t="s">
        <v>717</v>
      </c>
      <c r="C213" s="1" t="s">
        <v>718</v>
      </c>
      <c r="D213" s="63" t="s">
        <v>4</v>
      </c>
      <c r="E213" s="1">
        <v>20</v>
      </c>
      <c r="F213" s="1"/>
      <c r="G213" s="106"/>
      <c r="H213" s="106"/>
      <c r="I213" s="106"/>
      <c r="J213" s="106"/>
      <c r="K213" s="106"/>
      <c r="L213" s="106"/>
      <c r="M213" s="106"/>
      <c r="N213" s="106"/>
      <c r="O213" s="106"/>
      <c r="P213" s="106"/>
      <c r="Q213" s="106"/>
      <c r="R213" s="106"/>
      <c r="S213" s="106"/>
      <c r="T213" s="106"/>
      <c r="U213" s="106"/>
      <c r="V213" s="106"/>
      <c r="W213" s="106"/>
      <c r="X213" s="112">
        <v>350000</v>
      </c>
      <c r="Y213" s="112">
        <v>380000</v>
      </c>
      <c r="Z213" s="112">
        <v>390000</v>
      </c>
      <c r="AA213" s="112"/>
      <c r="AB213" s="112"/>
      <c r="AC213" s="112"/>
      <c r="AD213" s="112"/>
      <c r="AE213" s="112"/>
      <c r="AF213" s="112"/>
      <c r="AG213" s="112"/>
      <c r="AH213" s="112"/>
      <c r="AI213" s="112"/>
      <c r="AJ213" s="112"/>
      <c r="AK213" s="112"/>
      <c r="AL213" s="112"/>
      <c r="AM213" s="112"/>
      <c r="AN213" s="112"/>
      <c r="AO213" s="112"/>
      <c r="AP213" s="112"/>
      <c r="AQ213" s="112"/>
      <c r="AR213" s="112"/>
      <c r="AS213" s="112"/>
      <c r="AT213" s="112"/>
      <c r="AU213" s="112"/>
      <c r="AV213" s="112"/>
      <c r="AW213" s="112"/>
      <c r="AX213" s="112"/>
      <c r="AY213" s="112"/>
      <c r="AZ213" s="112"/>
      <c r="BA213" s="112"/>
      <c r="BB213" s="112"/>
      <c r="BC213" s="112"/>
      <c r="BD213" s="112"/>
      <c r="BE213" s="112"/>
      <c r="BF213" s="112"/>
      <c r="BG213" s="112"/>
      <c r="BH213" s="112"/>
      <c r="BI213" s="112"/>
      <c r="BJ213" s="112"/>
      <c r="BK213" s="112"/>
      <c r="BL213" s="112"/>
      <c r="BM213" s="112"/>
      <c r="BN213" s="112"/>
      <c r="BO213" s="112"/>
      <c r="BP213" s="112"/>
      <c r="BQ213" s="112"/>
      <c r="BR213" s="112"/>
      <c r="BS213" s="112"/>
      <c r="BT213" s="112"/>
      <c r="BU213" s="112"/>
      <c r="BV213" s="112"/>
      <c r="BW213" s="112"/>
      <c r="BX213" s="112"/>
      <c r="BY213" s="112"/>
      <c r="BZ213" s="112"/>
      <c r="CA213" s="112"/>
      <c r="CB213" s="112"/>
      <c r="CC213" s="112"/>
      <c r="CD213" s="112"/>
      <c r="CE213" s="112"/>
      <c r="CF213" s="112"/>
      <c r="CG213" s="112"/>
      <c r="CH213" s="112"/>
      <c r="CI213" s="112"/>
      <c r="CJ213" s="112"/>
      <c r="CK213" s="109">
        <f t="shared" si="99"/>
        <v>380000</v>
      </c>
      <c r="CL213" s="109">
        <f t="shared" si="100"/>
        <v>373333.33333333331</v>
      </c>
      <c r="CM213" s="109">
        <f t="shared" si="101"/>
        <v>20816.659994661328</v>
      </c>
      <c r="CN213" s="103">
        <f t="shared" si="91"/>
        <v>5.5758910699985703E-2</v>
      </c>
      <c r="CO213" s="110">
        <f t="shared" si="102"/>
        <v>313726.05042016809</v>
      </c>
      <c r="CP213" s="107">
        <f t="shared" si="90"/>
        <v>59607.94957983194</v>
      </c>
      <c r="CQ213" s="106">
        <f t="shared" si="96"/>
        <v>373334</v>
      </c>
      <c r="CR213" s="122">
        <f t="shared" si="98"/>
        <v>7466680</v>
      </c>
      <c r="CS213" s="79" t="s">
        <v>167</v>
      </c>
    </row>
    <row r="214" spans="1:97" ht="94.9" customHeight="1">
      <c r="A214" s="90">
        <f t="shared" si="92"/>
        <v>197</v>
      </c>
      <c r="B214" s="63" t="s">
        <v>719</v>
      </c>
      <c r="C214" s="1" t="s">
        <v>720</v>
      </c>
      <c r="D214" s="63" t="s">
        <v>4</v>
      </c>
      <c r="E214" s="1">
        <v>20</v>
      </c>
      <c r="F214" s="1"/>
      <c r="G214" s="106"/>
      <c r="H214" s="106"/>
      <c r="I214" s="106"/>
      <c r="J214" s="106"/>
      <c r="K214" s="106"/>
      <c r="L214" s="106"/>
      <c r="M214" s="106"/>
      <c r="N214" s="106"/>
      <c r="O214" s="106"/>
      <c r="P214" s="106"/>
      <c r="Q214" s="106"/>
      <c r="R214" s="106"/>
      <c r="S214" s="106"/>
      <c r="T214" s="106"/>
      <c r="U214" s="106"/>
      <c r="V214" s="106"/>
      <c r="W214" s="106"/>
      <c r="X214" s="112">
        <v>500000</v>
      </c>
      <c r="Y214" s="112">
        <v>545000</v>
      </c>
      <c r="Z214" s="112">
        <v>547000</v>
      </c>
      <c r="AA214" s="112"/>
      <c r="AB214" s="112"/>
      <c r="AC214" s="112"/>
      <c r="AD214" s="112"/>
      <c r="AE214" s="112"/>
      <c r="AF214" s="112"/>
      <c r="AG214" s="112"/>
      <c r="AH214" s="112"/>
      <c r="AI214" s="112"/>
      <c r="AJ214" s="112"/>
      <c r="AK214" s="112"/>
      <c r="AL214" s="112"/>
      <c r="AM214" s="112"/>
      <c r="AN214" s="112"/>
      <c r="AO214" s="112"/>
      <c r="AP214" s="112"/>
      <c r="AQ214" s="112"/>
      <c r="AR214" s="112"/>
      <c r="AS214" s="112"/>
      <c r="AT214" s="112"/>
      <c r="AU214" s="112"/>
      <c r="AV214" s="112"/>
      <c r="AW214" s="112"/>
      <c r="AX214" s="112"/>
      <c r="AY214" s="112"/>
      <c r="AZ214" s="112"/>
      <c r="BA214" s="112"/>
      <c r="BB214" s="112"/>
      <c r="BC214" s="112"/>
      <c r="BD214" s="112"/>
      <c r="BE214" s="112"/>
      <c r="BF214" s="112"/>
      <c r="BG214" s="112"/>
      <c r="BH214" s="112"/>
      <c r="BI214" s="112"/>
      <c r="BJ214" s="112"/>
      <c r="BK214" s="112"/>
      <c r="BL214" s="112"/>
      <c r="BM214" s="112"/>
      <c r="BN214" s="112"/>
      <c r="BO214" s="112"/>
      <c r="BP214" s="112"/>
      <c r="BQ214" s="112"/>
      <c r="BR214" s="112"/>
      <c r="BS214" s="112"/>
      <c r="BT214" s="112"/>
      <c r="BU214" s="112"/>
      <c r="BV214" s="112"/>
      <c r="BW214" s="112"/>
      <c r="BX214" s="112"/>
      <c r="BY214" s="112"/>
      <c r="BZ214" s="112"/>
      <c r="CA214" s="112"/>
      <c r="CB214" s="112"/>
      <c r="CC214" s="112"/>
      <c r="CD214" s="112"/>
      <c r="CE214" s="112"/>
      <c r="CF214" s="112"/>
      <c r="CG214" s="112"/>
      <c r="CH214" s="112"/>
      <c r="CI214" s="112"/>
      <c r="CJ214" s="112"/>
      <c r="CK214" s="109">
        <f t="shared" si="99"/>
        <v>545000</v>
      </c>
      <c r="CL214" s="109">
        <f t="shared" si="100"/>
        <v>530666.66666666663</v>
      </c>
      <c r="CM214" s="109">
        <f t="shared" si="101"/>
        <v>26576.932353703527</v>
      </c>
      <c r="CN214" s="103">
        <f t="shared" si="91"/>
        <v>5.0082158957984034E-2</v>
      </c>
      <c r="CO214" s="110">
        <f t="shared" si="102"/>
        <v>445938.65546218492</v>
      </c>
      <c r="CP214" s="107">
        <f t="shared" si="90"/>
        <v>84728.344537815137</v>
      </c>
      <c r="CQ214" s="106">
        <f t="shared" si="96"/>
        <v>530667</v>
      </c>
      <c r="CR214" s="122">
        <f t="shared" si="98"/>
        <v>10613340</v>
      </c>
      <c r="CS214" s="79" t="s">
        <v>168</v>
      </c>
    </row>
    <row r="215" spans="1:97" ht="90.65" customHeight="1">
      <c r="A215" s="90">
        <f t="shared" si="92"/>
        <v>198</v>
      </c>
      <c r="B215" s="65" t="s">
        <v>687</v>
      </c>
      <c r="C215" s="1" t="s">
        <v>688</v>
      </c>
      <c r="D215" s="63" t="s">
        <v>4</v>
      </c>
      <c r="E215" s="1">
        <v>40</v>
      </c>
      <c r="F215" s="1"/>
      <c r="G215" s="106"/>
      <c r="H215" s="106"/>
      <c r="I215" s="106"/>
      <c r="J215" s="106"/>
      <c r="K215" s="106"/>
      <c r="L215" s="106"/>
      <c r="M215" s="106"/>
      <c r="N215" s="106"/>
      <c r="O215" s="106"/>
      <c r="P215" s="106"/>
      <c r="Q215" s="106"/>
      <c r="R215" s="106"/>
      <c r="S215" s="106"/>
      <c r="T215" s="106"/>
      <c r="U215" s="106"/>
      <c r="V215" s="106"/>
      <c r="W215" s="106"/>
      <c r="X215" s="112">
        <v>370000</v>
      </c>
      <c r="Y215" s="112">
        <v>450000</v>
      </c>
      <c r="Z215" s="112">
        <v>452000</v>
      </c>
      <c r="AA215" s="112"/>
      <c r="AB215" s="112"/>
      <c r="AC215" s="112"/>
      <c r="AD215" s="112"/>
      <c r="AE215" s="112"/>
      <c r="AF215" s="112"/>
      <c r="AG215" s="112"/>
      <c r="AH215" s="112"/>
      <c r="AI215" s="112"/>
      <c r="AJ215" s="112"/>
      <c r="AK215" s="112"/>
      <c r="AL215" s="112"/>
      <c r="AM215" s="112"/>
      <c r="AN215" s="112"/>
      <c r="AO215" s="112"/>
      <c r="AP215" s="112"/>
      <c r="AQ215" s="112"/>
      <c r="AR215" s="112"/>
      <c r="AS215" s="112"/>
      <c r="AT215" s="112"/>
      <c r="AU215" s="112"/>
      <c r="AV215" s="112"/>
      <c r="AW215" s="112"/>
      <c r="AX215" s="112"/>
      <c r="AY215" s="112"/>
      <c r="AZ215" s="112"/>
      <c r="BA215" s="112"/>
      <c r="BB215" s="112"/>
      <c r="BC215" s="112"/>
      <c r="BD215" s="112"/>
      <c r="BE215" s="112"/>
      <c r="BF215" s="112"/>
      <c r="BG215" s="112"/>
      <c r="BH215" s="112"/>
      <c r="BI215" s="112"/>
      <c r="BJ215" s="112"/>
      <c r="BK215" s="112"/>
      <c r="BL215" s="112"/>
      <c r="BM215" s="112"/>
      <c r="BN215" s="112"/>
      <c r="BO215" s="112"/>
      <c r="BP215" s="112"/>
      <c r="BQ215" s="112"/>
      <c r="BR215" s="112"/>
      <c r="BS215" s="112"/>
      <c r="BT215" s="112"/>
      <c r="BU215" s="112"/>
      <c r="BV215" s="112"/>
      <c r="BW215" s="112"/>
      <c r="BX215" s="112"/>
      <c r="BY215" s="112"/>
      <c r="BZ215" s="112"/>
      <c r="CA215" s="112"/>
      <c r="CB215" s="112"/>
      <c r="CC215" s="112"/>
      <c r="CD215" s="112"/>
      <c r="CE215" s="112"/>
      <c r="CF215" s="112"/>
      <c r="CG215" s="112"/>
      <c r="CH215" s="112"/>
      <c r="CI215" s="112"/>
      <c r="CJ215" s="112"/>
      <c r="CK215" s="109">
        <f t="shared" si="99"/>
        <v>450000</v>
      </c>
      <c r="CL215" s="109">
        <f t="shared" si="100"/>
        <v>424000</v>
      </c>
      <c r="CM215" s="109">
        <f t="shared" si="101"/>
        <v>46776.062254106</v>
      </c>
      <c r="CN215" s="103">
        <f t="shared" si="91"/>
        <v>0.11032090154270283</v>
      </c>
      <c r="CO215" s="110">
        <f t="shared" si="102"/>
        <v>356302.52100840339</v>
      </c>
      <c r="CP215" s="107">
        <f t="shared" si="90"/>
        <v>67697.478991596639</v>
      </c>
      <c r="CQ215" s="106">
        <f t="shared" si="96"/>
        <v>424000</v>
      </c>
      <c r="CR215" s="122">
        <f t="shared" si="98"/>
        <v>16960000</v>
      </c>
      <c r="CS215" s="79" t="s">
        <v>168</v>
      </c>
    </row>
    <row r="216" spans="1:97" ht="94.9" customHeight="1">
      <c r="A216" s="90">
        <f t="shared" si="92"/>
        <v>199</v>
      </c>
      <c r="B216" s="63" t="s">
        <v>722</v>
      </c>
      <c r="C216" s="1" t="s">
        <v>721</v>
      </c>
      <c r="D216" s="63" t="s">
        <v>4</v>
      </c>
      <c r="E216" s="1">
        <v>400</v>
      </c>
      <c r="F216" s="1"/>
      <c r="G216" s="106"/>
      <c r="H216" s="106"/>
      <c r="I216" s="106"/>
      <c r="J216" s="106"/>
      <c r="K216" s="106"/>
      <c r="L216" s="106"/>
      <c r="M216" s="106"/>
      <c r="N216" s="106"/>
      <c r="O216" s="106"/>
      <c r="P216" s="106"/>
      <c r="Q216" s="106"/>
      <c r="R216" s="106"/>
      <c r="S216" s="106"/>
      <c r="T216" s="106"/>
      <c r="U216" s="106"/>
      <c r="V216" s="106"/>
      <c r="W216" s="106"/>
      <c r="X216" s="112">
        <v>80000</v>
      </c>
      <c r="Y216" s="112">
        <v>100000</v>
      </c>
      <c r="Z216" s="112">
        <v>100000</v>
      </c>
      <c r="AA216" s="112"/>
      <c r="AB216" s="112"/>
      <c r="AC216" s="112"/>
      <c r="AD216" s="112"/>
      <c r="AE216" s="112"/>
      <c r="AF216" s="112"/>
      <c r="AG216" s="112"/>
      <c r="AH216" s="112"/>
      <c r="AI216" s="112"/>
      <c r="AJ216" s="112"/>
      <c r="AK216" s="112"/>
      <c r="AL216" s="112"/>
      <c r="AM216" s="112"/>
      <c r="AN216" s="112"/>
      <c r="AO216" s="112"/>
      <c r="AP216" s="112"/>
      <c r="AQ216" s="112"/>
      <c r="AR216" s="112"/>
      <c r="AS216" s="112"/>
      <c r="AT216" s="112"/>
      <c r="AU216" s="112"/>
      <c r="AV216" s="112"/>
      <c r="AW216" s="112"/>
      <c r="AX216" s="112"/>
      <c r="AY216" s="112"/>
      <c r="AZ216" s="112"/>
      <c r="BA216" s="112"/>
      <c r="BB216" s="112"/>
      <c r="BC216" s="112"/>
      <c r="BD216" s="112"/>
      <c r="BE216" s="112"/>
      <c r="BF216" s="112"/>
      <c r="BG216" s="112"/>
      <c r="BH216" s="112"/>
      <c r="BI216" s="112"/>
      <c r="BJ216" s="112"/>
      <c r="BK216" s="112"/>
      <c r="BL216" s="112"/>
      <c r="BM216" s="112"/>
      <c r="BN216" s="112"/>
      <c r="BO216" s="112"/>
      <c r="BP216" s="112"/>
      <c r="BQ216" s="112"/>
      <c r="BR216" s="112"/>
      <c r="BS216" s="112"/>
      <c r="BT216" s="112"/>
      <c r="BU216" s="112"/>
      <c r="BV216" s="112"/>
      <c r="BW216" s="112"/>
      <c r="BX216" s="112"/>
      <c r="BY216" s="112"/>
      <c r="BZ216" s="112"/>
      <c r="CA216" s="112"/>
      <c r="CB216" s="112"/>
      <c r="CC216" s="112"/>
      <c r="CD216" s="112"/>
      <c r="CE216" s="112"/>
      <c r="CF216" s="112"/>
      <c r="CG216" s="112"/>
      <c r="CH216" s="112"/>
      <c r="CI216" s="112"/>
      <c r="CJ216" s="112"/>
      <c r="CK216" s="109">
        <f t="shared" si="99"/>
        <v>100000</v>
      </c>
      <c r="CL216" s="109">
        <f t="shared" si="100"/>
        <v>93333.333333333328</v>
      </c>
      <c r="CM216" s="109">
        <f t="shared" si="101"/>
        <v>11547.005383792542</v>
      </c>
      <c r="CN216" s="103">
        <f t="shared" si="91"/>
        <v>0.12371791482634868</v>
      </c>
      <c r="CO216" s="110">
        <f t="shared" si="102"/>
        <v>78431.932773109249</v>
      </c>
      <c r="CP216" s="107">
        <f t="shared" si="90"/>
        <v>14902.067226890758</v>
      </c>
      <c r="CQ216" s="106">
        <f t="shared" si="96"/>
        <v>93334</v>
      </c>
      <c r="CR216" s="122">
        <f t="shared" si="98"/>
        <v>37333600</v>
      </c>
      <c r="CS216" s="79" t="s">
        <v>168</v>
      </c>
    </row>
    <row r="217" spans="1:97" ht="90.65" customHeight="1">
      <c r="A217" s="90">
        <f t="shared" si="92"/>
        <v>200</v>
      </c>
      <c r="B217" s="88" t="s">
        <v>689</v>
      </c>
      <c r="C217" s="8" t="s">
        <v>690</v>
      </c>
      <c r="D217" s="63" t="s">
        <v>757</v>
      </c>
      <c r="E217" s="1">
        <v>400</v>
      </c>
      <c r="F217" s="1"/>
      <c r="G217" s="106"/>
      <c r="H217" s="106"/>
      <c r="I217" s="106"/>
      <c r="J217" s="106"/>
      <c r="K217" s="106"/>
      <c r="L217" s="106"/>
      <c r="M217" s="106"/>
      <c r="N217" s="106"/>
      <c r="O217" s="106"/>
      <c r="P217" s="106"/>
      <c r="Q217" s="106"/>
      <c r="R217" s="106"/>
      <c r="S217" s="106"/>
      <c r="T217" s="106"/>
      <c r="U217" s="106"/>
      <c r="V217" s="106"/>
      <c r="W217" s="106"/>
      <c r="X217" s="112">
        <v>137000</v>
      </c>
      <c r="Y217" s="112">
        <v>152000</v>
      </c>
      <c r="Z217" s="112">
        <v>153000</v>
      </c>
      <c r="AA217" s="112"/>
      <c r="AB217" s="112"/>
      <c r="AC217" s="112"/>
      <c r="AD217" s="112"/>
      <c r="AE217" s="112"/>
      <c r="AF217" s="112"/>
      <c r="AG217" s="112"/>
      <c r="AH217" s="112"/>
      <c r="AI217" s="112"/>
      <c r="AJ217" s="112"/>
      <c r="AK217" s="112"/>
      <c r="AL217" s="112"/>
      <c r="AM217" s="112"/>
      <c r="AN217" s="112"/>
      <c r="AO217" s="112"/>
      <c r="AP217" s="112"/>
      <c r="AQ217" s="112"/>
      <c r="AR217" s="112"/>
      <c r="AS217" s="112"/>
      <c r="AT217" s="112"/>
      <c r="AU217" s="112"/>
      <c r="AV217" s="112"/>
      <c r="AW217" s="112"/>
      <c r="AX217" s="112"/>
      <c r="AY217" s="112"/>
      <c r="AZ217" s="112"/>
      <c r="BA217" s="112"/>
      <c r="BB217" s="112"/>
      <c r="BC217" s="112"/>
      <c r="BD217" s="112"/>
      <c r="BE217" s="112"/>
      <c r="BF217" s="112"/>
      <c r="BG217" s="112"/>
      <c r="BH217" s="112"/>
      <c r="BI217" s="112"/>
      <c r="BJ217" s="112"/>
      <c r="BK217" s="112"/>
      <c r="BL217" s="112"/>
      <c r="BM217" s="112"/>
      <c r="BN217" s="112"/>
      <c r="BO217" s="112"/>
      <c r="BP217" s="112"/>
      <c r="BQ217" s="112"/>
      <c r="BR217" s="112"/>
      <c r="BS217" s="112"/>
      <c r="BT217" s="112"/>
      <c r="BU217" s="112"/>
      <c r="BV217" s="112"/>
      <c r="BW217" s="112"/>
      <c r="BX217" s="112"/>
      <c r="BY217" s="112"/>
      <c r="BZ217" s="112"/>
      <c r="CA217" s="112"/>
      <c r="CB217" s="112"/>
      <c r="CC217" s="112"/>
      <c r="CD217" s="112"/>
      <c r="CE217" s="112"/>
      <c r="CF217" s="112"/>
      <c r="CG217" s="112"/>
      <c r="CH217" s="112"/>
      <c r="CI217" s="112"/>
      <c r="CJ217" s="112"/>
      <c r="CK217" s="109">
        <f t="shared" si="99"/>
        <v>152000</v>
      </c>
      <c r="CL217" s="109">
        <f t="shared" si="100"/>
        <v>147333.33333333334</v>
      </c>
      <c r="CM217" s="109">
        <f t="shared" si="101"/>
        <v>8962.8864398325022</v>
      </c>
      <c r="CN217" s="103">
        <f t="shared" si="91"/>
        <v>6.0834070858591639E-2</v>
      </c>
      <c r="CO217" s="110">
        <f t="shared" si="102"/>
        <v>123810.08403361346</v>
      </c>
      <c r="CP217" s="107">
        <f t="shared" si="90"/>
        <v>23523.915966386558</v>
      </c>
      <c r="CQ217" s="106">
        <f t="shared" si="96"/>
        <v>147334</v>
      </c>
      <c r="CR217" s="122">
        <f t="shared" si="98"/>
        <v>58933600</v>
      </c>
      <c r="CS217" s="79" t="s">
        <v>167</v>
      </c>
    </row>
    <row r="218" spans="1:97" ht="103.9" customHeight="1">
      <c r="A218" s="90">
        <f t="shared" si="92"/>
        <v>201</v>
      </c>
      <c r="B218" s="88" t="s">
        <v>691</v>
      </c>
      <c r="C218" s="8" t="s">
        <v>692</v>
      </c>
      <c r="D218" s="63" t="s">
        <v>757</v>
      </c>
      <c r="E218" s="1">
        <v>20</v>
      </c>
      <c r="F218" s="1"/>
      <c r="G218" s="106"/>
      <c r="H218" s="106"/>
      <c r="I218" s="106"/>
      <c r="J218" s="106"/>
      <c r="K218" s="106"/>
      <c r="L218" s="106"/>
      <c r="M218" s="106"/>
      <c r="N218" s="106"/>
      <c r="O218" s="106"/>
      <c r="P218" s="106"/>
      <c r="Q218" s="106"/>
      <c r="R218" s="106"/>
      <c r="S218" s="106"/>
      <c r="T218" s="106"/>
      <c r="U218" s="106"/>
      <c r="V218" s="106"/>
      <c r="W218" s="106"/>
      <c r="X218" s="112">
        <v>115800</v>
      </c>
      <c r="Y218" s="112">
        <v>121800</v>
      </c>
      <c r="Z218" s="112">
        <v>122500</v>
      </c>
      <c r="AA218" s="112"/>
      <c r="AB218" s="112"/>
      <c r="AC218" s="112"/>
      <c r="AD218" s="112"/>
      <c r="AE218" s="112"/>
      <c r="AF218" s="112"/>
      <c r="AG218" s="112"/>
      <c r="AH218" s="112"/>
      <c r="AI218" s="112"/>
      <c r="AJ218" s="112"/>
      <c r="AK218" s="112"/>
      <c r="AL218" s="112"/>
      <c r="AM218" s="112"/>
      <c r="AN218" s="112"/>
      <c r="AO218" s="112"/>
      <c r="AP218" s="112"/>
      <c r="AQ218" s="112"/>
      <c r="AR218" s="112"/>
      <c r="AS218" s="112"/>
      <c r="AT218" s="112"/>
      <c r="AU218" s="112"/>
      <c r="AV218" s="112"/>
      <c r="AW218" s="112"/>
      <c r="AX218" s="112"/>
      <c r="AY218" s="112"/>
      <c r="AZ218" s="112"/>
      <c r="BA218" s="112"/>
      <c r="BB218" s="112"/>
      <c r="BC218" s="112"/>
      <c r="BD218" s="112"/>
      <c r="BE218" s="112"/>
      <c r="BF218" s="112"/>
      <c r="BG218" s="112"/>
      <c r="BH218" s="112"/>
      <c r="BI218" s="112"/>
      <c r="BJ218" s="112"/>
      <c r="BK218" s="112"/>
      <c r="BL218" s="112"/>
      <c r="BM218" s="112"/>
      <c r="BN218" s="112"/>
      <c r="BO218" s="112"/>
      <c r="BP218" s="112"/>
      <c r="BQ218" s="112"/>
      <c r="BR218" s="112"/>
      <c r="BS218" s="112"/>
      <c r="BT218" s="112"/>
      <c r="BU218" s="112"/>
      <c r="BV218" s="112"/>
      <c r="BW218" s="112"/>
      <c r="BX218" s="112"/>
      <c r="BY218" s="112"/>
      <c r="BZ218" s="112"/>
      <c r="CA218" s="112"/>
      <c r="CB218" s="112"/>
      <c r="CC218" s="112"/>
      <c r="CD218" s="112"/>
      <c r="CE218" s="112"/>
      <c r="CF218" s="112"/>
      <c r="CG218" s="112"/>
      <c r="CH218" s="112"/>
      <c r="CI218" s="112"/>
      <c r="CJ218" s="112"/>
      <c r="CK218" s="109">
        <f t="shared" si="99"/>
        <v>121800</v>
      </c>
      <c r="CL218" s="109">
        <f t="shared" si="100"/>
        <v>120033.33333333333</v>
      </c>
      <c r="CM218" s="109">
        <f t="shared" si="101"/>
        <v>3682.84310463171</v>
      </c>
      <c r="CN218" s="103">
        <f t="shared" si="91"/>
        <v>3.0681836472910666E-2</v>
      </c>
      <c r="CO218" s="110">
        <f t="shared" si="102"/>
        <v>100868.90756302522</v>
      </c>
      <c r="CP218" s="107">
        <f t="shared" si="90"/>
        <v>19165.092436974792</v>
      </c>
      <c r="CQ218" s="106">
        <f t="shared" si="96"/>
        <v>120034</v>
      </c>
      <c r="CR218" s="122">
        <f t="shared" si="98"/>
        <v>2400680</v>
      </c>
      <c r="CS218" s="79" t="s">
        <v>168</v>
      </c>
    </row>
    <row r="219" spans="1:97" ht="94.9" customHeight="1">
      <c r="A219" s="90">
        <f t="shared" si="92"/>
        <v>202</v>
      </c>
      <c r="B219" s="63" t="s">
        <v>723</v>
      </c>
      <c r="C219" s="1" t="s">
        <v>724</v>
      </c>
      <c r="D219" s="63" t="s">
        <v>4</v>
      </c>
      <c r="E219" s="1">
        <v>20</v>
      </c>
      <c r="F219" s="1"/>
      <c r="G219" s="106"/>
      <c r="H219" s="106"/>
      <c r="I219" s="106"/>
      <c r="J219" s="106"/>
      <c r="K219" s="106"/>
      <c r="L219" s="106"/>
      <c r="M219" s="106"/>
      <c r="N219" s="106"/>
      <c r="O219" s="106"/>
      <c r="P219" s="106"/>
      <c r="Q219" s="106"/>
      <c r="R219" s="106"/>
      <c r="S219" s="106"/>
      <c r="T219" s="106"/>
      <c r="U219" s="106"/>
      <c r="V219" s="106"/>
      <c r="W219" s="106"/>
      <c r="X219" s="112">
        <v>76500</v>
      </c>
      <c r="Y219" s="112">
        <v>61000</v>
      </c>
      <c r="Z219" s="112">
        <v>62000</v>
      </c>
      <c r="AA219" s="112"/>
      <c r="AB219" s="112"/>
      <c r="AC219" s="112"/>
      <c r="AD219" s="112"/>
      <c r="AE219" s="112"/>
      <c r="AF219" s="112"/>
      <c r="AG219" s="112"/>
      <c r="AH219" s="112"/>
      <c r="AI219" s="112"/>
      <c r="AJ219" s="112"/>
      <c r="AK219" s="112"/>
      <c r="AL219" s="112"/>
      <c r="AM219" s="112"/>
      <c r="AN219" s="112"/>
      <c r="AO219" s="112"/>
      <c r="AP219" s="112"/>
      <c r="AQ219" s="112"/>
      <c r="AR219" s="112"/>
      <c r="AS219" s="112"/>
      <c r="AT219" s="112"/>
      <c r="AU219" s="112"/>
      <c r="AV219" s="112"/>
      <c r="AW219" s="112"/>
      <c r="AX219" s="112"/>
      <c r="AY219" s="112"/>
      <c r="AZ219" s="112"/>
      <c r="BA219" s="112"/>
      <c r="BB219" s="112"/>
      <c r="BC219" s="112"/>
      <c r="BD219" s="112"/>
      <c r="BE219" s="112"/>
      <c r="BF219" s="112"/>
      <c r="BG219" s="112"/>
      <c r="BH219" s="112"/>
      <c r="BI219" s="112"/>
      <c r="BJ219" s="112"/>
      <c r="BK219" s="112"/>
      <c r="BL219" s="112"/>
      <c r="BM219" s="112"/>
      <c r="BN219" s="112"/>
      <c r="BO219" s="112"/>
      <c r="BP219" s="112"/>
      <c r="BQ219" s="112"/>
      <c r="BR219" s="112"/>
      <c r="BS219" s="112"/>
      <c r="BT219" s="112"/>
      <c r="BU219" s="112"/>
      <c r="BV219" s="112"/>
      <c r="BW219" s="112"/>
      <c r="BX219" s="112"/>
      <c r="BY219" s="112"/>
      <c r="BZ219" s="112"/>
      <c r="CA219" s="112"/>
      <c r="CB219" s="112"/>
      <c r="CC219" s="112"/>
      <c r="CD219" s="112"/>
      <c r="CE219" s="112"/>
      <c r="CF219" s="112"/>
      <c r="CG219" s="112"/>
      <c r="CH219" s="112"/>
      <c r="CI219" s="112"/>
      <c r="CJ219" s="112"/>
      <c r="CK219" s="109">
        <f t="shared" si="99"/>
        <v>62000</v>
      </c>
      <c r="CL219" s="109">
        <f t="shared" si="100"/>
        <v>66500</v>
      </c>
      <c r="CM219" s="109">
        <f t="shared" si="101"/>
        <v>8674.6757864487354</v>
      </c>
      <c r="CN219" s="103">
        <f t="shared" si="91"/>
        <v>0.13044625242780053</v>
      </c>
      <c r="CO219" s="110">
        <f t="shared" si="102"/>
        <v>55882.352941176476</v>
      </c>
      <c r="CP219" s="107">
        <f t="shared" si="90"/>
        <v>10617.64705882353</v>
      </c>
      <c r="CQ219" s="106">
        <f t="shared" si="96"/>
        <v>66500</v>
      </c>
      <c r="CR219" s="122">
        <f t="shared" si="98"/>
        <v>1330000</v>
      </c>
      <c r="CS219" s="79" t="s">
        <v>168</v>
      </c>
    </row>
    <row r="220" spans="1:97" ht="90.65" customHeight="1">
      <c r="A220" s="90">
        <f t="shared" si="92"/>
        <v>203</v>
      </c>
      <c r="B220" s="65" t="s">
        <v>693</v>
      </c>
      <c r="C220" s="3" t="s">
        <v>694</v>
      </c>
      <c r="D220" s="63" t="s">
        <v>4</v>
      </c>
      <c r="E220" s="1">
        <v>20</v>
      </c>
      <c r="F220" s="1"/>
      <c r="G220" s="106"/>
      <c r="H220" s="106"/>
      <c r="I220" s="106"/>
      <c r="J220" s="106"/>
      <c r="K220" s="106"/>
      <c r="L220" s="106"/>
      <c r="M220" s="106"/>
      <c r="N220" s="106"/>
      <c r="O220" s="106"/>
      <c r="P220" s="106"/>
      <c r="Q220" s="106"/>
      <c r="R220" s="106"/>
      <c r="S220" s="106"/>
      <c r="T220" s="106"/>
      <c r="U220" s="106"/>
      <c r="V220" s="106"/>
      <c r="W220" s="106"/>
      <c r="X220" s="112">
        <v>1500000</v>
      </c>
      <c r="Y220" s="112">
        <v>1200000</v>
      </c>
      <c r="Z220" s="112">
        <v>1760000</v>
      </c>
      <c r="AA220" s="112"/>
      <c r="AB220" s="112"/>
      <c r="AC220" s="112"/>
      <c r="AD220" s="112"/>
      <c r="AE220" s="112"/>
      <c r="AF220" s="112"/>
      <c r="AG220" s="112"/>
      <c r="AH220" s="112"/>
      <c r="AI220" s="112"/>
      <c r="AJ220" s="112"/>
      <c r="AK220" s="112"/>
      <c r="AL220" s="112"/>
      <c r="AM220" s="112"/>
      <c r="AN220" s="112"/>
      <c r="AO220" s="112"/>
      <c r="AP220" s="112"/>
      <c r="AQ220" s="112"/>
      <c r="AR220" s="112"/>
      <c r="AS220" s="112"/>
      <c r="AT220" s="112"/>
      <c r="AU220" s="112"/>
      <c r="AV220" s="112"/>
      <c r="AW220" s="112"/>
      <c r="AX220" s="112"/>
      <c r="AY220" s="112"/>
      <c r="AZ220" s="112"/>
      <c r="BA220" s="112"/>
      <c r="BB220" s="112"/>
      <c r="BC220" s="112"/>
      <c r="BD220" s="112"/>
      <c r="BE220" s="112"/>
      <c r="BF220" s="112"/>
      <c r="BG220" s="112"/>
      <c r="BH220" s="112"/>
      <c r="BI220" s="112"/>
      <c r="BJ220" s="112"/>
      <c r="BK220" s="112"/>
      <c r="BL220" s="112"/>
      <c r="BM220" s="112"/>
      <c r="BN220" s="112"/>
      <c r="BO220" s="112"/>
      <c r="BP220" s="112"/>
      <c r="BQ220" s="112"/>
      <c r="BR220" s="112"/>
      <c r="BS220" s="112"/>
      <c r="BT220" s="112"/>
      <c r="BU220" s="112"/>
      <c r="BV220" s="112"/>
      <c r="BW220" s="112"/>
      <c r="BX220" s="112"/>
      <c r="BY220" s="112"/>
      <c r="BZ220" s="112"/>
      <c r="CA220" s="112"/>
      <c r="CB220" s="112"/>
      <c r="CC220" s="112"/>
      <c r="CD220" s="112"/>
      <c r="CE220" s="112"/>
      <c r="CF220" s="112"/>
      <c r="CG220" s="112"/>
      <c r="CH220" s="112"/>
      <c r="CI220" s="112"/>
      <c r="CJ220" s="112"/>
      <c r="CK220" s="109">
        <f t="shared" si="99"/>
        <v>1500000</v>
      </c>
      <c r="CL220" s="109">
        <f t="shared" si="100"/>
        <v>1486666.6666666667</v>
      </c>
      <c r="CM220" s="109">
        <f t="shared" si="101"/>
        <v>280237.99409311631</v>
      </c>
      <c r="CN220" s="103">
        <f t="shared" si="91"/>
        <v>0.18850089288774638</v>
      </c>
      <c r="CO220" s="110">
        <f t="shared" si="102"/>
        <v>1260504.2016806724</v>
      </c>
      <c r="CP220" s="107">
        <f t="shared" si="90"/>
        <v>239495.79831932776</v>
      </c>
      <c r="CQ220" s="106">
        <f t="shared" si="96"/>
        <v>1500000</v>
      </c>
      <c r="CR220" s="122">
        <f t="shared" si="98"/>
        <v>30000000</v>
      </c>
      <c r="CS220" s="79" t="s">
        <v>167</v>
      </c>
    </row>
    <row r="221" spans="1:97" ht="103.9" customHeight="1">
      <c r="A221" s="90">
        <f t="shared" si="92"/>
        <v>204</v>
      </c>
      <c r="B221" s="88" t="s">
        <v>420</v>
      </c>
      <c r="C221" s="8" t="s">
        <v>290</v>
      </c>
      <c r="D221" s="63" t="s">
        <v>4</v>
      </c>
      <c r="E221" s="1">
        <v>200</v>
      </c>
      <c r="F221" s="1"/>
      <c r="G221" s="106"/>
      <c r="H221" s="106"/>
      <c r="I221" s="106"/>
      <c r="J221" s="106"/>
      <c r="K221" s="106"/>
      <c r="L221" s="106"/>
      <c r="M221" s="106"/>
      <c r="N221" s="106"/>
      <c r="O221" s="106"/>
      <c r="P221" s="106"/>
      <c r="Q221" s="106"/>
      <c r="R221" s="106"/>
      <c r="S221" s="106"/>
      <c r="T221" s="106"/>
      <c r="U221" s="106"/>
      <c r="V221" s="106"/>
      <c r="W221" s="106"/>
      <c r="X221" s="112">
        <v>150000</v>
      </c>
      <c r="Y221" s="112">
        <v>162000</v>
      </c>
      <c r="Z221" s="112">
        <v>172000</v>
      </c>
      <c r="AA221" s="112"/>
      <c r="AB221" s="112"/>
      <c r="AC221" s="112"/>
      <c r="AD221" s="112"/>
      <c r="AE221" s="112"/>
      <c r="AF221" s="112"/>
      <c r="AG221" s="112"/>
      <c r="AH221" s="112"/>
      <c r="AI221" s="112"/>
      <c r="AJ221" s="112"/>
      <c r="AK221" s="112"/>
      <c r="AL221" s="112"/>
      <c r="AM221" s="112"/>
      <c r="AN221" s="112"/>
      <c r="AO221" s="112"/>
      <c r="AP221" s="112"/>
      <c r="AQ221" s="112"/>
      <c r="AR221" s="112"/>
      <c r="AS221" s="112"/>
      <c r="AT221" s="112"/>
      <c r="AU221" s="112"/>
      <c r="AV221" s="112"/>
      <c r="AW221" s="112"/>
      <c r="AX221" s="112"/>
      <c r="AY221" s="112"/>
      <c r="AZ221" s="112"/>
      <c r="BA221" s="112"/>
      <c r="BB221" s="112"/>
      <c r="BC221" s="112"/>
      <c r="BD221" s="112"/>
      <c r="BE221" s="112"/>
      <c r="BF221" s="112"/>
      <c r="BG221" s="112"/>
      <c r="BH221" s="112"/>
      <c r="BI221" s="112"/>
      <c r="BJ221" s="112"/>
      <c r="BK221" s="112"/>
      <c r="BL221" s="112"/>
      <c r="BM221" s="112"/>
      <c r="BN221" s="112"/>
      <c r="BO221" s="112"/>
      <c r="BP221" s="112"/>
      <c r="BQ221" s="112"/>
      <c r="BR221" s="112"/>
      <c r="BS221" s="112"/>
      <c r="BT221" s="112"/>
      <c r="BU221" s="112"/>
      <c r="BV221" s="112"/>
      <c r="BW221" s="112"/>
      <c r="BX221" s="112"/>
      <c r="BY221" s="112"/>
      <c r="BZ221" s="112"/>
      <c r="CA221" s="112"/>
      <c r="CB221" s="112"/>
      <c r="CC221" s="112"/>
      <c r="CD221" s="112"/>
      <c r="CE221" s="112"/>
      <c r="CF221" s="112"/>
      <c r="CG221" s="112"/>
      <c r="CH221" s="112"/>
      <c r="CI221" s="112"/>
      <c r="CJ221" s="112"/>
      <c r="CK221" s="109">
        <f t="shared" si="99"/>
        <v>162000</v>
      </c>
      <c r="CL221" s="109">
        <f t="shared" si="100"/>
        <v>161333.33333333334</v>
      </c>
      <c r="CM221" s="109">
        <f t="shared" si="101"/>
        <v>11015.141094572204</v>
      </c>
      <c r="CN221" s="103">
        <f t="shared" si="91"/>
        <v>6.8275667941563242E-2</v>
      </c>
      <c r="CO221" s="110">
        <f t="shared" si="102"/>
        <v>135574.78991596639</v>
      </c>
      <c r="CP221" s="107">
        <f t="shared" si="90"/>
        <v>25759.210084033613</v>
      </c>
      <c r="CQ221" s="106">
        <f t="shared" si="96"/>
        <v>161334</v>
      </c>
      <c r="CR221" s="122">
        <f t="shared" si="98"/>
        <v>32266800</v>
      </c>
      <c r="CS221" s="79" t="s">
        <v>168</v>
      </c>
    </row>
    <row r="222" spans="1:97" ht="94.9" customHeight="1">
      <c r="A222" s="90">
        <f t="shared" si="92"/>
        <v>205</v>
      </c>
      <c r="B222" s="88" t="s">
        <v>426</v>
      </c>
      <c r="C222" s="8" t="s">
        <v>427</v>
      </c>
      <c r="D222" s="63" t="s">
        <v>757</v>
      </c>
      <c r="E222" s="1">
        <v>400</v>
      </c>
      <c r="F222" s="1"/>
      <c r="G222" s="106"/>
      <c r="H222" s="106"/>
      <c r="I222" s="106"/>
      <c r="J222" s="106"/>
      <c r="K222" s="106"/>
      <c r="L222" s="106"/>
      <c r="M222" s="106"/>
      <c r="N222" s="106"/>
      <c r="O222" s="106"/>
      <c r="P222" s="106"/>
      <c r="Q222" s="106"/>
      <c r="R222" s="106"/>
      <c r="S222" s="106"/>
      <c r="T222" s="106"/>
      <c r="U222" s="106"/>
      <c r="V222" s="106"/>
      <c r="W222" s="106"/>
      <c r="X222" s="112">
        <v>45000</v>
      </c>
      <c r="Y222" s="112">
        <v>61000</v>
      </c>
      <c r="Z222" s="112">
        <v>62000</v>
      </c>
      <c r="AA222" s="112"/>
      <c r="AB222" s="112"/>
      <c r="AC222" s="112"/>
      <c r="AD222" s="112"/>
      <c r="AE222" s="112"/>
      <c r="AF222" s="112"/>
      <c r="AG222" s="112"/>
      <c r="AH222" s="112"/>
      <c r="AI222" s="112"/>
      <c r="AJ222" s="112"/>
      <c r="AK222" s="112"/>
      <c r="AL222" s="112"/>
      <c r="AM222" s="112"/>
      <c r="AN222" s="112"/>
      <c r="AO222" s="112"/>
      <c r="AP222" s="112"/>
      <c r="AQ222" s="112"/>
      <c r="AR222" s="112"/>
      <c r="AS222" s="112"/>
      <c r="AT222" s="112"/>
      <c r="AU222" s="112"/>
      <c r="AV222" s="112"/>
      <c r="AW222" s="112"/>
      <c r="AX222" s="112"/>
      <c r="AY222" s="112"/>
      <c r="AZ222" s="112"/>
      <c r="BA222" s="112"/>
      <c r="BB222" s="112"/>
      <c r="BC222" s="112"/>
      <c r="BD222" s="112"/>
      <c r="BE222" s="112"/>
      <c r="BF222" s="112"/>
      <c r="BG222" s="112"/>
      <c r="BH222" s="112"/>
      <c r="BI222" s="112"/>
      <c r="BJ222" s="112"/>
      <c r="BK222" s="112"/>
      <c r="BL222" s="112"/>
      <c r="BM222" s="112"/>
      <c r="BN222" s="112"/>
      <c r="BO222" s="112"/>
      <c r="BP222" s="112"/>
      <c r="BQ222" s="112"/>
      <c r="BR222" s="112"/>
      <c r="BS222" s="112"/>
      <c r="BT222" s="112"/>
      <c r="BU222" s="112"/>
      <c r="BV222" s="112"/>
      <c r="BW222" s="112"/>
      <c r="BX222" s="112"/>
      <c r="BY222" s="112"/>
      <c r="BZ222" s="112"/>
      <c r="CA222" s="112"/>
      <c r="CB222" s="112"/>
      <c r="CC222" s="112"/>
      <c r="CD222" s="112"/>
      <c r="CE222" s="112"/>
      <c r="CF222" s="112"/>
      <c r="CG222" s="112"/>
      <c r="CH222" s="112"/>
      <c r="CI222" s="112"/>
      <c r="CJ222" s="112"/>
      <c r="CK222" s="109">
        <f t="shared" si="99"/>
        <v>61000</v>
      </c>
      <c r="CL222" s="109">
        <f t="shared" si="100"/>
        <v>56000</v>
      </c>
      <c r="CM222" s="109">
        <f t="shared" si="101"/>
        <v>9539.3920141694562</v>
      </c>
      <c r="CN222" s="103">
        <f t="shared" si="91"/>
        <v>0.17034628596731172</v>
      </c>
      <c r="CO222" s="110">
        <f t="shared" si="102"/>
        <v>51260.504201680676</v>
      </c>
      <c r="CP222" s="107">
        <f t="shared" si="90"/>
        <v>9739.495798319329</v>
      </c>
      <c r="CQ222" s="106">
        <f t="shared" si="96"/>
        <v>61000</v>
      </c>
      <c r="CR222" s="122">
        <f t="shared" si="98"/>
        <v>24400000</v>
      </c>
      <c r="CS222" s="79" t="s">
        <v>168</v>
      </c>
    </row>
    <row r="223" spans="1:97" ht="90.65" customHeight="1">
      <c r="A223" s="90">
        <f t="shared" si="92"/>
        <v>206</v>
      </c>
      <c r="B223" s="88" t="s">
        <v>423</v>
      </c>
      <c r="C223" s="8" t="s">
        <v>291</v>
      </c>
      <c r="D223" s="63" t="s">
        <v>4</v>
      </c>
      <c r="E223" s="1">
        <v>400</v>
      </c>
      <c r="F223" s="1"/>
      <c r="G223" s="106"/>
      <c r="H223" s="106"/>
      <c r="I223" s="106"/>
      <c r="J223" s="106"/>
      <c r="K223" s="106"/>
      <c r="L223" s="106"/>
      <c r="M223" s="106"/>
      <c r="N223" s="106"/>
      <c r="O223" s="106"/>
      <c r="P223" s="106"/>
      <c r="Q223" s="106"/>
      <c r="R223" s="106"/>
      <c r="S223" s="106"/>
      <c r="T223" s="106"/>
      <c r="U223" s="106"/>
      <c r="V223" s="106"/>
      <c r="W223" s="106"/>
      <c r="X223" s="112">
        <v>76000</v>
      </c>
      <c r="Y223" s="106">
        <v>80000</v>
      </c>
      <c r="Z223" s="106">
        <v>82000</v>
      </c>
      <c r="AA223" s="112"/>
      <c r="AB223" s="112"/>
      <c r="AC223" s="112"/>
      <c r="AD223" s="112"/>
      <c r="AE223" s="112"/>
      <c r="AF223" s="112"/>
      <c r="AG223" s="112"/>
      <c r="AH223" s="112"/>
      <c r="AI223" s="112"/>
      <c r="AJ223" s="112"/>
      <c r="AK223" s="112"/>
      <c r="AL223" s="112"/>
      <c r="AM223" s="112"/>
      <c r="AN223" s="112"/>
      <c r="AO223" s="112"/>
      <c r="AP223" s="112"/>
      <c r="AQ223" s="112"/>
      <c r="AR223" s="112"/>
      <c r="AS223" s="112"/>
      <c r="AT223" s="112"/>
      <c r="AU223" s="112"/>
      <c r="AV223" s="112"/>
      <c r="AW223" s="112"/>
      <c r="AX223" s="112"/>
      <c r="AY223" s="112"/>
      <c r="AZ223" s="112"/>
      <c r="BA223" s="112"/>
      <c r="BB223" s="112"/>
      <c r="BC223" s="112"/>
      <c r="BD223" s="112"/>
      <c r="BE223" s="112"/>
      <c r="BF223" s="112"/>
      <c r="BG223" s="112"/>
      <c r="BH223" s="112"/>
      <c r="BI223" s="112"/>
      <c r="BJ223" s="112"/>
      <c r="BK223" s="112"/>
      <c r="BL223" s="112"/>
      <c r="BM223" s="112"/>
      <c r="BN223" s="112"/>
      <c r="BO223" s="112"/>
      <c r="BP223" s="112"/>
      <c r="BQ223" s="112"/>
      <c r="BR223" s="112"/>
      <c r="BS223" s="112"/>
      <c r="BT223" s="112"/>
      <c r="BU223" s="112"/>
      <c r="BV223" s="112"/>
      <c r="BW223" s="112"/>
      <c r="BX223" s="112"/>
      <c r="BY223" s="112"/>
      <c r="BZ223" s="112"/>
      <c r="CA223" s="112"/>
      <c r="CB223" s="112"/>
      <c r="CC223" s="112"/>
      <c r="CD223" s="112"/>
      <c r="CE223" s="112"/>
      <c r="CF223" s="112"/>
      <c r="CG223" s="112"/>
      <c r="CH223" s="112"/>
      <c r="CI223" s="112"/>
      <c r="CJ223" s="112"/>
      <c r="CK223" s="109">
        <f t="shared" si="99"/>
        <v>80000</v>
      </c>
      <c r="CL223" s="109">
        <f t="shared" si="100"/>
        <v>79333.333333333328</v>
      </c>
      <c r="CM223" s="109">
        <f t="shared" si="101"/>
        <v>3055.0504633038936</v>
      </c>
      <c r="CN223" s="103">
        <f t="shared" si="91"/>
        <v>3.8509039453410429E-2</v>
      </c>
      <c r="CO223" s="110">
        <f t="shared" si="102"/>
        <v>66667.226890756312</v>
      </c>
      <c r="CP223" s="107">
        <f t="shared" si="90"/>
        <v>12666.773109243699</v>
      </c>
      <c r="CQ223" s="106">
        <f t="shared" si="96"/>
        <v>79334</v>
      </c>
      <c r="CR223" s="122">
        <f t="shared" si="98"/>
        <v>31733600</v>
      </c>
      <c r="CS223" s="79" t="s">
        <v>167</v>
      </c>
    </row>
    <row r="224" spans="1:97" ht="103.9" customHeight="1">
      <c r="A224" s="90">
        <f t="shared" si="92"/>
        <v>207</v>
      </c>
      <c r="B224" s="88" t="s">
        <v>424</v>
      </c>
      <c r="C224" s="8" t="s">
        <v>425</v>
      </c>
      <c r="D224" s="63" t="s">
        <v>4</v>
      </c>
      <c r="E224" s="1">
        <v>400</v>
      </c>
      <c r="F224" s="1"/>
      <c r="G224" s="106"/>
      <c r="H224" s="106"/>
      <c r="I224" s="106"/>
      <c r="J224" s="106"/>
      <c r="K224" s="106"/>
      <c r="L224" s="106"/>
      <c r="M224" s="106"/>
      <c r="N224" s="106"/>
      <c r="O224" s="106"/>
      <c r="P224" s="106"/>
      <c r="Q224" s="106"/>
      <c r="R224" s="106"/>
      <c r="S224" s="106"/>
      <c r="T224" s="106"/>
      <c r="U224" s="106"/>
      <c r="V224" s="106"/>
      <c r="W224" s="106"/>
      <c r="X224" s="106">
        <v>24000</v>
      </c>
      <c r="Y224" s="106">
        <v>28100</v>
      </c>
      <c r="Z224" s="106">
        <v>29500</v>
      </c>
      <c r="AA224" s="112"/>
      <c r="AB224" s="112"/>
      <c r="AC224" s="112"/>
      <c r="AD224" s="112"/>
      <c r="AE224" s="112"/>
      <c r="AF224" s="112"/>
      <c r="AG224" s="112"/>
      <c r="AH224" s="112"/>
      <c r="AI224" s="112"/>
      <c r="AJ224" s="112"/>
      <c r="AK224" s="112"/>
      <c r="AL224" s="112"/>
      <c r="AM224" s="112"/>
      <c r="AN224" s="112"/>
      <c r="AO224" s="112"/>
      <c r="AP224" s="112"/>
      <c r="AQ224" s="112"/>
      <c r="AR224" s="112"/>
      <c r="AS224" s="112"/>
      <c r="AT224" s="112"/>
      <c r="AU224" s="112"/>
      <c r="AV224" s="112"/>
      <c r="AW224" s="112"/>
      <c r="AX224" s="112"/>
      <c r="AY224" s="112"/>
      <c r="AZ224" s="112"/>
      <c r="BA224" s="112"/>
      <c r="BB224" s="112"/>
      <c r="BC224" s="112"/>
      <c r="BD224" s="112"/>
      <c r="BE224" s="112"/>
      <c r="BF224" s="112"/>
      <c r="BG224" s="112"/>
      <c r="BH224" s="112"/>
      <c r="BI224" s="112"/>
      <c r="BJ224" s="112"/>
      <c r="BK224" s="112"/>
      <c r="BL224" s="112"/>
      <c r="BM224" s="112"/>
      <c r="BN224" s="112"/>
      <c r="BO224" s="112"/>
      <c r="BP224" s="112"/>
      <c r="BQ224" s="112"/>
      <c r="BR224" s="112"/>
      <c r="BS224" s="112"/>
      <c r="BT224" s="112"/>
      <c r="BU224" s="112"/>
      <c r="BV224" s="112"/>
      <c r="BW224" s="112"/>
      <c r="BX224" s="112"/>
      <c r="BY224" s="112"/>
      <c r="BZ224" s="112"/>
      <c r="CA224" s="112"/>
      <c r="CB224" s="112"/>
      <c r="CC224" s="112"/>
      <c r="CD224" s="112"/>
      <c r="CE224" s="112"/>
      <c r="CF224" s="112"/>
      <c r="CG224" s="112"/>
      <c r="CH224" s="112"/>
      <c r="CI224" s="112"/>
      <c r="CJ224" s="112"/>
      <c r="CK224" s="109">
        <f t="shared" si="99"/>
        <v>28100</v>
      </c>
      <c r="CL224" s="109">
        <f t="shared" si="100"/>
        <v>27200</v>
      </c>
      <c r="CM224" s="109">
        <f t="shared" si="101"/>
        <v>2858.3211855912905</v>
      </c>
      <c r="CN224" s="103">
        <f t="shared" si="91"/>
        <v>0.10508533770556215</v>
      </c>
      <c r="CO224" s="110">
        <f t="shared" si="102"/>
        <v>22857.142857142859</v>
      </c>
      <c r="CP224" s="107">
        <f t="shared" si="90"/>
        <v>4342.8571428571431</v>
      </c>
      <c r="CQ224" s="106">
        <f t="shared" si="96"/>
        <v>27200</v>
      </c>
      <c r="CR224" s="122">
        <f t="shared" si="98"/>
        <v>10880000</v>
      </c>
      <c r="CS224" s="79" t="s">
        <v>168</v>
      </c>
    </row>
    <row r="225" spans="1:97" ht="94.9" customHeight="1">
      <c r="A225" s="90">
        <f t="shared" si="92"/>
        <v>208</v>
      </c>
      <c r="B225" s="88" t="s">
        <v>421</v>
      </c>
      <c r="C225" s="8" t="s">
        <v>422</v>
      </c>
      <c r="D225" s="63" t="s">
        <v>4</v>
      </c>
      <c r="E225" s="1">
        <v>200</v>
      </c>
      <c r="F225" s="1"/>
      <c r="G225" s="106"/>
      <c r="H225" s="106"/>
      <c r="I225" s="106"/>
      <c r="J225" s="106"/>
      <c r="K225" s="106"/>
      <c r="L225" s="106"/>
      <c r="M225" s="106"/>
      <c r="N225" s="5">
        <v>390000</v>
      </c>
      <c r="O225" s="106">
        <f>+N225*5.1%+N225</f>
        <v>409890</v>
      </c>
      <c r="P225" s="106"/>
      <c r="Q225" s="106"/>
      <c r="R225" s="106"/>
      <c r="S225" s="106"/>
      <c r="T225" s="106"/>
      <c r="U225" s="106"/>
      <c r="V225" s="106"/>
      <c r="W225" s="106"/>
      <c r="X225" s="112"/>
      <c r="Y225" s="112"/>
      <c r="Z225" s="112"/>
      <c r="AA225" s="112"/>
      <c r="AB225" s="112"/>
      <c r="AC225" s="112"/>
      <c r="AD225" s="112"/>
      <c r="AE225" s="112"/>
      <c r="AF225" s="112"/>
      <c r="AG225" s="112"/>
      <c r="AH225" s="112"/>
      <c r="AI225" s="112"/>
      <c r="AJ225" s="112"/>
      <c r="AK225" s="112"/>
      <c r="AL225" s="112"/>
      <c r="AM225" s="328">
        <v>348000</v>
      </c>
      <c r="AN225" s="112"/>
      <c r="AO225" s="112"/>
      <c r="AP225" s="112"/>
      <c r="AQ225" s="112"/>
      <c r="AR225" s="112"/>
      <c r="AS225" s="112"/>
      <c r="AT225" s="112"/>
      <c r="AU225" s="112"/>
      <c r="AV225" s="112"/>
      <c r="AW225" s="112"/>
      <c r="AX225" s="112"/>
      <c r="AY225" s="112"/>
      <c r="AZ225" s="112"/>
      <c r="BA225" s="112"/>
      <c r="BB225" s="112"/>
      <c r="BC225" s="112"/>
      <c r="BD225" s="112"/>
      <c r="BE225" s="112"/>
      <c r="BF225" s="112"/>
      <c r="BG225" s="112"/>
      <c r="BH225" s="112"/>
      <c r="BI225" s="112"/>
      <c r="BJ225" s="112"/>
      <c r="BK225" s="112"/>
      <c r="BL225" s="112"/>
      <c r="BM225" s="112"/>
      <c r="BN225" s="112"/>
      <c r="BO225" s="112"/>
      <c r="BP225" s="112"/>
      <c r="BQ225" s="112"/>
      <c r="BR225" s="112"/>
      <c r="BS225" s="112"/>
      <c r="BT225" s="112"/>
      <c r="BU225" s="112"/>
      <c r="BV225" s="112"/>
      <c r="BW225" s="112"/>
      <c r="BX225" s="112"/>
      <c r="BY225" s="112"/>
      <c r="BZ225" s="112"/>
      <c r="CA225" s="112"/>
      <c r="CB225" s="112"/>
      <c r="CC225" s="112"/>
      <c r="CD225" s="112"/>
      <c r="CE225" s="112"/>
      <c r="CF225" s="112"/>
      <c r="CG225" s="112"/>
      <c r="CH225" s="112"/>
      <c r="CI225" s="112"/>
      <c r="CJ225" s="112"/>
      <c r="CK225" s="109">
        <f t="shared" si="99"/>
        <v>409890</v>
      </c>
      <c r="CL225" s="109">
        <f t="shared" si="100"/>
        <v>389260</v>
      </c>
      <c r="CM225" s="109">
        <f t="shared" si="101"/>
        <v>35732.208160145936</v>
      </c>
      <c r="CN225" s="103">
        <f t="shared" si="91"/>
        <v>9.1795222114129216E-2</v>
      </c>
      <c r="CO225" s="110">
        <f t="shared" si="102"/>
        <v>327109.24369747902</v>
      </c>
      <c r="CP225" s="107">
        <f t="shared" si="90"/>
        <v>62150.756302521011</v>
      </c>
      <c r="CQ225" s="106">
        <f t="shared" si="96"/>
        <v>389260</v>
      </c>
      <c r="CR225" s="122">
        <f t="shared" si="98"/>
        <v>77852000</v>
      </c>
      <c r="CS225" s="79" t="s">
        <v>167</v>
      </c>
    </row>
    <row r="226" spans="1:97" ht="90.65" customHeight="1">
      <c r="A226" s="90">
        <f t="shared" si="92"/>
        <v>209</v>
      </c>
      <c r="B226" s="63" t="s">
        <v>725</v>
      </c>
      <c r="C226" s="1" t="s">
        <v>726</v>
      </c>
      <c r="D226" s="63" t="s">
        <v>4</v>
      </c>
      <c r="E226" s="1">
        <v>200</v>
      </c>
      <c r="F226" s="1"/>
      <c r="G226" s="106"/>
      <c r="H226" s="106"/>
      <c r="I226" s="106"/>
      <c r="J226" s="106"/>
      <c r="K226" s="106"/>
      <c r="L226" s="106"/>
      <c r="M226" s="106"/>
      <c r="N226" s="106"/>
      <c r="O226" s="106"/>
      <c r="P226" s="106"/>
      <c r="Q226" s="106"/>
      <c r="R226" s="106"/>
      <c r="S226" s="106"/>
      <c r="T226" s="106"/>
      <c r="U226" s="106"/>
      <c r="V226" s="106"/>
      <c r="W226" s="106"/>
      <c r="X226" s="112">
        <v>40000</v>
      </c>
      <c r="Y226" s="112">
        <v>58700</v>
      </c>
      <c r="Z226" s="112">
        <v>60000</v>
      </c>
      <c r="AA226" s="112"/>
      <c r="AB226" s="112"/>
      <c r="AC226" s="112"/>
      <c r="AD226" s="112"/>
      <c r="AE226" s="112"/>
      <c r="AF226" s="112"/>
      <c r="AG226" s="112"/>
      <c r="AH226" s="112"/>
      <c r="AI226" s="112"/>
      <c r="AJ226" s="112"/>
      <c r="AK226" s="112"/>
      <c r="AL226" s="112"/>
      <c r="AM226" s="112"/>
      <c r="AN226" s="112"/>
      <c r="AO226" s="112"/>
      <c r="AP226" s="112"/>
      <c r="AQ226" s="112"/>
      <c r="AR226" s="112"/>
      <c r="AS226" s="112"/>
      <c r="AT226" s="112"/>
      <c r="AU226" s="112"/>
      <c r="AV226" s="112"/>
      <c r="AW226" s="112"/>
      <c r="AX226" s="112"/>
      <c r="AY226" s="112"/>
      <c r="AZ226" s="112"/>
      <c r="BA226" s="112"/>
      <c r="BB226" s="112"/>
      <c r="BC226" s="112"/>
      <c r="BD226" s="112"/>
      <c r="BE226" s="112"/>
      <c r="BF226" s="112"/>
      <c r="BG226" s="112"/>
      <c r="BH226" s="112"/>
      <c r="BI226" s="112"/>
      <c r="BJ226" s="112"/>
      <c r="BK226" s="112"/>
      <c r="BL226" s="112"/>
      <c r="BM226" s="112"/>
      <c r="BN226" s="112"/>
      <c r="BO226" s="112"/>
      <c r="BP226" s="112"/>
      <c r="BQ226" s="112"/>
      <c r="BR226" s="112"/>
      <c r="BS226" s="112"/>
      <c r="BT226" s="112"/>
      <c r="BU226" s="112"/>
      <c r="BV226" s="112"/>
      <c r="BW226" s="112"/>
      <c r="BX226" s="112"/>
      <c r="BY226" s="112"/>
      <c r="BZ226" s="112"/>
      <c r="CA226" s="112"/>
      <c r="CB226" s="112"/>
      <c r="CC226" s="112"/>
      <c r="CD226" s="112"/>
      <c r="CE226" s="112"/>
      <c r="CF226" s="112"/>
      <c r="CG226" s="112"/>
      <c r="CH226" s="112"/>
      <c r="CI226" s="112"/>
      <c r="CJ226" s="112"/>
      <c r="CK226" s="109">
        <f t="shared" si="99"/>
        <v>58700</v>
      </c>
      <c r="CL226" s="109">
        <f t="shared" si="100"/>
        <v>52900</v>
      </c>
      <c r="CM226" s="109">
        <f t="shared" si="101"/>
        <v>11190.621073023605</v>
      </c>
      <c r="CN226" s="103">
        <f t="shared" si="91"/>
        <v>0.21154293143711919</v>
      </c>
      <c r="CO226" s="110">
        <f t="shared" si="102"/>
        <v>49327.731092436974</v>
      </c>
      <c r="CP226" s="107">
        <f t="shared" si="90"/>
        <v>9372.268907563026</v>
      </c>
      <c r="CQ226" s="106">
        <f t="shared" si="96"/>
        <v>58700</v>
      </c>
      <c r="CR226" s="122">
        <f t="shared" si="98"/>
        <v>11740000</v>
      </c>
      <c r="CS226" s="79" t="s">
        <v>168</v>
      </c>
    </row>
    <row r="227" spans="1:97" ht="94.9" customHeight="1">
      <c r="A227" s="90">
        <f t="shared" si="92"/>
        <v>210</v>
      </c>
      <c r="B227" s="88" t="s">
        <v>27</v>
      </c>
      <c r="C227" s="1" t="s">
        <v>10</v>
      </c>
      <c r="D227" s="91" t="s">
        <v>96</v>
      </c>
      <c r="E227" s="1">
        <v>65</v>
      </c>
      <c r="F227" s="1"/>
      <c r="G227" s="106"/>
      <c r="H227" s="106"/>
      <c r="I227" s="106"/>
      <c r="J227" s="106"/>
      <c r="K227" s="106"/>
      <c r="L227" s="106"/>
      <c r="M227" s="106"/>
      <c r="N227" s="106">
        <v>23000</v>
      </c>
      <c r="O227" s="106">
        <f>+N227*5.1%+N227</f>
        <v>24173</v>
      </c>
      <c r="P227" s="106"/>
      <c r="Q227" s="106"/>
      <c r="R227" s="106"/>
      <c r="S227" s="106"/>
      <c r="T227" s="106"/>
      <c r="U227" s="106"/>
      <c r="V227" s="106"/>
      <c r="W227" s="106"/>
      <c r="X227" s="106"/>
      <c r="Y227" s="106"/>
      <c r="Z227" s="106"/>
      <c r="AA227" s="106"/>
      <c r="AB227" s="106"/>
      <c r="AC227" s="106"/>
      <c r="AD227" s="106"/>
      <c r="AE227" s="106"/>
      <c r="AF227" s="106"/>
      <c r="AG227" s="106"/>
      <c r="AH227" s="106"/>
      <c r="AI227" s="106"/>
      <c r="AJ227" s="106"/>
      <c r="AK227" s="106"/>
      <c r="AL227" s="106"/>
      <c r="AM227" s="112">
        <v>21000</v>
      </c>
      <c r="AN227" s="106"/>
      <c r="AO227" s="106"/>
      <c r="AP227" s="106"/>
      <c r="AQ227" s="106"/>
      <c r="AR227" s="106"/>
      <c r="AS227" s="106"/>
      <c r="AT227" s="112">
        <v>22000</v>
      </c>
      <c r="AU227" s="112">
        <v>23122</v>
      </c>
      <c r="AV227" s="106"/>
      <c r="AW227" s="106"/>
      <c r="AX227" s="106"/>
      <c r="AY227" s="106"/>
      <c r="AZ227" s="106"/>
      <c r="BA227" s="106"/>
      <c r="BB227" s="106"/>
      <c r="BC227" s="106"/>
      <c r="BD227" s="106"/>
      <c r="BE227" s="106"/>
      <c r="BF227" s="106"/>
      <c r="BG227" s="106"/>
      <c r="BH227" s="106"/>
      <c r="BI227" s="106"/>
      <c r="BJ227" s="106"/>
      <c r="BK227" s="106"/>
      <c r="BL227" s="106"/>
      <c r="BM227" s="106"/>
      <c r="BN227" s="106"/>
      <c r="BO227" s="106"/>
      <c r="BP227" s="106"/>
      <c r="BQ227" s="106"/>
      <c r="BR227" s="106"/>
      <c r="BS227" s="106"/>
      <c r="BT227" s="106"/>
      <c r="BU227" s="106"/>
      <c r="BV227" s="106"/>
      <c r="BW227" s="106"/>
      <c r="BX227" s="106"/>
      <c r="BY227" s="106"/>
      <c r="BZ227" s="106"/>
      <c r="CA227" s="106"/>
      <c r="CB227" s="106"/>
      <c r="CC227" s="106"/>
      <c r="CD227" s="106"/>
      <c r="CE227" s="106"/>
      <c r="CF227" s="106"/>
      <c r="CG227" s="106"/>
      <c r="CH227" s="106"/>
      <c r="CI227" s="106"/>
      <c r="CJ227" s="106"/>
      <c r="CK227" s="109">
        <f t="shared" si="99"/>
        <v>23647.5</v>
      </c>
      <c r="CL227" s="109">
        <f t="shared" si="100"/>
        <v>23117</v>
      </c>
      <c r="CM227" s="109">
        <f t="shared" si="101"/>
        <v>1495.7702586515975</v>
      </c>
      <c r="CN227" s="103">
        <f t="shared" si="91"/>
        <v>6.470434133545E-2</v>
      </c>
      <c r="CO227" s="110">
        <f>CQ227</f>
        <v>23117</v>
      </c>
      <c r="CP227" s="107"/>
      <c r="CQ227" s="106">
        <f t="shared" si="96"/>
        <v>23117</v>
      </c>
      <c r="CR227" s="122">
        <f t="shared" si="98"/>
        <v>1502605</v>
      </c>
      <c r="CS227" s="79" t="s">
        <v>731</v>
      </c>
    </row>
    <row r="228" spans="1:97" ht="126.65" customHeight="1">
      <c r="A228" s="90">
        <f t="shared" si="92"/>
        <v>211</v>
      </c>
      <c r="B228" s="63" t="s">
        <v>147</v>
      </c>
      <c r="C228" s="1" t="s">
        <v>148</v>
      </c>
      <c r="D228" s="63" t="s">
        <v>4</v>
      </c>
      <c r="E228" s="62">
        <v>4800</v>
      </c>
      <c r="F228" s="1"/>
      <c r="G228" s="106"/>
      <c r="H228" s="106"/>
      <c r="I228" s="106"/>
      <c r="J228" s="106"/>
      <c r="K228" s="106"/>
      <c r="L228" s="106"/>
      <c r="M228" s="106"/>
      <c r="N228" s="112">
        <v>28000</v>
      </c>
      <c r="O228" s="106">
        <f>+N228*5.1%+N228</f>
        <v>29428</v>
      </c>
      <c r="P228" s="106"/>
      <c r="Q228" s="106"/>
      <c r="R228" s="106"/>
      <c r="S228" s="106"/>
      <c r="T228" s="106"/>
      <c r="U228" s="106"/>
      <c r="V228" s="106"/>
      <c r="W228" s="106"/>
      <c r="X228" s="106"/>
      <c r="Y228" s="106"/>
      <c r="Z228" s="106"/>
      <c r="AA228" s="106"/>
      <c r="AB228" s="106"/>
      <c r="AC228" s="106"/>
      <c r="AD228" s="106"/>
      <c r="AE228" s="106"/>
      <c r="AF228" s="106"/>
      <c r="AG228" s="106"/>
      <c r="AH228" s="106"/>
      <c r="AI228" s="106"/>
      <c r="AJ228" s="106"/>
      <c r="AK228" s="106"/>
      <c r="AL228" s="106"/>
      <c r="AM228" s="333">
        <v>27000</v>
      </c>
      <c r="AN228" s="106"/>
      <c r="AO228" s="106"/>
      <c r="AP228" s="106"/>
      <c r="AQ228" s="106"/>
      <c r="AR228" s="106"/>
      <c r="AS228" s="106"/>
      <c r="AT228" s="333">
        <v>26000</v>
      </c>
      <c r="AU228" s="333">
        <v>27326</v>
      </c>
      <c r="AV228" s="106"/>
      <c r="AW228" s="106"/>
      <c r="AX228" s="106"/>
      <c r="AY228" s="106"/>
      <c r="AZ228" s="106"/>
      <c r="BA228" s="106"/>
      <c r="BB228" s="106"/>
      <c r="BC228" s="106"/>
      <c r="BD228" s="106"/>
      <c r="BE228" s="106"/>
      <c r="BF228" s="106"/>
      <c r="BG228" s="106"/>
      <c r="BH228" s="106"/>
      <c r="BI228" s="106"/>
      <c r="BJ228" s="106"/>
      <c r="BK228" s="106"/>
      <c r="BL228" s="106"/>
      <c r="BM228" s="106"/>
      <c r="BN228" s="106"/>
      <c r="BO228" s="106"/>
      <c r="BP228" s="106"/>
      <c r="BQ228" s="106"/>
      <c r="BR228" s="106"/>
      <c r="BS228" s="106"/>
      <c r="BT228" s="106"/>
      <c r="BU228" s="106"/>
      <c r="BV228" s="106"/>
      <c r="BW228" s="106"/>
      <c r="BX228" s="106"/>
      <c r="BY228" s="106"/>
      <c r="BZ228" s="106"/>
      <c r="CA228" s="106"/>
      <c r="CB228" s="106"/>
      <c r="CC228" s="106"/>
      <c r="CD228" s="106"/>
      <c r="CE228" s="106"/>
      <c r="CF228" s="106"/>
      <c r="CG228" s="106"/>
      <c r="CH228" s="106"/>
      <c r="CI228" s="106"/>
      <c r="CJ228" s="106"/>
      <c r="CK228" s="109">
        <f t="shared" si="99"/>
        <v>28377</v>
      </c>
      <c r="CL228" s="109">
        <f t="shared" si="100"/>
        <v>28295.5</v>
      </c>
      <c r="CM228" s="109">
        <f t="shared" si="101"/>
        <v>1314.4533718115172</v>
      </c>
      <c r="CN228" s="103">
        <f t="shared" si="91"/>
        <v>4.6454502370041777E-2</v>
      </c>
      <c r="CO228" s="110">
        <f>CQ228/1.08</f>
        <v>26200</v>
      </c>
      <c r="CP228" s="107">
        <f>CO228*8%</f>
        <v>2096</v>
      </c>
      <c r="CQ228" s="106">
        <f t="shared" si="96"/>
        <v>28296</v>
      </c>
      <c r="CR228" s="122">
        <f t="shared" si="98"/>
        <v>135820800</v>
      </c>
      <c r="CS228" s="79" t="s">
        <v>731</v>
      </c>
    </row>
    <row r="229" spans="1:97" ht="101.65" customHeight="1">
      <c r="A229" s="90">
        <f t="shared" si="92"/>
        <v>212</v>
      </c>
      <c r="B229" s="88" t="s">
        <v>61</v>
      </c>
      <c r="C229" s="1" t="s">
        <v>62</v>
      </c>
      <c r="D229" s="91" t="s">
        <v>4</v>
      </c>
      <c r="E229" s="1">
        <v>800</v>
      </c>
      <c r="F229" s="1"/>
      <c r="G229" s="106"/>
      <c r="H229" s="106"/>
      <c r="I229" s="106"/>
      <c r="J229" s="106"/>
      <c r="K229" s="112"/>
      <c r="L229" s="106"/>
      <c r="M229" s="106"/>
      <c r="N229" s="106"/>
      <c r="O229" s="106"/>
      <c r="P229" s="106"/>
      <c r="Q229" s="106"/>
      <c r="R229" s="106"/>
      <c r="S229" s="106"/>
      <c r="T229" s="106"/>
      <c r="U229" s="106"/>
      <c r="V229" s="106"/>
      <c r="W229" s="106"/>
      <c r="X229" s="112">
        <v>130000</v>
      </c>
      <c r="Y229" s="112">
        <v>97000</v>
      </c>
      <c r="Z229" s="112">
        <v>100000</v>
      </c>
      <c r="AA229" s="106"/>
      <c r="AB229" s="106"/>
      <c r="AC229" s="106"/>
      <c r="AD229" s="106"/>
      <c r="AE229" s="106"/>
      <c r="AF229" s="106"/>
      <c r="AG229" s="106"/>
      <c r="AH229" s="106"/>
      <c r="AI229" s="106"/>
      <c r="AJ229" s="106"/>
      <c r="AK229" s="106"/>
      <c r="AL229" s="106"/>
      <c r="AM229" s="106"/>
      <c r="AN229" s="106"/>
      <c r="AO229" s="106"/>
      <c r="AP229" s="106"/>
      <c r="AQ229" s="106"/>
      <c r="AR229" s="106"/>
      <c r="AS229" s="106"/>
      <c r="AT229" s="106"/>
      <c r="AU229" s="106"/>
      <c r="AV229" s="106"/>
      <c r="AW229" s="106"/>
      <c r="AX229" s="106"/>
      <c r="AY229" s="106"/>
      <c r="AZ229" s="106"/>
      <c r="BA229" s="106"/>
      <c r="BB229" s="106"/>
      <c r="BC229" s="106"/>
      <c r="BD229" s="106"/>
      <c r="BE229" s="106"/>
      <c r="BF229" s="106"/>
      <c r="BG229" s="106"/>
      <c r="BH229" s="106"/>
      <c r="BI229" s="106"/>
      <c r="BJ229" s="106"/>
      <c r="BK229" s="106"/>
      <c r="BL229" s="106"/>
      <c r="BM229" s="106"/>
      <c r="BN229" s="106"/>
      <c r="BO229" s="106"/>
      <c r="BP229" s="106"/>
      <c r="BQ229" s="106"/>
      <c r="BR229" s="106"/>
      <c r="BS229" s="106"/>
      <c r="BT229" s="106"/>
      <c r="BU229" s="106"/>
      <c r="BV229" s="106"/>
      <c r="BW229" s="106"/>
      <c r="BX229" s="106"/>
      <c r="BY229" s="106"/>
      <c r="BZ229" s="106"/>
      <c r="CA229" s="106"/>
      <c r="CB229" s="106"/>
      <c r="CC229" s="106"/>
      <c r="CD229" s="106"/>
      <c r="CE229" s="106"/>
      <c r="CF229" s="106"/>
      <c r="CG229" s="106"/>
      <c r="CH229" s="106"/>
      <c r="CI229" s="106"/>
      <c r="CJ229" s="106"/>
      <c r="CK229" s="109">
        <f t="shared" si="99"/>
        <v>100000</v>
      </c>
      <c r="CL229" s="109">
        <f t="shared" si="100"/>
        <v>109000</v>
      </c>
      <c r="CM229" s="109">
        <f t="shared" si="101"/>
        <v>18248.287590894659</v>
      </c>
      <c r="CN229" s="103">
        <f>CM229/CL229</f>
        <v>0.1674154824852721</v>
      </c>
      <c r="CO229" s="110">
        <f t="shared" si="102"/>
        <v>84033.613445378156</v>
      </c>
      <c r="CP229" s="107">
        <f t="shared" si="90"/>
        <v>15966.386554621849</v>
      </c>
      <c r="CQ229" s="106">
        <f t="shared" si="96"/>
        <v>100000</v>
      </c>
      <c r="CR229" s="122">
        <f t="shared" si="98"/>
        <v>80000000</v>
      </c>
      <c r="CS229" s="89" t="s">
        <v>380</v>
      </c>
    </row>
    <row r="230" spans="1:97" ht="100.9" customHeight="1">
      <c r="A230" s="90">
        <f t="shared" si="92"/>
        <v>213</v>
      </c>
      <c r="B230" s="88" t="s">
        <v>29</v>
      </c>
      <c r="C230" s="1" t="s">
        <v>292</v>
      </c>
      <c r="D230" s="91" t="s">
        <v>4</v>
      </c>
      <c r="E230" s="1">
        <v>20</v>
      </c>
      <c r="F230" s="1"/>
      <c r="G230" s="106"/>
      <c r="H230" s="106"/>
      <c r="I230" s="106"/>
      <c r="J230" s="106"/>
      <c r="K230" s="106"/>
      <c r="L230" s="106"/>
      <c r="M230" s="106"/>
      <c r="N230" s="106"/>
      <c r="O230" s="106"/>
      <c r="P230" s="106"/>
      <c r="Q230" s="106"/>
      <c r="R230" s="106"/>
      <c r="S230" s="106"/>
      <c r="T230" s="106"/>
      <c r="U230" s="106"/>
      <c r="V230" s="106"/>
      <c r="W230" s="106"/>
      <c r="X230" s="112">
        <v>313000</v>
      </c>
      <c r="Y230" s="112">
        <v>289400</v>
      </c>
      <c r="Z230" s="112">
        <v>290500</v>
      </c>
      <c r="AA230" s="112"/>
      <c r="AB230" s="112"/>
      <c r="AC230" s="112"/>
      <c r="AD230" s="112"/>
      <c r="AE230" s="112"/>
      <c r="AF230" s="112"/>
      <c r="AG230" s="112"/>
      <c r="AH230" s="112"/>
      <c r="AI230" s="112"/>
      <c r="AJ230" s="112"/>
      <c r="AK230" s="112"/>
      <c r="AL230" s="112"/>
      <c r="AM230" s="112"/>
      <c r="AN230" s="112"/>
      <c r="AO230" s="112"/>
      <c r="AP230" s="112"/>
      <c r="AQ230" s="112"/>
      <c r="AR230" s="112"/>
      <c r="AS230" s="112"/>
      <c r="AT230" s="112"/>
      <c r="AU230" s="112"/>
      <c r="AV230" s="112"/>
      <c r="AW230" s="112"/>
      <c r="AX230" s="112"/>
      <c r="AY230" s="112"/>
      <c r="AZ230" s="112"/>
      <c r="BA230" s="112"/>
      <c r="BB230" s="112"/>
      <c r="BC230" s="112"/>
      <c r="BD230" s="112"/>
      <c r="BE230" s="112"/>
      <c r="BF230" s="112"/>
      <c r="BG230" s="112"/>
      <c r="BH230" s="112"/>
      <c r="BI230" s="112"/>
      <c r="BJ230" s="112"/>
      <c r="BK230" s="112"/>
      <c r="BL230" s="112"/>
      <c r="BM230" s="112"/>
      <c r="BN230" s="112"/>
      <c r="BO230" s="112"/>
      <c r="BP230" s="112"/>
      <c r="BQ230" s="112"/>
      <c r="BR230" s="112"/>
      <c r="BS230" s="112"/>
      <c r="BT230" s="112"/>
      <c r="BU230" s="112"/>
      <c r="BV230" s="112"/>
      <c r="BW230" s="112"/>
      <c r="BX230" s="112"/>
      <c r="BY230" s="112"/>
      <c r="BZ230" s="112"/>
      <c r="CA230" s="112"/>
      <c r="CB230" s="112"/>
      <c r="CC230" s="112"/>
      <c r="CD230" s="112"/>
      <c r="CE230" s="112"/>
      <c r="CF230" s="112"/>
      <c r="CG230" s="112"/>
      <c r="CH230" s="112"/>
      <c r="CI230" s="112"/>
      <c r="CJ230" s="112"/>
      <c r="CK230" s="109">
        <f t="shared" si="99"/>
        <v>290500</v>
      </c>
      <c r="CL230" s="109">
        <f t="shared" si="100"/>
        <v>297633.33333333331</v>
      </c>
      <c r="CM230" s="109">
        <f t="shared" si="101"/>
        <v>13319.284265054686</v>
      </c>
      <c r="CN230" s="103">
        <f t="shared" ref="CN230:CN243" si="103">CM230/CL230</f>
        <v>4.4750647099522971E-2</v>
      </c>
      <c r="CO230" s="110">
        <f t="shared" si="102"/>
        <v>250112.60504201683</v>
      </c>
      <c r="CP230" s="107">
        <f t="shared" si="90"/>
        <v>47521.394957983197</v>
      </c>
      <c r="CQ230" s="106">
        <f t="shared" si="96"/>
        <v>297634</v>
      </c>
      <c r="CR230" s="122">
        <f t="shared" si="98"/>
        <v>5952680</v>
      </c>
      <c r="CS230" s="89" t="s">
        <v>732</v>
      </c>
    </row>
    <row r="231" spans="1:97" ht="85.9" customHeight="1">
      <c r="A231" s="90">
        <f>+A230+1</f>
        <v>214</v>
      </c>
      <c r="B231" s="88" t="s">
        <v>30</v>
      </c>
      <c r="C231" s="1" t="s">
        <v>97</v>
      </c>
      <c r="D231" s="91" t="s">
        <v>4</v>
      </c>
      <c r="E231" s="1">
        <v>30</v>
      </c>
      <c r="F231" s="1"/>
      <c r="G231" s="106"/>
      <c r="H231" s="106"/>
      <c r="I231" s="106"/>
      <c r="J231" s="106"/>
      <c r="K231" s="106"/>
      <c r="L231" s="106"/>
      <c r="M231" s="106"/>
      <c r="N231" s="106"/>
      <c r="O231" s="106"/>
      <c r="P231" s="106"/>
      <c r="Q231" s="106"/>
      <c r="R231" s="106"/>
      <c r="S231" s="106"/>
      <c r="T231" s="106"/>
      <c r="U231" s="106"/>
      <c r="V231" s="106"/>
      <c r="W231" s="106"/>
      <c r="X231" s="112">
        <v>79000</v>
      </c>
      <c r="Y231" s="112">
        <v>84200</v>
      </c>
      <c r="Z231" s="112">
        <v>85500</v>
      </c>
      <c r="AA231" s="112"/>
      <c r="AB231" s="112"/>
      <c r="AC231" s="112"/>
      <c r="AD231" s="112"/>
      <c r="AE231" s="112"/>
      <c r="AF231" s="112"/>
      <c r="AG231" s="112"/>
      <c r="AH231" s="112"/>
      <c r="AI231" s="112"/>
      <c r="AJ231" s="112"/>
      <c r="AK231" s="112"/>
      <c r="AL231" s="112"/>
      <c r="AM231" s="112"/>
      <c r="AN231" s="112"/>
      <c r="AO231" s="112"/>
      <c r="AP231" s="112"/>
      <c r="AQ231" s="112"/>
      <c r="AR231" s="112"/>
      <c r="AS231" s="112"/>
      <c r="AT231" s="112"/>
      <c r="AU231" s="112"/>
      <c r="AV231" s="112"/>
      <c r="AW231" s="112"/>
      <c r="AX231" s="112"/>
      <c r="AY231" s="112"/>
      <c r="AZ231" s="112"/>
      <c r="BA231" s="112"/>
      <c r="BB231" s="112"/>
      <c r="BC231" s="112"/>
      <c r="BD231" s="112"/>
      <c r="BE231" s="112"/>
      <c r="BF231" s="112"/>
      <c r="BG231" s="112"/>
      <c r="BH231" s="112"/>
      <c r="BI231" s="112"/>
      <c r="BJ231" s="112"/>
      <c r="BK231" s="112"/>
      <c r="BL231" s="112"/>
      <c r="BM231" s="112"/>
      <c r="BN231" s="112"/>
      <c r="BO231" s="112"/>
      <c r="BP231" s="112"/>
      <c r="BQ231" s="112"/>
      <c r="BR231" s="112"/>
      <c r="BS231" s="112"/>
      <c r="BT231" s="112"/>
      <c r="BU231" s="112"/>
      <c r="BV231" s="112"/>
      <c r="BW231" s="112"/>
      <c r="BX231" s="112"/>
      <c r="BY231" s="112"/>
      <c r="BZ231" s="112"/>
      <c r="CA231" s="112"/>
      <c r="CB231" s="112"/>
      <c r="CC231" s="112"/>
      <c r="CD231" s="112"/>
      <c r="CE231" s="112"/>
      <c r="CF231" s="112"/>
      <c r="CG231" s="112"/>
      <c r="CH231" s="112"/>
      <c r="CI231" s="112"/>
      <c r="CJ231" s="112"/>
      <c r="CK231" s="109">
        <f t="shared" si="99"/>
        <v>84200</v>
      </c>
      <c r="CL231" s="109">
        <f t="shared" si="100"/>
        <v>82900</v>
      </c>
      <c r="CM231" s="109">
        <f t="shared" si="101"/>
        <v>3439.4767043839679</v>
      </c>
      <c r="CN231" s="103">
        <f t="shared" si="103"/>
        <v>4.1489465674113005E-2</v>
      </c>
      <c r="CO231" s="110">
        <f t="shared" si="102"/>
        <v>69663.865546218483</v>
      </c>
      <c r="CP231" s="107">
        <f t="shared" si="90"/>
        <v>13236.134453781511</v>
      </c>
      <c r="CQ231" s="106">
        <f t="shared" si="96"/>
        <v>82900</v>
      </c>
      <c r="CR231" s="122">
        <f t="shared" si="98"/>
        <v>2487000</v>
      </c>
      <c r="CS231" s="89" t="s">
        <v>732</v>
      </c>
    </row>
    <row r="232" spans="1:97" ht="57" customHeight="1">
      <c r="A232" s="90">
        <f t="shared" si="92"/>
        <v>215</v>
      </c>
      <c r="B232" s="88" t="s">
        <v>31</v>
      </c>
      <c r="C232" s="1" t="s">
        <v>98</v>
      </c>
      <c r="D232" s="91" t="s">
        <v>4</v>
      </c>
      <c r="E232" s="1">
        <v>300</v>
      </c>
      <c r="F232" s="1"/>
      <c r="G232" s="106"/>
      <c r="H232" s="106"/>
      <c r="I232" s="106"/>
      <c r="J232" s="106"/>
      <c r="K232" s="106"/>
      <c r="L232" s="106"/>
      <c r="M232" s="106"/>
      <c r="N232" s="106"/>
      <c r="O232" s="106"/>
      <c r="P232" s="106"/>
      <c r="Q232" s="106"/>
      <c r="R232" s="106"/>
      <c r="S232" s="106"/>
      <c r="T232" s="106"/>
      <c r="U232" s="106"/>
      <c r="V232" s="106"/>
      <c r="W232" s="106"/>
      <c r="X232" s="112">
        <v>14000</v>
      </c>
      <c r="Y232" s="112">
        <v>16900</v>
      </c>
      <c r="Z232" s="112">
        <v>16900</v>
      </c>
      <c r="AA232" s="112"/>
      <c r="AB232" s="112"/>
      <c r="AC232" s="112"/>
      <c r="AD232" s="112"/>
      <c r="AE232" s="112"/>
      <c r="AF232" s="112"/>
      <c r="AG232" s="112"/>
      <c r="AH232" s="112"/>
      <c r="AI232" s="112"/>
      <c r="AJ232" s="112"/>
      <c r="AK232" s="112"/>
      <c r="AL232" s="112"/>
      <c r="AM232" s="112"/>
      <c r="AN232" s="112"/>
      <c r="AO232" s="112"/>
      <c r="AP232" s="112"/>
      <c r="AQ232" s="112"/>
      <c r="AR232" s="112"/>
      <c r="AS232" s="112"/>
      <c r="AT232" s="112"/>
      <c r="AU232" s="112"/>
      <c r="AV232" s="112"/>
      <c r="AW232" s="112"/>
      <c r="AX232" s="112"/>
      <c r="AY232" s="112"/>
      <c r="AZ232" s="112"/>
      <c r="BA232" s="112"/>
      <c r="BB232" s="112"/>
      <c r="BC232" s="112"/>
      <c r="BD232" s="112"/>
      <c r="BE232" s="112"/>
      <c r="BF232" s="112"/>
      <c r="BG232" s="112"/>
      <c r="BH232" s="112"/>
      <c r="BI232" s="112"/>
      <c r="BJ232" s="112"/>
      <c r="BK232" s="112"/>
      <c r="BL232" s="112"/>
      <c r="BM232" s="112"/>
      <c r="BN232" s="112"/>
      <c r="BO232" s="112"/>
      <c r="BP232" s="112"/>
      <c r="BQ232" s="112"/>
      <c r="BR232" s="112"/>
      <c r="BS232" s="112"/>
      <c r="BT232" s="112"/>
      <c r="BU232" s="112"/>
      <c r="BV232" s="112"/>
      <c r="BW232" s="112"/>
      <c r="BX232" s="112"/>
      <c r="BY232" s="112"/>
      <c r="BZ232" s="112"/>
      <c r="CA232" s="112"/>
      <c r="CB232" s="112"/>
      <c r="CC232" s="112"/>
      <c r="CD232" s="112"/>
      <c r="CE232" s="112"/>
      <c r="CF232" s="112"/>
      <c r="CG232" s="112"/>
      <c r="CH232" s="112"/>
      <c r="CI232" s="112"/>
      <c r="CJ232" s="112"/>
      <c r="CK232" s="109">
        <f t="shared" si="99"/>
        <v>16900</v>
      </c>
      <c r="CL232" s="109">
        <f t="shared" si="100"/>
        <v>15933.333333333334</v>
      </c>
      <c r="CM232" s="109">
        <f t="shared" si="101"/>
        <v>1674.3157806499148</v>
      </c>
      <c r="CN232" s="103">
        <f t="shared" si="103"/>
        <v>0.10508258037551767</v>
      </c>
      <c r="CO232" s="110">
        <f t="shared" si="102"/>
        <v>13389.915966386556</v>
      </c>
      <c r="CP232" s="107">
        <f t="shared" si="90"/>
        <v>2544.0840336134456</v>
      </c>
      <c r="CQ232" s="106">
        <f t="shared" si="96"/>
        <v>15934</v>
      </c>
      <c r="CR232" s="122">
        <f t="shared" si="98"/>
        <v>4780200</v>
      </c>
      <c r="CS232" s="89" t="s">
        <v>732</v>
      </c>
    </row>
    <row r="233" spans="1:97" ht="78.650000000000006" customHeight="1">
      <c r="A233" s="90">
        <f t="shared" si="92"/>
        <v>216</v>
      </c>
      <c r="B233" s="88" t="s">
        <v>32</v>
      </c>
      <c r="C233" s="1" t="s">
        <v>99</v>
      </c>
      <c r="D233" s="91" t="s">
        <v>138</v>
      </c>
      <c r="E233" s="1">
        <v>1</v>
      </c>
      <c r="F233" s="1"/>
      <c r="G233" s="106"/>
      <c r="H233" s="106"/>
      <c r="I233" s="106"/>
      <c r="J233" s="106"/>
      <c r="K233" s="106"/>
      <c r="L233" s="106"/>
      <c r="M233" s="106"/>
      <c r="N233" s="106"/>
      <c r="O233" s="106"/>
      <c r="P233" s="106"/>
      <c r="Q233" s="106"/>
      <c r="R233" s="106"/>
      <c r="S233" s="106"/>
      <c r="T233" s="106"/>
      <c r="U233" s="106"/>
      <c r="V233" s="106"/>
      <c r="W233" s="106"/>
      <c r="X233" s="112">
        <v>200000</v>
      </c>
      <c r="Y233" s="112">
        <v>230000</v>
      </c>
      <c r="Z233" s="112">
        <v>235000</v>
      </c>
      <c r="AA233" s="112"/>
      <c r="AB233" s="112"/>
      <c r="AC233" s="112"/>
      <c r="AD233" s="112"/>
      <c r="AE233" s="112"/>
      <c r="AF233" s="112"/>
      <c r="AG233" s="112"/>
      <c r="AH233" s="112"/>
      <c r="AI233" s="112"/>
      <c r="AJ233" s="112"/>
      <c r="AK233" s="112"/>
      <c r="AL233" s="112"/>
      <c r="AM233" s="112"/>
      <c r="AN233" s="112"/>
      <c r="AO233" s="112"/>
      <c r="AP233" s="112"/>
      <c r="AQ233" s="112"/>
      <c r="AR233" s="112"/>
      <c r="AS233" s="112"/>
      <c r="AT233" s="112"/>
      <c r="AU233" s="112"/>
      <c r="AV233" s="112"/>
      <c r="AW233" s="112"/>
      <c r="AX233" s="112"/>
      <c r="AY233" s="112"/>
      <c r="AZ233" s="112"/>
      <c r="BA233" s="112"/>
      <c r="BB233" s="112"/>
      <c r="BC233" s="112"/>
      <c r="BD233" s="112"/>
      <c r="BE233" s="112"/>
      <c r="BF233" s="112"/>
      <c r="BG233" s="112"/>
      <c r="BH233" s="112"/>
      <c r="BI233" s="112"/>
      <c r="BJ233" s="112"/>
      <c r="BK233" s="112"/>
      <c r="BL233" s="112"/>
      <c r="BM233" s="112"/>
      <c r="BN233" s="112"/>
      <c r="BO233" s="112"/>
      <c r="BP233" s="112"/>
      <c r="BQ233" s="112"/>
      <c r="BR233" s="112"/>
      <c r="BS233" s="112"/>
      <c r="BT233" s="112"/>
      <c r="BU233" s="112"/>
      <c r="BV233" s="112"/>
      <c r="BW233" s="112"/>
      <c r="BX233" s="112"/>
      <c r="BY233" s="112"/>
      <c r="BZ233" s="112"/>
      <c r="CA233" s="112"/>
      <c r="CB233" s="112"/>
      <c r="CC233" s="112"/>
      <c r="CD233" s="112"/>
      <c r="CE233" s="112"/>
      <c r="CF233" s="112"/>
      <c r="CG233" s="112"/>
      <c r="CH233" s="112"/>
      <c r="CI233" s="112"/>
      <c r="CJ233" s="112"/>
      <c r="CK233" s="109">
        <f t="shared" si="99"/>
        <v>230000</v>
      </c>
      <c r="CL233" s="109">
        <f t="shared" si="100"/>
        <v>221666.66666666666</v>
      </c>
      <c r="CM233" s="109">
        <f t="shared" si="101"/>
        <v>18929.69448600091</v>
      </c>
      <c r="CN233" s="103">
        <f t="shared" si="103"/>
        <v>8.5397117981958995E-2</v>
      </c>
      <c r="CO233" s="110">
        <f t="shared" si="102"/>
        <v>186274.78991596639</v>
      </c>
      <c r="CP233" s="107">
        <f t="shared" si="90"/>
        <v>35392.210084033613</v>
      </c>
      <c r="CQ233" s="106">
        <f t="shared" si="96"/>
        <v>221667</v>
      </c>
      <c r="CR233" s="122">
        <f t="shared" si="98"/>
        <v>221667</v>
      </c>
      <c r="CS233" s="89" t="s">
        <v>732</v>
      </c>
    </row>
    <row r="234" spans="1:97" ht="52.9" customHeight="1">
      <c r="A234" s="90">
        <f t="shared" si="92"/>
        <v>217</v>
      </c>
      <c r="B234" s="63" t="s">
        <v>696</v>
      </c>
      <c r="C234" s="1" t="s">
        <v>92</v>
      </c>
      <c r="D234" s="91" t="s">
        <v>269</v>
      </c>
      <c r="E234" s="1">
        <v>20</v>
      </c>
      <c r="F234" s="1"/>
      <c r="G234" s="106"/>
      <c r="H234" s="106"/>
      <c r="I234" s="106"/>
      <c r="J234" s="106"/>
      <c r="K234" s="106"/>
      <c r="L234" s="106"/>
      <c r="M234" s="106"/>
      <c r="N234" s="106"/>
      <c r="O234" s="106"/>
      <c r="P234" s="106"/>
      <c r="Q234" s="106"/>
      <c r="R234" s="106"/>
      <c r="S234" s="106"/>
      <c r="T234" s="106"/>
      <c r="U234" s="106"/>
      <c r="V234" s="106"/>
      <c r="W234" s="106"/>
      <c r="X234" s="106">
        <v>16900</v>
      </c>
      <c r="Y234" s="106">
        <v>18000</v>
      </c>
      <c r="Z234" s="106">
        <v>19000</v>
      </c>
      <c r="AA234" s="106"/>
      <c r="AB234" s="106"/>
      <c r="AC234" s="106"/>
      <c r="AD234" s="106"/>
      <c r="AE234" s="106"/>
      <c r="AF234" s="106"/>
      <c r="AG234" s="106"/>
      <c r="AH234" s="106"/>
      <c r="AI234" s="106"/>
      <c r="AJ234" s="106"/>
      <c r="AK234" s="106"/>
      <c r="AL234" s="106"/>
      <c r="AM234" s="106"/>
      <c r="AN234" s="106"/>
      <c r="AO234" s="106"/>
      <c r="AP234" s="112"/>
      <c r="AQ234" s="106"/>
      <c r="AR234" s="106"/>
      <c r="AS234" s="106"/>
      <c r="AT234" s="106"/>
      <c r="AU234" s="106"/>
      <c r="AV234" s="106"/>
      <c r="AW234" s="106"/>
      <c r="AX234" s="106"/>
      <c r="AY234" s="106"/>
      <c r="AZ234" s="106"/>
      <c r="BA234" s="106"/>
      <c r="BB234" s="106"/>
      <c r="BC234" s="106"/>
      <c r="BD234" s="106"/>
      <c r="BE234" s="106"/>
      <c r="BF234" s="106"/>
      <c r="BG234" s="106"/>
      <c r="BH234" s="106"/>
      <c r="BI234" s="106"/>
      <c r="BJ234" s="106"/>
      <c r="BK234" s="106"/>
      <c r="BL234" s="106"/>
      <c r="BM234" s="106"/>
      <c r="BN234" s="106"/>
      <c r="BO234" s="106"/>
      <c r="BP234" s="106"/>
      <c r="BQ234" s="106"/>
      <c r="BR234" s="106"/>
      <c r="BS234" s="106"/>
      <c r="BT234" s="106"/>
      <c r="BU234" s="106"/>
      <c r="BV234" s="106"/>
      <c r="BW234" s="106"/>
      <c r="BX234" s="106"/>
      <c r="BY234" s="106"/>
      <c r="BZ234" s="106"/>
      <c r="CA234" s="106"/>
      <c r="CB234" s="106"/>
      <c r="CC234" s="106"/>
      <c r="CD234" s="106"/>
      <c r="CE234" s="106"/>
      <c r="CF234" s="106"/>
      <c r="CG234" s="106"/>
      <c r="CH234" s="106"/>
      <c r="CI234" s="106"/>
      <c r="CJ234" s="106"/>
      <c r="CK234" s="109">
        <f t="shared" si="99"/>
        <v>18000</v>
      </c>
      <c r="CL234" s="109">
        <f t="shared" si="100"/>
        <v>17966.666666666668</v>
      </c>
      <c r="CM234" s="109">
        <f t="shared" si="101"/>
        <v>1050.3967504392488</v>
      </c>
      <c r="CN234" s="103">
        <f t="shared" si="103"/>
        <v>5.8463641026303269E-2</v>
      </c>
      <c r="CO234" s="110">
        <f t="shared" si="102"/>
        <v>15098.319327731093</v>
      </c>
      <c r="CP234" s="107">
        <f t="shared" si="90"/>
        <v>2868.6806722689075</v>
      </c>
      <c r="CQ234" s="106">
        <f t="shared" si="96"/>
        <v>17967</v>
      </c>
      <c r="CR234" s="122">
        <f t="shared" si="98"/>
        <v>359340</v>
      </c>
      <c r="CS234" s="89" t="s">
        <v>732</v>
      </c>
    </row>
    <row r="235" spans="1:97" ht="54.65" customHeight="1">
      <c r="A235" s="90">
        <f t="shared" si="92"/>
        <v>218</v>
      </c>
      <c r="B235" s="88" t="s">
        <v>33</v>
      </c>
      <c r="C235" s="1" t="s">
        <v>34</v>
      </c>
      <c r="D235" s="91" t="s">
        <v>4</v>
      </c>
      <c r="E235" s="1">
        <v>6</v>
      </c>
      <c r="F235" s="1"/>
      <c r="G235" s="106"/>
      <c r="H235" s="106"/>
      <c r="I235" s="106"/>
      <c r="J235" s="106"/>
      <c r="K235" s="106"/>
      <c r="L235" s="106"/>
      <c r="M235" s="106"/>
      <c r="N235" s="106"/>
      <c r="O235" s="106"/>
      <c r="P235" s="106"/>
      <c r="Q235" s="106"/>
      <c r="R235" s="106"/>
      <c r="S235" s="106"/>
      <c r="T235" s="106"/>
      <c r="U235" s="106"/>
      <c r="V235" s="106"/>
      <c r="W235" s="106"/>
      <c r="X235" s="106"/>
      <c r="Y235" s="106"/>
      <c r="Z235" s="106"/>
      <c r="AA235" s="106"/>
      <c r="AB235" s="106"/>
      <c r="AC235" s="106"/>
      <c r="AD235" s="106"/>
      <c r="AE235" s="106"/>
      <c r="AF235" s="106"/>
      <c r="AG235" s="106"/>
      <c r="AH235" s="106"/>
      <c r="AI235" s="106"/>
      <c r="AJ235" s="106"/>
      <c r="AK235" s="106"/>
      <c r="AL235" s="106"/>
      <c r="AM235" s="106"/>
      <c r="AN235" s="106"/>
      <c r="AO235" s="106"/>
      <c r="AP235" s="106"/>
      <c r="AQ235" s="106"/>
      <c r="AR235" s="106"/>
      <c r="AS235" s="106"/>
      <c r="AT235" s="106"/>
      <c r="AU235" s="106"/>
      <c r="AV235" s="329">
        <v>214900</v>
      </c>
      <c r="AW235" s="5">
        <f>AV235*19%</f>
        <v>40831</v>
      </c>
      <c r="AX235" s="5">
        <f>AV235*1.36</f>
        <v>292264</v>
      </c>
      <c r="AY235" s="329">
        <v>195000</v>
      </c>
      <c r="AZ235" s="329">
        <v>204945</v>
      </c>
      <c r="BA235" s="329">
        <v>185000</v>
      </c>
      <c r="BB235" s="112">
        <v>194435</v>
      </c>
      <c r="BC235" s="112"/>
      <c r="BD235" s="112"/>
      <c r="BE235" s="112"/>
      <c r="BF235" s="112"/>
      <c r="BG235" s="112"/>
      <c r="BH235" s="112"/>
      <c r="BI235" s="112"/>
      <c r="BJ235" s="112"/>
      <c r="BK235" s="112"/>
      <c r="BL235" s="112"/>
      <c r="BM235" s="112"/>
      <c r="BN235" s="112"/>
      <c r="BO235" s="112"/>
      <c r="BP235" s="112"/>
      <c r="BQ235" s="112"/>
      <c r="BR235" s="112"/>
      <c r="BS235" s="112"/>
      <c r="BT235" s="112"/>
      <c r="BU235" s="112"/>
      <c r="BV235" s="112"/>
      <c r="BW235" s="112"/>
      <c r="BX235" s="112"/>
      <c r="BY235" s="112"/>
      <c r="BZ235" s="112"/>
      <c r="CA235" s="112"/>
      <c r="CB235" s="112"/>
      <c r="CC235" s="112"/>
      <c r="CD235" s="112"/>
      <c r="CE235" s="112"/>
      <c r="CF235" s="112"/>
      <c r="CG235" s="112"/>
      <c r="CH235" s="112"/>
      <c r="CI235" s="112"/>
      <c r="CJ235" s="112"/>
      <c r="CK235" s="109">
        <f t="shared" si="99"/>
        <v>204945</v>
      </c>
      <c r="CL235" s="109">
        <f t="shared" si="100"/>
        <v>230548</v>
      </c>
      <c r="CM235" s="109">
        <f t="shared" si="101"/>
        <v>53705.339743828081</v>
      </c>
      <c r="CN235" s="103">
        <f t="shared" si="103"/>
        <v>0.23294645689326335</v>
      </c>
      <c r="CO235" s="110">
        <f t="shared" si="102"/>
        <v>172222.68907563025</v>
      </c>
      <c r="CP235" s="107">
        <f t="shared" si="90"/>
        <v>32722.310924369747</v>
      </c>
      <c r="CQ235" s="106">
        <f t="shared" si="96"/>
        <v>204945</v>
      </c>
      <c r="CR235" s="122">
        <f t="shared" si="98"/>
        <v>1229670</v>
      </c>
      <c r="CS235" s="89" t="s">
        <v>731</v>
      </c>
    </row>
    <row r="236" spans="1:97" ht="71.650000000000006" customHeight="1">
      <c r="A236" s="90">
        <f t="shared" si="92"/>
        <v>219</v>
      </c>
      <c r="B236" s="88" t="s">
        <v>35</v>
      </c>
      <c r="C236" s="1" t="s">
        <v>100</v>
      </c>
      <c r="D236" s="91" t="s">
        <v>268</v>
      </c>
      <c r="E236" s="1">
        <v>25</v>
      </c>
      <c r="F236" s="1"/>
      <c r="G236" s="106"/>
      <c r="H236" s="106"/>
      <c r="I236" s="106"/>
      <c r="J236" s="106"/>
      <c r="K236" s="106"/>
      <c r="L236" s="106"/>
      <c r="M236" s="106"/>
      <c r="N236" s="106"/>
      <c r="O236" s="106"/>
      <c r="P236" s="106"/>
      <c r="Q236" s="106"/>
      <c r="R236" s="106"/>
      <c r="S236" s="106"/>
      <c r="T236" s="106"/>
      <c r="U236" s="106"/>
      <c r="V236" s="106"/>
      <c r="W236" s="106"/>
      <c r="X236" s="112">
        <v>20300</v>
      </c>
      <c r="Y236" s="112">
        <v>27000</v>
      </c>
      <c r="Z236" s="112">
        <v>29000</v>
      </c>
      <c r="AA236" s="112"/>
      <c r="AB236" s="112"/>
      <c r="AC236" s="112"/>
      <c r="AD236" s="112"/>
      <c r="AE236" s="112"/>
      <c r="AF236" s="112"/>
      <c r="AG236" s="112"/>
      <c r="AH236" s="112"/>
      <c r="AI236" s="112"/>
      <c r="AJ236" s="112"/>
      <c r="AK236" s="112"/>
      <c r="AL236" s="112"/>
      <c r="AM236" s="112"/>
      <c r="AN236" s="112"/>
      <c r="AO236" s="112"/>
      <c r="AP236" s="112"/>
      <c r="AQ236" s="112"/>
      <c r="AR236" s="112"/>
      <c r="AS236" s="112"/>
      <c r="AT236" s="112"/>
      <c r="AU236" s="112"/>
      <c r="AV236" s="112"/>
      <c r="AW236" s="112"/>
      <c r="AX236" s="112"/>
      <c r="AY236" s="112"/>
      <c r="AZ236" s="112"/>
      <c r="BA236" s="112"/>
      <c r="BB236" s="112"/>
      <c r="BC236" s="112"/>
      <c r="BD236" s="112"/>
      <c r="BE236" s="112"/>
      <c r="BF236" s="112"/>
      <c r="BG236" s="112"/>
      <c r="BH236" s="112"/>
      <c r="BI236" s="112"/>
      <c r="BJ236" s="112"/>
      <c r="BK236" s="112"/>
      <c r="BL236" s="112"/>
      <c r="BM236" s="112"/>
      <c r="BN236" s="112"/>
      <c r="BO236" s="112"/>
      <c r="BP236" s="112"/>
      <c r="BQ236" s="112"/>
      <c r="BR236" s="112"/>
      <c r="BS236" s="112"/>
      <c r="BT236" s="112"/>
      <c r="BU236" s="112"/>
      <c r="BV236" s="112"/>
      <c r="BW236" s="112"/>
      <c r="BX236" s="112"/>
      <c r="BY236" s="112"/>
      <c r="BZ236" s="112"/>
      <c r="CA236" s="112"/>
      <c r="CB236" s="112"/>
      <c r="CC236" s="112"/>
      <c r="CD236" s="112"/>
      <c r="CE236" s="112"/>
      <c r="CF236" s="112"/>
      <c r="CG236" s="112"/>
      <c r="CH236" s="112"/>
      <c r="CI236" s="112"/>
      <c r="CJ236" s="112"/>
      <c r="CK236" s="109">
        <f t="shared" si="99"/>
        <v>27000</v>
      </c>
      <c r="CL236" s="109">
        <f t="shared" si="100"/>
        <v>25433.333333333332</v>
      </c>
      <c r="CM236" s="109">
        <f t="shared" si="101"/>
        <v>4556.6800780100166</v>
      </c>
      <c r="CN236" s="103">
        <f t="shared" si="103"/>
        <v>0.17916173308034142</v>
      </c>
      <c r="CO236" s="110">
        <f t="shared" si="102"/>
        <v>22689.0756302521</v>
      </c>
      <c r="CP236" s="107">
        <f t="shared" si="90"/>
        <v>4310.9243697478987</v>
      </c>
      <c r="CQ236" s="106">
        <f t="shared" si="96"/>
        <v>27000</v>
      </c>
      <c r="CR236" s="122">
        <f t="shared" si="98"/>
        <v>675000</v>
      </c>
      <c r="CS236" s="89" t="s">
        <v>380</v>
      </c>
    </row>
    <row r="237" spans="1:97" ht="69.650000000000006" customHeight="1">
      <c r="A237" s="90">
        <f t="shared" si="92"/>
        <v>220</v>
      </c>
      <c r="B237" s="88" t="s">
        <v>36</v>
      </c>
      <c r="C237" s="1" t="s">
        <v>101</v>
      </c>
      <c r="D237" s="91" t="s">
        <v>4</v>
      </c>
      <c r="E237" s="1">
        <v>28</v>
      </c>
      <c r="F237" s="1"/>
      <c r="G237" s="106"/>
      <c r="H237" s="106"/>
      <c r="I237" s="106"/>
      <c r="J237" s="106"/>
      <c r="K237" s="106"/>
      <c r="L237" s="106"/>
      <c r="M237" s="106"/>
      <c r="N237" s="106"/>
      <c r="O237" s="106"/>
      <c r="P237" s="106"/>
      <c r="Q237" s="106"/>
      <c r="R237" s="106"/>
      <c r="S237" s="106"/>
      <c r="T237" s="106"/>
      <c r="U237" s="106"/>
      <c r="V237" s="106"/>
      <c r="W237" s="106"/>
      <c r="X237" s="106"/>
      <c r="Y237" s="106"/>
      <c r="Z237" s="106"/>
      <c r="AA237" s="106"/>
      <c r="AB237" s="106"/>
      <c r="AC237" s="106"/>
      <c r="AD237" s="106"/>
      <c r="AE237" s="106"/>
      <c r="AF237" s="106"/>
      <c r="AG237" s="106"/>
      <c r="AH237" s="106"/>
      <c r="AI237" s="106"/>
      <c r="AJ237" s="106"/>
      <c r="AK237" s="106"/>
      <c r="AL237" s="106"/>
      <c r="AM237" s="106"/>
      <c r="AN237" s="106"/>
      <c r="AO237" s="106"/>
      <c r="AP237" s="106"/>
      <c r="AQ237" s="106"/>
      <c r="AR237" s="106"/>
      <c r="AS237" s="106"/>
      <c r="AT237" s="106"/>
      <c r="AU237" s="106"/>
      <c r="AV237" s="106"/>
      <c r="AW237" s="106"/>
      <c r="AX237" s="106"/>
      <c r="AY237" s="329">
        <v>8000</v>
      </c>
      <c r="AZ237" s="329">
        <v>8408</v>
      </c>
      <c r="BA237" s="329">
        <v>7500</v>
      </c>
      <c r="BB237" s="112">
        <v>7883</v>
      </c>
      <c r="BC237" s="326">
        <v>9000</v>
      </c>
      <c r="BD237" s="326"/>
      <c r="BE237" s="326"/>
      <c r="BF237" s="326"/>
      <c r="BG237" s="326"/>
      <c r="BH237" s="326"/>
      <c r="BI237" s="326"/>
      <c r="BJ237" s="326"/>
      <c r="BK237" s="326"/>
      <c r="BL237" s="326"/>
      <c r="BM237" s="326"/>
      <c r="BN237" s="326"/>
      <c r="BO237" s="326"/>
      <c r="BP237" s="326"/>
      <c r="BQ237" s="326"/>
      <c r="BR237" s="326"/>
      <c r="BS237" s="326"/>
      <c r="BT237" s="326"/>
      <c r="BU237" s="326"/>
      <c r="BV237" s="326"/>
      <c r="BW237" s="326"/>
      <c r="BX237" s="326"/>
      <c r="BY237" s="326"/>
      <c r="BZ237" s="326"/>
      <c r="CA237" s="326"/>
      <c r="CB237" s="326"/>
      <c r="CC237" s="326"/>
      <c r="CD237" s="326"/>
      <c r="CE237" s="326"/>
      <c r="CF237" s="326"/>
      <c r="CG237" s="326"/>
      <c r="CH237" s="326"/>
      <c r="CI237" s="326"/>
      <c r="CJ237" s="326"/>
      <c r="CK237" s="109">
        <f t="shared" si="99"/>
        <v>8408</v>
      </c>
      <c r="CL237" s="109">
        <f t="shared" si="100"/>
        <v>8430.3333333333339</v>
      </c>
      <c r="CM237" s="109">
        <f t="shared" si="101"/>
        <v>558.83479967995311</v>
      </c>
      <c r="CN237" s="103">
        <f t="shared" si="103"/>
        <v>6.6288576926173709E-2</v>
      </c>
      <c r="CO237" s="110">
        <f t="shared" si="102"/>
        <v>7084.8739495798327</v>
      </c>
      <c r="CP237" s="107">
        <f t="shared" si="90"/>
        <v>1346.1260504201682</v>
      </c>
      <c r="CQ237" s="106">
        <f t="shared" si="96"/>
        <v>8431</v>
      </c>
      <c r="CR237" s="122">
        <f t="shared" si="98"/>
        <v>236068</v>
      </c>
      <c r="CS237" s="79" t="s">
        <v>731</v>
      </c>
    </row>
    <row r="238" spans="1:97" ht="81.650000000000006" customHeight="1">
      <c r="A238" s="90">
        <f t="shared" si="92"/>
        <v>221</v>
      </c>
      <c r="B238" s="88" t="s">
        <v>36</v>
      </c>
      <c r="C238" s="1" t="s">
        <v>102</v>
      </c>
      <c r="D238" s="91" t="s">
        <v>4</v>
      </c>
      <c r="E238" s="1">
        <v>28</v>
      </c>
      <c r="F238" s="1"/>
      <c r="G238" s="106"/>
      <c r="H238" s="106"/>
      <c r="I238" s="106"/>
      <c r="J238" s="106"/>
      <c r="K238" s="106"/>
      <c r="L238" s="106"/>
      <c r="M238" s="106"/>
      <c r="N238" s="106"/>
      <c r="O238" s="106"/>
      <c r="P238" s="106"/>
      <c r="Q238" s="106"/>
      <c r="R238" s="106"/>
      <c r="S238" s="106"/>
      <c r="T238" s="106"/>
      <c r="U238" s="106"/>
      <c r="V238" s="106"/>
      <c r="W238" s="106"/>
      <c r="X238" s="106"/>
      <c r="Y238" s="106"/>
      <c r="Z238" s="106"/>
      <c r="AA238" s="106"/>
      <c r="AB238" s="106"/>
      <c r="AC238" s="106"/>
      <c r="AD238" s="106"/>
      <c r="AE238" s="106"/>
      <c r="AF238" s="106"/>
      <c r="AG238" s="106"/>
      <c r="AH238" s="106"/>
      <c r="AI238" s="106"/>
      <c r="AJ238" s="106"/>
      <c r="AK238" s="106"/>
      <c r="AL238" s="106"/>
      <c r="AM238" s="106"/>
      <c r="AN238" s="106"/>
      <c r="AO238" s="106"/>
      <c r="AP238" s="106"/>
      <c r="AQ238" s="106"/>
      <c r="AR238" s="106"/>
      <c r="AS238" s="106"/>
      <c r="AT238" s="106"/>
      <c r="AU238" s="106"/>
      <c r="AV238" s="106"/>
      <c r="AW238" s="106"/>
      <c r="AX238" s="106"/>
      <c r="AY238" s="329">
        <v>4500</v>
      </c>
      <c r="AZ238" s="329">
        <v>4730</v>
      </c>
      <c r="BA238" s="106"/>
      <c r="BB238" s="106"/>
      <c r="BC238" s="106"/>
      <c r="BD238" s="329">
        <v>4000</v>
      </c>
      <c r="BE238" s="329">
        <v>4204</v>
      </c>
      <c r="BF238" s="329">
        <v>3782</v>
      </c>
      <c r="BG238" s="112">
        <v>3974</v>
      </c>
      <c r="BH238" s="112"/>
      <c r="BI238" s="112"/>
      <c r="BJ238" s="112"/>
      <c r="BK238" s="112"/>
      <c r="BL238" s="112"/>
      <c r="BM238" s="112"/>
      <c r="BN238" s="112"/>
      <c r="BO238" s="112"/>
      <c r="BP238" s="112"/>
      <c r="BQ238" s="112"/>
      <c r="BR238" s="112"/>
      <c r="BS238" s="112"/>
      <c r="BT238" s="112"/>
      <c r="BU238" s="112"/>
      <c r="BV238" s="112"/>
      <c r="BW238" s="112"/>
      <c r="BX238" s="112"/>
      <c r="BY238" s="112"/>
      <c r="BZ238" s="112"/>
      <c r="CA238" s="112"/>
      <c r="CB238" s="112"/>
      <c r="CC238" s="112"/>
      <c r="CD238" s="112"/>
      <c r="CE238" s="112"/>
      <c r="CF238" s="112"/>
      <c r="CG238" s="112"/>
      <c r="CH238" s="112"/>
      <c r="CI238" s="112"/>
      <c r="CJ238" s="112"/>
      <c r="CK238" s="109">
        <f t="shared" si="99"/>
        <v>4204</v>
      </c>
      <c r="CL238" s="109">
        <f t="shared" si="100"/>
        <v>4302.666666666667</v>
      </c>
      <c r="CM238" s="109">
        <f t="shared" si="101"/>
        <v>387.53752506477787</v>
      </c>
      <c r="CN238" s="103">
        <f t="shared" si="103"/>
        <v>9.0069148992433651E-2</v>
      </c>
      <c r="CO238" s="110">
        <f t="shared" si="102"/>
        <v>3615.9663865546222</v>
      </c>
      <c r="CP238" s="107">
        <f t="shared" si="90"/>
        <v>687.03361344537825</v>
      </c>
      <c r="CQ238" s="106">
        <f t="shared" si="96"/>
        <v>4303</v>
      </c>
      <c r="CR238" s="122">
        <f t="shared" si="98"/>
        <v>120484</v>
      </c>
      <c r="CS238" s="79" t="s">
        <v>731</v>
      </c>
    </row>
    <row r="239" spans="1:97" ht="92.65" customHeight="1">
      <c r="A239" s="90">
        <f t="shared" si="92"/>
        <v>222</v>
      </c>
      <c r="B239" s="63" t="s">
        <v>344</v>
      </c>
      <c r="C239" s="1" t="s">
        <v>103</v>
      </c>
      <c r="D239" s="91" t="s">
        <v>4</v>
      </c>
      <c r="E239" s="1">
        <v>44</v>
      </c>
      <c r="F239" s="1"/>
      <c r="G239" s="106"/>
      <c r="H239" s="106"/>
      <c r="I239" s="106"/>
      <c r="J239" s="106"/>
      <c r="K239" s="106"/>
      <c r="L239" s="106"/>
      <c r="M239" s="106"/>
      <c r="N239" s="106"/>
      <c r="O239" s="106"/>
      <c r="P239" s="106"/>
      <c r="Q239" s="106"/>
      <c r="R239" s="106"/>
      <c r="S239" s="106"/>
      <c r="T239" s="106"/>
      <c r="U239" s="106"/>
      <c r="V239" s="106"/>
      <c r="W239" s="106"/>
      <c r="X239" s="106">
        <v>34900</v>
      </c>
      <c r="Y239" s="106">
        <v>50000</v>
      </c>
      <c r="Z239" s="106">
        <v>52000</v>
      </c>
      <c r="AA239" s="106"/>
      <c r="AB239" s="106"/>
      <c r="AC239" s="106"/>
      <c r="AD239" s="106"/>
      <c r="AE239" s="106"/>
      <c r="AF239" s="106"/>
      <c r="AG239" s="106"/>
      <c r="AH239" s="106"/>
      <c r="AI239" s="106"/>
      <c r="AJ239" s="106"/>
      <c r="AK239" s="106"/>
      <c r="AL239" s="106"/>
      <c r="AM239" s="106"/>
      <c r="AN239" s="106"/>
      <c r="AO239" s="106"/>
      <c r="AP239" s="106"/>
      <c r="AQ239" s="106"/>
      <c r="AR239" s="106"/>
      <c r="AS239" s="106"/>
      <c r="AT239" s="106"/>
      <c r="AU239" s="106"/>
      <c r="AV239" s="106"/>
      <c r="AW239" s="106"/>
      <c r="AX239" s="106"/>
      <c r="AY239" s="329"/>
      <c r="AZ239" s="329"/>
      <c r="BA239" s="329"/>
      <c r="BB239" s="112"/>
      <c r="BC239" s="106"/>
      <c r="BD239" s="329"/>
      <c r="BE239" s="329"/>
      <c r="BF239" s="106"/>
      <c r="BG239" s="106"/>
      <c r="BH239" s="106"/>
      <c r="BI239" s="106"/>
      <c r="BJ239" s="106"/>
      <c r="BK239" s="106"/>
      <c r="BL239" s="106"/>
      <c r="BM239" s="106"/>
      <c r="BN239" s="106"/>
      <c r="BO239" s="106"/>
      <c r="BP239" s="106"/>
      <c r="BQ239" s="106"/>
      <c r="BR239" s="106"/>
      <c r="BS239" s="106"/>
      <c r="BT239" s="106"/>
      <c r="BU239" s="106"/>
      <c r="BV239" s="106"/>
      <c r="BW239" s="106"/>
      <c r="BX239" s="106"/>
      <c r="BY239" s="106"/>
      <c r="BZ239" s="106"/>
      <c r="CA239" s="106"/>
      <c r="CB239" s="106"/>
      <c r="CC239" s="106"/>
      <c r="CD239" s="106"/>
      <c r="CE239" s="106"/>
      <c r="CF239" s="106"/>
      <c r="CG239" s="106"/>
      <c r="CH239" s="106"/>
      <c r="CI239" s="106"/>
      <c r="CJ239" s="106"/>
      <c r="CK239" s="109">
        <f t="shared" si="99"/>
        <v>50000</v>
      </c>
      <c r="CL239" s="109">
        <f t="shared" si="100"/>
        <v>45633.333333333336</v>
      </c>
      <c r="CM239" s="109">
        <f t="shared" si="101"/>
        <v>9348.9749883788591</v>
      </c>
      <c r="CN239" s="103">
        <f t="shared" si="103"/>
        <v>0.20487162136695819</v>
      </c>
      <c r="CO239" s="110">
        <f t="shared" si="102"/>
        <v>42016.806722689078</v>
      </c>
      <c r="CP239" s="107">
        <f t="shared" si="90"/>
        <v>7983.1932773109247</v>
      </c>
      <c r="CQ239" s="106">
        <f t="shared" si="96"/>
        <v>50000</v>
      </c>
      <c r="CR239" s="122">
        <f t="shared" si="98"/>
        <v>2200000</v>
      </c>
      <c r="CS239" s="89" t="s">
        <v>380</v>
      </c>
    </row>
    <row r="240" spans="1:97" ht="178.9" customHeight="1">
      <c r="A240" s="90">
        <f t="shared" si="92"/>
        <v>223</v>
      </c>
      <c r="B240" s="88" t="s">
        <v>104</v>
      </c>
      <c r="C240" s="1" t="s">
        <v>105</v>
      </c>
      <c r="D240" s="91" t="s">
        <v>4</v>
      </c>
      <c r="E240" s="1">
        <v>200</v>
      </c>
      <c r="F240" s="1"/>
      <c r="G240" s="106"/>
      <c r="H240" s="106"/>
      <c r="I240" s="106"/>
      <c r="J240" s="106"/>
      <c r="K240" s="106"/>
      <c r="L240" s="106"/>
      <c r="M240" s="106"/>
      <c r="N240" s="106">
        <v>40000</v>
      </c>
      <c r="O240" s="106">
        <f>+N240*5.1%+N240</f>
        <v>42040</v>
      </c>
      <c r="P240" s="106"/>
      <c r="Q240" s="106"/>
      <c r="R240" s="106"/>
      <c r="S240" s="106"/>
      <c r="T240" s="106"/>
      <c r="U240" s="106"/>
      <c r="V240" s="106"/>
      <c r="W240" s="106"/>
      <c r="X240" s="106"/>
      <c r="Y240" s="106"/>
      <c r="Z240" s="106"/>
      <c r="AA240" s="106"/>
      <c r="AB240" s="106"/>
      <c r="AC240" s="106"/>
      <c r="AD240" s="106"/>
      <c r="AE240" s="106"/>
      <c r="AF240" s="106"/>
      <c r="AG240" s="106"/>
      <c r="AH240" s="106"/>
      <c r="AI240" s="106"/>
      <c r="AJ240" s="106"/>
      <c r="AK240" s="106"/>
      <c r="AL240" s="106"/>
      <c r="AM240" s="106"/>
      <c r="AN240" s="106"/>
      <c r="AO240" s="106"/>
      <c r="AP240" s="106"/>
      <c r="AQ240" s="106"/>
      <c r="AR240" s="106"/>
      <c r="AS240" s="106"/>
      <c r="AT240" s="112">
        <v>32000</v>
      </c>
      <c r="AU240" s="112">
        <v>33632</v>
      </c>
      <c r="AV240" s="106"/>
      <c r="AW240" s="106"/>
      <c r="AX240" s="106"/>
      <c r="AY240" s="106"/>
      <c r="AZ240" s="106"/>
      <c r="BA240" s="106"/>
      <c r="BB240" s="106"/>
      <c r="BC240" s="106"/>
      <c r="BD240" s="106"/>
      <c r="BE240" s="106"/>
      <c r="BF240" s="106"/>
      <c r="BG240" s="106"/>
      <c r="BH240" s="106"/>
      <c r="BI240" s="106"/>
      <c r="BJ240" s="106"/>
      <c r="BK240" s="106"/>
      <c r="BL240" s="106"/>
      <c r="BM240" s="106"/>
      <c r="BN240" s="106"/>
      <c r="BO240" s="106"/>
      <c r="BP240" s="106"/>
      <c r="BQ240" s="106"/>
      <c r="BR240" s="106"/>
      <c r="BS240" s="106"/>
      <c r="BT240" s="106"/>
      <c r="BU240" s="106"/>
      <c r="BV240" s="106"/>
      <c r="BW240" s="106"/>
      <c r="BX240" s="106"/>
      <c r="BY240" s="106"/>
      <c r="BZ240" s="106"/>
      <c r="CA240" s="106"/>
      <c r="CB240" s="106"/>
      <c r="CC240" s="106"/>
      <c r="CD240" s="106"/>
      <c r="CE240" s="106"/>
      <c r="CF240" s="106"/>
      <c r="CG240" s="106"/>
      <c r="CH240" s="106"/>
      <c r="CI240" s="106"/>
      <c r="CJ240" s="106"/>
      <c r="CK240" s="109">
        <f t="shared" si="99"/>
        <v>42040</v>
      </c>
      <c r="CL240" s="109">
        <f t="shared" si="100"/>
        <v>39237.333333333336</v>
      </c>
      <c r="CM240" s="109">
        <f t="shared" si="101"/>
        <v>4854.3610633463895</v>
      </c>
      <c r="CN240" s="103">
        <f t="shared" si="103"/>
        <v>0.12371791482634878</v>
      </c>
      <c r="CO240" s="110">
        <f>CQ240/1.08</f>
        <v>36331.481481481482</v>
      </c>
      <c r="CP240" s="107">
        <f>CO240*8%</f>
        <v>2906.5185185185187</v>
      </c>
      <c r="CQ240" s="106">
        <f t="shared" si="96"/>
        <v>39238</v>
      </c>
      <c r="CR240" s="122">
        <f t="shared" si="98"/>
        <v>7847600</v>
      </c>
      <c r="CS240" s="79" t="s">
        <v>731</v>
      </c>
    </row>
    <row r="241" spans="1:143" ht="94.9" customHeight="1">
      <c r="A241" s="90">
        <f t="shared" si="92"/>
        <v>224</v>
      </c>
      <c r="B241" s="88" t="s">
        <v>106</v>
      </c>
      <c r="C241" s="1" t="s">
        <v>777</v>
      </c>
      <c r="D241" s="91" t="s">
        <v>270</v>
      </c>
      <c r="E241" s="1">
        <v>20</v>
      </c>
      <c r="F241" s="1"/>
      <c r="G241" s="106"/>
      <c r="H241" s="106"/>
      <c r="I241" s="106"/>
      <c r="J241" s="106"/>
      <c r="K241" s="106"/>
      <c r="L241" s="106"/>
      <c r="M241" s="106"/>
      <c r="N241" s="106"/>
      <c r="O241" s="106"/>
      <c r="P241" s="106"/>
      <c r="Q241" s="106"/>
      <c r="R241" s="106"/>
      <c r="S241" s="106"/>
      <c r="T241" s="106"/>
      <c r="U241" s="106"/>
      <c r="V241" s="106"/>
      <c r="W241" s="106"/>
      <c r="X241" s="106"/>
      <c r="Y241" s="106">
        <v>350000</v>
      </c>
      <c r="Z241" s="106"/>
      <c r="AA241" s="106">
        <v>336000</v>
      </c>
      <c r="AB241" s="106"/>
      <c r="AC241" s="106"/>
      <c r="AD241" s="106"/>
      <c r="AE241" s="106"/>
      <c r="AF241" s="106"/>
      <c r="AG241" s="106"/>
      <c r="AH241" s="106"/>
      <c r="AI241" s="106"/>
      <c r="AJ241" s="106"/>
      <c r="AK241" s="106"/>
      <c r="AL241" s="106"/>
      <c r="AM241" s="106"/>
      <c r="AN241" s="106"/>
      <c r="AO241" s="106"/>
      <c r="AP241" s="106"/>
      <c r="AQ241" s="106"/>
      <c r="AR241" s="106"/>
      <c r="AS241" s="106"/>
      <c r="AT241" s="106"/>
      <c r="AU241" s="106"/>
      <c r="AV241" s="106"/>
      <c r="AW241" s="106"/>
      <c r="AX241" s="106"/>
      <c r="AY241" s="106"/>
      <c r="AZ241" s="106"/>
      <c r="BA241" s="106"/>
      <c r="BB241" s="106"/>
      <c r="BC241" s="106"/>
      <c r="BD241" s="106"/>
      <c r="BE241" s="106"/>
      <c r="BF241" s="106"/>
      <c r="BG241" s="106"/>
      <c r="BH241" s="106"/>
      <c r="BI241" s="106"/>
      <c r="BJ241" s="106"/>
      <c r="BK241" s="106"/>
      <c r="BL241" s="106"/>
      <c r="BM241" s="106"/>
      <c r="BN241" s="106"/>
      <c r="BO241" s="106"/>
      <c r="BP241" s="106"/>
      <c r="BQ241" s="106"/>
      <c r="BR241" s="106"/>
      <c r="BS241" s="106"/>
      <c r="BT241" s="106"/>
      <c r="BU241" s="106"/>
      <c r="BV241" s="106"/>
      <c r="BW241" s="106"/>
      <c r="BX241" s="106"/>
      <c r="BY241" s="106"/>
      <c r="BZ241" s="106"/>
      <c r="CA241" s="106"/>
      <c r="CB241" s="106"/>
      <c r="CC241" s="106"/>
      <c r="CD241" s="106"/>
      <c r="CE241" s="106"/>
      <c r="CF241" s="106"/>
      <c r="CG241" s="106"/>
      <c r="CH241" s="106"/>
      <c r="CI241" s="106"/>
      <c r="CJ241" s="106"/>
      <c r="CK241" s="109">
        <f t="shared" si="99"/>
        <v>343000</v>
      </c>
      <c r="CL241" s="109">
        <f t="shared" si="100"/>
        <v>343000</v>
      </c>
      <c r="CM241" s="109">
        <f t="shared" si="101"/>
        <v>9899.4949366116653</v>
      </c>
      <c r="CN241" s="103">
        <f t="shared" si="103"/>
        <v>2.8861501272920306E-2</v>
      </c>
      <c r="CO241" s="110">
        <f t="shared" si="102"/>
        <v>288235.29411764705</v>
      </c>
      <c r="CP241" s="107">
        <f t="shared" si="90"/>
        <v>54764.705882352937</v>
      </c>
      <c r="CQ241" s="106">
        <f t="shared" si="96"/>
        <v>343000</v>
      </c>
      <c r="CR241" s="122">
        <f t="shared" si="98"/>
        <v>6860000</v>
      </c>
      <c r="CS241" s="89" t="s">
        <v>732</v>
      </c>
    </row>
    <row r="242" spans="1:143" ht="75" customHeight="1">
      <c r="A242" s="90">
        <f t="shared" si="92"/>
        <v>225</v>
      </c>
      <c r="B242" s="88" t="s">
        <v>272</v>
      </c>
      <c r="C242" s="1" t="s">
        <v>271</v>
      </c>
      <c r="D242" s="91" t="s">
        <v>107</v>
      </c>
      <c r="E242" s="1">
        <v>4</v>
      </c>
      <c r="F242" s="1">
        <v>5</v>
      </c>
      <c r="G242" s="106"/>
      <c r="H242" s="106"/>
      <c r="I242" s="106"/>
      <c r="J242" s="106"/>
      <c r="K242" s="106"/>
      <c r="L242" s="106"/>
      <c r="M242" s="106"/>
      <c r="N242" s="106"/>
      <c r="O242" s="106"/>
      <c r="P242" s="106"/>
      <c r="Q242" s="106"/>
      <c r="R242" s="112">
        <v>270000</v>
      </c>
      <c r="S242" s="112">
        <v>283770</v>
      </c>
      <c r="T242" s="112">
        <v>270000</v>
      </c>
      <c r="U242" s="112">
        <v>283770</v>
      </c>
      <c r="V242" s="106"/>
      <c r="W242" s="106"/>
      <c r="X242" s="106"/>
      <c r="Y242" s="106"/>
      <c r="Z242" s="106"/>
      <c r="AA242" s="106"/>
      <c r="AB242" s="106"/>
      <c r="AC242" s="106"/>
      <c r="AD242" s="106"/>
      <c r="AE242" s="106"/>
      <c r="AF242" s="106"/>
      <c r="AG242" s="106"/>
      <c r="AH242" s="106"/>
      <c r="AI242" s="106"/>
      <c r="AJ242" s="106"/>
      <c r="AK242" s="106"/>
      <c r="AL242" s="106"/>
      <c r="AM242" s="106"/>
      <c r="AN242" s="106"/>
      <c r="AO242" s="106"/>
      <c r="AP242" s="106"/>
      <c r="AQ242" s="106"/>
      <c r="AR242" s="106"/>
      <c r="AS242" s="106"/>
      <c r="AT242" s="106"/>
      <c r="AU242" s="106"/>
      <c r="AV242" s="106"/>
      <c r="AW242" s="106"/>
      <c r="AX242" s="106"/>
      <c r="AY242" s="106"/>
      <c r="AZ242" s="106"/>
      <c r="BA242" s="106"/>
      <c r="BB242" s="106"/>
      <c r="BC242" s="106"/>
      <c r="BD242" s="106"/>
      <c r="BE242" s="106"/>
      <c r="BF242" s="106"/>
      <c r="BG242" s="106"/>
      <c r="BH242" s="106"/>
      <c r="BI242" s="106"/>
      <c r="BJ242" s="106"/>
      <c r="BK242" s="106"/>
      <c r="BL242" s="106"/>
      <c r="BM242" s="106"/>
      <c r="BN242" s="106"/>
      <c r="BO242" s="106"/>
      <c r="BP242" s="106"/>
      <c r="BQ242" s="106"/>
      <c r="BR242" s="106"/>
      <c r="BS242" s="106"/>
      <c r="BT242" s="106"/>
      <c r="BU242" s="106"/>
      <c r="BV242" s="106"/>
      <c r="BW242" s="106"/>
      <c r="BX242" s="106"/>
      <c r="BY242" s="106"/>
      <c r="BZ242" s="106"/>
      <c r="CA242" s="106"/>
      <c r="CB242" s="106"/>
      <c r="CC242" s="106"/>
      <c r="CD242" s="106"/>
      <c r="CE242" s="106"/>
      <c r="CF242" s="106"/>
      <c r="CG242" s="106"/>
      <c r="CH242" s="106"/>
      <c r="CI242" s="106"/>
      <c r="CJ242" s="106"/>
      <c r="CK242" s="109">
        <f t="shared" si="99"/>
        <v>283770</v>
      </c>
      <c r="CL242" s="109">
        <f t="shared" si="100"/>
        <v>283770</v>
      </c>
      <c r="CM242" s="109">
        <f t="shared" si="101"/>
        <v>0</v>
      </c>
      <c r="CN242" s="103">
        <f t="shared" si="103"/>
        <v>0</v>
      </c>
      <c r="CO242" s="110">
        <f t="shared" si="102"/>
        <v>238462.18487394959</v>
      </c>
      <c r="CP242" s="107">
        <f t="shared" si="90"/>
        <v>45307.815126050424</v>
      </c>
      <c r="CQ242" s="106">
        <f t="shared" si="96"/>
        <v>283770</v>
      </c>
      <c r="CR242" s="122">
        <f>+CQ242*E242*F242</f>
        <v>5675400</v>
      </c>
      <c r="CS242" s="79" t="s">
        <v>731</v>
      </c>
    </row>
    <row r="243" spans="1:143" ht="162.65" customHeight="1">
      <c r="A243" s="90">
        <f t="shared" si="92"/>
        <v>226</v>
      </c>
      <c r="B243" s="88" t="s">
        <v>709</v>
      </c>
      <c r="C243" s="1" t="s">
        <v>108</v>
      </c>
      <c r="D243" s="91" t="s">
        <v>107</v>
      </c>
      <c r="E243" s="1">
        <v>4</v>
      </c>
      <c r="F243" s="1">
        <v>5</v>
      </c>
      <c r="G243" s="106"/>
      <c r="H243" s="106"/>
      <c r="I243" s="106"/>
      <c r="J243" s="106"/>
      <c r="K243" s="106"/>
      <c r="L243" s="106"/>
      <c r="M243" s="106"/>
      <c r="N243" s="106"/>
      <c r="O243" s="106"/>
      <c r="P243" s="106"/>
      <c r="Q243" s="106"/>
      <c r="R243" s="106">
        <v>480000</v>
      </c>
      <c r="S243" s="106">
        <v>504480</v>
      </c>
      <c r="T243" s="106">
        <v>495000</v>
      </c>
      <c r="U243" s="106">
        <v>520245</v>
      </c>
      <c r="V243" s="106"/>
      <c r="W243" s="106"/>
      <c r="X243" s="106"/>
      <c r="Y243" s="106"/>
      <c r="Z243" s="106"/>
      <c r="AA243" s="106"/>
      <c r="AB243" s="106"/>
      <c r="AC243" s="106"/>
      <c r="AD243" s="106"/>
      <c r="AE243" s="106"/>
      <c r="AF243" s="106"/>
      <c r="AG243" s="106"/>
      <c r="AH243" s="106"/>
      <c r="AI243" s="106"/>
      <c r="AJ243" s="106"/>
      <c r="AK243" s="106"/>
      <c r="AL243" s="106"/>
      <c r="AM243" s="106"/>
      <c r="AN243" s="106"/>
      <c r="AO243" s="106"/>
      <c r="AP243" s="106"/>
      <c r="AQ243" s="106"/>
      <c r="AR243" s="106"/>
      <c r="AS243" s="106"/>
      <c r="AT243" s="106"/>
      <c r="AU243" s="106"/>
      <c r="AV243" s="106"/>
      <c r="AW243" s="106"/>
      <c r="AX243" s="106"/>
      <c r="AY243" s="106"/>
      <c r="AZ243" s="106"/>
      <c r="BA243" s="106"/>
      <c r="BB243" s="106"/>
      <c r="BC243" s="106"/>
      <c r="BD243" s="106"/>
      <c r="BE243" s="106"/>
      <c r="BF243" s="106"/>
      <c r="BG243" s="106"/>
      <c r="BH243" s="106"/>
      <c r="BI243" s="106"/>
      <c r="BJ243" s="106"/>
      <c r="BK243" s="106"/>
      <c r="BL243" s="106"/>
      <c r="BM243" s="106"/>
      <c r="BN243" s="106"/>
      <c r="BO243" s="106"/>
      <c r="BP243" s="106"/>
      <c r="BQ243" s="106"/>
      <c r="BR243" s="106"/>
      <c r="BS243" s="106"/>
      <c r="BT243" s="106"/>
      <c r="BU243" s="106"/>
      <c r="BV243" s="106"/>
      <c r="BW243" s="106"/>
      <c r="BX243" s="106"/>
      <c r="BY243" s="106"/>
      <c r="BZ243" s="106"/>
      <c r="CA243" s="106"/>
      <c r="CB243" s="106"/>
      <c r="CC243" s="106"/>
      <c r="CD243" s="106"/>
      <c r="CE243" s="106"/>
      <c r="CF243" s="106"/>
      <c r="CG243" s="106"/>
      <c r="CH243" s="106"/>
      <c r="CI243" s="106"/>
      <c r="CJ243" s="106"/>
      <c r="CK243" s="109">
        <f t="shared" si="99"/>
        <v>512362.5</v>
      </c>
      <c r="CL243" s="109">
        <f t="shared" si="100"/>
        <v>512362.5</v>
      </c>
      <c r="CM243" s="109">
        <f t="shared" si="101"/>
        <v>11147.538405405921</v>
      </c>
      <c r="CN243" s="103">
        <f t="shared" si="103"/>
        <v>2.1757131728816846E-2</v>
      </c>
      <c r="CO243" s="110">
        <f t="shared" si="102"/>
        <v>430557.1428571429</v>
      </c>
      <c r="CP243" s="107">
        <f t="shared" si="90"/>
        <v>81805.857142857145</v>
      </c>
      <c r="CQ243" s="106">
        <f t="shared" si="96"/>
        <v>512363</v>
      </c>
      <c r="CR243" s="122">
        <f>+CQ243*E243*F243</f>
        <v>10247260</v>
      </c>
      <c r="CS243" s="79" t="s">
        <v>731</v>
      </c>
    </row>
    <row r="244" spans="1:143" ht="190.4" customHeight="1">
      <c r="A244" s="90">
        <f>A243+1</f>
        <v>227</v>
      </c>
      <c r="B244" s="88" t="s">
        <v>779</v>
      </c>
      <c r="C244" s="1" t="s">
        <v>778</v>
      </c>
      <c r="D244" s="91" t="s">
        <v>107</v>
      </c>
      <c r="E244" s="1">
        <v>1</v>
      </c>
      <c r="F244" s="1">
        <v>1</v>
      </c>
      <c r="G244" s="106"/>
      <c r="H244" s="106"/>
      <c r="I244" s="106"/>
      <c r="J244" s="106"/>
      <c r="K244" s="106"/>
      <c r="L244" s="106"/>
      <c r="M244" s="106"/>
      <c r="N244" s="106"/>
      <c r="O244" s="106"/>
      <c r="P244" s="106"/>
      <c r="Q244" s="106"/>
      <c r="R244" s="106"/>
      <c r="S244" s="106"/>
      <c r="T244" s="106"/>
      <c r="U244" s="106"/>
      <c r="V244" s="106"/>
      <c r="W244" s="106"/>
      <c r="X244" s="112">
        <v>3200000</v>
      </c>
      <c r="Y244" s="112">
        <v>2900000</v>
      </c>
      <c r="Z244" s="112">
        <v>2950000</v>
      </c>
      <c r="AA244" s="112"/>
      <c r="AB244" s="112"/>
      <c r="AC244" s="112"/>
      <c r="AD244" s="112"/>
      <c r="AE244" s="112"/>
      <c r="AF244" s="112"/>
      <c r="AG244" s="112"/>
      <c r="AH244" s="112"/>
      <c r="AI244" s="112"/>
      <c r="AJ244" s="112"/>
      <c r="AK244" s="112"/>
      <c r="AL244" s="112"/>
      <c r="AM244" s="112"/>
      <c r="AN244" s="112"/>
      <c r="AO244" s="112"/>
      <c r="AP244" s="112"/>
      <c r="AQ244" s="112"/>
      <c r="AR244" s="112"/>
      <c r="AS244" s="112"/>
      <c r="AT244" s="112"/>
      <c r="AU244" s="112"/>
      <c r="AV244" s="112"/>
      <c r="AW244" s="112"/>
      <c r="AX244" s="112"/>
      <c r="AY244" s="112"/>
      <c r="AZ244" s="112"/>
      <c r="BA244" s="112"/>
      <c r="BB244" s="112"/>
      <c r="BC244" s="112"/>
      <c r="BD244" s="112"/>
      <c r="BE244" s="112"/>
      <c r="BF244" s="112"/>
      <c r="BG244" s="112"/>
      <c r="BH244" s="112"/>
      <c r="BI244" s="112"/>
      <c r="BJ244" s="112"/>
      <c r="BK244" s="112"/>
      <c r="BL244" s="112"/>
      <c r="BM244" s="112"/>
      <c r="BN244" s="112"/>
      <c r="BO244" s="112"/>
      <c r="BP244" s="112"/>
      <c r="BQ244" s="112"/>
      <c r="BR244" s="112"/>
      <c r="BS244" s="112"/>
      <c r="BT244" s="112"/>
      <c r="BU244" s="112"/>
      <c r="BV244" s="112"/>
      <c r="BW244" s="112"/>
      <c r="BX244" s="112"/>
      <c r="BY244" s="112"/>
      <c r="BZ244" s="112"/>
      <c r="CA244" s="112"/>
      <c r="CB244" s="112"/>
      <c r="CC244" s="112"/>
      <c r="CD244" s="112"/>
      <c r="CE244" s="112"/>
      <c r="CF244" s="112"/>
      <c r="CG244" s="112"/>
      <c r="CH244" s="112"/>
      <c r="CI244" s="112"/>
      <c r="CJ244" s="112"/>
      <c r="CK244" s="109">
        <f t="shared" si="99"/>
        <v>2950000</v>
      </c>
      <c r="CL244" s="109">
        <f t="shared" si="100"/>
        <v>3016666.6666666665</v>
      </c>
      <c r="CM244" s="109">
        <f t="shared" si="101"/>
        <v>160727.51268321593</v>
      </c>
      <c r="CN244" s="103">
        <f>CM244/CL244</f>
        <v>5.3279838458524617E-2</v>
      </c>
      <c r="CO244" s="110">
        <f t="shared" ref="CO244:CO247" si="104">CQ244/1.19</f>
        <v>2535014.2857142859</v>
      </c>
      <c r="CP244" s="107">
        <f t="shared" ref="CP244:CP247" si="105">CO244*19%</f>
        <v>481652.71428571432</v>
      </c>
      <c r="CQ244" s="106">
        <f>ROUNDUP(IF(CN244&lt;15%,CL244,CK244),0)</f>
        <v>3016667</v>
      </c>
      <c r="CR244" s="122">
        <f>+CQ244*E244</f>
        <v>3016667</v>
      </c>
      <c r="CS244" s="89" t="s">
        <v>732</v>
      </c>
    </row>
    <row r="245" spans="1:143" ht="148.4" customHeight="1">
      <c r="A245" s="90">
        <f t="shared" si="92"/>
        <v>228</v>
      </c>
      <c r="B245" s="88" t="s">
        <v>710</v>
      </c>
      <c r="C245" s="1" t="s">
        <v>428</v>
      </c>
      <c r="D245" s="92" t="s">
        <v>273</v>
      </c>
      <c r="E245" s="1">
        <v>1</v>
      </c>
      <c r="F245" s="62">
        <v>1</v>
      </c>
      <c r="G245" s="106"/>
      <c r="H245" s="106"/>
      <c r="I245" s="106"/>
      <c r="J245" s="106"/>
      <c r="K245" s="106"/>
      <c r="L245" s="106"/>
      <c r="M245" s="106"/>
      <c r="N245" s="106"/>
      <c r="O245" s="106"/>
      <c r="P245" s="106"/>
      <c r="Q245" s="106"/>
      <c r="R245" s="106"/>
      <c r="S245" s="106"/>
      <c r="T245" s="106"/>
      <c r="U245" s="106"/>
      <c r="V245" s="106"/>
      <c r="W245" s="106"/>
      <c r="X245" s="106"/>
      <c r="Y245" s="106"/>
      <c r="Z245" s="106"/>
      <c r="AA245" s="106"/>
      <c r="AB245" s="106"/>
      <c r="AC245" s="106"/>
      <c r="AD245" s="106"/>
      <c r="AE245" s="106"/>
      <c r="AF245" s="106"/>
      <c r="AG245" s="106"/>
      <c r="AH245" s="106"/>
      <c r="AI245" s="106"/>
      <c r="AJ245" s="106"/>
      <c r="AK245" s="106"/>
      <c r="AL245" s="106"/>
      <c r="AM245" s="106"/>
      <c r="AN245" s="106"/>
      <c r="AO245" s="106"/>
      <c r="AP245" s="106"/>
      <c r="AQ245" s="106"/>
      <c r="AR245" s="106"/>
      <c r="AS245" s="106"/>
      <c r="AT245" s="106"/>
      <c r="AU245" s="106"/>
      <c r="AV245" s="106"/>
      <c r="AW245" s="106"/>
      <c r="AX245" s="106"/>
      <c r="AY245" s="106"/>
      <c r="AZ245" s="106"/>
      <c r="BA245" s="106"/>
      <c r="BB245" s="106"/>
      <c r="BC245" s="106"/>
      <c r="BD245" s="106"/>
      <c r="BE245" s="106"/>
      <c r="BF245" s="106"/>
      <c r="BG245" s="106"/>
      <c r="BH245" s="112">
        <v>2350000</v>
      </c>
      <c r="BI245" s="112"/>
      <c r="BJ245" s="112"/>
      <c r="BK245" s="112"/>
      <c r="BL245" s="112"/>
      <c r="BM245" s="112"/>
      <c r="BN245" s="112"/>
      <c r="BO245" s="112"/>
      <c r="BP245" s="112"/>
      <c r="BQ245" s="112"/>
      <c r="BR245" s="112"/>
      <c r="BS245" s="112"/>
      <c r="BT245" s="112"/>
      <c r="BU245" s="112"/>
      <c r="BV245" s="112"/>
      <c r="BW245" s="112"/>
      <c r="BX245" s="112">
        <v>2000000</v>
      </c>
      <c r="BY245" s="112">
        <f>+(BX245*5.1%)+BX245</f>
        <v>2102000</v>
      </c>
      <c r="BZ245" s="112">
        <v>2460000</v>
      </c>
      <c r="CA245" s="112"/>
      <c r="CB245" s="112"/>
      <c r="CC245" s="112"/>
      <c r="CD245" s="112"/>
      <c r="CE245" s="112"/>
      <c r="CF245" s="112"/>
      <c r="CG245" s="112"/>
      <c r="CH245" s="112"/>
      <c r="CI245" s="112"/>
      <c r="CJ245" s="112"/>
      <c r="CK245" s="109">
        <f>+MEDIAN(BH245,BY245,BZ245)</f>
        <v>2350000</v>
      </c>
      <c r="CL245" s="109">
        <f>+AVERAGE(BH245,BY245,BZ245)</f>
        <v>2304000</v>
      </c>
      <c r="CM245" s="109">
        <f>+STDEV(BH245,BY245,BZ245)</f>
        <v>183379.38815472147</v>
      </c>
      <c r="CN245" s="103">
        <f t="shared" ref="CN245:CN247" si="106">CM245/CL245</f>
        <v>7.9591748331042309E-2</v>
      </c>
      <c r="CO245" s="110">
        <f t="shared" si="104"/>
        <v>1936134.4537815128</v>
      </c>
      <c r="CP245" s="107">
        <f t="shared" si="105"/>
        <v>367865.54621848743</v>
      </c>
      <c r="CQ245" s="106">
        <f>ROUNDUP(IF(CN245&lt;15%,CL245,CK245),0)</f>
        <v>2304000</v>
      </c>
      <c r="CR245" s="122">
        <f>+CQ245*E245*F245</f>
        <v>2304000</v>
      </c>
      <c r="CS245" s="79" t="s">
        <v>731</v>
      </c>
    </row>
    <row r="246" spans="1:143" ht="55.4" customHeight="1">
      <c r="A246" s="90">
        <f t="shared" si="92"/>
        <v>229</v>
      </c>
      <c r="B246" s="88" t="s">
        <v>243</v>
      </c>
      <c r="C246" s="1" t="s">
        <v>244</v>
      </c>
      <c r="D246" s="91" t="s">
        <v>5</v>
      </c>
      <c r="E246" s="1">
        <v>1</v>
      </c>
      <c r="F246" s="1">
        <v>1</v>
      </c>
      <c r="G246" s="106"/>
      <c r="H246" s="106"/>
      <c r="I246" s="106"/>
      <c r="J246" s="106"/>
      <c r="K246" s="106"/>
      <c r="L246" s="106"/>
      <c r="M246" s="106"/>
      <c r="N246" s="106"/>
      <c r="O246" s="106"/>
      <c r="P246" s="106"/>
      <c r="Q246" s="106"/>
      <c r="R246" s="106">
        <v>2000000</v>
      </c>
      <c r="S246" s="106">
        <v>2102000</v>
      </c>
      <c r="T246" s="106">
        <v>2300000</v>
      </c>
      <c r="U246" s="106">
        <v>2417300</v>
      </c>
      <c r="V246" s="106">
        <v>2300000</v>
      </c>
      <c r="W246" s="106">
        <v>2417300</v>
      </c>
      <c r="X246" s="106"/>
      <c r="Y246" s="106"/>
      <c r="Z246" s="106"/>
      <c r="AA246" s="106"/>
      <c r="AB246" s="106"/>
      <c r="AC246" s="106"/>
      <c r="AD246" s="106"/>
      <c r="AE246" s="106"/>
      <c r="AF246" s="106"/>
      <c r="AG246" s="106"/>
      <c r="AH246" s="106"/>
      <c r="AI246" s="106"/>
      <c r="AJ246" s="106"/>
      <c r="AK246" s="106"/>
      <c r="AL246" s="106"/>
      <c r="AM246" s="106"/>
      <c r="AN246" s="106"/>
      <c r="AO246" s="106"/>
      <c r="AP246" s="106"/>
      <c r="AQ246" s="106"/>
      <c r="AR246" s="106"/>
      <c r="AS246" s="106"/>
      <c r="AT246" s="106"/>
      <c r="AU246" s="106"/>
      <c r="AV246" s="106"/>
      <c r="AW246" s="106"/>
      <c r="AX246" s="106"/>
      <c r="AY246" s="106"/>
      <c r="AZ246" s="106"/>
      <c r="BA246" s="106"/>
      <c r="BB246" s="106"/>
      <c r="BC246" s="106"/>
      <c r="BD246" s="106"/>
      <c r="BE246" s="106"/>
      <c r="BF246" s="106"/>
      <c r="BG246" s="106"/>
      <c r="BH246" s="106"/>
      <c r="BI246" s="106"/>
      <c r="BJ246" s="106"/>
      <c r="BK246" s="106"/>
      <c r="BL246" s="106"/>
      <c r="BM246" s="106"/>
      <c r="BN246" s="106"/>
      <c r="BO246" s="106"/>
      <c r="BP246" s="106"/>
      <c r="BQ246" s="106"/>
      <c r="BR246" s="106"/>
      <c r="BS246" s="106"/>
      <c r="BT246" s="106"/>
      <c r="BU246" s="106"/>
      <c r="BV246" s="106"/>
      <c r="BW246" s="106"/>
      <c r="BX246" s="106"/>
      <c r="BY246" s="106"/>
      <c r="BZ246" s="106"/>
      <c r="CA246" s="106"/>
      <c r="CB246" s="106"/>
      <c r="CC246" s="106"/>
      <c r="CD246" s="106"/>
      <c r="CE246" s="106"/>
      <c r="CF246" s="106"/>
      <c r="CG246" s="106"/>
      <c r="CH246" s="106"/>
      <c r="CI246" s="106"/>
      <c r="CJ246" s="106"/>
      <c r="CK246" s="109">
        <f>+MEDIAN(H246,I246,J246,K246,M246,M246,M246,O246,O246,Q246,S246,U246,W246,X246,Y246,Z246,AA246,AC246,AE246,AG246,AH246,AI246,AJ246,AK246,AL246,AM246,AO246,AP246,AQ246,AS246,AU246,AX246,AZ246,BB246,BC246,BE246,BG246,BH246,BI246,BK246,BL246,BM246,BN246,BP246,BR246,BT246,BV246)</f>
        <v>2417300</v>
      </c>
      <c r="CL246" s="109">
        <f>+AVERAGE(H246,I246,J246,K246,M246,M246,M246,O246,O246,Q246,S246,U246,W246,X246,Y246,Z246,AA246,AC246,AE246,AG246,AH246,AI246,AJ246,AK246,AL246,AM246,AO246,AP246,AQ246,AS246,AU246,AX246,AZ246,BB246,BC246,BE246,BG246,BH246,BI246,BK246,BL246,BM246,BN246,BP246,BR246,BT246,BV246)</f>
        <v>2312200</v>
      </c>
      <c r="CM246" s="109">
        <f>+STDEV(H246,I246,J246,K246,M246,M246,M246,O246,O246,Q246,S246,U246,W246,X246,Y246,Z246,AA246,AC246,AE246,AG246,AH246,AI246,AJ246,AK246,AL246,AM246,AO246,AP246,AQ246,AS246,AU246,AX246,AZ246,BB246,BC246,BE246,BG246,BH246,BI246,BK246,BL246,BM246,BN246,BP246,BR246,BT246,BV246)</f>
        <v>182038.53987548899</v>
      </c>
      <c r="CN246" s="103">
        <f t="shared" si="106"/>
        <v>7.8729582162221687E-2</v>
      </c>
      <c r="CO246" s="110">
        <f t="shared" si="104"/>
        <v>1943025.2100840337</v>
      </c>
      <c r="CP246" s="107">
        <f t="shared" si="105"/>
        <v>369174.78991596639</v>
      </c>
      <c r="CQ246" s="106">
        <f>ROUNDUP(IF(CN246&lt;15%,CL246,CK246),0)</f>
        <v>2312200</v>
      </c>
      <c r="CR246" s="122">
        <f>+CQ246*E246</f>
        <v>2312200</v>
      </c>
      <c r="CS246" s="79" t="s">
        <v>731</v>
      </c>
    </row>
    <row r="247" spans="1:143" ht="129.65" customHeight="1">
      <c r="A247" s="90">
        <f t="shared" si="92"/>
        <v>230</v>
      </c>
      <c r="B247" s="88" t="s">
        <v>245</v>
      </c>
      <c r="C247" s="1" t="s">
        <v>9</v>
      </c>
      <c r="D247" s="91" t="s">
        <v>5</v>
      </c>
      <c r="E247" s="1">
        <v>1</v>
      </c>
      <c r="F247" s="1">
        <v>1</v>
      </c>
      <c r="G247" s="106"/>
      <c r="H247" s="106"/>
      <c r="I247" s="106"/>
      <c r="J247" s="106"/>
      <c r="K247" s="106"/>
      <c r="L247" s="106"/>
      <c r="M247" s="106"/>
      <c r="N247" s="106"/>
      <c r="O247" s="106"/>
      <c r="P247" s="106"/>
      <c r="Q247" s="106"/>
      <c r="R247" s="106">
        <v>5000000</v>
      </c>
      <c r="S247" s="106">
        <v>5255000</v>
      </c>
      <c r="T247" s="106">
        <v>5200000</v>
      </c>
      <c r="U247" s="106">
        <v>5465200</v>
      </c>
      <c r="V247" s="106">
        <v>5450000</v>
      </c>
      <c r="W247" s="106">
        <v>5727950</v>
      </c>
      <c r="X247" s="106"/>
      <c r="Y247" s="106"/>
      <c r="Z247" s="106"/>
      <c r="AA247" s="106"/>
      <c r="AB247" s="106"/>
      <c r="AC247" s="106"/>
      <c r="AD247" s="106"/>
      <c r="AE247" s="106"/>
      <c r="AF247" s="106"/>
      <c r="AG247" s="106"/>
      <c r="AH247" s="106"/>
      <c r="AI247" s="106"/>
      <c r="AJ247" s="106"/>
      <c r="AK247" s="106"/>
      <c r="AL247" s="106"/>
      <c r="AM247" s="106"/>
      <c r="AN247" s="106"/>
      <c r="AO247" s="106"/>
      <c r="AP247" s="106"/>
      <c r="AQ247" s="106"/>
      <c r="AR247" s="106"/>
      <c r="AS247" s="106"/>
      <c r="AT247" s="106"/>
      <c r="AU247" s="106"/>
      <c r="AV247" s="106"/>
      <c r="AW247" s="106"/>
      <c r="AX247" s="106"/>
      <c r="AY247" s="106"/>
      <c r="AZ247" s="106"/>
      <c r="BA247" s="106"/>
      <c r="BB247" s="106"/>
      <c r="BC247" s="106"/>
      <c r="BD247" s="106"/>
      <c r="BE247" s="106"/>
      <c r="BF247" s="106"/>
      <c r="BG247" s="106"/>
      <c r="BH247" s="106"/>
      <c r="BI247" s="106"/>
      <c r="BJ247" s="106"/>
      <c r="BK247" s="106"/>
      <c r="BL247" s="106"/>
      <c r="BM247" s="106"/>
      <c r="BN247" s="106"/>
      <c r="BO247" s="106"/>
      <c r="BP247" s="106"/>
      <c r="BQ247" s="106"/>
      <c r="BR247" s="106"/>
      <c r="BS247" s="106"/>
      <c r="BT247" s="106"/>
      <c r="BU247" s="106"/>
      <c r="BV247" s="106"/>
      <c r="BW247" s="106"/>
      <c r="BX247" s="106"/>
      <c r="BY247" s="106"/>
      <c r="BZ247" s="106"/>
      <c r="CA247" s="106"/>
      <c r="CB247" s="106"/>
      <c r="CC247" s="106"/>
      <c r="CD247" s="106"/>
      <c r="CE247" s="106"/>
      <c r="CF247" s="106"/>
      <c r="CG247" s="106"/>
      <c r="CH247" s="106"/>
      <c r="CI247" s="106"/>
      <c r="CJ247" s="106"/>
      <c r="CK247" s="109">
        <f>+MEDIAN(H247,I247,J247,K247,M247,M247,M247,O247,O247,Q247,S247,U247,W247,X247,Y247,Z247,AA247,AC247,AE247,AG247,AH247,AI247,AJ247,AK247,AL247,AM247,AO247,AP247,AQ247,AS247,AU247,AX247,AZ247,BB247,BC247,BE247,BG247,BH247,BI247,BK247,BL247,BM247,BN247,BP247,BR247,BT247,BV247)</f>
        <v>5465200</v>
      </c>
      <c r="CL247" s="109">
        <f>+AVERAGE(H247,I247,J247,K247,M247,M247,M247,O247,O247,Q247,S247,U247,W247,X247,Y247,Z247,AA247,AC247,AE247,AG247,AH247,AI247,AJ247,AK247,AL247,AM247,AO247,AP247,AQ247,AS247,AU247,AX247,AZ247,BB247,BC247,BE247,BG247,BH247,BI247,BK247,BL247,BM247,BN247,BP247,BR247,BT247,BV247)</f>
        <v>5482716.666666667</v>
      </c>
      <c r="CM247" s="109">
        <f>+STDEV(H247,I247,J247,K247,M247,M247,M247,O247,O247,Q247,S247,U247,W247,X247,Y247,Z247,AA247,AC247,AE247,AG247,AH247,AI247,AJ247,AK247,AL247,AM247,AO247,AP247,AQ247,AS247,AU247,AX247,AZ247,BB247,BC247,BE247,BG247,BH247,BI247,BK247,BL247,BM247,BN247,BP247,BR247,BT247,BV247)</f>
        <v>236961.07451084309</v>
      </c>
      <c r="CN247" s="103">
        <f t="shared" si="106"/>
        <v>4.3219646193190679E-2</v>
      </c>
      <c r="CO247" s="110">
        <f t="shared" si="104"/>
        <v>4607325.2100840341</v>
      </c>
      <c r="CP247" s="107">
        <f t="shared" si="105"/>
        <v>875391.78991596645</v>
      </c>
      <c r="CQ247" s="106">
        <f>ROUNDUP(IF(CN247&lt;15%,CL247,CK247),0)</f>
        <v>5482717</v>
      </c>
      <c r="CR247" s="122">
        <f>+CQ247*E247</f>
        <v>5482717</v>
      </c>
      <c r="CS247" s="79" t="s">
        <v>731</v>
      </c>
    </row>
    <row r="248" spans="1:143" s="129" customFormat="1" ht="14.5">
      <c r="A248" s="133" t="s">
        <v>155</v>
      </c>
      <c r="B248" s="98"/>
      <c r="C248" s="98"/>
      <c r="D248" s="134"/>
      <c r="E248" s="134"/>
      <c r="F248" s="134"/>
      <c r="G248" s="119"/>
      <c r="H248" s="119"/>
      <c r="I248" s="119"/>
      <c r="J248" s="119"/>
      <c r="K248" s="119"/>
      <c r="L248" s="119"/>
      <c r="M248" s="119"/>
      <c r="N248" s="119"/>
      <c r="O248" s="119"/>
      <c r="P248" s="119"/>
      <c r="Q248" s="119"/>
      <c r="R248" s="119"/>
      <c r="S248" s="119"/>
      <c r="T248" s="119"/>
      <c r="U248" s="119"/>
      <c r="V248" s="119"/>
      <c r="W248" s="119"/>
      <c r="X248" s="119"/>
      <c r="Y248" s="119"/>
      <c r="Z248" s="119"/>
      <c r="AA248" s="119"/>
      <c r="AB248" s="119"/>
      <c r="AC248" s="119"/>
      <c r="AD248" s="119"/>
      <c r="AE248" s="119"/>
      <c r="AF248" s="119"/>
      <c r="AG248" s="119"/>
      <c r="AH248" s="119"/>
      <c r="AI248" s="119"/>
      <c r="AJ248" s="119"/>
      <c r="AK248" s="119"/>
      <c r="AL248" s="119"/>
      <c r="AM248" s="119"/>
      <c r="AN248" s="119"/>
      <c r="AO248" s="119"/>
      <c r="AP248" s="119"/>
      <c r="AQ248" s="119"/>
      <c r="AR248" s="119"/>
      <c r="AS248" s="119"/>
      <c r="AT248" s="119"/>
      <c r="AU248" s="119"/>
      <c r="AV248" s="119"/>
      <c r="AW248" s="119"/>
      <c r="AX248" s="119"/>
      <c r="AY248" s="119"/>
      <c r="AZ248" s="119"/>
      <c r="BA248" s="119"/>
      <c r="BB248" s="119"/>
      <c r="BC248" s="119"/>
      <c r="BD248" s="119"/>
      <c r="BE248" s="119"/>
      <c r="BF248" s="119"/>
      <c r="BG248" s="119"/>
      <c r="BH248" s="119"/>
      <c r="BI248" s="119"/>
      <c r="BJ248" s="119"/>
      <c r="BK248" s="119"/>
      <c r="BL248" s="119"/>
      <c r="BM248" s="119"/>
      <c r="BN248" s="119"/>
      <c r="BO248" s="119"/>
      <c r="BP248" s="119"/>
      <c r="BQ248" s="119"/>
      <c r="BR248" s="119"/>
      <c r="BS248" s="119"/>
      <c r="BT248" s="119"/>
      <c r="BU248" s="119"/>
      <c r="BV248" s="119"/>
      <c r="BW248" s="119"/>
      <c r="BX248" s="119"/>
      <c r="BY248" s="119"/>
      <c r="BZ248" s="119"/>
      <c r="CA248" s="119"/>
      <c r="CB248" s="119"/>
      <c r="CC248" s="119"/>
      <c r="CD248" s="119"/>
      <c r="CE248" s="119"/>
      <c r="CF248" s="119"/>
      <c r="CG248" s="119"/>
      <c r="CH248" s="119"/>
      <c r="CI248" s="119"/>
      <c r="CJ248" s="119"/>
      <c r="CK248" s="119"/>
      <c r="CL248" s="119"/>
      <c r="CM248" s="119"/>
      <c r="CN248" s="147"/>
      <c r="CO248" s="119"/>
      <c r="CP248" s="119"/>
      <c r="CQ248" s="119"/>
      <c r="CR248" s="119"/>
      <c r="CS248" s="13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row>
    <row r="249" spans="1:143" s="129" customFormat="1" ht="14.5">
      <c r="A249" s="135" t="s">
        <v>149</v>
      </c>
      <c r="B249" s="134"/>
      <c r="C249" s="97"/>
      <c r="D249" s="134"/>
      <c r="E249" s="134"/>
      <c r="F249" s="134"/>
      <c r="G249" s="120"/>
      <c r="H249" s="120"/>
      <c r="I249" s="120"/>
      <c r="J249" s="120"/>
      <c r="K249" s="120"/>
      <c r="L249" s="120"/>
      <c r="M249" s="120"/>
      <c r="N249" s="120"/>
      <c r="O249" s="120"/>
      <c r="P249" s="120"/>
      <c r="Q249" s="120"/>
      <c r="R249" s="120"/>
      <c r="S249" s="120"/>
      <c r="T249" s="120"/>
      <c r="U249" s="120"/>
      <c r="V249" s="120"/>
      <c r="W249" s="120"/>
      <c r="X249" s="120"/>
      <c r="Y249" s="120"/>
      <c r="Z249" s="120"/>
      <c r="AA249" s="120"/>
      <c r="AB249" s="120"/>
      <c r="AC249" s="120"/>
      <c r="AD249" s="120"/>
      <c r="AE249" s="120"/>
      <c r="AF249" s="120"/>
      <c r="AG249" s="120"/>
      <c r="AH249" s="120"/>
      <c r="AI249" s="120"/>
      <c r="AJ249" s="120"/>
      <c r="AK249" s="120"/>
      <c r="AL249" s="120"/>
      <c r="AM249" s="120"/>
      <c r="AN249" s="120"/>
      <c r="AO249" s="120"/>
      <c r="AP249" s="120"/>
      <c r="AQ249" s="120"/>
      <c r="AR249" s="120"/>
      <c r="AS249" s="120"/>
      <c r="AT249" s="120"/>
      <c r="AU249" s="120"/>
      <c r="AV249" s="120"/>
      <c r="AW249" s="120"/>
      <c r="AX249" s="120"/>
      <c r="AY249" s="120"/>
      <c r="AZ249" s="120"/>
      <c r="BA249" s="120"/>
      <c r="BB249" s="120"/>
      <c r="BC249" s="120"/>
      <c r="BD249" s="120"/>
      <c r="BE249" s="120"/>
      <c r="BF249" s="120"/>
      <c r="BG249" s="120"/>
      <c r="BH249" s="120"/>
      <c r="BI249" s="120"/>
      <c r="BJ249" s="120"/>
      <c r="BK249" s="120"/>
      <c r="BL249" s="120"/>
      <c r="BM249" s="120"/>
      <c r="BN249" s="120"/>
      <c r="BO249" s="120"/>
      <c r="BP249" s="120"/>
      <c r="BQ249" s="120"/>
      <c r="BR249" s="120"/>
      <c r="BS249" s="120"/>
      <c r="BT249" s="120"/>
      <c r="BU249" s="120"/>
      <c r="BV249" s="120"/>
      <c r="BW249" s="120"/>
      <c r="BX249" s="120"/>
      <c r="BY249" s="120"/>
      <c r="BZ249" s="120"/>
      <c r="CA249" s="120"/>
      <c r="CB249" s="120"/>
      <c r="CC249" s="120"/>
      <c r="CD249" s="120"/>
      <c r="CE249" s="120"/>
      <c r="CF249" s="120"/>
      <c r="CG249" s="120"/>
      <c r="CH249" s="120"/>
      <c r="CI249" s="120"/>
      <c r="CJ249" s="120"/>
      <c r="CK249" s="120"/>
      <c r="CL249" s="120"/>
      <c r="CM249" s="120"/>
      <c r="CN249" s="148"/>
      <c r="CO249" s="120"/>
      <c r="CP249" s="120"/>
      <c r="CQ249" s="120"/>
      <c r="CR249" s="120"/>
      <c r="CS249" s="13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row>
    <row r="250" spans="1:143" ht="103.9" customHeight="1">
      <c r="A250" s="90">
        <f>+A247+1</f>
        <v>231</v>
      </c>
      <c r="B250" s="63" t="s">
        <v>111</v>
      </c>
      <c r="C250" s="1" t="s">
        <v>293</v>
      </c>
      <c r="D250" s="91" t="s">
        <v>747</v>
      </c>
      <c r="E250" s="1">
        <v>2</v>
      </c>
      <c r="F250" s="1">
        <v>1</v>
      </c>
      <c r="G250" s="106">
        <v>5889000</v>
      </c>
      <c r="H250" s="106"/>
      <c r="I250" s="106"/>
      <c r="J250" s="106"/>
      <c r="K250" s="106"/>
      <c r="L250" s="325"/>
      <c r="M250" s="325"/>
      <c r="N250" s="325"/>
      <c r="O250" s="325"/>
      <c r="P250" s="325"/>
      <c r="Q250" s="325"/>
      <c r="R250" s="106"/>
      <c r="S250" s="106"/>
      <c r="T250" s="106"/>
      <c r="U250" s="106"/>
      <c r="V250" s="106"/>
      <c r="W250" s="106"/>
      <c r="X250" s="106"/>
      <c r="Y250" s="106"/>
      <c r="Z250" s="106"/>
      <c r="AA250" s="106"/>
      <c r="AB250" s="106"/>
      <c r="AC250" s="106"/>
      <c r="AD250" s="106"/>
      <c r="AE250" s="106"/>
      <c r="AF250" s="106"/>
      <c r="AG250" s="106"/>
      <c r="AH250" s="106"/>
      <c r="AI250" s="106"/>
      <c r="AJ250" s="106"/>
      <c r="AK250" s="106"/>
      <c r="AL250" s="106"/>
      <c r="AM250" s="106"/>
      <c r="AN250" s="106"/>
      <c r="AO250" s="106"/>
      <c r="AP250" s="106"/>
      <c r="AQ250" s="106"/>
      <c r="AR250" s="106"/>
      <c r="AS250" s="106"/>
      <c r="AT250" s="106"/>
      <c r="AU250" s="106"/>
      <c r="AV250" s="106"/>
      <c r="AW250" s="106"/>
      <c r="AX250" s="106"/>
      <c r="AY250" s="106"/>
      <c r="AZ250" s="106"/>
      <c r="BA250" s="106"/>
      <c r="BB250" s="106"/>
      <c r="BC250" s="106"/>
      <c r="BD250" s="106"/>
      <c r="BE250" s="106"/>
      <c r="BF250" s="106"/>
      <c r="BG250" s="106"/>
      <c r="BH250" s="106"/>
      <c r="BI250" s="106"/>
      <c r="BJ250" s="106"/>
      <c r="BK250" s="106"/>
      <c r="BL250" s="106"/>
      <c r="BM250" s="106"/>
      <c r="BN250" s="106"/>
      <c r="BO250" s="106"/>
      <c r="BP250" s="106"/>
      <c r="BQ250" s="106"/>
      <c r="BR250" s="106"/>
      <c r="BS250" s="106"/>
      <c r="BT250" s="106"/>
      <c r="BU250" s="106"/>
      <c r="BV250" s="106"/>
      <c r="BW250" s="106"/>
      <c r="BX250" s="106"/>
      <c r="BY250" s="106"/>
      <c r="BZ250" s="106"/>
      <c r="CA250" s="106"/>
      <c r="CB250" s="106"/>
      <c r="CC250" s="106"/>
      <c r="CD250" s="106"/>
      <c r="CE250" s="106"/>
      <c r="CF250" s="106"/>
      <c r="CG250" s="106"/>
      <c r="CH250" s="106"/>
      <c r="CI250" s="106"/>
      <c r="CJ250" s="106"/>
      <c r="CK250" s="109"/>
      <c r="CL250" s="109"/>
      <c r="CM250" s="109"/>
      <c r="CN250" s="103"/>
      <c r="CO250" s="110">
        <f>+CQ250/1.19</f>
        <v>4948739.4957983196</v>
      </c>
      <c r="CP250" s="107">
        <f>+CO250*19%</f>
        <v>940260.50420168077</v>
      </c>
      <c r="CQ250" s="107">
        <v>5889000</v>
      </c>
      <c r="CR250" s="122">
        <f t="shared" ref="CR250:CR255" si="107">+CQ250*E250*F250</f>
        <v>11778000</v>
      </c>
      <c r="CS250" s="89" t="s">
        <v>730</v>
      </c>
    </row>
    <row r="251" spans="1:143" ht="94.9" customHeight="1">
      <c r="A251" s="90">
        <f>+A250+1</f>
        <v>232</v>
      </c>
      <c r="B251" s="63" t="s">
        <v>150</v>
      </c>
      <c r="C251" s="1" t="s">
        <v>435</v>
      </c>
      <c r="D251" s="91" t="s">
        <v>750</v>
      </c>
      <c r="E251" s="1">
        <v>2</v>
      </c>
      <c r="F251" s="1">
        <v>12</v>
      </c>
      <c r="G251" s="106"/>
      <c r="H251" s="106"/>
      <c r="I251" s="106"/>
      <c r="J251" s="106"/>
      <c r="K251" s="106"/>
      <c r="L251" s="106"/>
      <c r="M251" s="106"/>
      <c r="N251" s="106"/>
      <c r="O251" s="106"/>
      <c r="P251" s="106"/>
      <c r="Q251" s="106"/>
      <c r="R251" s="106"/>
      <c r="S251" s="106"/>
      <c r="T251" s="106"/>
      <c r="U251" s="106"/>
      <c r="V251" s="106"/>
      <c r="W251" s="106"/>
      <c r="X251" s="106"/>
      <c r="Y251" s="112">
        <v>200000</v>
      </c>
      <c r="Z251" s="106"/>
      <c r="AA251" s="121">
        <v>190000</v>
      </c>
      <c r="AB251" s="106"/>
      <c r="AC251" s="106"/>
      <c r="AD251" s="106"/>
      <c r="AE251" s="106"/>
      <c r="AF251" s="106"/>
      <c r="AG251" s="106"/>
      <c r="AH251" s="106"/>
      <c r="AI251" s="106"/>
      <c r="AJ251" s="106"/>
      <c r="AK251" s="106"/>
      <c r="AL251" s="106"/>
      <c r="AM251" s="106"/>
      <c r="AN251" s="106"/>
      <c r="AO251" s="106"/>
      <c r="AP251" s="106"/>
      <c r="AQ251" s="106"/>
      <c r="AR251" s="106"/>
      <c r="AS251" s="106"/>
      <c r="AT251" s="106"/>
      <c r="AU251" s="106"/>
      <c r="AV251" s="106"/>
      <c r="AW251" s="106"/>
      <c r="AX251" s="106"/>
      <c r="AY251" s="106"/>
      <c r="AZ251" s="106"/>
      <c r="BA251" s="106"/>
      <c r="BB251" s="106"/>
      <c r="BC251" s="106"/>
      <c r="BD251" s="106"/>
      <c r="BE251" s="106"/>
      <c r="BF251" s="106"/>
      <c r="BG251" s="106"/>
      <c r="BH251" s="106"/>
      <c r="BI251" s="106"/>
      <c r="BJ251" s="106"/>
      <c r="BK251" s="106"/>
      <c r="BL251" s="106"/>
      <c r="BM251" s="106"/>
      <c r="BN251" s="106"/>
      <c r="BO251" s="106"/>
      <c r="BP251" s="106"/>
      <c r="BQ251" s="106"/>
      <c r="BR251" s="106"/>
      <c r="BS251" s="106"/>
      <c r="BT251" s="106"/>
      <c r="BU251" s="106"/>
      <c r="BV251" s="106"/>
      <c r="BW251" s="106"/>
      <c r="BX251" s="106"/>
      <c r="BY251" s="106"/>
      <c r="BZ251" s="106"/>
      <c r="CA251" s="106"/>
      <c r="CB251" s="106"/>
      <c r="CC251" s="106"/>
      <c r="CD251" s="106"/>
      <c r="CE251" s="106"/>
      <c r="CF251" s="106"/>
      <c r="CG251" s="106"/>
      <c r="CH251" s="106"/>
      <c r="CI251" s="106"/>
      <c r="CJ251" s="106"/>
      <c r="CK251" s="109">
        <f>+MEDIAN(H251,I251,J251,K251,M251,M251,M251,O251,O251,Q251,S251,U251,W251,X251,Y251,Z251,AA251,AC251,AE251,AG251,AH251,AI251,AJ251,AK251,AL251,AM251,AO251,AP251,AQ251,AS251,AU251,AX251,AZ251,BB251,BC251,BE251,BG251,BH251,BI251,BK251,BL251,BM251,BN251,BP251,BR251,BT251,BV251)</f>
        <v>195000</v>
      </c>
      <c r="CL251" s="109">
        <f>+AVERAGE(H251,I251,J251,K251,M251,M251,M251,O251,O251,Q251,S251,U251,W251,X251,Y251,Z251,AA251,AC251,AE251,AG251,AH251,AI251,AJ251,AK251,AL251,AM251,AO251,AP251,AQ251,AS251,AU251,AX251,AZ251,BB251,BC251,BE251,BG251,BH251,BI251,BK251,BL251,BM251,BN251,BP251,BR251,BT251,BV251)</f>
        <v>195000</v>
      </c>
      <c r="CM251" s="109">
        <f>+STDEV(H251,I251,J251,K251,M251,M251,M251,O251,O251,Q251,S251,U251,W251,X251,Y251,Z251,AA251,AC251,AE251,AG251,AH251,AI251,AJ251,AK251,AL251,AM251,AO251,AP251,AQ251,AS251,AU251,AX251,AZ251,BB251,BC251,BE251,BG251,BH251,BI251,BK251,BL251,BM251,BN251,BP251,BR251,BT251,BV251)</f>
        <v>7071.0678118654751</v>
      </c>
      <c r="CN251" s="103">
        <f t="shared" si="91"/>
        <v>3.6261886214694741E-2</v>
      </c>
      <c r="CO251" s="110">
        <f t="shared" ref="CO251:CO255" si="108">CQ251/1.19</f>
        <v>163865.5462184874</v>
      </c>
      <c r="CP251" s="107">
        <f t="shared" ref="CP251:CP267" si="109">CO251*19%</f>
        <v>31134.453781512606</v>
      </c>
      <c r="CQ251" s="106">
        <f>ROUNDUP(IF(CN251&lt;15%,CL251,CK251),0)</f>
        <v>195000</v>
      </c>
      <c r="CR251" s="122">
        <f t="shared" si="107"/>
        <v>4680000</v>
      </c>
      <c r="CS251" s="79" t="s">
        <v>167</v>
      </c>
    </row>
    <row r="252" spans="1:143" ht="94.9" customHeight="1">
      <c r="A252" s="90">
        <f t="shared" ref="A252:A265" si="110">+A251+1</f>
        <v>233</v>
      </c>
      <c r="B252" s="63" t="s">
        <v>81</v>
      </c>
      <c r="C252" s="1" t="s">
        <v>279</v>
      </c>
      <c r="D252" s="91" t="s">
        <v>750</v>
      </c>
      <c r="E252" s="1">
        <v>2</v>
      </c>
      <c r="F252" s="1">
        <v>6</v>
      </c>
      <c r="G252" s="106"/>
      <c r="H252" s="106"/>
      <c r="I252" s="106"/>
      <c r="J252" s="106"/>
      <c r="K252" s="106"/>
      <c r="L252" s="106"/>
      <c r="M252" s="106"/>
      <c r="N252" s="106"/>
      <c r="O252" s="106"/>
      <c r="P252" s="106"/>
      <c r="Q252" s="106"/>
      <c r="R252" s="106"/>
      <c r="S252" s="106"/>
      <c r="T252" s="106"/>
      <c r="U252" s="106"/>
      <c r="V252" s="106"/>
      <c r="W252" s="106"/>
      <c r="X252" s="106"/>
      <c r="Y252" s="106">
        <v>300000</v>
      </c>
      <c r="Z252" s="106"/>
      <c r="AA252" s="106">
        <v>335000</v>
      </c>
      <c r="AB252" s="106"/>
      <c r="AC252" s="106"/>
      <c r="AD252" s="106"/>
      <c r="AE252" s="106"/>
      <c r="AF252" s="106"/>
      <c r="AG252" s="106"/>
      <c r="AH252" s="106"/>
      <c r="AI252" s="106"/>
      <c r="AJ252" s="106"/>
      <c r="AK252" s="106"/>
      <c r="AL252" s="106"/>
      <c r="AM252" s="106"/>
      <c r="AN252" s="106"/>
      <c r="AO252" s="106"/>
      <c r="AP252" s="106"/>
      <c r="AQ252" s="106"/>
      <c r="AR252" s="106"/>
      <c r="AS252" s="106"/>
      <c r="AT252" s="106"/>
      <c r="AU252" s="106"/>
      <c r="AV252" s="106"/>
      <c r="AW252" s="106"/>
      <c r="AX252" s="106"/>
      <c r="AY252" s="106"/>
      <c r="AZ252" s="106"/>
      <c r="BA252" s="106"/>
      <c r="BB252" s="106"/>
      <c r="BC252" s="106"/>
      <c r="BD252" s="106"/>
      <c r="BE252" s="106"/>
      <c r="BF252" s="106"/>
      <c r="BG252" s="106"/>
      <c r="BH252" s="106"/>
      <c r="BI252" s="106"/>
      <c r="BJ252" s="106"/>
      <c r="BK252" s="106"/>
      <c r="BL252" s="106"/>
      <c r="BM252" s="106"/>
      <c r="BN252" s="106"/>
      <c r="BO252" s="106"/>
      <c r="BP252" s="106"/>
      <c r="BQ252" s="106"/>
      <c r="BR252" s="106"/>
      <c r="BS252" s="106"/>
      <c r="BT252" s="106"/>
      <c r="BU252" s="106"/>
      <c r="BV252" s="106"/>
      <c r="BW252" s="106"/>
      <c r="BX252" s="106"/>
      <c r="BY252" s="106"/>
      <c r="BZ252" s="106"/>
      <c r="CA252" s="106"/>
      <c r="CB252" s="106"/>
      <c r="CC252" s="106"/>
      <c r="CD252" s="106"/>
      <c r="CE252" s="106"/>
      <c r="CF252" s="106"/>
      <c r="CG252" s="106"/>
      <c r="CH252" s="106"/>
      <c r="CI252" s="106"/>
      <c r="CJ252" s="106"/>
      <c r="CK252" s="109">
        <f>+MEDIAN(H252,I252,J252,K252,M252,M252,M252,O252,O252,Q252,S252,U252,W252,X252,Y252,Z252,AA252,AC252,AE252,AG252,AH252,AI252,AJ252,AK252,AL252,AM252,AO252,AP252,AQ252,AS252,AU252,AX252,AZ252,BB252,BC252,BE252,BG252,BH252,BI252,BK252,BL252,BM252,BN252,BP252,BR252,BT252,BV252)</f>
        <v>317500</v>
      </c>
      <c r="CL252" s="109">
        <f>+AVERAGE(H252,I252,J252,K252,M252,M252,M252,O252,O252,Q252,S252,U252,W252,X252,Y252,Z252,AA252,AC252,AE252,AG252,AH252,AI252,AJ252,AK252,AL252,AM252,AO252,AP252,AQ252,AS252,AU252,AX252,AZ252,BB252,BC252,BE252,BG252,BH252,BI252,BK252,BL252,BM252,BN252,BP252,BR252,BT252,BV252)</f>
        <v>317500</v>
      </c>
      <c r="CM252" s="109">
        <f>+STDEV(H252,I252,J252,K252,M252,M252,M252,O252,O252,Q252,S252,U252,W252,X252,Y252,Z252,AA252,AC252,AE252,AG252,AH252,AI252,AJ252,AK252,AL252,AM252,AO252,AP252,AQ252,AS252,AU252,AX252,AZ252,BB252,BC252,BE252,BG252,BH252,BI252,BK252,BL252,BM252,BN252,BP252,BR252,BT252,BV252)</f>
        <v>24748.737341529162</v>
      </c>
      <c r="CN252" s="103">
        <f t="shared" si="91"/>
        <v>7.7948779028438303E-2</v>
      </c>
      <c r="CO252" s="110">
        <f t="shared" si="108"/>
        <v>266806.72268907563</v>
      </c>
      <c r="CP252" s="107">
        <f t="shared" si="109"/>
        <v>50693.277310924372</v>
      </c>
      <c r="CQ252" s="106">
        <f>ROUNDUP(IF(CN252&lt;15%,CL252,CK252),0)</f>
        <v>317500</v>
      </c>
      <c r="CR252" s="122">
        <f t="shared" si="107"/>
        <v>3810000</v>
      </c>
      <c r="CS252" s="89" t="s">
        <v>732</v>
      </c>
    </row>
    <row r="253" spans="1:143" ht="90.65" customHeight="1">
      <c r="A253" s="90">
        <f t="shared" si="110"/>
        <v>234</v>
      </c>
      <c r="B253" s="63" t="s">
        <v>151</v>
      </c>
      <c r="C253" s="1" t="s">
        <v>50</v>
      </c>
      <c r="D253" s="65" t="s">
        <v>750</v>
      </c>
      <c r="E253" s="58">
        <v>4</v>
      </c>
      <c r="F253" s="58">
        <v>6</v>
      </c>
      <c r="G253" s="5"/>
      <c r="H253" s="5"/>
      <c r="I253" s="5"/>
      <c r="J253" s="5"/>
      <c r="K253" s="5"/>
      <c r="L253" s="5"/>
      <c r="M253" s="5"/>
      <c r="N253" s="5"/>
      <c r="O253" s="5"/>
      <c r="P253" s="5"/>
      <c r="Q253" s="5"/>
      <c r="R253" s="5"/>
      <c r="S253" s="5"/>
      <c r="T253" s="5"/>
      <c r="U253" s="5"/>
      <c r="V253" s="5"/>
      <c r="W253" s="5"/>
      <c r="X253" s="5"/>
      <c r="Y253" s="112">
        <v>230000</v>
      </c>
      <c r="Z253" s="5"/>
      <c r="AA253" s="121">
        <v>210000</v>
      </c>
      <c r="AB253" s="5"/>
      <c r="AC253" s="5"/>
      <c r="AD253" s="5"/>
      <c r="AE253" s="5"/>
      <c r="AF253" s="5"/>
      <c r="AG253" s="5"/>
      <c r="AH253" s="5"/>
      <c r="AI253" s="5"/>
      <c r="AJ253" s="5"/>
      <c r="AK253" s="5"/>
      <c r="AL253" s="5"/>
      <c r="AM253" s="5"/>
      <c r="AN253" s="5"/>
      <c r="AO253" s="5"/>
      <c r="AP253" s="5"/>
      <c r="AQ253" s="5"/>
      <c r="AR253" s="5"/>
      <c r="AS253" s="5"/>
      <c r="AT253" s="5"/>
      <c r="AU253" s="5"/>
      <c r="AV253" s="5"/>
      <c r="AW253" s="5"/>
      <c r="AX253" s="5"/>
      <c r="AY253" s="5"/>
      <c r="AZ253" s="5"/>
      <c r="BA253" s="5"/>
      <c r="BB253" s="5"/>
      <c r="BC253" s="5"/>
      <c r="BD253" s="5"/>
      <c r="BE253" s="5"/>
      <c r="BF253" s="5"/>
      <c r="BG253" s="5"/>
      <c r="BH253" s="5"/>
      <c r="BI253" s="5"/>
      <c r="BJ253" s="5"/>
      <c r="BK253" s="5"/>
      <c r="BL253" s="5"/>
      <c r="BM253" s="5"/>
      <c r="BN253" s="5"/>
      <c r="BO253" s="5"/>
      <c r="BP253" s="5"/>
      <c r="BQ253" s="5"/>
      <c r="BR253" s="5"/>
      <c r="BS253" s="5"/>
      <c r="BT253" s="5"/>
      <c r="BU253" s="5"/>
      <c r="BV253" s="5"/>
      <c r="BW253" s="5"/>
      <c r="BX253" s="5"/>
      <c r="BY253" s="5"/>
      <c r="BZ253" s="5"/>
      <c r="CA253" s="5"/>
      <c r="CB253" s="5"/>
      <c r="CC253" s="5"/>
      <c r="CD253" s="5"/>
      <c r="CE253" s="5"/>
      <c r="CF253" s="5"/>
      <c r="CG253" s="5"/>
      <c r="CH253" s="5"/>
      <c r="CI253" s="5"/>
      <c r="CJ253" s="5"/>
      <c r="CK253" s="109">
        <f>+MEDIAN(H253,I253,J253,K253,M253,M253,M253,O253,O253,Q253,S253,U253,W253,X253,Y253,Z253,AA253,AC253,AE253,AG253,AH253,AI253,AJ253,AK253,AL253,AM253,AO253,AP253,AQ253,AS253,AU253,AX253,AZ253,BB253,BC253,BE253,BG253,BH253,BI253,BK253,BL253,BM253,BN253,BP253,BR253,BT253,BV253)</f>
        <v>220000</v>
      </c>
      <c r="CL253" s="109">
        <f>+AVERAGE(H253,I253,J253,K253,M253,M253,M253,O253,O253,Q253,S253,U253,W253,X253,Y253,Z253,AA253,AC253,AE253,AG253,AH253,AI253,AJ253,AK253,AL253,AM253,AO253,AP253,AQ253,AS253,AU253,AX253,AZ253,BB253,BC253,BE253,BG253,BH253,BI253,BK253,BL253,BM253,BN253,BP253,BR253,BT253,BV253)</f>
        <v>220000</v>
      </c>
      <c r="CM253" s="109">
        <f>+STDEV(H253,I253,J253,K253,M253,M253,M253,O253,O253,Q253,S253,U253,W253,X253,Y253,Z253,AA253,AC253,AE253,AG253,AH253,AI253,AJ253,AK253,AL253,AM253,AO253,AP253,AQ253,AS253,AU253,AX253,AZ253,BB253,BC253,BE253,BG253,BH253,BI253,BK253,BL253,BM253,BN253,BP253,BR253,BT253,BV253)</f>
        <v>14142.13562373095</v>
      </c>
      <c r="CN253" s="103">
        <f t="shared" si="91"/>
        <v>6.4282434653322507E-2</v>
      </c>
      <c r="CO253" s="110">
        <f t="shared" si="108"/>
        <v>184873.94957983194</v>
      </c>
      <c r="CP253" s="107">
        <f t="shared" si="109"/>
        <v>35126.050420168067</v>
      </c>
      <c r="CQ253" s="106">
        <f>ROUNDUP(IF(CN253&lt;15%,CL253,CK253),0)</f>
        <v>220000</v>
      </c>
      <c r="CR253" s="122">
        <f t="shared" si="107"/>
        <v>5280000</v>
      </c>
      <c r="CS253" s="79" t="s">
        <v>168</v>
      </c>
    </row>
    <row r="254" spans="1:143" ht="103.9" customHeight="1">
      <c r="A254" s="90">
        <f t="shared" si="110"/>
        <v>235</v>
      </c>
      <c r="B254" s="63" t="s">
        <v>51</v>
      </c>
      <c r="C254" s="1" t="s">
        <v>50</v>
      </c>
      <c r="D254" s="65" t="s">
        <v>750</v>
      </c>
      <c r="E254" s="58">
        <v>2</v>
      </c>
      <c r="F254" s="1">
        <v>6</v>
      </c>
      <c r="G254" s="106"/>
      <c r="H254" s="106"/>
      <c r="I254" s="106"/>
      <c r="J254" s="106"/>
      <c r="K254" s="106"/>
      <c r="L254" s="106"/>
      <c r="M254" s="106"/>
      <c r="N254" s="106"/>
      <c r="O254" s="106"/>
      <c r="P254" s="106"/>
      <c r="Q254" s="106"/>
      <c r="R254" s="106"/>
      <c r="S254" s="106"/>
      <c r="T254" s="106"/>
      <c r="U254" s="106"/>
      <c r="V254" s="106"/>
      <c r="W254" s="106"/>
      <c r="X254" s="106"/>
      <c r="Y254" s="112">
        <v>230000</v>
      </c>
      <c r="Z254" s="106"/>
      <c r="AA254" s="121">
        <v>210000</v>
      </c>
      <c r="AB254" s="106"/>
      <c r="AC254" s="106"/>
      <c r="AD254" s="106"/>
      <c r="AE254" s="106"/>
      <c r="AF254" s="106"/>
      <c r="AG254" s="106"/>
      <c r="AH254" s="106"/>
      <c r="AI254" s="106"/>
      <c r="AJ254" s="106"/>
      <c r="AK254" s="106"/>
      <c r="AL254" s="106"/>
      <c r="AM254" s="106"/>
      <c r="AN254" s="106"/>
      <c r="AO254" s="106"/>
      <c r="AP254" s="106"/>
      <c r="AQ254" s="106"/>
      <c r="AR254" s="106"/>
      <c r="AS254" s="106"/>
      <c r="AT254" s="106"/>
      <c r="AU254" s="106"/>
      <c r="AV254" s="106"/>
      <c r="AW254" s="106"/>
      <c r="AX254" s="106"/>
      <c r="AY254" s="106"/>
      <c r="AZ254" s="106"/>
      <c r="BA254" s="106"/>
      <c r="BB254" s="106"/>
      <c r="BC254" s="106"/>
      <c r="BD254" s="106"/>
      <c r="BE254" s="106"/>
      <c r="BF254" s="106"/>
      <c r="BG254" s="106"/>
      <c r="BH254" s="106"/>
      <c r="BI254" s="106"/>
      <c r="BJ254" s="106"/>
      <c r="BK254" s="106"/>
      <c r="BL254" s="106"/>
      <c r="BM254" s="106"/>
      <c r="BN254" s="106"/>
      <c r="BO254" s="106"/>
      <c r="BP254" s="106"/>
      <c r="BQ254" s="106"/>
      <c r="BR254" s="106"/>
      <c r="BS254" s="106"/>
      <c r="BT254" s="106"/>
      <c r="BU254" s="106"/>
      <c r="BV254" s="106"/>
      <c r="BW254" s="106"/>
      <c r="BX254" s="106"/>
      <c r="BY254" s="106"/>
      <c r="BZ254" s="106"/>
      <c r="CA254" s="106"/>
      <c r="CB254" s="106"/>
      <c r="CC254" s="106"/>
      <c r="CD254" s="106"/>
      <c r="CE254" s="106"/>
      <c r="CF254" s="106"/>
      <c r="CG254" s="106"/>
      <c r="CH254" s="106"/>
      <c r="CI254" s="106"/>
      <c r="CJ254" s="106"/>
      <c r="CK254" s="109">
        <f>+MEDIAN(H254,I254,J254,K254,M254,M254,M254,O254,O254,Q254,S254,U254,W254,X254,Y254,Z254,AA254,AC254,AE254,AG254,AH254,AI254,AJ254,AK254,AL254,AM254,AO254,AP254,AQ254,AS254,AU254,AX254,AZ254,BB254,BC254,BE254,BG254,BH254,BI254,BK254,BL254,BM254,BN254,BP254,BR254,BT254,BV254)</f>
        <v>220000</v>
      </c>
      <c r="CL254" s="109">
        <f>+AVERAGE(H254,I254,J254,K254,M254,M254,M254,O254,O254,Q254,S254,U254,W254,X254,Y254,Z254,AA254,AC254,AE254,AG254,AH254,AI254,AJ254,AK254,AL254,AM254,AO254,AP254,AQ254,AS254,AU254,AX254,AZ254,BB254,BC254,BE254,BG254,BH254,BI254,BK254,BL254,BM254,BN254,BP254,BR254,BT254,BV254)</f>
        <v>220000</v>
      </c>
      <c r="CM254" s="109">
        <f>+STDEV(H254,I254,J254,K254,M254,M254,M254,O254,O254,Q254,S254,U254,W254,X254,Y254,Z254,AA254,AC254,AE254,AG254,AH254,AI254,AJ254,AK254,AL254,AM254,AO254,AP254,AQ254,AS254,AU254,AX254,AZ254,BB254,BC254,BE254,BG254,BH254,BI254,BK254,BL254,BM254,BN254,BP254,BR254,BT254,BV254)</f>
        <v>14142.13562373095</v>
      </c>
      <c r="CN254" s="103">
        <f t="shared" si="91"/>
        <v>6.4282434653322507E-2</v>
      </c>
      <c r="CO254" s="110">
        <f t="shared" si="108"/>
        <v>184873.94957983194</v>
      </c>
      <c r="CP254" s="107">
        <f t="shared" si="109"/>
        <v>35126.050420168067</v>
      </c>
      <c r="CQ254" s="106">
        <f>ROUNDUP(IF(CN254&lt;15%,CL254,CK254),0)</f>
        <v>220000</v>
      </c>
      <c r="CR254" s="122">
        <f t="shared" si="107"/>
        <v>2640000</v>
      </c>
      <c r="CS254" s="79" t="s">
        <v>168</v>
      </c>
    </row>
    <row r="255" spans="1:143" ht="94.9" customHeight="1">
      <c r="A255" s="90">
        <f t="shared" si="110"/>
        <v>236</v>
      </c>
      <c r="B255" s="63" t="s">
        <v>89</v>
      </c>
      <c r="C255" s="1" t="s">
        <v>50</v>
      </c>
      <c r="D255" s="65" t="s">
        <v>750</v>
      </c>
      <c r="E255" s="1">
        <v>2</v>
      </c>
      <c r="F255" s="1">
        <v>6</v>
      </c>
      <c r="G255" s="106"/>
      <c r="H255" s="106"/>
      <c r="I255" s="106"/>
      <c r="J255" s="106"/>
      <c r="K255" s="106"/>
      <c r="L255" s="106"/>
      <c r="M255" s="106"/>
      <c r="N255" s="106"/>
      <c r="O255" s="106"/>
      <c r="P255" s="106"/>
      <c r="Q255" s="106"/>
      <c r="R255" s="106"/>
      <c r="S255" s="106"/>
      <c r="T255" s="106"/>
      <c r="U255" s="106"/>
      <c r="V255" s="106"/>
      <c r="W255" s="106"/>
      <c r="X255" s="106"/>
      <c r="Y255" s="112">
        <v>205000</v>
      </c>
      <c r="Z255" s="106"/>
      <c r="AA255" s="121">
        <v>190000</v>
      </c>
      <c r="AB255" s="106"/>
      <c r="AC255" s="106"/>
      <c r="AD255" s="106"/>
      <c r="AE255" s="106"/>
      <c r="AF255" s="106"/>
      <c r="AG255" s="106"/>
      <c r="AH255" s="106"/>
      <c r="AI255" s="106"/>
      <c r="AJ255" s="106"/>
      <c r="AK255" s="106"/>
      <c r="AL255" s="106"/>
      <c r="AM255" s="106"/>
      <c r="AN255" s="106"/>
      <c r="AO255" s="106"/>
      <c r="AP255" s="106"/>
      <c r="AQ255" s="106"/>
      <c r="AR255" s="106"/>
      <c r="AS255" s="106"/>
      <c r="AT255" s="106"/>
      <c r="AU255" s="106"/>
      <c r="AV255" s="106"/>
      <c r="AW255" s="106"/>
      <c r="AX255" s="106"/>
      <c r="AY255" s="106"/>
      <c r="AZ255" s="106"/>
      <c r="BA255" s="106"/>
      <c r="BB255" s="106"/>
      <c r="BC255" s="106"/>
      <c r="BD255" s="106"/>
      <c r="BE255" s="106"/>
      <c r="BF255" s="106"/>
      <c r="BG255" s="106"/>
      <c r="BH255" s="106"/>
      <c r="BI255" s="106"/>
      <c r="BJ255" s="106"/>
      <c r="BK255" s="106"/>
      <c r="BL255" s="106"/>
      <c r="BM255" s="106"/>
      <c r="BN255" s="106"/>
      <c r="BO255" s="106"/>
      <c r="BP255" s="106"/>
      <c r="BQ255" s="106"/>
      <c r="BR255" s="106"/>
      <c r="BS255" s="106"/>
      <c r="BT255" s="106"/>
      <c r="BU255" s="106"/>
      <c r="BV255" s="106"/>
      <c r="BW255" s="106"/>
      <c r="BX255" s="106"/>
      <c r="BY255" s="106"/>
      <c r="BZ255" s="106"/>
      <c r="CA255" s="106"/>
      <c r="CB255" s="106"/>
      <c r="CC255" s="106"/>
      <c r="CD255" s="106"/>
      <c r="CE255" s="106"/>
      <c r="CF255" s="106"/>
      <c r="CG255" s="106"/>
      <c r="CH255" s="106"/>
      <c r="CI255" s="106"/>
      <c r="CJ255" s="106"/>
      <c r="CK255" s="109">
        <f>+MEDIAN(H255,I255,J255,K255,M255,M255,M255,O255,O255,Q255,S255,U255,W255,X255,Y255,Z255,AA255,AC255,AE255,AG255,AH255,AI255,AJ255,AK255,AL255,AM255,AO255,AP255,AQ255,AS255,AU255,AX255,AZ255,BB255,BC255,BE255,BG255,BH255,BI255,BK255,BL255,BM255,BN255,BP255,BR255,BT255,BV255)</f>
        <v>197500</v>
      </c>
      <c r="CL255" s="109">
        <f>+AVERAGE(H255,I255,J255,K255,M255,M255,M255,O255,O255,Q255,S255,U255,W255,X255,Y255,Z255,AA255,AC255,AE255,AG255,AH255,AI255,AJ255,AK255,AL255,AM255,AO255,AP255,AQ255,AS255,AU255,AX255,AZ255,BB255,BC255,BE255,BG255,BH255,BI255,BK255,BL255,BM255,BN255,BP255,BR255,BT255,BV255)</f>
        <v>197500</v>
      </c>
      <c r="CM255" s="109">
        <f>+STDEV(H255,I255,J255,K255,M255,M255,M255,O255,O255,Q255,S255,U255,W255,X255,Y255,Z255,AA255,AC255,AE255,AG255,AH255,AI255,AJ255,AK255,AL255,AM255,AO255,AP255,AQ255,AS255,AU255,AX255,AZ255,BB255,BC255,BE255,BG255,BH255,BI255,BK255,BL255,BM255,BN255,BP255,BR255,BT255,BV255)</f>
        <v>10606.601717798212</v>
      </c>
      <c r="CN255" s="103">
        <f t="shared" si="91"/>
        <v>5.3704312495180824E-2</v>
      </c>
      <c r="CO255" s="110">
        <f t="shared" si="108"/>
        <v>165966.38655462186</v>
      </c>
      <c r="CP255" s="107">
        <f t="shared" si="109"/>
        <v>31533.613445378152</v>
      </c>
      <c r="CQ255" s="106">
        <f>ROUNDUP(IF(CN255&lt;15%,CL255,CK255),0)</f>
        <v>197500</v>
      </c>
      <c r="CR255" s="122">
        <f t="shared" si="107"/>
        <v>2370000</v>
      </c>
      <c r="CS255" s="79" t="s">
        <v>167</v>
      </c>
    </row>
    <row r="256" spans="1:143" s="256" customFormat="1" ht="103.9" customHeight="1">
      <c r="A256" s="247">
        <f t="shared" si="110"/>
        <v>237</v>
      </c>
      <c r="B256" s="260" t="s">
        <v>135</v>
      </c>
      <c r="C256" s="249" t="s">
        <v>136</v>
      </c>
      <c r="D256" s="250" t="s">
        <v>52</v>
      </c>
      <c r="E256" s="249">
        <v>1</v>
      </c>
      <c r="F256" s="249"/>
      <c r="G256" s="251"/>
      <c r="H256" s="251"/>
      <c r="I256" s="251"/>
      <c r="J256" s="251"/>
      <c r="K256" s="251"/>
      <c r="L256" s="251"/>
      <c r="M256" s="251"/>
      <c r="N256" s="251"/>
      <c r="O256" s="251"/>
      <c r="P256" s="251"/>
      <c r="Q256" s="251"/>
      <c r="R256" s="251"/>
      <c r="S256" s="251"/>
      <c r="T256" s="251"/>
      <c r="U256" s="251"/>
      <c r="V256" s="251"/>
      <c r="W256" s="251"/>
      <c r="X256" s="251"/>
      <c r="Y256" s="251"/>
      <c r="Z256" s="251"/>
      <c r="AA256" s="251"/>
      <c r="AB256" s="251"/>
      <c r="AC256" s="251"/>
      <c r="AD256" s="251"/>
      <c r="AE256" s="251"/>
      <c r="AF256" s="251"/>
      <c r="AG256" s="251"/>
      <c r="AH256" s="251"/>
      <c r="AI256" s="251"/>
      <c r="AJ256" s="251"/>
      <c r="AK256" s="251"/>
      <c r="AL256" s="251"/>
      <c r="AM256" s="251"/>
      <c r="AN256" s="251"/>
      <c r="AO256" s="251"/>
      <c r="AP256" s="251"/>
      <c r="AQ256" s="251"/>
      <c r="AR256" s="251"/>
      <c r="AS256" s="251"/>
      <c r="AT256" s="251"/>
      <c r="AU256" s="251"/>
      <c r="AV256" s="251"/>
      <c r="AW256" s="251"/>
      <c r="AX256" s="251"/>
      <c r="AY256" s="251"/>
      <c r="AZ256" s="251"/>
      <c r="BA256" s="251"/>
      <c r="BB256" s="251"/>
      <c r="BC256" s="251"/>
      <c r="BD256" s="251"/>
      <c r="BE256" s="251"/>
      <c r="BF256" s="251"/>
      <c r="BG256" s="251"/>
      <c r="BH256" s="251"/>
      <c r="BI256" s="251"/>
      <c r="BJ256" s="251"/>
      <c r="BK256" s="251"/>
      <c r="BL256" s="251"/>
      <c r="BM256" s="251"/>
      <c r="BN256" s="251"/>
      <c r="BO256" s="251"/>
      <c r="BP256" s="251"/>
      <c r="BQ256" s="251"/>
      <c r="BR256" s="251"/>
      <c r="BS256" s="251"/>
      <c r="BT256" s="251"/>
      <c r="BU256" s="251"/>
      <c r="BV256" s="251"/>
      <c r="BW256" s="251"/>
      <c r="BX256" s="251"/>
      <c r="BY256" s="251"/>
      <c r="BZ256" s="251"/>
      <c r="CA256" s="251"/>
      <c r="CB256" s="251"/>
      <c r="CC256" s="251"/>
      <c r="CD256" s="251"/>
      <c r="CE256" s="251"/>
      <c r="CF256" s="251"/>
      <c r="CG256" s="251"/>
      <c r="CH256" s="251"/>
      <c r="CI256" s="251"/>
      <c r="CJ256" s="251"/>
      <c r="CK256" s="252"/>
      <c r="CL256" s="252"/>
      <c r="CM256" s="252"/>
      <c r="CN256" s="253"/>
      <c r="CO256" s="254">
        <v>4729389</v>
      </c>
      <c r="CP256" s="254"/>
      <c r="CQ256" s="254">
        <v>4729389</v>
      </c>
      <c r="CR256" s="254">
        <v>4729389</v>
      </c>
      <c r="CS256" s="261" t="s">
        <v>794</v>
      </c>
    </row>
    <row r="257" spans="1:143" ht="94.9" customHeight="1">
      <c r="A257" s="90">
        <f t="shared" si="110"/>
        <v>238</v>
      </c>
      <c r="B257" s="63" t="s">
        <v>806</v>
      </c>
      <c r="C257" s="1" t="s">
        <v>152</v>
      </c>
      <c r="D257" s="91" t="s">
        <v>4</v>
      </c>
      <c r="E257" s="1">
        <v>320</v>
      </c>
      <c r="F257" s="1"/>
      <c r="G257" s="106"/>
      <c r="H257" s="106"/>
      <c r="I257" s="106"/>
      <c r="J257" s="106"/>
      <c r="K257" s="106"/>
      <c r="L257" s="106"/>
      <c r="M257" s="106"/>
      <c r="N257" s="106"/>
      <c r="O257" s="106"/>
      <c r="P257" s="106"/>
      <c r="Q257" s="106"/>
      <c r="R257" s="106"/>
      <c r="S257" s="106"/>
      <c r="T257" s="106"/>
      <c r="U257" s="106"/>
      <c r="V257" s="106"/>
      <c r="W257" s="106"/>
      <c r="X257" s="112">
        <v>15000</v>
      </c>
      <c r="Y257" s="112">
        <v>17600</v>
      </c>
      <c r="Z257" s="112">
        <v>16500</v>
      </c>
      <c r="AA257" s="112"/>
      <c r="AB257" s="112"/>
      <c r="AC257" s="112"/>
      <c r="AD257" s="112"/>
      <c r="AE257" s="112"/>
      <c r="AF257" s="112"/>
      <c r="AG257" s="112"/>
      <c r="AH257" s="112"/>
      <c r="AI257" s="112"/>
      <c r="AJ257" s="112"/>
      <c r="AK257" s="112"/>
      <c r="AL257" s="112"/>
      <c r="AM257" s="112"/>
      <c r="AN257" s="112"/>
      <c r="AO257" s="112"/>
      <c r="AP257" s="112"/>
      <c r="AQ257" s="112"/>
      <c r="AR257" s="112"/>
      <c r="AS257" s="112"/>
      <c r="AT257" s="112"/>
      <c r="AU257" s="112"/>
      <c r="AV257" s="112"/>
      <c r="AW257" s="112"/>
      <c r="AX257" s="112"/>
      <c r="AY257" s="112"/>
      <c r="AZ257" s="112"/>
      <c r="BA257" s="112"/>
      <c r="BB257" s="112"/>
      <c r="BC257" s="112"/>
      <c r="BD257" s="112"/>
      <c r="BE257" s="112"/>
      <c r="BF257" s="112"/>
      <c r="BG257" s="112"/>
      <c r="BH257" s="112"/>
      <c r="BI257" s="112"/>
      <c r="BJ257" s="112"/>
      <c r="BK257" s="112"/>
      <c r="BL257" s="112"/>
      <c r="BM257" s="112"/>
      <c r="BN257" s="112"/>
      <c r="BO257" s="112"/>
      <c r="BP257" s="112"/>
      <c r="BQ257" s="112"/>
      <c r="BR257" s="112"/>
      <c r="BS257" s="112"/>
      <c r="BT257" s="112"/>
      <c r="BU257" s="112"/>
      <c r="BV257" s="112"/>
      <c r="BW257" s="112"/>
      <c r="BX257" s="112"/>
      <c r="BY257" s="112"/>
      <c r="BZ257" s="112"/>
      <c r="CA257" s="112"/>
      <c r="CB257" s="112"/>
      <c r="CC257" s="112"/>
      <c r="CD257" s="112"/>
      <c r="CE257" s="112"/>
      <c r="CF257" s="112"/>
      <c r="CG257" s="112"/>
      <c r="CH257" s="112"/>
      <c r="CI257" s="112"/>
      <c r="CJ257" s="112"/>
      <c r="CK257" s="109">
        <f>+MEDIAN(H257,I257,J257,K257,M257,M257,M257,O257,O257,Q257,S257,U257,W257,X257,Y257,Z257,AA257,AC257,AE257,AG257,AH257,AI257,AJ257,AK257,AL257,AM257,AO257,AP257,AQ257,AS257,AU257,AX257,AZ257,BB257,BC257,BE257,BG257,BH257,BI257,BK257,BL257,BM257,BN257,BP257,BR257,BT257,BV257)</f>
        <v>16500</v>
      </c>
      <c r="CL257" s="109">
        <f>+AVERAGE(H257,I257,J257,K257,M257,M257,M257,O257,O257,Q257,S257,U257,W257,X257,Y257,Z257,AA257,AC257,AE257,AG257,AH257,AI257,AJ257,AK257,AL257,AM257,AO257,AP257,AQ257,AS257,AU257,AX257,AZ257,BB257,BC257,BE257,BG257,BH257,BI257,BK257,BL257,BM257,BN257,BP257,BR257,BT257,BV257)</f>
        <v>16366.666666666666</v>
      </c>
      <c r="CM257" s="109">
        <f>+STDEV(H257,I257,J257,K257,M257,M257,M257,O257,O257,Q257,S257,U257,W257,X257,Y257,Z257,AA257,AC257,AE257,AG257,AH257,AI257,AJ257,AK257,AL257,AM257,AO257,AP257,AQ257,AS257,AU257,AX257,AZ257,BB257,BC257,BE257,BG257,BH257,BI257,BK257,BL257,BM257,BN257,BP257,BR257,BT257,BV257)</f>
        <v>1305.1181300301262</v>
      </c>
      <c r="CN257" s="103">
        <f>CM257/CL257</f>
        <v>7.9742451936667583E-2</v>
      </c>
      <c r="CO257" s="110">
        <f>CQ257/1.19</f>
        <v>13753.781512605043</v>
      </c>
      <c r="CP257" s="107">
        <f t="shared" si="109"/>
        <v>2613.2184873949582</v>
      </c>
      <c r="CQ257" s="106">
        <f t="shared" ref="CQ257:CQ265" si="111">ROUNDUP(IF(CN257&lt;15%,CL257,CK257),0)</f>
        <v>16367</v>
      </c>
      <c r="CR257" s="122">
        <f t="shared" ref="CR257:CR265" si="112">+CQ257*E257</f>
        <v>5237440</v>
      </c>
      <c r="CS257" s="89" t="s">
        <v>732</v>
      </c>
    </row>
    <row r="258" spans="1:143" ht="90.65" customHeight="1">
      <c r="A258" s="90">
        <f t="shared" si="110"/>
        <v>239</v>
      </c>
      <c r="B258" s="63" t="s">
        <v>807</v>
      </c>
      <c r="C258" s="1" t="s">
        <v>808</v>
      </c>
      <c r="D258" s="91" t="s">
        <v>809</v>
      </c>
      <c r="E258" s="1">
        <v>320</v>
      </c>
      <c r="F258" s="1"/>
      <c r="G258" s="106"/>
      <c r="H258" s="106"/>
      <c r="I258" s="106"/>
      <c r="J258" s="106"/>
      <c r="K258" s="106"/>
      <c r="L258" s="106"/>
      <c r="M258" s="106"/>
      <c r="N258" s="106"/>
      <c r="O258" s="106"/>
      <c r="P258" s="106"/>
      <c r="Q258" s="106"/>
      <c r="R258" s="106"/>
      <c r="S258" s="106"/>
      <c r="T258" s="106"/>
      <c r="U258" s="106"/>
      <c r="V258" s="106"/>
      <c r="W258" s="106"/>
      <c r="X258" s="112">
        <v>15000</v>
      </c>
      <c r="Y258" s="112">
        <v>21000</v>
      </c>
      <c r="Z258" s="112">
        <v>16500</v>
      </c>
      <c r="AA258" s="112"/>
      <c r="AB258" s="112"/>
      <c r="AC258" s="112"/>
      <c r="AD258" s="112"/>
      <c r="AE258" s="112"/>
      <c r="AF258" s="112"/>
      <c r="AG258" s="112"/>
      <c r="AH258" s="112"/>
      <c r="AI258" s="112"/>
      <c r="AJ258" s="112"/>
      <c r="AK258" s="112"/>
      <c r="AL258" s="112"/>
      <c r="AM258" s="112"/>
      <c r="AN258" s="112"/>
      <c r="AO258" s="112"/>
      <c r="AP258" s="112"/>
      <c r="AQ258" s="112"/>
      <c r="AR258" s="112"/>
      <c r="AS258" s="112"/>
      <c r="AT258" s="112"/>
      <c r="AU258" s="112"/>
      <c r="AV258" s="112"/>
      <c r="AW258" s="112"/>
      <c r="AX258" s="112"/>
      <c r="AY258" s="112"/>
      <c r="AZ258" s="112"/>
      <c r="BA258" s="112"/>
      <c r="BB258" s="112"/>
      <c r="BC258" s="112"/>
      <c r="BD258" s="112"/>
      <c r="BE258" s="112"/>
      <c r="BF258" s="112"/>
      <c r="BG258" s="112"/>
      <c r="BH258" s="112"/>
      <c r="BI258" s="112"/>
      <c r="BJ258" s="112"/>
      <c r="BK258" s="112"/>
      <c r="BL258" s="112"/>
      <c r="BM258" s="112"/>
      <c r="BN258" s="112"/>
      <c r="BO258" s="112"/>
      <c r="BP258" s="112"/>
      <c r="BQ258" s="112"/>
      <c r="BR258" s="112"/>
      <c r="BS258" s="112"/>
      <c r="BT258" s="112"/>
      <c r="BU258" s="112"/>
      <c r="BV258" s="112"/>
      <c r="BW258" s="112"/>
      <c r="BX258" s="112"/>
      <c r="BY258" s="112"/>
      <c r="BZ258" s="112"/>
      <c r="CA258" s="112"/>
      <c r="CB258" s="112"/>
      <c r="CC258" s="112"/>
      <c r="CD258" s="112"/>
      <c r="CE258" s="112"/>
      <c r="CF258" s="112"/>
      <c r="CG258" s="112"/>
      <c r="CH258" s="112"/>
      <c r="CI258" s="112"/>
      <c r="CJ258" s="112"/>
      <c r="CK258" s="109">
        <f>+MEDIAN(H258,I258,J258,K258,M258,M258,M258,O258,O258,Q258,S258,U258,W258,X258,Y258,Z258,AA258,AC258,AE258,AG258,AH258,AI258,AJ258,AK258,AL258,AM258,AO258,AP258,AQ258,AS258,AU258,AX258,AZ258,BB258,BC258,BE258,BG258,BH258,BI258,BK258,BL258,BM258,BN258,BP258,BR258,BT258,BV258)</f>
        <v>16500</v>
      </c>
      <c r="CL258" s="109">
        <f>+AVERAGE(H258,I258,J258,K258,M258,M258,M258,O258,O258,Q258,S258,U258,W258,X258,Y258,Z258,AA258,AC258,AE258,AG258,AH258,AI258,AJ258,AK258,AL258,AM258,AO258,AP258,AQ258,AS258,AU258,AX258,AZ258,BB258,BC258,BE258,BG258,BH258,BI258,BK258,BL258,BM258,BN258,BP258,BR258,BT258,BV258)</f>
        <v>17500</v>
      </c>
      <c r="CM258" s="109">
        <f>+STDEV(H258,I258,J258,K258,M258,M258,M258,O258,O258,Q258,S258,U258,W258,X258,Y258,Z258,AA258,AC258,AE258,AG258,AH258,AI258,AJ258,AK258,AL258,AM258,AO258,AP258,AQ258,AS258,AU258,AX258,AZ258,BB258,BC258,BE258,BG258,BH258,BI258,BK258,BL258,BM258,BN258,BP258,BR258,BT258,BV258)</f>
        <v>3122.4989991991993</v>
      </c>
      <c r="CN258" s="103">
        <f>CM258/CL258</f>
        <v>0.17842851423995423</v>
      </c>
      <c r="CO258" s="110">
        <f>CQ258</f>
        <v>16500</v>
      </c>
      <c r="CP258" s="107"/>
      <c r="CQ258" s="106">
        <f t="shared" si="111"/>
        <v>16500</v>
      </c>
      <c r="CR258" s="122">
        <f t="shared" si="112"/>
        <v>5280000</v>
      </c>
      <c r="CS258" s="89" t="s">
        <v>380</v>
      </c>
    </row>
    <row r="259" spans="1:143" ht="103.9" customHeight="1">
      <c r="A259" s="90">
        <f t="shared" si="110"/>
        <v>240</v>
      </c>
      <c r="B259" s="63" t="s">
        <v>810</v>
      </c>
      <c r="C259" s="1" t="s">
        <v>153</v>
      </c>
      <c r="D259" s="91" t="s">
        <v>4</v>
      </c>
      <c r="E259" s="1">
        <v>320</v>
      </c>
      <c r="F259" s="1"/>
      <c r="G259" s="106"/>
      <c r="H259" s="106"/>
      <c r="I259" s="106"/>
      <c r="J259" s="106"/>
      <c r="K259" s="106"/>
      <c r="L259" s="106"/>
      <c r="M259" s="106"/>
      <c r="N259" s="106"/>
      <c r="O259" s="106"/>
      <c r="P259" s="106"/>
      <c r="Q259" s="106"/>
      <c r="R259" s="106"/>
      <c r="S259" s="106"/>
      <c r="T259" s="106"/>
      <c r="U259" s="106"/>
      <c r="V259" s="106"/>
      <c r="W259" s="106"/>
      <c r="X259" s="112">
        <v>3000</v>
      </c>
      <c r="Y259" s="112">
        <v>2500</v>
      </c>
      <c r="Z259" s="112"/>
      <c r="AA259" s="112"/>
      <c r="AB259" s="112"/>
      <c r="AC259" s="112"/>
      <c r="AD259" s="112"/>
      <c r="AE259" s="112"/>
      <c r="AF259" s="112"/>
      <c r="AG259" s="112"/>
      <c r="AH259" s="112"/>
      <c r="AI259" s="112"/>
      <c r="AJ259" s="112"/>
      <c r="AK259" s="112"/>
      <c r="AL259" s="112"/>
      <c r="AM259" s="112"/>
      <c r="AN259" s="112"/>
      <c r="AO259" s="112"/>
      <c r="AP259" s="112"/>
      <c r="AQ259" s="112"/>
      <c r="AR259" s="112"/>
      <c r="AS259" s="112"/>
      <c r="AT259" s="112"/>
      <c r="AU259" s="112"/>
      <c r="AV259" s="112"/>
      <c r="AW259" s="112"/>
      <c r="AX259" s="112"/>
      <c r="AY259" s="112"/>
      <c r="AZ259" s="112"/>
      <c r="BA259" s="112"/>
      <c r="BB259" s="112"/>
      <c r="BC259" s="112"/>
      <c r="BD259" s="112"/>
      <c r="BE259" s="112"/>
      <c r="BF259" s="112"/>
      <c r="BG259" s="112"/>
      <c r="BH259" s="112"/>
      <c r="BI259" s="112"/>
      <c r="BJ259" s="112"/>
      <c r="BK259" s="112"/>
      <c r="BL259" s="112"/>
      <c r="BM259" s="112"/>
      <c r="BN259" s="112"/>
      <c r="BO259" s="112"/>
      <c r="BP259" s="112"/>
      <c r="BQ259" s="112"/>
      <c r="BR259" s="112"/>
      <c r="BS259" s="112"/>
      <c r="BT259" s="112"/>
      <c r="BU259" s="112"/>
      <c r="BV259" s="112"/>
      <c r="BW259" s="112"/>
      <c r="BX259" s="112"/>
      <c r="BY259" s="112"/>
      <c r="BZ259" s="112"/>
      <c r="CA259" s="112"/>
      <c r="CB259" s="112"/>
      <c r="CC259" s="112"/>
      <c r="CD259" s="112"/>
      <c r="CE259" s="112"/>
      <c r="CF259" s="112"/>
      <c r="CG259" s="112"/>
      <c r="CH259" s="112"/>
      <c r="CI259" s="112"/>
      <c r="CJ259" s="112"/>
      <c r="CK259" s="109">
        <f>+MEDIAN(H259,I259,J259,K259,M259,M259,M259,O259,O259,Q259,S259,U259,W259,X259,Y259,Z259,AA259,AC259,AE259,AG259,AH259,AI259,AJ259,AK259,AL259,AM259,AO259,AP259,AQ259,AS259,AU259,AX259,AZ259,BB259,BC259,BE259,BG259,BH259,BI259,BK259,BL259,BM259,BN259,BP259,BR259,BT259,BV259)</f>
        <v>2750</v>
      </c>
      <c r="CL259" s="109">
        <f>+AVERAGE(H259,I259,J259,K259,M259,M259,M259,O259,O259,Q259,S259,U259,W259,X259,Y259,Z259,AA259,AC259,AE259,AG259,AH259,AI259,AJ259,AK259,AL259,AM259,AO259,AP259,AQ259,AS259,AU259,AX259,AZ259,BB259,BC259,BE259,BG259,BH259,BI259,BK259,BL259,BM259,BN259,BP259,BR259,BT259,BV259)</f>
        <v>2750</v>
      </c>
      <c r="CM259" s="109">
        <f>+STDEV(H259,I259,J259,K259,M259,M259,M259,O259,O259,Q259,S259,U259,W259,X259,Y259,Z259,AA259,AC259,AE259,AG259,AH259,AI259,AJ259,AK259,AL259,AM259,AO259,AP259,AQ259,AS259,AU259,AX259,AZ259,BB259,BC259,BE259,BG259,BH259,BI259,BK259,BL259,BM259,BN259,BP259,BR259,BT259,BV259)</f>
        <v>353.55339059327378</v>
      </c>
      <c r="CN259" s="103">
        <f>CM259/CL259</f>
        <v>0.12856486930664501</v>
      </c>
      <c r="CO259" s="110">
        <f t="shared" ref="CO259:CO267" si="113">CQ259/1.19</f>
        <v>2310.9243697478992</v>
      </c>
      <c r="CP259" s="107">
        <f t="shared" si="109"/>
        <v>439.07563025210084</v>
      </c>
      <c r="CQ259" s="106">
        <f t="shared" si="111"/>
        <v>2750</v>
      </c>
      <c r="CR259" s="122">
        <f t="shared" si="112"/>
        <v>880000</v>
      </c>
      <c r="CS259" s="89" t="s">
        <v>732</v>
      </c>
    </row>
    <row r="260" spans="1:143" ht="192" customHeight="1">
      <c r="A260" s="90">
        <f t="shared" si="110"/>
        <v>241</v>
      </c>
      <c r="B260" s="88" t="s">
        <v>16</v>
      </c>
      <c r="C260" s="1" t="s">
        <v>26</v>
      </c>
      <c r="D260" s="91" t="s">
        <v>4</v>
      </c>
      <c r="E260" s="1">
        <v>350</v>
      </c>
      <c r="F260" s="1"/>
      <c r="G260" s="106"/>
      <c r="H260" s="106"/>
      <c r="I260" s="106"/>
      <c r="J260" s="106"/>
      <c r="K260" s="106"/>
      <c r="L260" s="106"/>
      <c r="M260" s="106"/>
      <c r="N260" s="106">
        <v>25200</v>
      </c>
      <c r="O260" s="5">
        <f>+(N260*5.1%)+N260</f>
        <v>26485.200000000001</v>
      </c>
      <c r="P260" s="106"/>
      <c r="Q260" s="106"/>
      <c r="R260" s="106"/>
      <c r="S260" s="106"/>
      <c r="T260" s="106"/>
      <c r="U260" s="106"/>
      <c r="V260" s="106"/>
      <c r="W260" s="106"/>
      <c r="X260" s="106"/>
      <c r="Y260" s="106"/>
      <c r="Z260" s="106"/>
      <c r="AA260" s="106"/>
      <c r="AB260" s="106"/>
      <c r="AC260" s="106"/>
      <c r="AD260" s="106"/>
      <c r="AE260" s="106"/>
      <c r="AF260" s="106"/>
      <c r="AG260" s="106"/>
      <c r="AH260" s="106"/>
      <c r="AI260" s="106"/>
      <c r="AJ260" s="106"/>
      <c r="AK260" s="106"/>
      <c r="AL260" s="106"/>
      <c r="AM260" s="112">
        <v>26000</v>
      </c>
      <c r="AN260" s="106"/>
      <c r="AO260" s="106"/>
      <c r="AP260" s="106"/>
      <c r="AQ260" s="106"/>
      <c r="AR260" s="106"/>
      <c r="AS260" s="106"/>
      <c r="AT260" s="106">
        <v>27000</v>
      </c>
      <c r="AU260" s="106">
        <v>28377</v>
      </c>
      <c r="AV260" s="106"/>
      <c r="AW260" s="106"/>
      <c r="AX260" s="106"/>
      <c r="AY260" s="106"/>
      <c r="AZ260" s="106"/>
      <c r="BA260" s="106"/>
      <c r="BB260" s="106"/>
      <c r="BC260" s="106"/>
      <c r="BD260" s="106"/>
      <c r="BE260" s="106"/>
      <c r="BF260" s="106"/>
      <c r="BG260" s="106"/>
      <c r="BH260" s="106"/>
      <c r="BI260" s="106"/>
      <c r="BJ260" s="106"/>
      <c r="BK260" s="106"/>
      <c r="BL260" s="106"/>
      <c r="BM260" s="106"/>
      <c r="BN260" s="106"/>
      <c r="BO260" s="106"/>
      <c r="BP260" s="106"/>
      <c r="BQ260" s="106"/>
      <c r="BR260" s="106"/>
      <c r="BS260" s="106"/>
      <c r="BT260" s="106"/>
      <c r="BU260" s="106"/>
      <c r="BV260" s="106"/>
      <c r="BW260" s="106"/>
      <c r="BX260" s="106"/>
      <c r="BY260" s="106"/>
      <c r="BZ260" s="106"/>
      <c r="CA260" s="106"/>
      <c r="CB260" s="106"/>
      <c r="CC260" s="106"/>
      <c r="CD260" s="106"/>
      <c r="CE260" s="106"/>
      <c r="CF260" s="106"/>
      <c r="CG260" s="106"/>
      <c r="CH260" s="106"/>
      <c r="CI260" s="106"/>
      <c r="CJ260" s="106"/>
      <c r="CK260" s="109">
        <f>+MEDIAN(H260,I260,J260,K260,M260,M260,M260,O260,O260,Q260,S260,U260,W260,X260,Y260,Z260,AA260,AC260,AE260,AG260,AH260,AI260,AJ260,AK260,AL260,AM260,AO260,AP260,AQ260,AS260,AU260,AX260,AZ260,BB260,BC260,BE260,BG260,BH260,BI260,BK260,BL260,BM260,BN260,BP260,BR260,BT260,BV260)</f>
        <v>26485.200000000001</v>
      </c>
      <c r="CL260" s="109">
        <f>+AVERAGE(H260,I260,J260,K260,M260,M260,M260,O260,O260,Q260,S260,U260,W260,X260,Y260,Z260,AA260,AC260,AE260,AG260,AH260,AI260,AJ260,AK260,AL260,AM260,AO260,AP260,AQ260,AS260,AU260,AX260,AZ260,BB260,BC260,BE260,BG260,BH260,BI260,BK260,BL260,BM260,BN260,BP260,BR260,BT260,BV260)</f>
        <v>26836.85</v>
      </c>
      <c r="CM260" s="109">
        <f>+STDEV(H260,I260,J260,K260,M260,M260,M260,O260,O260,Q260,S260,U260,W260,X260,Y260,Z260,AA260,AC260,AE260,AG260,AH260,AI260,AJ260,AK260,AL260,AM260,AO260,AP260,AQ260,AS260,AU260,AX260,AZ260,BB260,BC260,BE260,BG260,BH260,BI260,BK260,BL260,BM260,BN260,BP260,BR260,BT260,BV260)</f>
        <v>1051.9339950776377</v>
      </c>
      <c r="CN260" s="103">
        <f t="shared" ref="CN260:CN265" si="114">CM260/CL260</f>
        <v>3.9197372086427353E-2</v>
      </c>
      <c r="CO260" s="110">
        <f>CQ260/1.08</f>
        <v>24849.074074074073</v>
      </c>
      <c r="CP260" s="107">
        <f>CO260*8%</f>
        <v>1987.9259259259259</v>
      </c>
      <c r="CQ260" s="106">
        <f t="shared" si="111"/>
        <v>26837</v>
      </c>
      <c r="CR260" s="122">
        <f t="shared" si="112"/>
        <v>9392950</v>
      </c>
      <c r="CS260" s="79" t="s">
        <v>731</v>
      </c>
    </row>
    <row r="261" spans="1:143" ht="159.65" customHeight="1">
      <c r="A261" s="90">
        <f t="shared" si="110"/>
        <v>242</v>
      </c>
      <c r="B261" s="88" t="s">
        <v>118</v>
      </c>
      <c r="C261" s="1" t="s">
        <v>53</v>
      </c>
      <c r="D261" s="91" t="s">
        <v>54</v>
      </c>
      <c r="E261" s="1">
        <v>75</v>
      </c>
      <c r="F261" s="1">
        <v>1</v>
      </c>
      <c r="G261" s="106"/>
      <c r="H261" s="106"/>
      <c r="I261" s="106"/>
      <c r="J261" s="106"/>
      <c r="K261" s="106"/>
      <c r="L261" s="106"/>
      <c r="M261" s="106"/>
      <c r="N261" s="106"/>
      <c r="O261" s="106"/>
      <c r="P261" s="106"/>
      <c r="Q261" s="106"/>
      <c r="R261" s="106"/>
      <c r="S261" s="106"/>
      <c r="T261" s="106"/>
      <c r="U261" s="106"/>
      <c r="V261" s="106"/>
      <c r="W261" s="106"/>
      <c r="X261" s="106"/>
      <c r="Y261" s="106">
        <v>120000</v>
      </c>
      <c r="Z261" s="106"/>
      <c r="AA261" s="106">
        <v>125000</v>
      </c>
      <c r="AB261" s="106"/>
      <c r="AC261" s="106"/>
      <c r="AD261" s="106"/>
      <c r="AE261" s="106"/>
      <c r="AF261" s="106"/>
      <c r="AG261" s="106"/>
      <c r="AH261" s="106"/>
      <c r="AI261" s="106"/>
      <c r="AJ261" s="106"/>
      <c r="AK261" s="106"/>
      <c r="AL261" s="106"/>
      <c r="AM261" s="106"/>
      <c r="AN261" s="106"/>
      <c r="AO261" s="106"/>
      <c r="AP261" s="106"/>
      <c r="AQ261" s="106"/>
      <c r="AR261" s="106"/>
      <c r="AS261" s="106"/>
      <c r="AT261" s="106"/>
      <c r="AU261" s="106"/>
      <c r="AV261" s="106"/>
      <c r="AW261" s="106"/>
      <c r="AX261" s="106"/>
      <c r="AY261" s="106"/>
      <c r="AZ261" s="106"/>
      <c r="BA261" s="106"/>
      <c r="BB261" s="106"/>
      <c r="BC261" s="106"/>
      <c r="BD261" s="106"/>
      <c r="BE261" s="106"/>
      <c r="BF261" s="106"/>
      <c r="BG261" s="106"/>
      <c r="BH261" s="106"/>
      <c r="BI261" s="106"/>
      <c r="BJ261" s="106"/>
      <c r="BK261" s="106"/>
      <c r="BL261" s="106"/>
      <c r="BM261" s="106"/>
      <c r="BN261" s="106"/>
      <c r="BO261" s="106"/>
      <c r="BP261" s="106"/>
      <c r="BQ261" s="106"/>
      <c r="BR261" s="106"/>
      <c r="BS261" s="106"/>
      <c r="BT261" s="106"/>
      <c r="BU261" s="106"/>
      <c r="BV261" s="106"/>
      <c r="BW261" s="106"/>
      <c r="BX261" s="106"/>
      <c r="BY261" s="106"/>
      <c r="BZ261" s="106"/>
      <c r="CA261" s="106"/>
      <c r="CB261" s="106"/>
      <c r="CC261" s="106"/>
      <c r="CD261" s="106"/>
      <c r="CE261" s="106"/>
      <c r="CF261" s="106"/>
      <c r="CG261" s="106"/>
      <c r="CH261" s="106"/>
      <c r="CI261" s="106"/>
      <c r="CJ261" s="106"/>
      <c r="CK261" s="109">
        <f>+MEDIAN(H261,I261,J261,K261,M261,M261,M261,O261,O261,Q261,S261,U261,W261,X261,Y261,Z261,AA261,AC261,AE261,AG261,AH261,AI261,AJ261,AK261,AL261,AM261,AO261,AP261,AQ261,AS261,AU261,AX261,AZ261,BB261,BC261,BE261,BG261,BH261,BI261,BK261,BL261,BM261,BN261,BP261,BR261,BT261,BV261)</f>
        <v>122500</v>
      </c>
      <c r="CL261" s="109">
        <f>+AVERAGE(H261,I261,J261,K261,M261,M261,M261,O261,O261,Q261,S261,U261,W261,X261,Y261,Z261,AA261,AC261,AE261,AG261,AH261,AI261,AJ261,AK261,AL261,AM261,AO261,AP261,AQ261,AS261,AU261,AX261,AZ261,BB261,BC261,BE261,BG261,BH261,BI261,BK261,BL261,BM261,BN261,BP261,BR261,BT261,BV261)</f>
        <v>122500</v>
      </c>
      <c r="CM261" s="109">
        <f>+STDEV(H261,I261,J261,K261,M261,M261,M261,O261,O261,Q261,S261,U261,W261,X261,Y261,Z261,AA261,AC261,AE261,AG261,AH261,AI261,AJ261,AK261,AL261,AM261,AO261,AP261,AQ261,AS261,AU261,AX261,AZ261,BB261,BC261,BE261,BG261,BH261,BI261,BK261,BL261,BM261,BN261,BP261,BR261,BT261,BV261)</f>
        <v>3535.5339059327375</v>
      </c>
      <c r="CN261" s="103">
        <f t="shared" si="114"/>
        <v>2.8861501272920306E-2</v>
      </c>
      <c r="CO261" s="110">
        <f t="shared" si="113"/>
        <v>102941.17647058824</v>
      </c>
      <c r="CP261" s="107">
        <f t="shared" si="109"/>
        <v>19558.823529411766</v>
      </c>
      <c r="CQ261" s="106">
        <f t="shared" si="111"/>
        <v>122500</v>
      </c>
      <c r="CR261" s="122">
        <f t="shared" si="112"/>
        <v>9187500</v>
      </c>
      <c r="CS261" s="89" t="s">
        <v>732</v>
      </c>
    </row>
    <row r="262" spans="1:143" ht="205.4" customHeight="1">
      <c r="A262" s="90">
        <f t="shared" si="110"/>
        <v>243</v>
      </c>
      <c r="B262" s="88" t="s">
        <v>783</v>
      </c>
      <c r="C262" s="1" t="s">
        <v>782</v>
      </c>
      <c r="D262" s="91" t="s">
        <v>54</v>
      </c>
      <c r="E262" s="1">
        <v>2</v>
      </c>
      <c r="F262" s="1">
        <v>1</v>
      </c>
      <c r="G262" s="106"/>
      <c r="H262" s="106"/>
      <c r="I262" s="106"/>
      <c r="J262" s="106"/>
      <c r="K262" s="106"/>
      <c r="L262" s="106"/>
      <c r="M262" s="106"/>
      <c r="N262" s="106"/>
      <c r="O262" s="106"/>
      <c r="P262" s="106"/>
      <c r="Q262" s="106"/>
      <c r="R262" s="106"/>
      <c r="S262" s="106"/>
      <c r="T262" s="106"/>
      <c r="U262" s="106"/>
      <c r="V262" s="106"/>
      <c r="W262" s="106"/>
      <c r="X262" s="106"/>
      <c r="Y262" s="106"/>
      <c r="Z262" s="106"/>
      <c r="AA262" s="106"/>
      <c r="AB262" s="106"/>
      <c r="AC262" s="106"/>
      <c r="AD262" s="106"/>
      <c r="AE262" s="106"/>
      <c r="AF262" s="106"/>
      <c r="AG262" s="106"/>
      <c r="AH262" s="106"/>
      <c r="AI262" s="106"/>
      <c r="AJ262" s="106"/>
      <c r="AK262" s="106"/>
      <c r="AL262" s="106"/>
      <c r="AM262" s="106"/>
      <c r="AN262" s="106"/>
      <c r="AO262" s="106"/>
      <c r="AP262" s="106"/>
      <c r="AQ262" s="106"/>
      <c r="AR262" s="106"/>
      <c r="AS262" s="106"/>
      <c r="AT262" s="106"/>
      <c r="AU262" s="106"/>
      <c r="AV262" s="106"/>
      <c r="AW262" s="106"/>
      <c r="AX262" s="106"/>
      <c r="AY262" s="106"/>
      <c r="AZ262" s="106"/>
      <c r="BA262" s="106"/>
      <c r="BB262" s="106"/>
      <c r="BC262" s="106"/>
      <c r="BD262" s="106"/>
      <c r="BE262" s="106"/>
      <c r="BF262" s="106"/>
      <c r="BG262" s="106"/>
      <c r="BH262" s="106"/>
      <c r="BI262" s="106"/>
      <c r="BJ262" s="106"/>
      <c r="BK262" s="106"/>
      <c r="BL262" s="326">
        <v>2000000</v>
      </c>
      <c r="BM262" s="326"/>
      <c r="BN262" s="326"/>
      <c r="BO262" s="106"/>
      <c r="BP262" s="106"/>
      <c r="BQ262" s="106"/>
      <c r="BR262" s="106"/>
      <c r="BS262" s="106"/>
      <c r="BT262" s="106"/>
      <c r="BU262" s="106"/>
      <c r="BV262" s="106"/>
      <c r="BW262" s="106"/>
      <c r="BX262" s="106"/>
      <c r="BY262" s="106"/>
      <c r="BZ262" s="106"/>
      <c r="CA262" s="106">
        <v>1200000</v>
      </c>
      <c r="CB262" s="106">
        <f>+(CA262*5.1%)+CA262</f>
        <v>1261200</v>
      </c>
      <c r="CC262" s="106">
        <v>1560000</v>
      </c>
      <c r="CD262" s="106">
        <f>+(CC262*5.1%)+CC262</f>
        <v>1639560</v>
      </c>
      <c r="CE262" s="106"/>
      <c r="CF262" s="106"/>
      <c r="CG262" s="106"/>
      <c r="CH262" s="106"/>
      <c r="CI262" s="106"/>
      <c r="CJ262" s="106"/>
      <c r="CK262" s="109">
        <f>+MEDIAN(H262,I262,J262,K262,M262,M262,M262,O262,O262,Q262,S262,U262,W262,X262,Y262,Z262,AA262,AC262,AE262,AG262,AH262,AI262,AJ262,AK262,AL262,AM262,AO262,AP262,AQ262,AS262,AU262,AX262,AZ262,BB262,BC262,BE262,BG262,BH262,BI262,BK262,BL262,BM262,BN262,BP262,BR262,BT262,BV262,CB262,CD262)</f>
        <v>1639560</v>
      </c>
      <c r="CL262" s="109">
        <f>+AVERAGE(H262,I262,J262,K262,M262,M262,M262,O262,O262,Q262,S262,U262,W262,X262,Y262,Z262,AA262,AC262,AE262,AG262,AH262,AI262,AJ262,AK262,AL262,AM262,AO262,AP262,AQ262,AS262,AU262,AX262,AZ262,BB262,BC262,BE262,BG262,BH262,BI262,BK262,BL262,BM262,BN262,BP262,BR262,BT262,BV262,CB262,CD262)</f>
        <v>1633586.6666666667</v>
      </c>
      <c r="CM262" s="109">
        <f>+STDEV(H262,I262,J262,K262,M262,M262,M262,O262,O262,Q262,S262,U262,W262,X262,Y262,Z262,AA262,AC262,AE262,AG262,AH262,AI262,AJ262,AK262,AL262,AM262,AO262,AP262,AQ262,AS262,AU262,AX262,AZ262,BB262,BC262,BE262,BG262,BH262,BI262,BK262,BL262,BM262,BN262,BP262,BR262,BT262,BV262,CB262,CD262)</f>
        <v>369436.21984495985</v>
      </c>
      <c r="CN262" s="103">
        <f t="shared" si="114"/>
        <v>0.22615036433836375</v>
      </c>
      <c r="CO262" s="110">
        <f>CQ262</f>
        <v>1639560</v>
      </c>
      <c r="CP262" s="107"/>
      <c r="CQ262" s="106">
        <f t="shared" si="111"/>
        <v>1639560</v>
      </c>
      <c r="CR262" s="122">
        <f t="shared" si="112"/>
        <v>3279120</v>
      </c>
      <c r="CS262" s="79" t="s">
        <v>731</v>
      </c>
    </row>
    <row r="263" spans="1:143" ht="267.75" customHeight="1">
      <c r="A263" s="90">
        <f t="shared" si="110"/>
        <v>244</v>
      </c>
      <c r="B263" s="63" t="s">
        <v>119</v>
      </c>
      <c r="C263" s="1" t="s">
        <v>120</v>
      </c>
      <c r="D263" s="91" t="s">
        <v>4</v>
      </c>
      <c r="E263" s="1">
        <v>75</v>
      </c>
      <c r="F263" s="1"/>
      <c r="G263" s="106"/>
      <c r="H263" s="106"/>
      <c r="I263" s="106"/>
      <c r="J263" s="106"/>
      <c r="K263" s="106"/>
      <c r="L263" s="106"/>
      <c r="M263" s="106"/>
      <c r="N263" s="112">
        <v>44000</v>
      </c>
      <c r="O263" s="112">
        <f>+N263*5.1%+N263</f>
        <v>46244</v>
      </c>
      <c r="P263" s="106"/>
      <c r="Q263" s="106"/>
      <c r="R263" s="106"/>
      <c r="S263" s="106"/>
      <c r="T263" s="106"/>
      <c r="U263" s="106"/>
      <c r="V263" s="106"/>
      <c r="W263" s="106"/>
      <c r="X263" s="106"/>
      <c r="Y263" s="106"/>
      <c r="Z263" s="106"/>
      <c r="AA263" s="106"/>
      <c r="AB263" s="106"/>
      <c r="AC263" s="106"/>
      <c r="AD263" s="106"/>
      <c r="AE263" s="106"/>
      <c r="AF263" s="106"/>
      <c r="AG263" s="106"/>
      <c r="AH263" s="106"/>
      <c r="AI263" s="106"/>
      <c r="AJ263" s="106"/>
      <c r="AK263" s="106"/>
      <c r="AL263" s="106"/>
      <c r="AM263" s="112">
        <v>43500</v>
      </c>
      <c r="AN263" s="106"/>
      <c r="AO263" s="106"/>
      <c r="AP263" s="106"/>
      <c r="AQ263" s="106"/>
      <c r="AR263" s="106"/>
      <c r="AS263" s="106"/>
      <c r="AT263" s="112">
        <v>42000</v>
      </c>
      <c r="AU263" s="112">
        <v>44142</v>
      </c>
      <c r="AV263" s="106"/>
      <c r="AW263" s="106"/>
      <c r="AX263" s="106"/>
      <c r="AY263" s="106"/>
      <c r="AZ263" s="106"/>
      <c r="BA263" s="106"/>
      <c r="BB263" s="106"/>
      <c r="BC263" s="106"/>
      <c r="BD263" s="106"/>
      <c r="BE263" s="106"/>
      <c r="BF263" s="106"/>
      <c r="BG263" s="106"/>
      <c r="BH263" s="106"/>
      <c r="BI263" s="106"/>
      <c r="BJ263" s="106"/>
      <c r="BK263" s="106"/>
      <c r="BL263" s="106"/>
      <c r="BM263" s="106"/>
      <c r="BN263" s="106"/>
      <c r="BO263" s="106"/>
      <c r="BP263" s="106"/>
      <c r="BQ263" s="106"/>
      <c r="BR263" s="106"/>
      <c r="BS263" s="106"/>
      <c r="BT263" s="106"/>
      <c r="BU263" s="106"/>
      <c r="BV263" s="106"/>
      <c r="BW263" s="106"/>
      <c r="BX263" s="106"/>
      <c r="BY263" s="106"/>
      <c r="BZ263" s="106"/>
      <c r="CA263" s="106"/>
      <c r="CB263" s="106"/>
      <c r="CC263" s="106"/>
      <c r="CD263" s="106"/>
      <c r="CE263" s="106"/>
      <c r="CF263" s="106"/>
      <c r="CG263" s="106"/>
      <c r="CH263" s="106"/>
      <c r="CI263" s="106"/>
      <c r="CJ263" s="106"/>
      <c r="CK263" s="109">
        <f>+MEDIAN(H263,I263,J263,K263,M263,M263,M263,O263,O263,Q263,S263,U263,W263,X263,Y263,Z263,AA263,AC263,AE263,AG263,AH263,AI263,AJ263,AK263,AL263,AM263,AO263,AP263,AQ263,AS263,AU263,AX263,AZ263,BB263,BC263,BE263,BG263,BH263,BI263,BK263,BL263,BM263,BN263,BP263,BR263,BT263,BV263)</f>
        <v>45193</v>
      </c>
      <c r="CL263" s="109">
        <f>+AVERAGE(H263,I263,J263,K263,M263,M263,M263,O263,O263,Q263,S263,U263,W263,X263,Y263,Z263,AA263,AC263,AE263,AG263,AH263,AI263,AJ263,AK263,AL263,AM263,AO263,AP263,AQ263,AS263,AU263,AX263,AZ263,BB263,BC263,BE263,BG263,BH263,BI263,BK263,BL263,BM263,BN263,BP263,BR263,BT263,BV263)</f>
        <v>45032.5</v>
      </c>
      <c r="CM263" s="109">
        <f>+STDEV(H263,I263,J263,K263,M263,M263,M263,O263,O263,Q263,S263,U263,W263,X263,Y263,Z263,AA263,AC263,AE263,AG263,AH263,AI263,AJ263,AK263,AL263,AM263,AO263,AP263,AQ263,AS263,AU263,AX263,AZ263,BB263,BC263,BE263,BG263,BH263,BI263,BK263,BL263,BM263,BN263,BP263,BR263,BT263,BV263)</f>
        <v>1423.2604587120845</v>
      </c>
      <c r="CN263" s="103">
        <f t="shared" si="114"/>
        <v>3.1605184227215553E-2</v>
      </c>
      <c r="CO263" s="110">
        <f>CQ263/1.08</f>
        <v>41697.222222222219</v>
      </c>
      <c r="CP263" s="107">
        <f>CO263*8%</f>
        <v>3335.7777777777774</v>
      </c>
      <c r="CQ263" s="106">
        <f t="shared" si="111"/>
        <v>45033</v>
      </c>
      <c r="CR263" s="122">
        <f t="shared" si="112"/>
        <v>3377475</v>
      </c>
      <c r="CS263" s="79" t="s">
        <v>731</v>
      </c>
    </row>
    <row r="264" spans="1:143" ht="319.5" customHeight="1">
      <c r="A264" s="90">
        <f t="shared" si="110"/>
        <v>245</v>
      </c>
      <c r="B264" s="88" t="s">
        <v>16</v>
      </c>
      <c r="C264" s="1" t="s">
        <v>26</v>
      </c>
      <c r="D264" s="91" t="s">
        <v>4</v>
      </c>
      <c r="E264" s="1">
        <v>90</v>
      </c>
      <c r="F264" s="1"/>
      <c r="G264" s="106"/>
      <c r="H264" s="106"/>
      <c r="I264" s="106"/>
      <c r="J264" s="106"/>
      <c r="K264" s="106"/>
      <c r="L264" s="106"/>
      <c r="M264" s="106"/>
      <c r="N264" s="106">
        <v>25200</v>
      </c>
      <c r="O264" s="5">
        <f>+(N264*5.1%)+N264</f>
        <v>26485.200000000001</v>
      </c>
      <c r="P264" s="106"/>
      <c r="Q264" s="106"/>
      <c r="R264" s="106"/>
      <c r="S264" s="106"/>
      <c r="T264" s="106"/>
      <c r="U264" s="106"/>
      <c r="V264" s="106"/>
      <c r="W264" s="106"/>
      <c r="X264" s="106"/>
      <c r="Y264" s="106"/>
      <c r="Z264" s="106"/>
      <c r="AA264" s="106"/>
      <c r="AB264" s="106"/>
      <c r="AC264" s="106"/>
      <c r="AD264" s="106"/>
      <c r="AE264" s="106"/>
      <c r="AF264" s="106"/>
      <c r="AG264" s="106"/>
      <c r="AH264" s="106"/>
      <c r="AI264" s="106"/>
      <c r="AJ264" s="106"/>
      <c r="AK264" s="106"/>
      <c r="AL264" s="106"/>
      <c r="AM264" s="112">
        <v>26000</v>
      </c>
      <c r="AN264" s="106"/>
      <c r="AO264" s="106"/>
      <c r="AP264" s="106"/>
      <c r="AQ264" s="106"/>
      <c r="AR264" s="106"/>
      <c r="AS264" s="106"/>
      <c r="AT264" s="106">
        <v>27000</v>
      </c>
      <c r="AU264" s="106">
        <v>28377</v>
      </c>
      <c r="AV264" s="106"/>
      <c r="AW264" s="106"/>
      <c r="AX264" s="106"/>
      <c r="AY264" s="106"/>
      <c r="AZ264" s="106"/>
      <c r="BA264" s="106"/>
      <c r="BB264" s="106"/>
      <c r="BC264" s="106"/>
      <c r="BD264" s="106"/>
      <c r="BE264" s="106"/>
      <c r="BF264" s="106"/>
      <c r="BG264" s="106"/>
      <c r="BH264" s="106"/>
      <c r="BI264" s="106"/>
      <c r="BJ264" s="106"/>
      <c r="BK264" s="106"/>
      <c r="BL264" s="106"/>
      <c r="BM264" s="106"/>
      <c r="BN264" s="106"/>
      <c r="BO264" s="106"/>
      <c r="BP264" s="106"/>
      <c r="BQ264" s="106"/>
      <c r="BR264" s="106"/>
      <c r="BS264" s="106"/>
      <c r="BT264" s="106"/>
      <c r="BU264" s="106"/>
      <c r="BV264" s="106"/>
      <c r="BW264" s="106"/>
      <c r="BX264" s="106"/>
      <c r="BY264" s="106"/>
      <c r="BZ264" s="106"/>
      <c r="CA264" s="106"/>
      <c r="CB264" s="106"/>
      <c r="CC264" s="106"/>
      <c r="CD264" s="106"/>
      <c r="CE264" s="106"/>
      <c r="CF264" s="106"/>
      <c r="CG264" s="106"/>
      <c r="CH264" s="106"/>
      <c r="CI264" s="106"/>
      <c r="CJ264" s="106"/>
      <c r="CK264" s="109">
        <f>+MEDIAN(H264,I264,J264,K264,M264,M264,M264,O264,O264,Q264,S264,U264,W264,X264,Y264,Z264,AA264,AC264,AE264,AG264,AH264,AI264,AJ264,AK264,AL264,AM264,AO264,AP264,AQ264,AS264,AU264,AX264,AZ264,BB264,BC264,BE264,BG264,BH264,BI264,BK264,BL264,BM264,BN264,BP264,BR264,BT264,BV264)</f>
        <v>26485.200000000001</v>
      </c>
      <c r="CL264" s="109">
        <f>+AVERAGE(H264,I264,J264,K264,M264,M264,M264,O264,O264,Q264,S264,U264,W264,X264,Y264,Z264,AA264,AC264,AE264,AG264,AH264,AI264,AJ264,AK264,AL264,AM264,AO264,AP264,AQ264,AS264,AU264,AX264,AZ264,BB264,BC264,BE264,BG264,BH264,BI264,BK264,BL264,BM264,BN264,BP264,BR264,BT264,BV264)</f>
        <v>26836.85</v>
      </c>
      <c r="CM264" s="109">
        <f>+STDEV(H264,I264,J264,K264,M264,M264,M264,O264,O264,Q264,S264,U264,W264,X264,Y264,Z264,AA264,AC264,AE264,AG264,AH264,AI264,AJ264,AK264,AL264,AM264,AO264,AP264,AQ264,AS264,AU264,AX264,AZ264,BB264,BC264,BE264,BG264,BH264,BI264,BK264,BL264,BM264,BN264,BP264,BR264,BT264,BV264)</f>
        <v>1051.9339950776377</v>
      </c>
      <c r="CN264" s="103">
        <f t="shared" si="114"/>
        <v>3.9197372086427353E-2</v>
      </c>
      <c r="CO264" s="110">
        <f>CQ264/1.08</f>
        <v>24849.074074074073</v>
      </c>
      <c r="CP264" s="107">
        <f>CO264*8%</f>
        <v>1987.9259259259259</v>
      </c>
      <c r="CQ264" s="106">
        <f t="shared" si="111"/>
        <v>26837</v>
      </c>
      <c r="CR264" s="122">
        <f t="shared" si="112"/>
        <v>2415330</v>
      </c>
      <c r="CS264" s="79" t="s">
        <v>731</v>
      </c>
    </row>
    <row r="265" spans="1:143" ht="90.65" customHeight="1">
      <c r="A265" s="90">
        <f t="shared" si="110"/>
        <v>246</v>
      </c>
      <c r="B265" s="63" t="s">
        <v>55</v>
      </c>
      <c r="C265" s="1" t="s">
        <v>56</v>
      </c>
      <c r="D265" s="91" t="s">
        <v>4</v>
      </c>
      <c r="E265" s="1">
        <v>75</v>
      </c>
      <c r="F265" s="1"/>
      <c r="G265" s="106"/>
      <c r="H265" s="106"/>
      <c r="I265" s="106"/>
      <c r="J265" s="106"/>
      <c r="K265" s="106"/>
      <c r="L265" s="106"/>
      <c r="M265" s="106"/>
      <c r="N265" s="106"/>
      <c r="O265" s="106"/>
      <c r="P265" s="106"/>
      <c r="Q265" s="106"/>
      <c r="R265" s="106"/>
      <c r="S265" s="106"/>
      <c r="T265" s="106"/>
      <c r="U265" s="106"/>
      <c r="V265" s="106"/>
      <c r="W265" s="106"/>
      <c r="X265" s="106"/>
      <c r="Y265" s="106">
        <v>14000</v>
      </c>
      <c r="Z265" s="106"/>
      <c r="AA265" s="106">
        <v>13000</v>
      </c>
      <c r="AB265" s="106"/>
      <c r="AC265" s="106"/>
      <c r="AD265" s="106"/>
      <c r="AE265" s="106"/>
      <c r="AF265" s="106"/>
      <c r="AG265" s="106"/>
      <c r="AH265" s="106"/>
      <c r="AI265" s="106"/>
      <c r="AJ265" s="106"/>
      <c r="AK265" s="106"/>
      <c r="AL265" s="106"/>
      <c r="AM265" s="106"/>
      <c r="AN265" s="106"/>
      <c r="AO265" s="106"/>
      <c r="AP265" s="106"/>
      <c r="AQ265" s="106"/>
      <c r="AR265" s="106"/>
      <c r="AS265" s="106"/>
      <c r="AT265" s="106"/>
      <c r="AU265" s="106"/>
      <c r="AV265" s="106"/>
      <c r="AW265" s="106"/>
      <c r="AX265" s="106"/>
      <c r="AY265" s="106"/>
      <c r="AZ265" s="106"/>
      <c r="BA265" s="106"/>
      <c r="BB265" s="106"/>
      <c r="BC265" s="106"/>
      <c r="BD265" s="106"/>
      <c r="BE265" s="106"/>
      <c r="BF265" s="106"/>
      <c r="BG265" s="106"/>
      <c r="BH265" s="106"/>
      <c r="BI265" s="106"/>
      <c r="BJ265" s="106"/>
      <c r="BK265" s="106"/>
      <c r="BL265" s="106"/>
      <c r="BM265" s="106"/>
      <c r="BN265" s="106"/>
      <c r="BO265" s="106"/>
      <c r="BP265" s="106"/>
      <c r="BQ265" s="106"/>
      <c r="BR265" s="106"/>
      <c r="BS265" s="106"/>
      <c r="BT265" s="106"/>
      <c r="BU265" s="106"/>
      <c r="BV265" s="106"/>
      <c r="BW265" s="106"/>
      <c r="BX265" s="106"/>
      <c r="BY265" s="106"/>
      <c r="BZ265" s="106"/>
      <c r="CA265" s="106"/>
      <c r="CB265" s="106"/>
      <c r="CC265" s="106"/>
      <c r="CD265" s="106"/>
      <c r="CE265" s="106"/>
      <c r="CF265" s="106"/>
      <c r="CG265" s="106"/>
      <c r="CH265" s="106"/>
      <c r="CI265" s="106"/>
      <c r="CJ265" s="106"/>
      <c r="CK265" s="109">
        <f>+MEDIAN(H265,I265,J265,K265,M265,M265,M265,O265,O265,Q265,S265,U265,W265,X265,Y265,Z265,AA265,AC265,AE265,AG265,AH265,AI265,AJ265,AK265,AL265,AM265,AO265,AP265,AQ265,AS265,AU265,AX265,AZ265,BB265,BC265,BE265,BG265,BH265,BI265,BK265,BL265,BM265,BN265,BP265,BR265,BT265,BV265)</f>
        <v>13500</v>
      </c>
      <c r="CL265" s="109">
        <f>+AVERAGE(H265,I265,J265,K265,M265,M265,M265,O265,O265,Q265,S265,U265,W265,X265,Y265,Z265,AA265,AC265,AE265,AG265,AH265,AI265,AJ265,AK265,AL265,AM265,AO265,AP265,AQ265,AS265,AU265,AX265,AZ265,BB265,BC265,BE265,BG265,BH265,BI265,BK265,BL265,BM265,BN265,BP265,BR265,BT265,BV265)</f>
        <v>13500</v>
      </c>
      <c r="CM265" s="109">
        <f>+STDEV(H265,I265,J265,K265,M265,M265,M265,O265,O265,Q265,S265,U265,W265,X265,Y265,Z265,AA265,AC265,AE265,AG265,AH265,AI265,AJ265,AK265,AL265,AM265,AO265,AP265,AQ265,AS265,AU265,AX265,AZ265,BB265,BC265,BE265,BG265,BH265,BI265,BK265,BL265,BM265,BN265,BP265,BR265,BT265,BV265)</f>
        <v>707.10678118654755</v>
      </c>
      <c r="CN265" s="103">
        <f t="shared" si="114"/>
        <v>5.2378280087892408E-2</v>
      </c>
      <c r="CO265" s="110">
        <f>CQ265</f>
        <v>13500</v>
      </c>
      <c r="CP265" s="107"/>
      <c r="CQ265" s="106">
        <f t="shared" si="111"/>
        <v>13500</v>
      </c>
      <c r="CR265" s="122">
        <f t="shared" si="112"/>
        <v>1012500</v>
      </c>
      <c r="CS265" s="89" t="s">
        <v>732</v>
      </c>
    </row>
    <row r="266" spans="1:143" s="129" customFormat="1" ht="19.5" customHeight="1">
      <c r="A266" s="130" t="s">
        <v>154</v>
      </c>
      <c r="B266" s="102"/>
      <c r="C266" s="4"/>
      <c r="D266" s="125"/>
      <c r="E266" s="4"/>
      <c r="F266" s="4"/>
      <c r="G266" s="113"/>
      <c r="H266" s="113"/>
      <c r="I266" s="113"/>
      <c r="J266" s="113"/>
      <c r="K266" s="113"/>
      <c r="L266" s="113"/>
      <c r="M266" s="113"/>
      <c r="N266" s="113"/>
      <c r="O266" s="113"/>
      <c r="P266" s="113"/>
      <c r="Q266" s="113"/>
      <c r="R266" s="113"/>
      <c r="S266" s="113"/>
      <c r="T266" s="113"/>
      <c r="U266" s="113"/>
      <c r="V266" s="113"/>
      <c r="W266" s="113"/>
      <c r="X266" s="113"/>
      <c r="Y266" s="113"/>
      <c r="Z266" s="113"/>
      <c r="AA266" s="113"/>
      <c r="AB266" s="113"/>
      <c r="AC266" s="113"/>
      <c r="AD266" s="113"/>
      <c r="AE266" s="113"/>
      <c r="AF266" s="113"/>
      <c r="AG266" s="113"/>
      <c r="AH266" s="113"/>
      <c r="AI266" s="113"/>
      <c r="AJ266" s="113"/>
      <c r="AK266" s="113"/>
      <c r="AL266" s="113"/>
      <c r="AM266" s="113"/>
      <c r="AN266" s="113"/>
      <c r="AO266" s="113"/>
      <c r="AP266" s="113"/>
      <c r="AQ266" s="113"/>
      <c r="AR266" s="113"/>
      <c r="AS266" s="113"/>
      <c r="AT266" s="113"/>
      <c r="AU266" s="113"/>
      <c r="AV266" s="113"/>
      <c r="AW266" s="113"/>
      <c r="AX266" s="113"/>
      <c r="AY266" s="113"/>
      <c r="AZ266" s="113"/>
      <c r="BA266" s="113"/>
      <c r="BB266" s="113"/>
      <c r="BC266" s="113"/>
      <c r="BD266" s="113"/>
      <c r="BE266" s="113"/>
      <c r="BF266" s="113"/>
      <c r="BG266" s="113"/>
      <c r="BH266" s="113"/>
      <c r="BI266" s="113"/>
      <c r="BJ266" s="113"/>
      <c r="BK266" s="113"/>
      <c r="BL266" s="113"/>
      <c r="BM266" s="113"/>
      <c r="BN266" s="113"/>
      <c r="BO266" s="113"/>
      <c r="BP266" s="113"/>
      <c r="BQ266" s="113"/>
      <c r="BR266" s="113"/>
      <c r="BS266" s="113"/>
      <c r="BT266" s="113"/>
      <c r="BU266" s="113"/>
      <c r="BV266" s="113"/>
      <c r="BW266" s="113"/>
      <c r="BX266" s="113"/>
      <c r="BY266" s="113"/>
      <c r="BZ266" s="113"/>
      <c r="CA266" s="113"/>
      <c r="CB266" s="113"/>
      <c r="CC266" s="113"/>
      <c r="CD266" s="113"/>
      <c r="CE266" s="113"/>
      <c r="CF266" s="113"/>
      <c r="CG266" s="113"/>
      <c r="CH266" s="113"/>
      <c r="CI266" s="113"/>
      <c r="CJ266" s="113"/>
      <c r="CK266" s="118"/>
      <c r="CL266" s="118"/>
      <c r="CM266" s="118"/>
      <c r="CN266" s="105"/>
      <c r="CO266" s="60"/>
      <c r="CP266" s="113"/>
      <c r="CQ266" s="113"/>
      <c r="CR266" s="113"/>
      <c r="CS266" s="13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row>
    <row r="267" spans="1:143" s="141" customFormat="1" ht="31.5" customHeight="1" thickBot="1">
      <c r="A267" s="357" t="s">
        <v>440</v>
      </c>
      <c r="B267" s="358"/>
      <c r="C267" s="358"/>
      <c r="D267" s="358"/>
      <c r="E267" s="358"/>
      <c r="F267" s="136"/>
      <c r="G267" s="137"/>
      <c r="H267" s="137"/>
      <c r="I267" s="137"/>
      <c r="J267" s="137"/>
      <c r="K267" s="137"/>
      <c r="L267" s="137"/>
      <c r="M267" s="137"/>
      <c r="N267" s="137"/>
      <c r="O267" s="137"/>
      <c r="P267" s="137"/>
      <c r="Q267" s="137"/>
      <c r="R267" s="137"/>
      <c r="S267" s="137"/>
      <c r="T267" s="137"/>
      <c r="U267" s="137"/>
      <c r="V267" s="137"/>
      <c r="W267" s="137"/>
      <c r="X267" s="137"/>
      <c r="Y267" s="137"/>
      <c r="Z267" s="137"/>
      <c r="AA267" s="137"/>
      <c r="AB267" s="137"/>
      <c r="AC267" s="137"/>
      <c r="AD267" s="137"/>
      <c r="AE267" s="137"/>
      <c r="AF267" s="137"/>
      <c r="AG267" s="137"/>
      <c r="AH267" s="137"/>
      <c r="AI267" s="137"/>
      <c r="AJ267" s="137"/>
      <c r="AK267" s="137"/>
      <c r="AL267" s="137"/>
      <c r="AM267" s="137"/>
      <c r="AN267" s="137"/>
      <c r="AO267" s="137"/>
      <c r="AP267" s="137"/>
      <c r="AQ267" s="137"/>
      <c r="AR267" s="137"/>
      <c r="AS267" s="137"/>
      <c r="AT267" s="137"/>
      <c r="AU267" s="137"/>
      <c r="AV267" s="137"/>
      <c r="AW267" s="137"/>
      <c r="AX267" s="137"/>
      <c r="AY267" s="137"/>
      <c r="AZ267" s="137"/>
      <c r="BA267" s="137"/>
      <c r="BB267" s="137"/>
      <c r="BC267" s="137"/>
      <c r="BD267" s="137"/>
      <c r="BE267" s="137"/>
      <c r="BF267" s="137"/>
      <c r="BG267" s="137"/>
      <c r="BH267" s="137"/>
      <c r="BI267" s="137"/>
      <c r="BJ267" s="137"/>
      <c r="BK267" s="137"/>
      <c r="BL267" s="137"/>
      <c r="BM267" s="137"/>
      <c r="BN267" s="137"/>
      <c r="BO267" s="137"/>
      <c r="BP267" s="137"/>
      <c r="BQ267" s="137"/>
      <c r="BR267" s="137"/>
      <c r="BS267" s="137"/>
      <c r="BT267" s="137"/>
      <c r="BU267" s="137"/>
      <c r="BV267" s="137"/>
      <c r="BW267" s="137"/>
      <c r="BX267" s="137"/>
      <c r="BY267" s="137"/>
      <c r="BZ267" s="137"/>
      <c r="CA267" s="137"/>
      <c r="CB267" s="137"/>
      <c r="CC267" s="137"/>
      <c r="CD267" s="137"/>
      <c r="CE267" s="137"/>
      <c r="CF267" s="137"/>
      <c r="CG267" s="137"/>
      <c r="CH267" s="137"/>
      <c r="CI267" s="137"/>
      <c r="CJ267" s="137"/>
      <c r="CK267" s="138"/>
      <c r="CL267" s="138"/>
      <c r="CM267" s="138"/>
      <c r="CN267" s="149"/>
      <c r="CO267" s="139">
        <f t="shared" si="113"/>
        <v>421456096.21848744</v>
      </c>
      <c r="CP267" s="139">
        <f t="shared" si="109"/>
        <v>80076658.281512618</v>
      </c>
      <c r="CQ267" s="139">
        <f>SUM(CQ9:CQ265)</f>
        <v>501532754.5</v>
      </c>
      <c r="CR267" s="139">
        <f>SUM(CR9:CR266)</f>
        <v>2883500533</v>
      </c>
      <c r="CS267" s="140"/>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row>
    <row r="268" spans="1:143" ht="24" customHeight="1">
      <c r="A268" s="356" t="s">
        <v>729</v>
      </c>
      <c r="B268" s="356"/>
      <c r="C268" s="356"/>
      <c r="D268" s="59"/>
      <c r="E268" s="59"/>
      <c r="F268" s="59"/>
      <c r="G268" s="59"/>
      <c r="H268" s="59"/>
      <c r="I268" s="59"/>
      <c r="J268" s="59"/>
      <c r="K268" s="59"/>
      <c r="L268" s="59"/>
      <c r="M268" s="59"/>
      <c r="N268" s="59"/>
      <c r="O268" s="59"/>
      <c r="P268" s="59"/>
      <c r="Q268" s="59"/>
      <c r="R268" s="59"/>
      <c r="S268" s="59"/>
      <c r="T268" s="59"/>
      <c r="U268" s="59"/>
      <c r="V268" s="59"/>
      <c r="W268" s="59"/>
      <c r="X268" s="59"/>
      <c r="Y268" s="59"/>
      <c r="Z268" s="59"/>
      <c r="AA268" s="59"/>
      <c r="AB268" s="59"/>
      <c r="AC268" s="59"/>
      <c r="AD268" s="59"/>
      <c r="AE268" s="59"/>
      <c r="AF268" s="59"/>
      <c r="AG268" s="59"/>
      <c r="AH268" s="59"/>
      <c r="AI268" s="59"/>
      <c r="AJ268" s="59"/>
      <c r="AK268" s="59"/>
      <c r="AL268" s="59"/>
      <c r="AM268" s="59"/>
      <c r="AN268" s="59"/>
      <c r="AO268" s="59"/>
      <c r="AP268" s="59"/>
      <c r="AQ268" s="59"/>
      <c r="AR268" s="59"/>
      <c r="AS268" s="59"/>
      <c r="AT268" s="59"/>
      <c r="AU268" s="59"/>
      <c r="AV268" s="59"/>
      <c r="AW268" s="59"/>
      <c r="AX268" s="59"/>
      <c r="AY268" s="59"/>
      <c r="AZ268" s="59"/>
      <c r="BA268" s="59"/>
      <c r="BB268" s="59"/>
      <c r="BC268" s="59"/>
      <c r="BD268" s="59"/>
      <c r="BE268" s="59"/>
      <c r="BF268" s="59"/>
      <c r="BG268" s="59"/>
      <c r="BH268" s="59"/>
      <c r="BI268" s="59"/>
      <c r="BJ268" s="59"/>
      <c r="BK268" s="59"/>
      <c r="BL268" s="59"/>
      <c r="BM268" s="59"/>
      <c r="BN268" s="59"/>
      <c r="BO268" s="59"/>
      <c r="BP268" s="59"/>
      <c r="BQ268" s="59"/>
      <c r="BR268" s="59"/>
      <c r="BS268" s="59"/>
      <c r="BT268" s="59"/>
      <c r="BU268" s="59"/>
      <c r="BV268" s="59"/>
      <c r="BW268" s="59"/>
      <c r="BX268" s="59"/>
      <c r="BY268" s="59"/>
      <c r="BZ268" s="59"/>
      <c r="CA268" s="59"/>
      <c r="CB268" s="59"/>
      <c r="CC268" s="59"/>
      <c r="CD268" s="59"/>
      <c r="CE268" s="59"/>
      <c r="CF268" s="59"/>
      <c r="CG268" s="59"/>
      <c r="CH268" s="59"/>
      <c r="CI268" s="59"/>
      <c r="CJ268" s="59"/>
      <c r="CO268" s="100"/>
      <c r="CP268" s="100"/>
      <c r="CR268" s="153"/>
    </row>
    <row r="269" spans="1:143" ht="14.5">
      <c r="A269" s="356"/>
      <c r="B269" s="356"/>
      <c r="C269" s="356"/>
      <c r="D269" s="69"/>
      <c r="E269" s="69"/>
      <c r="F269" s="69"/>
      <c r="G269" s="69"/>
      <c r="H269" s="69"/>
      <c r="I269" s="69"/>
      <c r="J269" s="69"/>
      <c r="K269" s="69"/>
      <c r="L269" s="69"/>
      <c r="M269" s="69"/>
      <c r="N269" s="69"/>
      <c r="O269" s="69"/>
      <c r="P269" s="69"/>
      <c r="Q269" s="69"/>
      <c r="R269" s="69"/>
      <c r="S269" s="69"/>
      <c r="T269" s="69"/>
      <c r="U269" s="69"/>
      <c r="V269" s="69"/>
      <c r="W269" s="69"/>
      <c r="X269" s="69"/>
      <c r="Y269" s="69"/>
      <c r="Z269" s="69"/>
      <c r="AA269" s="69"/>
      <c r="AB269" s="69"/>
      <c r="AC269" s="69"/>
      <c r="AD269" s="69"/>
      <c r="AE269" s="69"/>
      <c r="AF269" s="69"/>
      <c r="AG269" s="69"/>
      <c r="AH269" s="69"/>
      <c r="AI269" s="69"/>
      <c r="AJ269" s="69"/>
      <c r="AK269" s="69"/>
      <c r="AL269" s="69"/>
      <c r="AM269" s="69"/>
      <c r="AN269" s="69"/>
      <c r="AO269" s="69"/>
      <c r="AP269" s="69"/>
      <c r="AQ269" s="69"/>
      <c r="AR269" s="69"/>
      <c r="AS269" s="69"/>
      <c r="AT269" s="69"/>
      <c r="AU269" s="69"/>
      <c r="AV269" s="69"/>
      <c r="AW269" s="69"/>
      <c r="AX269" s="69"/>
      <c r="AY269" s="69"/>
      <c r="AZ269" s="69"/>
      <c r="BA269" s="69"/>
      <c r="BB269" s="69"/>
      <c r="BC269" s="69"/>
      <c r="BD269" s="69"/>
      <c r="BE269" s="69"/>
      <c r="BF269" s="69"/>
      <c r="BG269" s="69"/>
      <c r="BH269" s="69"/>
      <c r="BI269" s="69"/>
      <c r="BJ269" s="69"/>
      <c r="BK269" s="69"/>
      <c r="BL269" s="69"/>
      <c r="BM269" s="69"/>
      <c r="BN269" s="69"/>
      <c r="BO269" s="69"/>
      <c r="BP269" s="69"/>
      <c r="BQ269" s="69"/>
      <c r="BR269" s="69"/>
      <c r="BS269" s="69"/>
      <c r="BT269" s="69"/>
      <c r="BU269" s="69"/>
      <c r="BV269" s="69"/>
      <c r="BW269" s="69"/>
      <c r="BX269" s="69"/>
      <c r="BY269" s="69"/>
      <c r="BZ269" s="69"/>
      <c r="CA269" s="69"/>
      <c r="CB269" s="69"/>
      <c r="CC269" s="69"/>
      <c r="CD269" s="69"/>
      <c r="CE269" s="69"/>
      <c r="CF269" s="69"/>
      <c r="CG269" s="69"/>
      <c r="CH269" s="69"/>
      <c r="CI269" s="69"/>
      <c r="CJ269" s="69"/>
      <c r="CK269" s="69"/>
      <c r="CL269" s="69"/>
      <c r="CM269" s="69"/>
      <c r="CN269" s="151"/>
      <c r="CO269" s="69"/>
      <c r="CP269" s="69"/>
      <c r="CQ269" s="69"/>
      <c r="CR269" s="152"/>
      <c r="CS269" s="69"/>
    </row>
    <row r="270" spans="1:143" ht="14.5">
      <c r="A270" s="356"/>
      <c r="B270" s="356"/>
      <c r="C270" s="356"/>
      <c r="CR270" s="244"/>
    </row>
    <row r="271" spans="1:143" ht="14.5">
      <c r="A271" s="356"/>
      <c r="B271" s="356"/>
      <c r="C271" s="356"/>
      <c r="CR271" s="244"/>
    </row>
    <row r="272" spans="1:143" ht="14.5">
      <c r="A272" s="356"/>
      <c r="B272" s="356"/>
      <c r="C272" s="356"/>
    </row>
    <row r="273" spans="1:3" ht="14.5">
      <c r="A273" s="356"/>
      <c r="B273" s="356"/>
      <c r="C273" s="356"/>
    </row>
    <row r="274" spans="1:3" ht="14.5">
      <c r="A274" s="356"/>
      <c r="B274" s="356"/>
      <c r="C274" s="356"/>
    </row>
    <row r="275" spans="1:3" ht="14.5">
      <c r="A275" s="356"/>
      <c r="B275" s="356"/>
      <c r="C275" s="356"/>
    </row>
    <row r="276" spans="1:3" ht="14.5">
      <c r="A276" s="356"/>
      <c r="B276" s="356"/>
      <c r="C276" s="356"/>
    </row>
    <row r="277" spans="1:3" ht="14.5">
      <c r="A277" s="356"/>
      <c r="B277" s="356"/>
      <c r="C277" s="356"/>
    </row>
    <row r="278" spans="1:3" ht="14.5">
      <c r="A278" s="356"/>
      <c r="B278" s="356"/>
      <c r="C278" s="356"/>
    </row>
    <row r="279" spans="1:3" ht="14.5">
      <c r="A279" s="356"/>
      <c r="B279" s="356"/>
      <c r="C279" s="356"/>
    </row>
    <row r="280" spans="1:3" ht="14.5">
      <c r="A280" s="356"/>
      <c r="B280" s="356"/>
      <c r="C280" s="356"/>
    </row>
    <row r="281" spans="1:3" ht="14.5">
      <c r="A281" s="356"/>
      <c r="B281" s="356"/>
      <c r="C281" s="356"/>
    </row>
    <row r="282" spans="1:3" ht="14.5">
      <c r="A282" s="356"/>
      <c r="B282" s="356"/>
      <c r="C282" s="356"/>
    </row>
    <row r="283" spans="1:3" ht="14.5">
      <c r="A283" s="356"/>
      <c r="B283" s="356"/>
      <c r="C283" s="356"/>
    </row>
    <row r="284" spans="1:3" ht="14.5">
      <c r="A284" s="356"/>
      <c r="B284" s="356"/>
      <c r="C284" s="356"/>
    </row>
    <row r="285" spans="1:3" ht="14.5">
      <c r="A285" s="356"/>
      <c r="B285" s="356"/>
      <c r="C285" s="356"/>
    </row>
    <row r="286" spans="1:3" ht="14.5">
      <c r="A286" s="356"/>
      <c r="B286" s="356"/>
      <c r="C286" s="356"/>
    </row>
    <row r="287" spans="1:3" ht="14.5">
      <c r="A287" s="356"/>
      <c r="B287" s="356"/>
      <c r="C287" s="356"/>
    </row>
    <row r="288" spans="1:3" ht="14.5">
      <c r="A288" s="356"/>
      <c r="B288" s="356"/>
      <c r="C288" s="356"/>
    </row>
    <row r="289" spans="1:3" ht="14.5">
      <c r="A289" s="356"/>
      <c r="B289" s="356"/>
      <c r="C289" s="356"/>
    </row>
    <row r="290" spans="1:3" ht="14.5">
      <c r="A290" s="356"/>
      <c r="B290" s="356"/>
      <c r="C290" s="356"/>
    </row>
    <row r="291" spans="1:3" ht="14.5">
      <c r="A291" s="356"/>
      <c r="B291" s="356"/>
      <c r="C291" s="356"/>
    </row>
    <row r="292" spans="1:3" ht="14.5">
      <c r="A292" s="356"/>
      <c r="B292" s="356"/>
      <c r="C292" s="356"/>
    </row>
    <row r="293" spans="1:3" ht="14.5">
      <c r="A293" s="356"/>
      <c r="B293" s="356"/>
      <c r="C293" s="356"/>
    </row>
    <row r="294" spans="1:3" ht="14.5">
      <c r="A294" s="356"/>
      <c r="B294" s="356"/>
      <c r="C294" s="356"/>
    </row>
    <row r="295" spans="1:3" ht="14.5">
      <c r="A295" s="356"/>
      <c r="B295" s="356"/>
      <c r="C295" s="356"/>
    </row>
    <row r="296" spans="1:3" ht="14.5"/>
    <row r="297" spans="1:3" ht="14.5"/>
    <row r="298" spans="1:3" ht="14.5"/>
    <row r="299" spans="1:3" ht="14.5"/>
    <row r="300" spans="1:3" ht="14.5"/>
    <row r="301" spans="1:3" ht="14.5"/>
    <row r="302" spans="1:3" ht="14.5"/>
    <row r="303" spans="1:3" ht="14.5"/>
    <row r="304" spans="1:3" ht="14.5"/>
    <row r="305" ht="14.5"/>
    <row r="306" ht="14.5"/>
    <row r="307" ht="14.5"/>
    <row r="308" ht="14.5"/>
    <row r="309" ht="14.5"/>
    <row r="310" ht="14.5"/>
    <row r="311" ht="14.5"/>
    <row r="312" ht="14.5"/>
    <row r="313" ht="14.5"/>
    <row r="314" ht="14.5"/>
    <row r="315" ht="14.5"/>
    <row r="316" ht="14.5"/>
    <row r="317" ht="14.5"/>
    <row r="318" ht="14.5"/>
    <row r="319" ht="14.5"/>
    <row r="320" ht="14.5"/>
    <row r="321" ht="14.5"/>
    <row r="322" ht="14.5"/>
    <row r="323" ht="14.5"/>
    <row r="324" ht="14.5"/>
    <row r="325" ht="14.5"/>
    <row r="326" ht="14.5"/>
    <row r="327" ht="14.5"/>
    <row r="328" ht="14.5"/>
    <row r="329" ht="14.5"/>
    <row r="330" ht="14.5"/>
    <row r="331" ht="14.5"/>
    <row r="332" ht="14.5"/>
    <row r="333" ht="14.5"/>
    <row r="334" ht="14.5"/>
    <row r="335" ht="14.5"/>
    <row r="336" ht="14.5"/>
    <row r="337" ht="14.5"/>
    <row r="338" ht="14.5"/>
    <row r="339" ht="14.5"/>
    <row r="340" ht="14.5"/>
    <row r="341" ht="14.5"/>
    <row r="342" ht="14.5"/>
    <row r="343" ht="14.5"/>
    <row r="344" ht="14.5"/>
    <row r="345" ht="14.5"/>
    <row r="346" ht="14.5"/>
    <row r="347" ht="14.5"/>
    <row r="348" ht="14.5"/>
    <row r="349" ht="14.5"/>
    <row r="350" ht="14.5"/>
    <row r="351" ht="14.5"/>
    <row r="352" ht="14.5"/>
    <row r="353" ht="14.5"/>
    <row r="354" ht="14.5"/>
    <row r="355" ht="14.5"/>
    <row r="356" ht="14.5"/>
    <row r="357" ht="14.5"/>
    <row r="358" ht="14.5"/>
    <row r="359" ht="14.5"/>
    <row r="360" ht="14.5"/>
    <row r="361" ht="14.5"/>
    <row r="362" ht="14.5"/>
    <row r="363" ht="14.5"/>
    <row r="364" ht="14.5"/>
    <row r="365" ht="14.5"/>
    <row r="366" ht="14.5"/>
    <row r="367" ht="14.5"/>
    <row r="368" ht="14.5"/>
    <row r="369" ht="14.5"/>
    <row r="370" ht="14.5"/>
    <row r="371" ht="14.5"/>
    <row r="372" ht="14.5"/>
    <row r="373" ht="14.5"/>
    <row r="374" ht="14.5"/>
    <row r="375" ht="14.5"/>
    <row r="376" ht="14.5"/>
    <row r="377" ht="14.5"/>
    <row r="378" ht="14.5"/>
    <row r="379" ht="14.5"/>
    <row r="380" ht="14.5"/>
    <row r="381" ht="14.5"/>
    <row r="382" ht="14.5"/>
    <row r="383" ht="14.5"/>
    <row r="384" ht="14.5"/>
    <row r="385" ht="14.5"/>
    <row r="386" ht="14.5"/>
    <row r="387" ht="14.5"/>
    <row r="388" ht="14.5"/>
    <row r="389" ht="14.5"/>
    <row r="390" ht="14.5"/>
    <row r="391" ht="14.5"/>
    <row r="392" ht="14.5"/>
    <row r="393" ht="14.5"/>
    <row r="394" ht="14.5"/>
    <row r="395" ht="14.5"/>
    <row r="396" ht="14.5"/>
    <row r="397" ht="14.5"/>
    <row r="398" ht="14.5"/>
    <row r="399" ht="14.5"/>
    <row r="400" ht="14.5"/>
    <row r="401" ht="14.5"/>
    <row r="402" ht="14.5"/>
    <row r="403" ht="14.5"/>
    <row r="404" ht="14.5"/>
    <row r="405" ht="14.5"/>
    <row r="406" ht="14.5"/>
    <row r="407" ht="14.5"/>
    <row r="408" ht="14.5"/>
    <row r="409" ht="14.5"/>
    <row r="410" ht="14.5"/>
    <row r="411" ht="14.5"/>
    <row r="412" ht="14.5"/>
    <row r="413" ht="14.5"/>
    <row r="414" ht="14.5"/>
    <row r="415" ht="14.5"/>
    <row r="416" ht="14.5"/>
    <row r="417" ht="14.5"/>
    <row r="418" ht="14.5"/>
    <row r="419" ht="14.5"/>
    <row r="420" ht="14.5"/>
    <row r="421" ht="14.5"/>
    <row r="422" ht="14.5"/>
    <row r="423" ht="14.5"/>
    <row r="424" ht="14.5"/>
    <row r="425" ht="14.5"/>
    <row r="426" ht="14.5"/>
    <row r="427" ht="14.5"/>
    <row r="428" ht="14.5"/>
    <row r="429" ht="14.5"/>
    <row r="430" ht="14.5"/>
    <row r="431" ht="14.5"/>
    <row r="432" ht="14.5"/>
    <row r="433" ht="14.5"/>
    <row r="434" ht="14.5"/>
    <row r="435" ht="14.5"/>
    <row r="436" ht="14.5"/>
    <row r="437" ht="14.5"/>
    <row r="438" ht="14.5"/>
    <row r="439" ht="14.5"/>
    <row r="440" ht="14.5"/>
    <row r="441" ht="14.5"/>
    <row r="442" ht="14.5"/>
    <row r="443" ht="14.5"/>
    <row r="444" ht="14.5"/>
    <row r="445" ht="14.5"/>
    <row r="446" ht="14.5"/>
    <row r="447" ht="14.5"/>
    <row r="448" ht="14.5"/>
    <row r="449" ht="14.5"/>
    <row r="450" ht="14.5"/>
    <row r="451" ht="14.5"/>
    <row r="452" ht="14.5"/>
    <row r="453" ht="14.5"/>
    <row r="454" ht="14.5"/>
    <row r="455" ht="14.5"/>
    <row r="456" ht="14.5"/>
    <row r="457" ht="14.5"/>
    <row r="458" ht="14.5"/>
    <row r="459" ht="14.5"/>
    <row r="460" ht="14.5"/>
    <row r="461" ht="14.5"/>
    <row r="462" ht="14.5"/>
    <row r="463" ht="14.5"/>
    <row r="464" ht="14.5"/>
    <row r="465" ht="14.5"/>
    <row r="466" ht="14.5"/>
    <row r="467" ht="14.5"/>
    <row r="468" ht="14.5"/>
    <row r="469" ht="14.5"/>
    <row r="470" ht="14.5"/>
    <row r="471" ht="14.5"/>
    <row r="472" ht="14.5"/>
    <row r="473" ht="14.5"/>
    <row r="474" ht="14.5"/>
    <row r="475" ht="14.5"/>
    <row r="476" ht="14.5"/>
    <row r="477" ht="14.5"/>
    <row r="478" ht="14.5"/>
    <row r="479" ht="14.5"/>
    <row r="480" ht="14.5"/>
    <row r="481" ht="14.5"/>
    <row r="482" ht="14.5"/>
    <row r="483" ht="14.5"/>
    <row r="484" ht="14.5"/>
    <row r="485" ht="14.5"/>
    <row r="486" ht="14.5"/>
    <row r="487" ht="14.5"/>
    <row r="488" ht="14.5"/>
    <row r="489" ht="14.5"/>
    <row r="490" ht="14.5"/>
    <row r="491" ht="14.5"/>
    <row r="492" ht="14.5"/>
    <row r="493" ht="14.5"/>
    <row r="494" ht="14.5"/>
    <row r="495" ht="14.5"/>
    <row r="496" ht="14.5"/>
    <row r="497" ht="14.5"/>
    <row r="498" ht="14.5"/>
    <row r="499" ht="14.5"/>
    <row r="500" ht="14.5"/>
    <row r="501" ht="14.5"/>
    <row r="502" ht="14.5"/>
    <row r="503" ht="14.5"/>
    <row r="504" ht="14.5"/>
    <row r="505" ht="14.5"/>
    <row r="506" ht="14.5"/>
    <row r="507" ht="14.5"/>
    <row r="508" ht="14.5"/>
    <row r="509" ht="14.5"/>
    <row r="510" ht="14.5"/>
    <row r="511" ht="14.5"/>
    <row r="512" ht="14.5"/>
    <row r="513" ht="14.5"/>
    <row r="514" ht="14.5"/>
    <row r="515" ht="14.5"/>
    <row r="516" ht="14.5"/>
    <row r="517" ht="14.5"/>
    <row r="518" ht="14.5"/>
    <row r="519" ht="14.5"/>
    <row r="520" ht="14.5"/>
    <row r="521" ht="14.5"/>
    <row r="522" ht="14.5"/>
    <row r="523" ht="14.5"/>
    <row r="524" ht="14.5"/>
    <row r="525" ht="14.5"/>
    <row r="526" ht="14.5"/>
    <row r="527" ht="14.5"/>
    <row r="528" ht="14.5"/>
    <row r="529" ht="14.5"/>
    <row r="530" ht="14.5"/>
    <row r="531" ht="14.5"/>
    <row r="532" ht="14.5"/>
    <row r="533" ht="14.5"/>
    <row r="534" ht="14.5"/>
    <row r="535" ht="14.5"/>
    <row r="536" ht="14.5"/>
    <row r="537" ht="14.5"/>
    <row r="538" ht="14.5"/>
    <row r="539" ht="14.5"/>
    <row r="540" ht="14.5"/>
    <row r="541" ht="14.5"/>
    <row r="542" ht="14.5"/>
    <row r="543" ht="14.5"/>
    <row r="544" ht="14.5"/>
    <row r="545" ht="14.5"/>
    <row r="546" ht="14.5"/>
    <row r="547" ht="14.5"/>
    <row r="548" ht="14.5"/>
    <row r="549" ht="14.5"/>
    <row r="550" ht="14.5"/>
    <row r="551" ht="14.5"/>
    <row r="552" ht="14.5"/>
    <row r="553" ht="14.5"/>
    <row r="554" ht="14.5"/>
    <row r="555" ht="14.5"/>
    <row r="556" ht="14.5"/>
    <row r="557" ht="14.5"/>
    <row r="558" ht="14.5"/>
    <row r="559" ht="14.5"/>
    <row r="560" ht="14.5"/>
    <row r="561" ht="14.5"/>
    <row r="562" ht="14.5"/>
    <row r="563" ht="14.5"/>
    <row r="564" ht="14.5"/>
    <row r="565" ht="14.5"/>
    <row r="566" ht="14.5"/>
    <row r="567" ht="14.5"/>
    <row r="568" ht="14.5"/>
    <row r="569" ht="14.5"/>
    <row r="570" ht="14.5"/>
    <row r="571" ht="14.5"/>
    <row r="572" ht="14.5"/>
    <row r="573" ht="14.5"/>
    <row r="574" ht="14.5"/>
    <row r="575" ht="14.5"/>
    <row r="576" ht="14.5"/>
    <row r="577" ht="14.5"/>
    <row r="578" ht="14.5"/>
    <row r="579" ht="14.5"/>
    <row r="580" ht="14.5"/>
    <row r="581" ht="14.5"/>
    <row r="582" ht="14.5"/>
    <row r="583" ht="14.5"/>
    <row r="584" ht="14.5"/>
    <row r="585" ht="14.5"/>
    <row r="586" ht="14.5"/>
    <row r="587" ht="14.5"/>
    <row r="588" ht="14.5"/>
    <row r="589" ht="14.5"/>
    <row r="590" ht="14.5"/>
    <row r="591" ht="14.5"/>
    <row r="592" ht="14.5"/>
    <row r="593" ht="14.5"/>
    <row r="594" ht="14.5"/>
    <row r="595" ht="14.5"/>
    <row r="596" ht="14.5"/>
    <row r="597" ht="14.5"/>
    <row r="598" ht="14.5"/>
    <row r="599" ht="14.5"/>
    <row r="600" ht="14.5"/>
    <row r="601" ht="14.5"/>
    <row r="602" ht="14.5"/>
    <row r="603" ht="14.5"/>
    <row r="604" ht="14.5"/>
    <row r="605" ht="14.5"/>
    <row r="606" ht="14.5"/>
    <row r="607" ht="14.5"/>
    <row r="608" ht="14.5"/>
    <row r="609" ht="14.5"/>
    <row r="610" ht="14.5"/>
    <row r="611" ht="14.5"/>
    <row r="612" ht="14.5"/>
    <row r="613" ht="14.5"/>
    <row r="614" ht="14.5"/>
    <row r="615" ht="14.5"/>
    <row r="616" ht="14.5"/>
    <row r="617" ht="14.5"/>
    <row r="618" ht="14.5"/>
    <row r="619" ht="14.5"/>
    <row r="620" ht="14.5"/>
    <row r="621" ht="14.5"/>
    <row r="622" ht="14.5"/>
    <row r="623" ht="14.5"/>
    <row r="624" ht="14.5"/>
    <row r="625" ht="14.5"/>
    <row r="626" ht="14.5"/>
    <row r="627" ht="14.5"/>
    <row r="628" ht="14.5"/>
    <row r="629" ht="14.5"/>
    <row r="630" ht="14.5"/>
    <row r="631" ht="14.5"/>
    <row r="632" ht="14.5"/>
    <row r="633" ht="14.5"/>
    <row r="634" ht="14.5"/>
    <row r="635" ht="14.5"/>
    <row r="636" ht="14.5"/>
    <row r="637" ht="14.5"/>
    <row r="638" ht="14.5"/>
    <row r="639" ht="14.5"/>
    <row r="640" ht="14.5"/>
    <row r="641" ht="14.5"/>
    <row r="642" ht="14.5"/>
    <row r="643" ht="14.5"/>
    <row r="644" ht="14.5"/>
    <row r="645" ht="14.5"/>
    <row r="646" ht="14.5"/>
    <row r="647" ht="14.5"/>
    <row r="648" ht="14.5"/>
    <row r="649" ht="14.5"/>
    <row r="650" ht="14.5"/>
    <row r="651" ht="14.5"/>
    <row r="652" ht="14.5"/>
    <row r="653" ht="14.5"/>
    <row r="654" ht="14.5"/>
    <row r="655" ht="14.5"/>
    <row r="656" ht="14.5"/>
    <row r="657" ht="14.5"/>
    <row r="658" ht="14.5"/>
    <row r="659" ht="14.5"/>
    <row r="660" ht="14.5"/>
    <row r="661" ht="14.5"/>
    <row r="662" ht="14.5"/>
    <row r="663" ht="14.5"/>
    <row r="664" ht="14.5"/>
    <row r="665" ht="14.5"/>
    <row r="666" ht="14.5"/>
    <row r="667" ht="14.5"/>
    <row r="668" ht="14.5"/>
    <row r="669" ht="14.5"/>
    <row r="670" ht="14.5"/>
    <row r="671" ht="14.5"/>
    <row r="672" ht="14.5"/>
    <row r="673" ht="14.5"/>
    <row r="674" ht="14.5"/>
    <row r="675" ht="14.5"/>
    <row r="676" ht="14.5"/>
    <row r="677" ht="14.5"/>
    <row r="678" ht="14.5"/>
    <row r="679" ht="14.5"/>
    <row r="680" ht="14.5"/>
    <row r="681" ht="14.5"/>
    <row r="682" ht="14.5"/>
    <row r="683" ht="14.5"/>
    <row r="684" ht="14.5"/>
    <row r="685" ht="14.5"/>
    <row r="686" ht="14.5"/>
    <row r="687" ht="14.5"/>
    <row r="688" ht="14.5"/>
    <row r="689" ht="14.5"/>
    <row r="690" ht="14.5"/>
    <row r="691" ht="14.5"/>
    <row r="692" ht="14.5"/>
    <row r="693" ht="14.5"/>
    <row r="694" ht="14.5"/>
    <row r="695" ht="14.5"/>
    <row r="696" ht="14.5"/>
    <row r="697" ht="14.5"/>
    <row r="698" ht="14.5"/>
    <row r="699" ht="14.5"/>
    <row r="700" ht="14.5"/>
    <row r="701" ht="14.5"/>
    <row r="702" ht="14.5"/>
    <row r="703" ht="14.5"/>
    <row r="704" ht="14.5"/>
    <row r="705" ht="14.5"/>
    <row r="706" ht="14.5"/>
    <row r="707" ht="14.5"/>
    <row r="708" ht="14.5"/>
    <row r="709" ht="14.5"/>
    <row r="710" ht="14.5"/>
    <row r="711" ht="14.5"/>
    <row r="712" ht="14.5"/>
    <row r="713" ht="14.5"/>
    <row r="714" ht="14.5"/>
    <row r="715" ht="14.5"/>
    <row r="716" ht="14.5"/>
    <row r="717" ht="14.5"/>
    <row r="718" ht="14.5"/>
    <row r="719" ht="14.5"/>
    <row r="720" ht="14.5"/>
    <row r="721" ht="14.5"/>
    <row r="722" ht="14.5"/>
    <row r="723" ht="14.5"/>
    <row r="724" ht="14.5"/>
    <row r="725" ht="14.5"/>
    <row r="726" ht="14.5"/>
    <row r="727" ht="14.5"/>
    <row r="728" ht="14.5"/>
    <row r="729" ht="14.5"/>
    <row r="730" ht="14.5"/>
    <row r="731" ht="14.5"/>
    <row r="732" ht="14.5"/>
    <row r="733" ht="14.5"/>
    <row r="734" ht="14.5"/>
    <row r="735" ht="14.5"/>
    <row r="736" ht="14.5"/>
    <row r="737" ht="14.5"/>
    <row r="738" ht="14.5"/>
    <row r="739" ht="14.5"/>
    <row r="740" ht="14.5"/>
    <row r="741" ht="14.5"/>
    <row r="742" ht="14.5"/>
    <row r="743" ht="14.5"/>
    <row r="744" ht="14.5"/>
    <row r="745" ht="14.5"/>
    <row r="746" ht="14.5"/>
    <row r="747" ht="14.5"/>
    <row r="748" ht="14.5"/>
    <row r="749" ht="14.5"/>
    <row r="750" ht="14.5"/>
    <row r="751" ht="14.5"/>
    <row r="752" ht="14.5"/>
    <row r="753" ht="14.5"/>
    <row r="754" ht="14.5"/>
    <row r="755" ht="14.5"/>
    <row r="756" ht="14.5"/>
    <row r="757" ht="14.5"/>
    <row r="758" ht="14.5"/>
    <row r="759" ht="14.5"/>
    <row r="760" ht="14.5"/>
    <row r="761" ht="14.5"/>
    <row r="762" ht="14.5"/>
    <row r="763" ht="14.5"/>
    <row r="764" ht="14.5"/>
    <row r="765" ht="14.5"/>
    <row r="766" ht="14.5"/>
    <row r="767" ht="14.5"/>
    <row r="768" ht="14.5"/>
    <row r="769" ht="14.5"/>
    <row r="770" ht="14.5"/>
    <row r="771" ht="14.5"/>
    <row r="772" ht="14.5"/>
    <row r="773" ht="14.5"/>
    <row r="774" ht="14.5"/>
    <row r="775" ht="14.5"/>
    <row r="776" ht="14.5"/>
    <row r="777" ht="14.5"/>
    <row r="778" ht="14.5"/>
    <row r="779" ht="14.5"/>
    <row r="780" ht="14.5"/>
    <row r="781" ht="14.5"/>
    <row r="782" ht="14.5"/>
    <row r="783" ht="14.5"/>
    <row r="784" ht="14.5"/>
    <row r="785" ht="14.5"/>
    <row r="786" ht="14.5"/>
    <row r="787" ht="14.5"/>
    <row r="788" ht="14.5"/>
    <row r="789" ht="14.5"/>
    <row r="790" ht="14.5"/>
    <row r="791" ht="14.5"/>
    <row r="792" ht="14.5"/>
    <row r="793" ht="14.5"/>
    <row r="794" ht="14.5"/>
    <row r="795" ht="14.5"/>
    <row r="796" ht="14.5"/>
    <row r="797" ht="14.5"/>
    <row r="798" ht="14.5"/>
    <row r="799" ht="14.5"/>
    <row r="800" ht="14.5"/>
    <row r="801" ht="14.5"/>
    <row r="802" ht="14.5"/>
    <row r="803" ht="14.5"/>
    <row r="804" ht="14.5"/>
    <row r="805" ht="14.5"/>
    <row r="806" ht="14.5"/>
    <row r="807" ht="14.5"/>
    <row r="808" ht="14.5"/>
    <row r="809" ht="14.5"/>
    <row r="810" ht="14.5"/>
    <row r="811" ht="14.5"/>
    <row r="812" ht="14.5"/>
    <row r="813" ht="14.5"/>
    <row r="814" ht="14.5"/>
    <row r="815" ht="14.5"/>
    <row r="816" ht="14.5"/>
    <row r="817" ht="14.5"/>
    <row r="818" ht="14.5"/>
    <row r="819" ht="14.5"/>
    <row r="820" ht="14.5"/>
    <row r="821" ht="14.5"/>
    <row r="822" ht="14.5"/>
    <row r="823" ht="14.5"/>
    <row r="824" ht="14.5"/>
    <row r="825" ht="14.5"/>
    <row r="826" ht="14.5"/>
    <row r="827" ht="14.5"/>
    <row r="828" ht="14.5"/>
    <row r="829" ht="14.5"/>
    <row r="830" ht="14.5"/>
    <row r="831" ht="14.5"/>
    <row r="832" ht="14.5"/>
    <row r="833" ht="14.5"/>
    <row r="834" ht="14.5"/>
    <row r="835" ht="14.5"/>
    <row r="836" ht="14.5"/>
    <row r="837" ht="14.5"/>
    <row r="838" ht="14.5"/>
    <row r="839" ht="14.5"/>
    <row r="840" ht="14.5"/>
    <row r="841" ht="14.5"/>
    <row r="842" ht="14.5"/>
    <row r="843" ht="14.5"/>
    <row r="844" ht="14.5"/>
    <row r="845" ht="14.5"/>
    <row r="846" ht="14.5"/>
    <row r="847" ht="14.5"/>
    <row r="848" ht="14.5"/>
    <row r="849" ht="14.5"/>
    <row r="850" ht="14.5"/>
    <row r="851" ht="14.5"/>
    <row r="852" ht="14.5"/>
    <row r="853" ht="14.5"/>
    <row r="854" ht="14.5"/>
    <row r="855" ht="14.5"/>
    <row r="856" ht="14.5"/>
    <row r="857" ht="14.5"/>
    <row r="858" ht="14.5"/>
    <row r="859" ht="14.5"/>
    <row r="860" ht="14.5"/>
    <row r="861" ht="14.5"/>
    <row r="862" ht="14.5"/>
    <row r="863" ht="14.5"/>
    <row r="864" ht="14.5"/>
    <row r="865" ht="14.5"/>
    <row r="866" ht="14.5"/>
    <row r="867" ht="14.5"/>
    <row r="868" ht="14.5"/>
    <row r="869" ht="14.5"/>
    <row r="870" ht="14.5"/>
    <row r="871" ht="14.5"/>
    <row r="872" ht="14.5"/>
    <row r="873" ht="14.5"/>
    <row r="874" ht="14.5"/>
    <row r="875" ht="14.5"/>
    <row r="876" ht="14.5"/>
    <row r="877" ht="14.5"/>
    <row r="878" ht="14.5"/>
    <row r="879" ht="14.5"/>
    <row r="880" ht="14.5"/>
    <row r="881" ht="14.5"/>
    <row r="882" ht="14.5"/>
    <row r="883" ht="14.5"/>
    <row r="884" ht="14.5"/>
    <row r="885" ht="14.5"/>
    <row r="886" ht="14.5"/>
    <row r="887" ht="14.5"/>
    <row r="888" ht="14.5"/>
    <row r="889" ht="14.5"/>
    <row r="890" ht="14.5"/>
    <row r="891" ht="14.5"/>
    <row r="892" ht="14.5"/>
    <row r="893" ht="14.5"/>
    <row r="894" ht="14.5"/>
    <row r="895" ht="14.5"/>
    <row r="896" ht="14.5"/>
    <row r="897" ht="14.5"/>
    <row r="898" ht="14.5"/>
    <row r="899" ht="14.5"/>
    <row r="900" ht="14.5"/>
    <row r="901" ht="14.5"/>
    <row r="902" ht="14.5"/>
    <row r="903" ht="14.5"/>
    <row r="904" ht="14.5"/>
    <row r="905" ht="14.5"/>
    <row r="906" ht="14.5"/>
    <row r="907" ht="14.5"/>
    <row r="908" ht="14.5"/>
    <row r="909" ht="14.5"/>
    <row r="910" ht="14.5"/>
    <row r="911" ht="14.5"/>
    <row r="912" ht="14.5"/>
    <row r="913" ht="14.5"/>
    <row r="914" ht="14.5"/>
    <row r="915" ht="14.5"/>
    <row r="916" ht="14.5"/>
    <row r="917" ht="14.5"/>
    <row r="918" ht="14.5"/>
    <row r="919" ht="14.5"/>
    <row r="920" ht="14.5"/>
    <row r="921" ht="14.5"/>
    <row r="922" ht="14.5"/>
    <row r="923" ht="14.5"/>
    <row r="924" ht="14.5"/>
    <row r="925" ht="14.5"/>
    <row r="926" ht="14.5"/>
    <row r="927" ht="14.5"/>
    <row r="928" ht="14.5"/>
    <row r="929" ht="14.5"/>
    <row r="930" ht="14.5"/>
    <row r="931" ht="14.5"/>
    <row r="932" ht="14.5"/>
    <row r="933" ht="14.5"/>
    <row r="934" ht="14.5"/>
    <row r="935" ht="14.5"/>
    <row r="936" ht="14.5"/>
    <row r="937" ht="14.5"/>
    <row r="938" ht="14.5"/>
    <row r="939" ht="14.5"/>
    <row r="940" ht="14.5"/>
    <row r="941" ht="14.5"/>
    <row r="942" ht="14.5"/>
    <row r="943" ht="14.5"/>
    <row r="944" ht="14.5"/>
    <row r="945" ht="14.5"/>
    <row r="946" ht="14.5"/>
    <row r="947" ht="14.5"/>
    <row r="948" ht="14.5"/>
    <row r="949" ht="14.5"/>
    <row r="950" ht="14.5"/>
    <row r="951" ht="14.5"/>
    <row r="952" ht="14.5"/>
    <row r="953" ht="14.5"/>
    <row r="954" ht="14.5"/>
    <row r="955" ht="14.5"/>
    <row r="956" ht="14.5"/>
    <row r="957" ht="14.5"/>
    <row r="958" ht="14.5"/>
    <row r="959" ht="14.5"/>
    <row r="960" ht="14.5"/>
    <row r="961" ht="14.5"/>
    <row r="962" ht="14.5"/>
    <row r="963" ht="14.5"/>
    <row r="964" ht="14.5"/>
    <row r="965" ht="14.5"/>
    <row r="966" ht="14.5"/>
    <row r="967" ht="14.5"/>
    <row r="968" ht="14.5"/>
    <row r="969" ht="14.5"/>
    <row r="970" ht="14.5"/>
    <row r="971" ht="14.5"/>
    <row r="972" ht="14.5"/>
    <row r="973" ht="14.5"/>
    <row r="974" ht="14.5"/>
    <row r="975" ht="14.5"/>
    <row r="976" ht="14.5"/>
    <row r="977" ht="14.5"/>
    <row r="978" ht="14.5"/>
    <row r="979" ht="14.5"/>
    <row r="980" ht="14.5"/>
    <row r="981" ht="14.5"/>
    <row r="982" ht="14.5"/>
    <row r="983" ht="14.5"/>
    <row r="984" ht="14.5"/>
    <row r="985" ht="14.5"/>
    <row r="986" ht="14.5"/>
    <row r="987" ht="14.5"/>
    <row r="988" ht="14.5"/>
    <row r="989" ht="14.5"/>
    <row r="990" ht="14.5"/>
    <row r="991" ht="14.5"/>
    <row r="992" ht="14.5"/>
    <row r="993" ht="14.5"/>
    <row r="994" ht="14.5"/>
    <row r="995" ht="14.5"/>
    <row r="996" ht="14.5"/>
    <row r="997" ht="14.5"/>
    <row r="998" ht="14.5"/>
    <row r="999" ht="14.5"/>
    <row r="1000" ht="14.5"/>
    <row r="1001" ht="14.5"/>
    <row r="1002" ht="14.5"/>
    <row r="1003" ht="14.5"/>
    <row r="1004" ht="14.5"/>
    <row r="1005" ht="14.5"/>
    <row r="1006" ht="14.5"/>
    <row r="1007" ht="14.5"/>
    <row r="1008" ht="14.5"/>
    <row r="1009" ht="14.5"/>
    <row r="1010" ht="14.5"/>
    <row r="1011" ht="14.5"/>
    <row r="1012" ht="14.5"/>
    <row r="1013" ht="14.5"/>
    <row r="1014" ht="14.5"/>
    <row r="1015" ht="14.5"/>
    <row r="1016" ht="14.5"/>
    <row r="1017" ht="14.5"/>
    <row r="1018" ht="14.5"/>
    <row r="1019" ht="14.5"/>
    <row r="1020" ht="14.5"/>
    <row r="1021" ht="14.5"/>
    <row r="1022" ht="14.5"/>
    <row r="1023" ht="14.5"/>
    <row r="1024" ht="14.5"/>
    <row r="1025" ht="14.5"/>
    <row r="1026" ht="14.5"/>
    <row r="1027" ht="14.5"/>
    <row r="1028" ht="14.5"/>
    <row r="1029" ht="14.5"/>
    <row r="1030" ht="14.5"/>
    <row r="1031" ht="14.5"/>
    <row r="1032" ht="14.5"/>
    <row r="1033" ht="14.5"/>
    <row r="1034" ht="14.5"/>
    <row r="1035" ht="14.5"/>
    <row r="1036" ht="14.5"/>
    <row r="1037" ht="14.5"/>
    <row r="1038" ht="14.5"/>
    <row r="1039" ht="14.5"/>
    <row r="1040" ht="14.5"/>
    <row r="1041" ht="14.5"/>
    <row r="1042" ht="14.5"/>
    <row r="1043" ht="14.5"/>
    <row r="1044" ht="14.5"/>
    <row r="1045" ht="14.5"/>
    <row r="1046" ht="14.5"/>
    <row r="1047" ht="14.5"/>
    <row r="1048" ht="14.5"/>
    <row r="1049" ht="14.5"/>
    <row r="1050" ht="14.5"/>
    <row r="1051" ht="14.5"/>
    <row r="1052" ht="14.5"/>
    <row r="1053" ht="14.5"/>
    <row r="1054" ht="14.5"/>
    <row r="1055" ht="14.5"/>
    <row r="1056" ht="14.5"/>
    <row r="1057" ht="14.5"/>
    <row r="1058" ht="14.5"/>
    <row r="1059" ht="14.5"/>
    <row r="1060" ht="14.5"/>
    <row r="1061" ht="14.5"/>
    <row r="1062" ht="14.5"/>
    <row r="1063" ht="14.5"/>
    <row r="1064" ht="14.5"/>
    <row r="1065" ht="14.5"/>
    <row r="1066" ht="14.5"/>
    <row r="1067" ht="14.5"/>
    <row r="1068" ht="14.5"/>
    <row r="1069" ht="14.5"/>
    <row r="1070" ht="14.5"/>
    <row r="1071" ht="14.5"/>
    <row r="1072" ht="14.5"/>
    <row r="1073" ht="14.5"/>
    <row r="1074" ht="14.5"/>
    <row r="1075" ht="14.5"/>
    <row r="1076" ht="14.5"/>
    <row r="1077" ht="14.5"/>
    <row r="1078" ht="14.5"/>
    <row r="1079" ht="14.5"/>
    <row r="1080" ht="14.5"/>
    <row r="1081" ht="14.5"/>
    <row r="1082" ht="14.5"/>
    <row r="1083" ht="14.5"/>
    <row r="1084" ht="14.5"/>
    <row r="1085" ht="14.5"/>
    <row r="1086" ht="14.5"/>
    <row r="1087" ht="14.5"/>
    <row r="1088" ht="14.5"/>
    <row r="1089" ht="14.5"/>
    <row r="1090" ht="14.5"/>
    <row r="1091" ht="14.5"/>
    <row r="1092" ht="14.5"/>
    <row r="1093" ht="14.5"/>
    <row r="1094" ht="14.5"/>
    <row r="1095" ht="14.5"/>
    <row r="1096" ht="14.5"/>
    <row r="1097" ht="14.5"/>
    <row r="1098" ht="14.5"/>
    <row r="1099" ht="14.5"/>
    <row r="1100" ht="14.5"/>
    <row r="1101" ht="14.5"/>
    <row r="1102" ht="14.5"/>
    <row r="1103" ht="14.5"/>
    <row r="1104" ht="14.5"/>
    <row r="1105" ht="14.5"/>
    <row r="1106" ht="14.5"/>
    <row r="1107" ht="14.5"/>
    <row r="1108" ht="14.5"/>
    <row r="1109" ht="14.5"/>
    <row r="1110" ht="14.5"/>
    <row r="1111" ht="14.5"/>
    <row r="1112" ht="14.5"/>
    <row r="1113" ht="14.5"/>
    <row r="1114" ht="14.5"/>
    <row r="1115" ht="14.5"/>
    <row r="1116" ht="14.5"/>
    <row r="1117" ht="14.5"/>
    <row r="1118" ht="14.5"/>
    <row r="1119" ht="14.5"/>
    <row r="1120" ht="14.5"/>
    <row r="1121" ht="14.5"/>
    <row r="1122" ht="14.5"/>
    <row r="1123" ht="14.5"/>
    <row r="1124" ht="14.5"/>
    <row r="1125" ht="14.5"/>
    <row r="1126" ht="14.5"/>
    <row r="1127" ht="14.5"/>
    <row r="1128" ht="14.5"/>
    <row r="1129" ht="14.5"/>
    <row r="1130" ht="14.5"/>
    <row r="1131" ht="14.5"/>
    <row r="1132" ht="14.5"/>
    <row r="1133" ht="14.5"/>
    <row r="1134" ht="14.5"/>
    <row r="1135" ht="14.5"/>
    <row r="1136" ht="14.5"/>
    <row r="1137" ht="14.5"/>
    <row r="1138" ht="14.5"/>
    <row r="1139" ht="14.5"/>
    <row r="1140" ht="14.5"/>
    <row r="1141" ht="14.5"/>
    <row r="1142" ht="14.5"/>
    <row r="1143" ht="14.5"/>
    <row r="1144" ht="14.5"/>
    <row r="1145" ht="14.5"/>
    <row r="1146" ht="14.5"/>
    <row r="1147" ht="14.5"/>
    <row r="1148" ht="14.5"/>
    <row r="1149" ht="14.5"/>
    <row r="1150" ht="14.5"/>
    <row r="1151" ht="14.5"/>
    <row r="1152" ht="14.5"/>
    <row r="1153" ht="14.5"/>
    <row r="1154" ht="14.5"/>
    <row r="1155" ht="14.5"/>
    <row r="1156" ht="14.5"/>
    <row r="1157" ht="14.5"/>
    <row r="1158" ht="14.5"/>
    <row r="1159" ht="14.5"/>
    <row r="1160" ht="14.5"/>
    <row r="1161" ht="14.5"/>
    <row r="1162" ht="14.5"/>
  </sheetData>
  <autoFilter ref="A6:DK295" xr:uid="{00000000-0001-0000-0000-000000000000}">
    <filterColumn colId="11" showButton="0"/>
    <filterColumn colId="13" showButton="0"/>
    <filterColumn colId="15" showButton="0"/>
    <filterColumn colId="17" showButton="0"/>
    <filterColumn colId="19" showButton="0"/>
    <filterColumn colId="21" showButton="0"/>
    <filterColumn colId="48" showButton="0"/>
  </autoFilter>
  <mergeCells count="74">
    <mergeCell ref="A268:C295"/>
    <mergeCell ref="A267:E267"/>
    <mergeCell ref="D6:D7"/>
    <mergeCell ref="BS7:BT7"/>
    <mergeCell ref="A6:A7"/>
    <mergeCell ref="V7:W7"/>
    <mergeCell ref="N7:O7"/>
    <mergeCell ref="P7:Q7"/>
    <mergeCell ref="R6:S6"/>
    <mergeCell ref="T6:U6"/>
    <mergeCell ref="T7:U7"/>
    <mergeCell ref="R7:S7"/>
    <mergeCell ref="L6:M6"/>
    <mergeCell ref="L7:M7"/>
    <mergeCell ref="B6:B7"/>
    <mergeCell ref="A8:F8"/>
    <mergeCell ref="A2:CS2"/>
    <mergeCell ref="A3:CS3"/>
    <mergeCell ref="CK5:CN5"/>
    <mergeCell ref="BD6:BE6"/>
    <mergeCell ref="BD7:BE7"/>
    <mergeCell ref="BF6:BG6"/>
    <mergeCell ref="BX6:BY6"/>
    <mergeCell ref="BX7:BY7"/>
    <mergeCell ref="BJ6:BK6"/>
    <mergeCell ref="BJ7:BK7"/>
    <mergeCell ref="BA6:BB6"/>
    <mergeCell ref="BA7:BB7"/>
    <mergeCell ref="A4:F5"/>
    <mergeCell ref="V6:W6"/>
    <mergeCell ref="AV6:AX6"/>
    <mergeCell ref="AY6:AZ6"/>
    <mergeCell ref="C6:C7"/>
    <mergeCell ref="BU7:BV7"/>
    <mergeCell ref="BO6:BP6"/>
    <mergeCell ref="BU6:BV6"/>
    <mergeCell ref="BO7:BP7"/>
    <mergeCell ref="BQ6:BR6"/>
    <mergeCell ref="BQ7:BR7"/>
    <mergeCell ref="AV7:AX7"/>
    <mergeCell ref="AY7:AZ7"/>
    <mergeCell ref="AT6:AU6"/>
    <mergeCell ref="AT7:AU7"/>
    <mergeCell ref="N6:O6"/>
    <mergeCell ref="P6:Q6"/>
    <mergeCell ref="A205:C205"/>
    <mergeCell ref="A206:C206"/>
    <mergeCell ref="BS6:BT6"/>
    <mergeCell ref="AN6:AO6"/>
    <mergeCell ref="AN7:AO7"/>
    <mergeCell ref="AR6:AS6"/>
    <mergeCell ref="AR7:AS7"/>
    <mergeCell ref="E6:E7"/>
    <mergeCell ref="F6:F7"/>
    <mergeCell ref="AD6:AE6"/>
    <mergeCell ref="AD7:AE7"/>
    <mergeCell ref="AB6:AC6"/>
    <mergeCell ref="AB7:AC7"/>
    <mergeCell ref="AF6:AG6"/>
    <mergeCell ref="AF7:AG7"/>
    <mergeCell ref="BF7:BG7"/>
    <mergeCell ref="CA6:CB6"/>
    <mergeCell ref="CA7:CB7"/>
    <mergeCell ref="CC6:CD6"/>
    <mergeCell ref="CC7:CD7"/>
    <mergeCell ref="CE6:CG6"/>
    <mergeCell ref="CE7:CG7"/>
    <mergeCell ref="CS5:CS8"/>
    <mergeCell ref="CH6:CJ6"/>
    <mergeCell ref="CH7:CJ7"/>
    <mergeCell ref="CR5:CR8"/>
    <mergeCell ref="CQ5:CQ8"/>
    <mergeCell ref="CP5:CP8"/>
    <mergeCell ref="CO5:CO8"/>
  </mergeCells>
  <pageMargins left="0.25" right="0.25" top="0.75" bottom="0.75" header="0" footer="0"/>
  <pageSetup paperSize="9" scale="50" orientation="landscape" r:id="rId1"/>
  <ignoredErrors>
    <ignoredError sqref="CO21 CR82 CO96:CP96 CO115:CO116 CK124:CM124 CK262:CM262 CO139 CO211 CO191:CP191 CR190 CO146:CP146 CO153:CP153 CR154:CR155 CK198:CN198 CO85 CO63 CR142:CR143 CR174 CR146 CO163 CR101 CR244:CR245 CO258 A197 A100"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2DB51-5E89-46B4-ADFE-DE9F850E0D48}">
  <dimension ref="A1:CY30"/>
  <sheetViews>
    <sheetView zoomScale="54" zoomScaleNormal="54" workbookViewId="0">
      <selection activeCell="M25" sqref="M25"/>
    </sheetView>
  </sheetViews>
  <sheetFormatPr baseColWidth="10" defaultColWidth="11.453125" defaultRowHeight="14.5"/>
  <cols>
    <col min="1" max="1" width="11.453125" style="268"/>
    <col min="2" max="2" width="17.7265625" style="268" customWidth="1"/>
    <col min="3" max="3" width="105.54296875" style="268" customWidth="1"/>
    <col min="4" max="4" width="11.453125" style="268"/>
    <col min="5" max="5" width="13.7265625" style="268" customWidth="1"/>
    <col min="6" max="6" width="24.26953125" style="307" customWidth="1"/>
    <col min="7" max="7" width="21.7265625" style="308" customWidth="1"/>
    <col min="8" max="8" width="24.26953125" style="309" customWidth="1"/>
    <col min="9" max="12" width="24.26953125" style="308" customWidth="1"/>
    <col min="13" max="13" width="24.26953125" style="307" customWidth="1"/>
    <col min="14" max="17" width="20.7265625" style="268" customWidth="1"/>
    <col min="18" max="19" width="26.26953125" style="268" customWidth="1"/>
    <col min="20" max="20" width="34" style="268" customWidth="1"/>
    <col min="21" max="21" width="20.453125" style="268" customWidth="1"/>
    <col min="22" max="22" width="49.453125" style="268" customWidth="1"/>
    <col min="23" max="16384" width="11.453125" style="268"/>
  </cols>
  <sheetData>
    <row r="1" spans="1:22">
      <c r="A1" s="371" t="s">
        <v>416</v>
      </c>
      <c r="B1" s="372"/>
      <c r="C1" s="372"/>
      <c r="D1" s="372"/>
      <c r="E1" s="372"/>
      <c r="F1" s="372"/>
      <c r="G1" s="372"/>
      <c r="H1" s="372"/>
      <c r="I1" s="372"/>
      <c r="J1" s="372"/>
      <c r="K1" s="372"/>
      <c r="L1" s="372"/>
      <c r="M1" s="372"/>
      <c r="N1" s="372"/>
      <c r="O1" s="372"/>
      <c r="P1" s="372"/>
      <c r="Q1" s="372"/>
      <c r="R1" s="372"/>
      <c r="S1" s="372"/>
      <c r="T1" s="372"/>
      <c r="U1" s="372"/>
      <c r="V1" s="372"/>
    </row>
    <row r="2" spans="1:22">
      <c r="A2" s="266"/>
      <c r="B2" s="267"/>
      <c r="C2" s="267"/>
      <c r="D2" s="267"/>
      <c r="E2" s="267"/>
      <c r="F2" s="267"/>
      <c r="G2" s="267"/>
      <c r="H2" s="267"/>
      <c r="I2" s="267"/>
      <c r="J2" s="267"/>
      <c r="K2" s="267"/>
      <c r="L2" s="267"/>
      <c r="M2" s="267"/>
      <c r="N2" s="267"/>
      <c r="O2" s="267"/>
      <c r="P2" s="267"/>
      <c r="Q2" s="267"/>
      <c r="R2" s="267"/>
      <c r="S2" s="267"/>
      <c r="T2" s="267"/>
      <c r="U2" s="267"/>
      <c r="V2" s="267"/>
    </row>
    <row r="3" spans="1:22" ht="33" customHeight="1">
      <c r="A3" s="373" t="s">
        <v>415</v>
      </c>
      <c r="B3" s="374"/>
      <c r="C3" s="374"/>
      <c r="D3" s="374"/>
      <c r="E3" s="374"/>
      <c r="F3" s="377" t="s">
        <v>414</v>
      </c>
      <c r="G3" s="378" t="s">
        <v>413</v>
      </c>
      <c r="H3" s="380" t="s">
        <v>412</v>
      </c>
      <c r="I3" s="378" t="s">
        <v>411</v>
      </c>
      <c r="J3" s="382" t="s">
        <v>410</v>
      </c>
      <c r="K3" s="378" t="s">
        <v>409</v>
      </c>
      <c r="L3" s="382" t="s">
        <v>408</v>
      </c>
      <c r="M3" s="384" t="s">
        <v>407</v>
      </c>
      <c r="N3" s="364" t="s">
        <v>157</v>
      </c>
      <c r="O3" s="364"/>
      <c r="P3" s="364"/>
      <c r="Q3" s="364"/>
      <c r="R3" s="365" t="s">
        <v>406</v>
      </c>
      <c r="S3" s="365"/>
      <c r="T3" s="365"/>
      <c r="U3" s="365"/>
      <c r="V3" s="365"/>
    </row>
    <row r="4" spans="1:22" ht="33" customHeight="1">
      <c r="A4" s="375"/>
      <c r="B4" s="376"/>
      <c r="C4" s="376"/>
      <c r="D4" s="376"/>
      <c r="E4" s="376"/>
      <c r="F4" s="377"/>
      <c r="G4" s="379"/>
      <c r="H4" s="381"/>
      <c r="I4" s="379"/>
      <c r="J4" s="383"/>
      <c r="K4" s="379"/>
      <c r="L4" s="383"/>
      <c r="M4" s="385"/>
      <c r="N4" s="364"/>
      <c r="O4" s="364"/>
      <c r="P4" s="364"/>
      <c r="Q4" s="364"/>
      <c r="R4" s="365"/>
      <c r="S4" s="365"/>
      <c r="T4" s="365"/>
      <c r="U4" s="365"/>
      <c r="V4" s="365"/>
    </row>
    <row r="5" spans="1:22" ht="43.5">
      <c r="A5" s="269" t="s">
        <v>0</v>
      </c>
      <c r="B5" s="269" t="s">
        <v>1</v>
      </c>
      <c r="C5" s="269" t="s">
        <v>2</v>
      </c>
      <c r="D5" s="246" t="s">
        <v>405</v>
      </c>
      <c r="E5" s="270" t="s">
        <v>176</v>
      </c>
      <c r="F5" s="271" t="s">
        <v>403</v>
      </c>
      <c r="G5" s="272" t="s">
        <v>403</v>
      </c>
      <c r="H5" s="273" t="s">
        <v>403</v>
      </c>
      <c r="I5" s="272" t="s">
        <v>403</v>
      </c>
      <c r="J5" s="274" t="s">
        <v>403</v>
      </c>
      <c r="K5" s="274" t="s">
        <v>403</v>
      </c>
      <c r="L5" s="274" t="s">
        <v>403</v>
      </c>
      <c r="M5" s="274" t="s">
        <v>403</v>
      </c>
      <c r="N5" s="275" t="s">
        <v>402</v>
      </c>
      <c r="O5" s="275" t="s">
        <v>401</v>
      </c>
      <c r="P5" s="275" t="s">
        <v>400</v>
      </c>
      <c r="Q5" s="276" t="s">
        <v>399</v>
      </c>
      <c r="R5" s="277" t="s">
        <v>899</v>
      </c>
      <c r="S5" s="277" t="s">
        <v>397</v>
      </c>
      <c r="T5" s="278" t="s">
        <v>900</v>
      </c>
      <c r="U5" s="278" t="s">
        <v>901</v>
      </c>
      <c r="V5" s="279" t="s">
        <v>395</v>
      </c>
    </row>
    <row r="6" spans="1:22" ht="58">
      <c r="A6" s="280">
        <v>1</v>
      </c>
      <c r="B6" s="281" t="s">
        <v>309</v>
      </c>
      <c r="C6" s="282" t="s">
        <v>310</v>
      </c>
      <c r="D6" s="280" t="s">
        <v>4</v>
      </c>
      <c r="E6" s="280">
        <v>1</v>
      </c>
      <c r="F6" s="283">
        <v>96000</v>
      </c>
      <c r="G6" s="284">
        <v>66640</v>
      </c>
      <c r="H6" s="285">
        <v>66640</v>
      </c>
      <c r="I6" s="286"/>
      <c r="J6" s="287"/>
      <c r="K6" s="287">
        <v>95200</v>
      </c>
      <c r="L6" s="287"/>
      <c r="M6" s="285"/>
      <c r="N6" s="77">
        <f>MEDIAN(F6,G6,H6,I6,J6,K6)</f>
        <v>80920</v>
      </c>
      <c r="O6" s="77">
        <f>AVERAGE(F6,G6,H6,I6,J6,K6)</f>
        <v>81120</v>
      </c>
      <c r="P6" s="77">
        <f>+STDEV(F6,G6,H6,I6,J6,K6)</f>
        <v>16723.253272016183</v>
      </c>
      <c r="Q6" s="288">
        <f t="shared" ref="Q6:Q16" si="0">P6/O6</f>
        <v>0.20615450286016004</v>
      </c>
      <c r="R6" s="289">
        <f>+T6/1.19</f>
        <v>68000</v>
      </c>
      <c r="S6" s="289">
        <f>+R6*19%</f>
        <v>12920</v>
      </c>
      <c r="T6" s="290">
        <f t="shared" ref="T6:T16" si="1">ROUNDUP(IF(Q6&lt;15%,O6,N6),0)</f>
        <v>80920</v>
      </c>
      <c r="U6" s="291">
        <f t="shared" ref="U6:U16" si="2">+T6*E6</f>
        <v>80920</v>
      </c>
      <c r="V6" s="1" t="s">
        <v>380</v>
      </c>
    </row>
    <row r="7" spans="1:22" ht="58">
      <c r="A7" s="280">
        <v>2</v>
      </c>
      <c r="B7" s="281" t="s">
        <v>382</v>
      </c>
      <c r="C7" s="282" t="s">
        <v>394</v>
      </c>
      <c r="D7" s="280" t="s">
        <v>4</v>
      </c>
      <c r="E7" s="280">
        <v>1</v>
      </c>
      <c r="F7" s="283"/>
      <c r="G7" s="284"/>
      <c r="H7" s="292"/>
      <c r="I7" s="287">
        <v>416.5</v>
      </c>
      <c r="J7" s="287">
        <v>379</v>
      </c>
      <c r="K7" s="287">
        <v>238</v>
      </c>
      <c r="L7" s="287"/>
      <c r="M7" s="285"/>
      <c r="N7" s="77">
        <f t="shared" ref="N7:N16" si="3">MEDIAN(F7,G7,H7,I7,J7,K7)</f>
        <v>379</v>
      </c>
      <c r="O7" s="77">
        <f t="shared" ref="O7:O16" si="4">AVERAGE(F7,G7,H7,I7,J7,K7)</f>
        <v>344.5</v>
      </c>
      <c r="P7" s="77">
        <f t="shared" ref="P7:P16" si="5">+STDEV(F7,G7,H7,I7,J7,K7)</f>
        <v>94.118276652305951</v>
      </c>
      <c r="Q7" s="288">
        <f t="shared" si="0"/>
        <v>0.27320254470916094</v>
      </c>
      <c r="R7" s="289">
        <f t="shared" ref="R7:R27" si="6">+T7/1.19</f>
        <v>318.48739495798321</v>
      </c>
      <c r="S7" s="289">
        <f t="shared" ref="S7:S27" si="7">+R7*19%</f>
        <v>60.512605042016808</v>
      </c>
      <c r="T7" s="290">
        <f t="shared" si="1"/>
        <v>379</v>
      </c>
      <c r="U7" s="291">
        <f t="shared" si="2"/>
        <v>379</v>
      </c>
      <c r="V7" s="1" t="s">
        <v>380</v>
      </c>
    </row>
    <row r="8" spans="1:22" ht="58">
      <c r="A8" s="280">
        <v>3</v>
      </c>
      <c r="B8" s="281" t="s">
        <v>382</v>
      </c>
      <c r="C8" s="282" t="s">
        <v>393</v>
      </c>
      <c r="D8" s="280" t="s">
        <v>4</v>
      </c>
      <c r="E8" s="280">
        <v>1</v>
      </c>
      <c r="F8" s="283"/>
      <c r="G8" s="284"/>
      <c r="H8" s="292"/>
      <c r="I8" s="287">
        <v>642.6</v>
      </c>
      <c r="J8" s="287">
        <v>472</v>
      </c>
      <c r="K8" s="287">
        <v>476</v>
      </c>
      <c r="L8" s="287"/>
      <c r="M8" s="285"/>
      <c r="N8" s="77">
        <f t="shared" si="3"/>
        <v>476</v>
      </c>
      <c r="O8" s="77">
        <f t="shared" si="4"/>
        <v>530.19999999999993</v>
      </c>
      <c r="P8" s="77">
        <f t="shared" si="5"/>
        <v>97.361799490354571</v>
      </c>
      <c r="Q8" s="288">
        <f t="shared" si="0"/>
        <v>0.18363221329753787</v>
      </c>
      <c r="R8" s="289">
        <f t="shared" si="6"/>
        <v>400</v>
      </c>
      <c r="S8" s="289">
        <f t="shared" si="7"/>
        <v>76</v>
      </c>
      <c r="T8" s="290">
        <f t="shared" si="1"/>
        <v>476</v>
      </c>
      <c r="U8" s="291">
        <f t="shared" si="2"/>
        <v>476</v>
      </c>
      <c r="V8" s="1" t="s">
        <v>380</v>
      </c>
    </row>
    <row r="9" spans="1:22" ht="58">
      <c r="A9" s="280">
        <v>4</v>
      </c>
      <c r="B9" s="281" t="s">
        <v>382</v>
      </c>
      <c r="C9" s="282" t="s">
        <v>392</v>
      </c>
      <c r="D9" s="280" t="s">
        <v>4</v>
      </c>
      <c r="E9" s="280">
        <v>1</v>
      </c>
      <c r="F9" s="283"/>
      <c r="G9" s="284"/>
      <c r="H9" s="292"/>
      <c r="I9" s="287"/>
      <c r="J9" s="287">
        <v>644</v>
      </c>
      <c r="K9" s="287">
        <v>773</v>
      </c>
      <c r="L9" s="287"/>
      <c r="M9" s="285"/>
      <c r="N9" s="77">
        <f t="shared" si="3"/>
        <v>708.5</v>
      </c>
      <c r="O9" s="77">
        <f t="shared" si="4"/>
        <v>708.5</v>
      </c>
      <c r="P9" s="77">
        <f t="shared" si="5"/>
        <v>91.216774773064628</v>
      </c>
      <c r="Q9" s="288">
        <f>P9/O9</f>
        <v>0.12874632995492538</v>
      </c>
      <c r="R9" s="289">
        <f t="shared" si="6"/>
        <v>595.79831932773106</v>
      </c>
      <c r="S9" s="289">
        <f t="shared" si="7"/>
        <v>113.20168067226891</v>
      </c>
      <c r="T9" s="290">
        <f t="shared" si="1"/>
        <v>709</v>
      </c>
      <c r="U9" s="291">
        <f t="shared" si="2"/>
        <v>709</v>
      </c>
      <c r="V9" s="1" t="s">
        <v>389</v>
      </c>
    </row>
    <row r="10" spans="1:22" ht="58">
      <c r="A10" s="280">
        <v>5</v>
      </c>
      <c r="B10" s="281" t="s">
        <v>382</v>
      </c>
      <c r="C10" s="282" t="s">
        <v>391</v>
      </c>
      <c r="D10" s="280" t="s">
        <v>4</v>
      </c>
      <c r="E10" s="280">
        <v>1</v>
      </c>
      <c r="F10" s="283"/>
      <c r="G10" s="284"/>
      <c r="H10" s="292"/>
      <c r="I10" s="287">
        <v>368.9</v>
      </c>
      <c r="J10" s="287">
        <v>404</v>
      </c>
      <c r="K10" s="287" t="s">
        <v>390</v>
      </c>
      <c r="L10" s="287"/>
      <c r="M10" s="285"/>
      <c r="N10" s="77">
        <f t="shared" si="3"/>
        <v>386.45</v>
      </c>
      <c r="O10" s="77">
        <f t="shared" si="4"/>
        <v>386.45</v>
      </c>
      <c r="P10" s="77">
        <f t="shared" si="5"/>
        <v>24.819448019647833</v>
      </c>
      <c r="Q10" s="288">
        <f t="shared" si="0"/>
        <v>6.4224215343893998E-2</v>
      </c>
      <c r="R10" s="289">
        <f t="shared" si="6"/>
        <v>325.21008403361344</v>
      </c>
      <c r="S10" s="289">
        <f t="shared" si="7"/>
        <v>61.789915966386552</v>
      </c>
      <c r="T10" s="290">
        <f t="shared" si="1"/>
        <v>387</v>
      </c>
      <c r="U10" s="291">
        <f t="shared" si="2"/>
        <v>387</v>
      </c>
      <c r="V10" s="1" t="s">
        <v>389</v>
      </c>
    </row>
    <row r="11" spans="1:22" ht="58">
      <c r="A11" s="280">
        <v>6</v>
      </c>
      <c r="B11" s="281" t="s">
        <v>382</v>
      </c>
      <c r="C11" s="282" t="s">
        <v>388</v>
      </c>
      <c r="D11" s="280" t="s">
        <v>4</v>
      </c>
      <c r="E11" s="280">
        <v>1</v>
      </c>
      <c r="F11" s="283"/>
      <c r="G11" s="284"/>
      <c r="H11" s="292"/>
      <c r="I11" s="287">
        <v>618.79999999999995</v>
      </c>
      <c r="J11" s="287">
        <v>523</v>
      </c>
      <c r="K11" s="287" t="s">
        <v>387</v>
      </c>
      <c r="L11" s="287"/>
      <c r="M11" s="285"/>
      <c r="N11" s="77">
        <f t="shared" si="3"/>
        <v>570.9</v>
      </c>
      <c r="O11" s="77">
        <f t="shared" si="4"/>
        <v>570.9</v>
      </c>
      <c r="P11" s="77">
        <f t="shared" si="5"/>
        <v>67.740829637671226</v>
      </c>
      <c r="Q11" s="288">
        <f t="shared" si="0"/>
        <v>0.11865620885911933</v>
      </c>
      <c r="R11" s="289">
        <f t="shared" si="6"/>
        <v>479.83193277310926</v>
      </c>
      <c r="S11" s="289">
        <f t="shared" si="7"/>
        <v>91.168067226890756</v>
      </c>
      <c r="T11" s="290">
        <f t="shared" si="1"/>
        <v>571</v>
      </c>
      <c r="U11" s="291">
        <f t="shared" si="2"/>
        <v>571</v>
      </c>
      <c r="V11" s="1" t="s">
        <v>376</v>
      </c>
    </row>
    <row r="12" spans="1:22" ht="58">
      <c r="A12" s="280">
        <v>7</v>
      </c>
      <c r="B12" s="281" t="s">
        <v>382</v>
      </c>
      <c r="C12" s="282" t="s">
        <v>386</v>
      </c>
      <c r="D12" s="280" t="s">
        <v>4</v>
      </c>
      <c r="E12" s="280">
        <v>1</v>
      </c>
      <c r="F12" s="283"/>
      <c r="G12" s="284"/>
      <c r="H12" s="292"/>
      <c r="I12" s="287">
        <v>1178.0999999999999</v>
      </c>
      <c r="J12" s="287">
        <v>739</v>
      </c>
      <c r="K12" s="287">
        <v>833</v>
      </c>
      <c r="L12" s="287"/>
      <c r="M12" s="285"/>
      <c r="N12" s="77">
        <f t="shared" si="3"/>
        <v>833</v>
      </c>
      <c r="O12" s="77">
        <f t="shared" si="4"/>
        <v>916.69999999999993</v>
      </c>
      <c r="P12" s="77">
        <f t="shared" si="5"/>
        <v>231.20655267530799</v>
      </c>
      <c r="Q12" s="288">
        <f t="shared" si="0"/>
        <v>0.25221615869456532</v>
      </c>
      <c r="R12" s="289">
        <f t="shared" si="6"/>
        <v>700</v>
      </c>
      <c r="S12" s="289">
        <f t="shared" si="7"/>
        <v>133</v>
      </c>
      <c r="T12" s="290">
        <f t="shared" si="1"/>
        <v>833</v>
      </c>
      <c r="U12" s="291">
        <f t="shared" si="2"/>
        <v>833</v>
      </c>
      <c r="V12" s="1" t="s">
        <v>380</v>
      </c>
    </row>
    <row r="13" spans="1:22" ht="58">
      <c r="A13" s="280">
        <v>8</v>
      </c>
      <c r="B13" s="281" t="s">
        <v>382</v>
      </c>
      <c r="C13" s="282" t="s">
        <v>385</v>
      </c>
      <c r="D13" s="280" t="s">
        <v>4</v>
      </c>
      <c r="E13" s="280">
        <v>1</v>
      </c>
      <c r="F13" s="283"/>
      <c r="G13" s="284"/>
      <c r="H13" s="292"/>
      <c r="I13" s="287">
        <v>487.9</v>
      </c>
      <c r="J13" s="287">
        <v>445</v>
      </c>
      <c r="K13" s="287">
        <v>357</v>
      </c>
      <c r="L13" s="287"/>
      <c r="M13" s="285"/>
      <c r="N13" s="77">
        <f t="shared" si="3"/>
        <v>445</v>
      </c>
      <c r="O13" s="77">
        <f t="shared" si="4"/>
        <v>429.9666666666667</v>
      </c>
      <c r="P13" s="77">
        <f t="shared" si="5"/>
        <v>66.73232599972259</v>
      </c>
      <c r="Q13" s="288">
        <f t="shared" si="0"/>
        <v>0.15520348709137743</v>
      </c>
      <c r="R13" s="289">
        <f t="shared" si="6"/>
        <v>373.94957983193279</v>
      </c>
      <c r="S13" s="289">
        <f t="shared" si="7"/>
        <v>71.050420168067234</v>
      </c>
      <c r="T13" s="290">
        <f t="shared" si="1"/>
        <v>445</v>
      </c>
      <c r="U13" s="291">
        <f t="shared" si="2"/>
        <v>445</v>
      </c>
      <c r="V13" s="1" t="s">
        <v>380</v>
      </c>
    </row>
    <row r="14" spans="1:22" ht="58">
      <c r="A14" s="280">
        <v>9</v>
      </c>
      <c r="B14" s="281" t="s">
        <v>382</v>
      </c>
      <c r="C14" s="282" t="s">
        <v>384</v>
      </c>
      <c r="D14" s="280" t="s">
        <v>4</v>
      </c>
      <c r="E14" s="280">
        <v>1</v>
      </c>
      <c r="F14" s="283"/>
      <c r="G14" s="284"/>
      <c r="H14" s="292"/>
      <c r="I14" s="287">
        <v>749.7</v>
      </c>
      <c r="J14" s="287">
        <v>604</v>
      </c>
      <c r="K14" s="287" t="s">
        <v>383</v>
      </c>
      <c r="L14" s="287"/>
      <c r="M14" s="285"/>
      <c r="N14" s="77">
        <f t="shared" si="3"/>
        <v>676.85</v>
      </c>
      <c r="O14" s="77">
        <f t="shared" si="4"/>
        <v>676.85</v>
      </c>
      <c r="P14" s="77">
        <f t="shared" si="5"/>
        <v>103.02545801887995</v>
      </c>
      <c r="Q14" s="288">
        <f t="shared" si="0"/>
        <v>0.15221313144549006</v>
      </c>
      <c r="R14" s="289">
        <f t="shared" si="6"/>
        <v>568.90756302521015</v>
      </c>
      <c r="S14" s="289">
        <f t="shared" si="7"/>
        <v>108.09243697478993</v>
      </c>
      <c r="T14" s="290">
        <f t="shared" si="1"/>
        <v>677</v>
      </c>
      <c r="U14" s="291">
        <f t="shared" si="2"/>
        <v>677</v>
      </c>
      <c r="V14" s="1" t="s">
        <v>380</v>
      </c>
    </row>
    <row r="15" spans="1:22" ht="58">
      <c r="A15" s="280">
        <v>10</v>
      </c>
      <c r="B15" s="281" t="s">
        <v>382</v>
      </c>
      <c r="C15" s="282" t="s">
        <v>381</v>
      </c>
      <c r="D15" s="280" t="s">
        <v>4</v>
      </c>
      <c r="E15" s="280">
        <v>1</v>
      </c>
      <c r="F15" s="283"/>
      <c r="G15" s="284"/>
      <c r="H15" s="292"/>
      <c r="I15" s="287">
        <v>1309</v>
      </c>
      <c r="J15" s="287">
        <v>887</v>
      </c>
      <c r="K15" s="287">
        <v>1071</v>
      </c>
      <c r="L15" s="287"/>
      <c r="M15" s="285"/>
      <c r="N15" s="77">
        <f t="shared" si="3"/>
        <v>1071</v>
      </c>
      <c r="O15" s="77">
        <f t="shared" si="4"/>
        <v>1089</v>
      </c>
      <c r="P15" s="77">
        <f t="shared" si="5"/>
        <v>211.57504578754083</v>
      </c>
      <c r="Q15" s="288">
        <f t="shared" si="0"/>
        <v>0.19428378860196588</v>
      </c>
      <c r="R15" s="289">
        <f t="shared" si="6"/>
        <v>900</v>
      </c>
      <c r="S15" s="289">
        <f t="shared" si="7"/>
        <v>171</v>
      </c>
      <c r="T15" s="290">
        <f t="shared" si="1"/>
        <v>1071</v>
      </c>
      <c r="U15" s="291">
        <f t="shared" si="2"/>
        <v>1071</v>
      </c>
      <c r="V15" s="1" t="s">
        <v>380</v>
      </c>
    </row>
    <row r="16" spans="1:22" ht="43.5">
      <c r="A16" s="280">
        <v>11</v>
      </c>
      <c r="B16" s="281" t="s">
        <v>379</v>
      </c>
      <c r="C16" s="282" t="s">
        <v>378</v>
      </c>
      <c r="D16" s="280" t="s">
        <v>4</v>
      </c>
      <c r="E16" s="280">
        <v>1</v>
      </c>
      <c r="F16" s="293"/>
      <c r="G16" s="284"/>
      <c r="H16" s="292"/>
      <c r="I16" s="287">
        <v>380</v>
      </c>
      <c r="J16" s="287">
        <v>345</v>
      </c>
      <c r="K16" s="287" t="s">
        <v>377</v>
      </c>
      <c r="L16" s="287"/>
      <c r="M16" s="285"/>
      <c r="N16" s="77">
        <f t="shared" si="3"/>
        <v>362.5</v>
      </c>
      <c r="O16" s="77">
        <f t="shared" si="4"/>
        <v>362.5</v>
      </c>
      <c r="P16" s="77">
        <f t="shared" si="5"/>
        <v>24.748737341529164</v>
      </c>
      <c r="Q16" s="288">
        <f t="shared" si="0"/>
        <v>6.8272378873183895E-2</v>
      </c>
      <c r="R16" s="289">
        <f t="shared" si="6"/>
        <v>305.0420168067227</v>
      </c>
      <c r="S16" s="289">
        <f t="shared" si="7"/>
        <v>57.957983193277315</v>
      </c>
      <c r="T16" s="290">
        <f t="shared" si="1"/>
        <v>363</v>
      </c>
      <c r="U16" s="291">
        <f t="shared" si="2"/>
        <v>363</v>
      </c>
      <c r="V16" s="1" t="s">
        <v>376</v>
      </c>
    </row>
    <row r="17" spans="1:103" ht="101.5">
      <c r="A17" s="280">
        <v>12</v>
      </c>
      <c r="B17" s="281" t="s">
        <v>371</v>
      </c>
      <c r="C17" s="282" t="s">
        <v>375</v>
      </c>
      <c r="D17" s="280" t="s">
        <v>4</v>
      </c>
      <c r="E17" s="294">
        <v>1</v>
      </c>
      <c r="F17" s="293"/>
      <c r="G17" s="284"/>
      <c r="H17" s="292"/>
      <c r="I17" s="287"/>
      <c r="J17" s="287"/>
      <c r="K17" s="287"/>
      <c r="L17" s="287"/>
      <c r="M17" s="295">
        <v>6741476</v>
      </c>
      <c r="N17" s="77"/>
      <c r="O17" s="77"/>
      <c r="P17" s="77"/>
      <c r="Q17" s="288"/>
      <c r="R17" s="289">
        <f t="shared" si="6"/>
        <v>5665105.8823529417</v>
      </c>
      <c r="S17" s="289">
        <f t="shared" si="7"/>
        <v>1076370.117647059</v>
      </c>
      <c r="T17" s="290">
        <f>+M17</f>
        <v>6741476</v>
      </c>
      <c r="U17" s="291">
        <f>+M17</f>
        <v>6741476</v>
      </c>
      <c r="V17" s="1" t="s">
        <v>369</v>
      </c>
    </row>
    <row r="18" spans="1:103" ht="101.5">
      <c r="A18" s="280">
        <v>13</v>
      </c>
      <c r="B18" s="281" t="s">
        <v>371</v>
      </c>
      <c r="C18" s="282" t="s">
        <v>374</v>
      </c>
      <c r="D18" s="280" t="s">
        <v>4</v>
      </c>
      <c r="E18" s="294">
        <v>1</v>
      </c>
      <c r="F18" s="293"/>
      <c r="G18" s="284"/>
      <c r="H18" s="292"/>
      <c r="I18" s="287"/>
      <c r="J18" s="287"/>
      <c r="K18" s="287"/>
      <c r="L18" s="287"/>
      <c r="M18" s="295">
        <v>8763918</v>
      </c>
      <c r="N18" s="77"/>
      <c r="O18" s="77"/>
      <c r="P18" s="77"/>
      <c r="Q18" s="288"/>
      <c r="R18" s="289">
        <f t="shared" si="6"/>
        <v>7364636.9747899165</v>
      </c>
      <c r="S18" s="289">
        <f t="shared" si="7"/>
        <v>1399281.0252100842</v>
      </c>
      <c r="T18" s="290">
        <f>+M18</f>
        <v>8763918</v>
      </c>
      <c r="U18" s="291">
        <f>+M18</f>
        <v>8763918</v>
      </c>
      <c r="V18" s="1" t="s">
        <v>369</v>
      </c>
    </row>
    <row r="19" spans="1:103" ht="101.5">
      <c r="A19" s="280">
        <v>14</v>
      </c>
      <c r="B19" s="281" t="s">
        <v>371</v>
      </c>
      <c r="C19" s="282" t="s">
        <v>373</v>
      </c>
      <c r="D19" s="280" t="s">
        <v>4</v>
      </c>
      <c r="E19" s="294">
        <v>1</v>
      </c>
      <c r="F19" s="293"/>
      <c r="G19" s="284"/>
      <c r="H19" s="292"/>
      <c r="I19" s="287"/>
      <c r="J19" s="287"/>
      <c r="K19" s="287"/>
      <c r="L19" s="287"/>
      <c r="M19" s="295">
        <v>4654745</v>
      </c>
      <c r="N19" s="77"/>
      <c r="O19" s="77"/>
      <c r="P19" s="77"/>
      <c r="Q19" s="288"/>
      <c r="R19" s="289">
        <f t="shared" si="6"/>
        <v>3911550.4201680673</v>
      </c>
      <c r="S19" s="289">
        <f t="shared" si="7"/>
        <v>743194.57983193279</v>
      </c>
      <c r="T19" s="290">
        <f>+M19</f>
        <v>4654745</v>
      </c>
      <c r="U19" s="291">
        <f>+M19</f>
        <v>4654745</v>
      </c>
      <c r="V19" s="1" t="s">
        <v>369</v>
      </c>
    </row>
    <row r="20" spans="1:103" ht="101.5">
      <c r="A20" s="280">
        <v>15</v>
      </c>
      <c r="B20" s="281" t="s">
        <v>371</v>
      </c>
      <c r="C20" s="282" t="s">
        <v>372</v>
      </c>
      <c r="D20" s="280" t="s">
        <v>4</v>
      </c>
      <c r="E20" s="294">
        <v>1</v>
      </c>
      <c r="F20" s="293"/>
      <c r="G20" s="284"/>
      <c r="H20" s="292"/>
      <c r="I20" s="287"/>
      <c r="J20" s="287"/>
      <c r="K20" s="287"/>
      <c r="L20" s="287"/>
      <c r="M20" s="295">
        <v>2921306</v>
      </c>
      <c r="N20" s="77"/>
      <c r="O20" s="77"/>
      <c r="P20" s="77"/>
      <c r="Q20" s="288"/>
      <c r="R20" s="289">
        <f t="shared" si="6"/>
        <v>2454878.9915966387</v>
      </c>
      <c r="S20" s="289">
        <f t="shared" si="7"/>
        <v>466427.00840336137</v>
      </c>
      <c r="T20" s="290">
        <f t="shared" ref="T20:T21" si="8">+M20</f>
        <v>2921306</v>
      </c>
      <c r="U20" s="291">
        <f t="shared" ref="U20:U21" si="9">+M20</f>
        <v>2921306</v>
      </c>
      <c r="V20" s="1" t="s">
        <v>369</v>
      </c>
    </row>
    <row r="21" spans="1:103" ht="101.5">
      <c r="A21" s="280">
        <v>16</v>
      </c>
      <c r="B21" s="281" t="s">
        <v>371</v>
      </c>
      <c r="C21" s="282" t="s">
        <v>370</v>
      </c>
      <c r="D21" s="280" t="s">
        <v>4</v>
      </c>
      <c r="E21" s="294">
        <v>1</v>
      </c>
      <c r="F21" s="293"/>
      <c r="G21" s="284"/>
      <c r="H21" s="292"/>
      <c r="I21" s="287"/>
      <c r="J21" s="287"/>
      <c r="K21" s="287"/>
      <c r="L21" s="287"/>
      <c r="M21" s="295">
        <v>2693083</v>
      </c>
      <c r="N21" s="77"/>
      <c r="O21" s="77"/>
      <c r="P21" s="77"/>
      <c r="Q21" s="288"/>
      <c r="R21" s="289">
        <f t="shared" si="6"/>
        <v>2263094.9579831935</v>
      </c>
      <c r="S21" s="289">
        <f t="shared" si="7"/>
        <v>429988.04201680678</v>
      </c>
      <c r="T21" s="290">
        <f t="shared" si="8"/>
        <v>2693083</v>
      </c>
      <c r="U21" s="291">
        <f t="shared" si="9"/>
        <v>2693083</v>
      </c>
      <c r="V21" s="1" t="s">
        <v>369</v>
      </c>
    </row>
    <row r="22" spans="1:103" ht="72.5">
      <c r="A22" s="280">
        <v>17</v>
      </c>
      <c r="B22" s="281" t="s">
        <v>364</v>
      </c>
      <c r="C22" s="282" t="s">
        <v>368</v>
      </c>
      <c r="D22" s="280" t="s">
        <v>358</v>
      </c>
      <c r="E22" s="294">
        <v>1</v>
      </c>
      <c r="F22" s="293"/>
      <c r="G22" s="284"/>
      <c r="H22" s="285"/>
      <c r="I22" s="287"/>
      <c r="J22" s="287"/>
      <c r="K22" s="287"/>
      <c r="L22" s="287">
        <v>88000</v>
      </c>
      <c r="M22" s="285"/>
      <c r="N22" s="77"/>
      <c r="O22" s="77"/>
      <c r="P22" s="77"/>
      <c r="Q22" s="288"/>
      <c r="R22" s="289">
        <f t="shared" si="6"/>
        <v>73949.579831932773</v>
      </c>
      <c r="S22" s="289">
        <f t="shared" si="7"/>
        <v>14050.420168067227</v>
      </c>
      <c r="T22" s="290">
        <f>+L22</f>
        <v>88000</v>
      </c>
      <c r="U22" s="291">
        <f>+L22</f>
        <v>88000</v>
      </c>
      <c r="V22" s="1" t="s">
        <v>367</v>
      </c>
    </row>
    <row r="23" spans="1:103" ht="58">
      <c r="A23" s="280">
        <v>18</v>
      </c>
      <c r="B23" s="281" t="s">
        <v>366</v>
      </c>
      <c r="C23" s="282" t="s">
        <v>365</v>
      </c>
      <c r="D23" s="280" t="s">
        <v>358</v>
      </c>
      <c r="E23" s="294">
        <v>1</v>
      </c>
      <c r="F23" s="293"/>
      <c r="G23" s="296"/>
      <c r="H23" s="285"/>
      <c r="I23" s="287"/>
      <c r="J23" s="287"/>
      <c r="K23" s="287"/>
      <c r="L23" s="287">
        <v>66000</v>
      </c>
      <c r="M23" s="285"/>
      <c r="N23" s="77"/>
      <c r="O23" s="77"/>
      <c r="P23" s="77"/>
      <c r="Q23" s="288"/>
      <c r="R23" s="289">
        <f t="shared" si="6"/>
        <v>55462.184873949584</v>
      </c>
      <c r="S23" s="289">
        <f t="shared" si="7"/>
        <v>10537.815126050422</v>
      </c>
      <c r="T23" s="290">
        <f t="shared" ref="T23:T25" si="10">+L23</f>
        <v>66000</v>
      </c>
      <c r="U23" s="291">
        <f t="shared" ref="U23:U25" si="11">+L23</f>
        <v>66000</v>
      </c>
      <c r="V23" s="1" t="s">
        <v>361</v>
      </c>
    </row>
    <row r="24" spans="1:103" ht="58">
      <c r="A24" s="280">
        <v>19</v>
      </c>
      <c r="B24" s="281" t="s">
        <v>364</v>
      </c>
      <c r="C24" s="282" t="s">
        <v>363</v>
      </c>
      <c r="D24" s="280" t="s">
        <v>358</v>
      </c>
      <c r="E24" s="294">
        <v>1</v>
      </c>
      <c r="F24" s="293"/>
      <c r="G24" s="296"/>
      <c r="H24" s="285"/>
      <c r="I24" s="287"/>
      <c r="J24" s="287"/>
      <c r="K24" s="287"/>
      <c r="L24" s="287">
        <v>53000</v>
      </c>
      <c r="M24" s="285"/>
      <c r="N24" s="77"/>
      <c r="O24" s="77"/>
      <c r="P24" s="77"/>
      <c r="Q24" s="288"/>
      <c r="R24" s="289">
        <f t="shared" si="6"/>
        <v>44537.815126050424</v>
      </c>
      <c r="S24" s="289">
        <f t="shared" si="7"/>
        <v>8462.1848739495799</v>
      </c>
      <c r="T24" s="290">
        <f t="shared" si="10"/>
        <v>53000</v>
      </c>
      <c r="U24" s="291">
        <f t="shared" si="11"/>
        <v>53000</v>
      </c>
      <c r="V24" s="1" t="s">
        <v>361</v>
      </c>
    </row>
    <row r="25" spans="1:103" ht="58">
      <c r="A25" s="280">
        <v>20</v>
      </c>
      <c r="B25" s="281" t="s">
        <v>311</v>
      </c>
      <c r="C25" s="282" t="s">
        <v>362</v>
      </c>
      <c r="D25" s="280" t="s">
        <v>358</v>
      </c>
      <c r="E25" s="294">
        <v>1</v>
      </c>
      <c r="F25" s="293"/>
      <c r="G25" s="296"/>
      <c r="H25" s="285"/>
      <c r="I25" s="287"/>
      <c r="J25" s="287"/>
      <c r="K25" s="287"/>
      <c r="L25" s="287">
        <v>200000</v>
      </c>
      <c r="M25" s="285"/>
      <c r="N25" s="77"/>
      <c r="O25" s="77"/>
      <c r="P25" s="77"/>
      <c r="Q25" s="288"/>
      <c r="R25" s="289">
        <f t="shared" si="6"/>
        <v>168067.22689075631</v>
      </c>
      <c r="S25" s="289">
        <f t="shared" si="7"/>
        <v>31932.773109243699</v>
      </c>
      <c r="T25" s="290">
        <f t="shared" si="10"/>
        <v>200000</v>
      </c>
      <c r="U25" s="291">
        <f t="shared" si="11"/>
        <v>200000</v>
      </c>
      <c r="V25" s="1" t="s">
        <v>361</v>
      </c>
    </row>
    <row r="26" spans="1:103" ht="58">
      <c r="A26" s="280">
        <v>21</v>
      </c>
      <c r="B26" s="281" t="s">
        <v>311</v>
      </c>
      <c r="C26" s="282" t="s">
        <v>360</v>
      </c>
      <c r="D26" s="280" t="s">
        <v>358</v>
      </c>
      <c r="E26" s="280">
        <v>1</v>
      </c>
      <c r="F26" s="297"/>
      <c r="G26" s="298">
        <v>900000</v>
      </c>
      <c r="H26" s="299"/>
      <c r="I26" s="300"/>
      <c r="J26" s="300"/>
      <c r="K26" s="300"/>
      <c r="L26" s="300"/>
      <c r="M26" s="298"/>
      <c r="N26" s="77"/>
      <c r="O26" s="77"/>
      <c r="P26" s="77"/>
      <c r="Q26" s="288"/>
      <c r="R26" s="289">
        <f t="shared" si="6"/>
        <v>756302.52100840339</v>
      </c>
      <c r="S26" s="289">
        <f t="shared" si="7"/>
        <v>143697.47899159664</v>
      </c>
      <c r="T26" s="290">
        <f>+G26</f>
        <v>900000</v>
      </c>
      <c r="U26" s="291">
        <f>+G26</f>
        <v>900000</v>
      </c>
      <c r="V26" s="301" t="s">
        <v>357</v>
      </c>
    </row>
    <row r="27" spans="1:103" ht="58">
      <c r="A27" s="280">
        <v>22</v>
      </c>
      <c r="B27" s="281" t="s">
        <v>311</v>
      </c>
      <c r="C27" s="282" t="s">
        <v>359</v>
      </c>
      <c r="D27" s="280" t="s">
        <v>358</v>
      </c>
      <c r="E27" s="280">
        <v>1</v>
      </c>
      <c r="F27" s="297"/>
      <c r="G27" s="298">
        <v>1134000</v>
      </c>
      <c r="H27" s="299"/>
      <c r="I27" s="300"/>
      <c r="J27" s="300"/>
      <c r="K27" s="300"/>
      <c r="L27" s="300"/>
      <c r="M27" s="298"/>
      <c r="N27" s="77"/>
      <c r="O27" s="77"/>
      <c r="P27" s="77"/>
      <c r="Q27" s="288"/>
      <c r="R27" s="289">
        <f t="shared" si="6"/>
        <v>952941.17647058831</v>
      </c>
      <c r="S27" s="289">
        <f t="shared" si="7"/>
        <v>181058.82352941178</v>
      </c>
      <c r="T27" s="290">
        <f>+G27</f>
        <v>1134000</v>
      </c>
      <c r="U27" s="291">
        <f>+G27</f>
        <v>1134000</v>
      </c>
      <c r="V27" s="301" t="s">
        <v>357</v>
      </c>
    </row>
    <row r="28" spans="1:103">
      <c r="A28" s="366" t="s">
        <v>12</v>
      </c>
      <c r="B28" s="367"/>
      <c r="C28" s="367"/>
      <c r="D28" s="367"/>
      <c r="E28" s="302"/>
      <c r="F28" s="303">
        <f t="shared" ref="F28:K28" si="12">+SUM(F6:F27)</f>
        <v>96000</v>
      </c>
      <c r="G28" s="303">
        <f t="shared" si="12"/>
        <v>2100640</v>
      </c>
      <c r="H28" s="303">
        <f t="shared" si="12"/>
        <v>66640</v>
      </c>
      <c r="I28" s="303">
        <f t="shared" si="12"/>
        <v>6151.5</v>
      </c>
      <c r="J28" s="303">
        <f t="shared" si="12"/>
        <v>5442</v>
      </c>
      <c r="K28" s="303">
        <f t="shared" si="12"/>
        <v>98948</v>
      </c>
      <c r="L28" s="303"/>
      <c r="M28" s="303">
        <f>+SUM(M6:M27)</f>
        <v>25774528</v>
      </c>
      <c r="N28" s="304"/>
      <c r="O28" s="304"/>
      <c r="P28" s="304"/>
      <c r="Q28" s="305"/>
      <c r="R28" s="305"/>
      <c r="S28" s="305"/>
      <c r="T28" s="306"/>
      <c r="U28" s="305">
        <f>SUM(U6:U27)</f>
        <v>28302359</v>
      </c>
      <c r="V28" s="305"/>
    </row>
    <row r="29" spans="1:103" ht="15" thickBot="1"/>
    <row r="30" spans="1:103" customFormat="1" ht="135.4" customHeight="1" thickBot="1">
      <c r="A30" s="368" t="s">
        <v>729</v>
      </c>
      <c r="B30" s="369"/>
      <c r="C30" s="369"/>
      <c r="D30" s="369"/>
      <c r="E30" s="369"/>
      <c r="F30" s="369"/>
      <c r="G30" s="370"/>
      <c r="H30" s="310"/>
      <c r="I30" s="310"/>
      <c r="J30" s="310"/>
      <c r="K30" s="310"/>
      <c r="L30" s="310"/>
      <c r="M30" s="310"/>
      <c r="N30" s="310"/>
      <c r="O30" s="310"/>
      <c r="P30" s="310"/>
      <c r="Q30" s="310"/>
      <c r="R30" s="310"/>
      <c r="S30" s="310"/>
      <c r="T30" s="310"/>
      <c r="U30" s="310"/>
      <c r="V30" s="310"/>
      <c r="W30" s="310"/>
      <c r="X30" s="310"/>
      <c r="Y30" s="310"/>
      <c r="Z30" s="310"/>
      <c r="AA30" s="310"/>
      <c r="AB30" s="310"/>
      <c r="AC30" s="310"/>
      <c r="AD30" s="310"/>
      <c r="AE30" s="310"/>
      <c r="AF30" s="310"/>
      <c r="AG30" s="310"/>
      <c r="AH30" s="310"/>
      <c r="AI30" s="310"/>
      <c r="AJ30" s="310"/>
      <c r="AK30" s="310"/>
      <c r="AL30" s="310"/>
      <c r="AM30" s="310"/>
      <c r="AN30" s="310"/>
      <c r="AO30" s="310"/>
      <c r="AP30" s="310"/>
      <c r="AQ30" s="310"/>
      <c r="AR30" s="310"/>
      <c r="AS30" s="310"/>
      <c r="AT30" s="310"/>
      <c r="AU30" s="310"/>
      <c r="AV30" s="310"/>
      <c r="AW30" s="310"/>
      <c r="AX30" s="310"/>
      <c r="AY30" s="310"/>
      <c r="AZ30" s="310"/>
      <c r="BA30" s="310"/>
      <c r="BB30" s="310"/>
      <c r="BC30" s="310"/>
      <c r="BD30" s="310"/>
      <c r="BE30" s="310"/>
      <c r="BF30" s="310"/>
      <c r="BG30" s="310"/>
      <c r="BH30" s="310"/>
      <c r="BI30" s="310"/>
      <c r="BJ30" s="310"/>
      <c r="BK30" s="310"/>
      <c r="BL30" s="310"/>
      <c r="BM30" s="310"/>
      <c r="BN30" s="310"/>
      <c r="BO30" s="310"/>
      <c r="BP30" s="310"/>
      <c r="BQ30" s="310"/>
      <c r="BR30" s="310"/>
      <c r="BS30" s="310"/>
      <c r="BT30" s="310"/>
      <c r="BU30" s="310"/>
      <c r="BV30" s="310"/>
      <c r="BW30" s="310"/>
      <c r="BX30" s="310"/>
      <c r="BY30" s="310"/>
      <c r="BZ30" s="310"/>
      <c r="CA30" s="310"/>
      <c r="CB30" s="310"/>
      <c r="CC30" s="310"/>
      <c r="CD30" s="310"/>
      <c r="CE30" s="310"/>
      <c r="CF30" s="310"/>
      <c r="CG30" s="310"/>
      <c r="CH30" s="310"/>
      <c r="CI30" s="310"/>
      <c r="CJ30" s="310"/>
      <c r="CK30" s="310"/>
      <c r="CL30" s="310"/>
      <c r="CM30" s="310"/>
      <c r="CN30" s="311"/>
      <c r="CO30" s="311"/>
      <c r="CP30" s="311"/>
      <c r="CQ30" s="312"/>
      <c r="CR30" s="311"/>
      <c r="CS30" s="311"/>
      <c r="CT30" s="311"/>
      <c r="CU30" s="311"/>
      <c r="CV30" s="313"/>
      <c r="CW30" s="313"/>
      <c r="CX30" s="313"/>
      <c r="CY30" s="313"/>
    </row>
  </sheetData>
  <mergeCells count="14">
    <mergeCell ref="N3:Q4"/>
    <mergeCell ref="R3:V4"/>
    <mergeCell ref="A28:D28"/>
    <mergeCell ref="A30:G30"/>
    <mergeCell ref="A1:V1"/>
    <mergeCell ref="A3:E4"/>
    <mergeCell ref="F3:F4"/>
    <mergeCell ref="G3:G4"/>
    <mergeCell ref="H3:H4"/>
    <mergeCell ref="I3:I4"/>
    <mergeCell ref="J3:J4"/>
    <mergeCell ref="K3:K4"/>
    <mergeCell ref="L3:L4"/>
    <mergeCell ref="M3:M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172D2-789F-47AF-BAD4-9CB9CBF18B40}">
  <dimension ref="A1:Y9"/>
  <sheetViews>
    <sheetView zoomScale="60" zoomScaleNormal="60" workbookViewId="0">
      <selection activeCell="C6" sqref="C6:C7"/>
    </sheetView>
  </sheetViews>
  <sheetFormatPr baseColWidth="10" defaultRowHeight="14.5"/>
  <cols>
    <col min="2" max="2" width="22.26953125" customWidth="1"/>
    <col min="3" max="3" width="87.26953125" customWidth="1"/>
    <col min="5" max="5" width="15.26953125" customWidth="1"/>
    <col min="6" max="6" width="13.7265625" customWidth="1"/>
    <col min="7" max="7" width="17" customWidth="1"/>
    <col min="8" max="8" width="15.453125" customWidth="1"/>
    <col min="9" max="9" width="20.26953125" customWidth="1"/>
    <col min="10" max="10" width="21.7265625" customWidth="1"/>
    <col min="11" max="11" width="14.453125" customWidth="1"/>
    <col min="12" max="12" width="14.7265625" customWidth="1"/>
    <col min="13" max="13" width="15.7265625" customWidth="1"/>
    <col min="14" max="14" width="17.54296875" customWidth="1"/>
    <col min="15" max="15" width="15.26953125" customWidth="1"/>
    <col min="16" max="16" width="18.26953125" customWidth="1"/>
    <col min="17" max="17" width="13.7265625" customWidth="1"/>
    <col min="18" max="18" width="14" customWidth="1"/>
    <col min="19" max="19" width="14.26953125" customWidth="1"/>
    <col min="20" max="20" width="13.54296875" customWidth="1"/>
    <col min="21" max="21" width="14.7265625" customWidth="1"/>
    <col min="22" max="23" width="18.26953125" customWidth="1"/>
    <col min="24" max="24" width="17.26953125" customWidth="1"/>
    <col min="25" max="25" width="34.7265625" customWidth="1"/>
  </cols>
  <sheetData>
    <row r="1" spans="1:25" ht="41.25" customHeight="1">
      <c r="A1" s="354" t="s">
        <v>736</v>
      </c>
      <c r="B1" s="355"/>
      <c r="C1" s="355"/>
      <c r="D1" s="355"/>
      <c r="E1" s="355"/>
    </row>
    <row r="2" spans="1:25" ht="44.25" customHeight="1">
      <c r="A2" s="354"/>
      <c r="B2" s="355"/>
      <c r="C2" s="355"/>
      <c r="D2" s="355"/>
      <c r="E2" s="355"/>
      <c r="F2" s="344" t="s">
        <v>877</v>
      </c>
      <c r="G2" s="344"/>
      <c r="H2" s="337" t="s">
        <v>878</v>
      </c>
      <c r="I2" s="337"/>
      <c r="J2" s="344" t="s">
        <v>879</v>
      </c>
      <c r="K2" s="344"/>
      <c r="L2" s="337" t="s">
        <v>880</v>
      </c>
      <c r="M2" s="337"/>
      <c r="N2" s="392" t="s">
        <v>881</v>
      </c>
      <c r="O2" s="392"/>
      <c r="P2" s="393" t="s">
        <v>882</v>
      </c>
      <c r="Q2" s="393"/>
      <c r="R2" s="394" t="s">
        <v>883</v>
      </c>
      <c r="S2" s="395"/>
      <c r="T2" s="395"/>
      <c r="U2" s="395"/>
      <c r="V2" s="396" t="s">
        <v>884</v>
      </c>
      <c r="W2" s="397"/>
      <c r="X2" s="397"/>
      <c r="Y2" s="397"/>
    </row>
    <row r="3" spans="1:25" ht="33.75" customHeight="1">
      <c r="A3" s="359" t="s">
        <v>0</v>
      </c>
      <c r="B3" s="360" t="s">
        <v>1</v>
      </c>
      <c r="C3" s="348" t="s">
        <v>2</v>
      </c>
      <c r="D3" s="347" t="s">
        <v>3</v>
      </c>
      <c r="E3" s="347" t="s">
        <v>176</v>
      </c>
      <c r="F3" s="389" t="s">
        <v>171</v>
      </c>
      <c r="G3" s="389" t="s">
        <v>181</v>
      </c>
      <c r="H3" s="389" t="s">
        <v>171</v>
      </c>
      <c r="I3" s="389" t="s">
        <v>181</v>
      </c>
      <c r="J3" s="389" t="s">
        <v>171</v>
      </c>
      <c r="K3" s="389" t="s">
        <v>181</v>
      </c>
      <c r="L3" s="389" t="s">
        <v>171</v>
      </c>
      <c r="M3" s="389" t="s">
        <v>181</v>
      </c>
      <c r="N3" s="389" t="s">
        <v>171</v>
      </c>
      <c r="O3" s="389" t="s">
        <v>181</v>
      </c>
      <c r="P3" s="389" t="s">
        <v>171</v>
      </c>
      <c r="Q3" s="389" t="s">
        <v>181</v>
      </c>
      <c r="R3" s="391" t="s">
        <v>885</v>
      </c>
      <c r="S3" s="391" t="s">
        <v>886</v>
      </c>
      <c r="T3" s="391" t="s">
        <v>887</v>
      </c>
      <c r="U3" s="387" t="s">
        <v>399</v>
      </c>
      <c r="V3" s="388" t="s">
        <v>398</v>
      </c>
      <c r="W3" s="388" t="s">
        <v>397</v>
      </c>
      <c r="X3" s="388" t="s">
        <v>396</v>
      </c>
      <c r="Y3" s="398" t="s">
        <v>395</v>
      </c>
    </row>
    <row r="4" spans="1:25" ht="32.25" customHeight="1">
      <c r="A4" s="359"/>
      <c r="B4" s="360"/>
      <c r="C4" s="348"/>
      <c r="D4" s="347"/>
      <c r="E4" s="347"/>
      <c r="F4" s="390"/>
      <c r="G4" s="390"/>
      <c r="H4" s="390"/>
      <c r="I4" s="390"/>
      <c r="J4" s="390"/>
      <c r="K4" s="390"/>
      <c r="L4" s="390"/>
      <c r="M4" s="390"/>
      <c r="N4" s="390"/>
      <c r="O4" s="390"/>
      <c r="P4" s="390"/>
      <c r="Q4" s="390"/>
      <c r="R4" s="391"/>
      <c r="S4" s="391"/>
      <c r="T4" s="391"/>
      <c r="U4" s="387"/>
      <c r="V4" s="388"/>
      <c r="W4" s="388"/>
      <c r="X4" s="388"/>
      <c r="Y4" s="398"/>
    </row>
    <row r="5" spans="1:25" ht="75" customHeight="1">
      <c r="A5" s="220">
        <v>1</v>
      </c>
      <c r="B5" s="221" t="s">
        <v>888</v>
      </c>
      <c r="C5" s="222" t="s">
        <v>889</v>
      </c>
      <c r="D5" s="223" t="s">
        <v>5</v>
      </c>
      <c r="E5" s="220">
        <v>1</v>
      </c>
      <c r="F5" s="224">
        <v>1200000</v>
      </c>
      <c r="G5" s="225">
        <f>((F5*5.1%)+F5)</f>
        <v>1261200</v>
      </c>
      <c r="H5" s="226">
        <v>1230000</v>
      </c>
      <c r="I5" s="225">
        <f>((H5*5.1%)+H5)</f>
        <v>1292730</v>
      </c>
      <c r="J5" s="226">
        <v>1250000</v>
      </c>
      <c r="K5" s="227">
        <f>((J5*5.1%)+J5)</f>
        <v>1313750</v>
      </c>
      <c r="L5" s="228"/>
      <c r="M5" s="228"/>
      <c r="N5" s="228"/>
      <c r="O5" s="228"/>
      <c r="P5" s="228"/>
      <c r="Q5" s="229"/>
      <c r="R5" s="230">
        <f t="shared" ref="R5:R8" si="0">+MEDIAN(G5,I5,K5,M5,O5,Q5)</f>
        <v>1292730</v>
      </c>
      <c r="S5" s="230">
        <f t="shared" ref="S5:S8" si="1">+AVERAGE(G5,I5,K5,M5,O5,Q5)</f>
        <v>1289226.6666666667</v>
      </c>
      <c r="T5" s="220">
        <f t="shared" ref="T5:T8" si="2">+STDEV(G5,I5,K5,M5,O5,Q5)</f>
        <v>26449.58663823186</v>
      </c>
      <c r="U5" s="231">
        <f t="shared" ref="U5:U8" si="3">+T5/S5</f>
        <v>2.0515854443670514E-2</v>
      </c>
      <c r="V5" s="232">
        <f t="shared" ref="V5:V9" si="4">+X5/1.19</f>
        <v>1083384.0336134455</v>
      </c>
      <c r="W5" s="232">
        <f t="shared" ref="W5:W9" si="5">+V5*19%</f>
        <v>205842.96638655465</v>
      </c>
      <c r="X5" s="233">
        <f t="shared" ref="X5:X8" si="6">ROUNDUP(IF(U5&lt;15%,S5,R5),0)</f>
        <v>1289227</v>
      </c>
      <c r="Y5" s="245" t="s">
        <v>731</v>
      </c>
    </row>
    <row r="6" spans="1:25" ht="108.75" customHeight="1">
      <c r="A6" s="220">
        <v>2</v>
      </c>
      <c r="B6" s="221" t="s">
        <v>890</v>
      </c>
      <c r="C6" s="452" t="s">
        <v>923</v>
      </c>
      <c r="D6" s="236" t="s">
        <v>5</v>
      </c>
      <c r="E6" s="220">
        <v>1</v>
      </c>
      <c r="F6" s="224">
        <v>3500000</v>
      </c>
      <c r="G6" s="237">
        <f>((F6*5.1%)+F6)</f>
        <v>3678500</v>
      </c>
      <c r="H6" s="224">
        <v>3500000</v>
      </c>
      <c r="I6" s="237">
        <f>((H6*5.1%)+H6)</f>
        <v>3678500</v>
      </c>
      <c r="J6" s="224">
        <v>3200000</v>
      </c>
      <c r="K6" s="238">
        <f>((J6*5.1%)+J6)</f>
        <v>3363200</v>
      </c>
      <c r="L6" s="228"/>
      <c r="M6" s="228"/>
      <c r="N6" s="228"/>
      <c r="O6" s="228"/>
      <c r="P6" s="228"/>
      <c r="Q6" s="229"/>
      <c r="R6" s="230">
        <f t="shared" si="0"/>
        <v>3678500</v>
      </c>
      <c r="S6" s="230">
        <f t="shared" si="1"/>
        <v>3573400</v>
      </c>
      <c r="T6" s="220">
        <f t="shared" si="2"/>
        <v>182038.53987548899</v>
      </c>
      <c r="U6" s="231">
        <f t="shared" si="3"/>
        <v>5.0942670810849328E-2</v>
      </c>
      <c r="V6" s="232">
        <f t="shared" si="4"/>
        <v>3002857.1428571432</v>
      </c>
      <c r="W6" s="232">
        <f t="shared" si="5"/>
        <v>570542.85714285716</v>
      </c>
      <c r="X6" s="233">
        <f t="shared" si="6"/>
        <v>3573400</v>
      </c>
      <c r="Y6" s="234" t="s">
        <v>731</v>
      </c>
    </row>
    <row r="7" spans="1:25" ht="127.5" customHeight="1">
      <c r="A7" s="220">
        <v>3</v>
      </c>
      <c r="B7" s="221" t="s">
        <v>891</v>
      </c>
      <c r="C7" s="452" t="s">
        <v>924</v>
      </c>
      <c r="D7" s="239" t="s">
        <v>28</v>
      </c>
      <c r="E7" s="220">
        <v>1</v>
      </c>
      <c r="F7" s="226">
        <v>450000</v>
      </c>
      <c r="G7" s="237">
        <f>((F7*5.1%)+F7)</f>
        <v>472950</v>
      </c>
      <c r="H7" s="226">
        <v>400000</v>
      </c>
      <c r="I7" s="237">
        <f>((H7*5.1%)+H7)</f>
        <v>420400</v>
      </c>
      <c r="J7" s="240">
        <v>450000</v>
      </c>
      <c r="K7" s="238">
        <f>((J7*5.1%)+J7)</f>
        <v>472950</v>
      </c>
      <c r="L7" s="228"/>
      <c r="M7" s="228"/>
      <c r="N7" s="228"/>
      <c r="O7" s="228"/>
      <c r="P7" s="228"/>
      <c r="Q7" s="229"/>
      <c r="R7" s="230">
        <f t="shared" si="0"/>
        <v>472950</v>
      </c>
      <c r="S7" s="230">
        <f t="shared" si="1"/>
        <v>455433.33333333331</v>
      </c>
      <c r="T7" s="220">
        <f t="shared" si="2"/>
        <v>30339.756645914833</v>
      </c>
      <c r="U7" s="231">
        <f t="shared" si="3"/>
        <v>6.6617338752649122E-2</v>
      </c>
      <c r="V7" s="232">
        <f t="shared" si="4"/>
        <v>382717.64705882355</v>
      </c>
      <c r="W7" s="232">
        <f t="shared" si="5"/>
        <v>72716.352941176476</v>
      </c>
      <c r="X7" s="233">
        <f t="shared" si="6"/>
        <v>455434</v>
      </c>
      <c r="Y7" s="234" t="s">
        <v>731</v>
      </c>
    </row>
    <row r="8" spans="1:25" ht="103.5" customHeight="1">
      <c r="A8" s="220">
        <v>4</v>
      </c>
      <c r="B8" s="221" t="s">
        <v>892</v>
      </c>
      <c r="C8" s="234" t="s">
        <v>893</v>
      </c>
      <c r="D8" s="239" t="s">
        <v>5</v>
      </c>
      <c r="E8" s="220">
        <v>1</v>
      </c>
      <c r="F8" s="224">
        <v>500000</v>
      </c>
      <c r="G8" s="237">
        <f>((F8*5.1%)+F8)</f>
        <v>525500</v>
      </c>
      <c r="H8" s="224">
        <v>500000</v>
      </c>
      <c r="I8" s="241">
        <f>((H8*5.1%)+H8)</f>
        <v>525500</v>
      </c>
      <c r="J8" s="228"/>
      <c r="K8" s="228"/>
      <c r="L8" s="228"/>
      <c r="M8" s="228"/>
      <c r="N8" s="228"/>
      <c r="O8" s="228"/>
      <c r="P8" s="228"/>
      <c r="Q8" s="228"/>
      <c r="R8" s="230">
        <f t="shared" si="0"/>
        <v>525500</v>
      </c>
      <c r="S8" s="230">
        <f t="shared" si="1"/>
        <v>525500</v>
      </c>
      <c r="T8" s="220">
        <f t="shared" si="2"/>
        <v>0</v>
      </c>
      <c r="U8" s="231">
        <f t="shared" si="3"/>
        <v>0</v>
      </c>
      <c r="V8" s="242">
        <f t="shared" si="4"/>
        <v>441596.63865546219</v>
      </c>
      <c r="W8" s="242">
        <f t="shared" si="5"/>
        <v>83903.361344537814</v>
      </c>
      <c r="X8" s="243">
        <f t="shared" si="6"/>
        <v>525500</v>
      </c>
      <c r="Y8" s="235" t="s">
        <v>731</v>
      </c>
    </row>
    <row r="9" spans="1:25" s="268" customFormat="1">
      <c r="A9" s="386" t="s">
        <v>12</v>
      </c>
      <c r="B9" s="386"/>
      <c r="C9" s="386"/>
      <c r="D9" s="386"/>
      <c r="E9" s="316"/>
      <c r="F9" s="317"/>
      <c r="G9" s="317"/>
      <c r="H9" s="317"/>
      <c r="I9" s="317"/>
      <c r="J9" s="317"/>
      <c r="K9" s="317"/>
      <c r="L9" s="317"/>
      <c r="M9" s="317"/>
      <c r="N9" s="318"/>
      <c r="O9" s="318"/>
      <c r="P9" s="318"/>
      <c r="Q9" s="319"/>
      <c r="R9" s="319"/>
      <c r="S9" s="319"/>
      <c r="T9" s="320"/>
      <c r="U9" s="319"/>
      <c r="V9" s="319">
        <f t="shared" si="4"/>
        <v>4910555.4621848743</v>
      </c>
      <c r="W9" s="321">
        <f t="shared" si="5"/>
        <v>933005.53781512612</v>
      </c>
      <c r="X9" s="322">
        <f>SUM(X5:X8)</f>
        <v>5843561</v>
      </c>
      <c r="Y9" s="321"/>
    </row>
  </sheetData>
  <autoFilter ref="A4:Y4" xr:uid="{A5C172D2-789F-47AF-BAD4-9CB9CBF18B40}"/>
  <mergeCells count="35">
    <mergeCell ref="X3:X4"/>
    <mergeCell ref="J2:K2"/>
    <mergeCell ref="L2:M2"/>
    <mergeCell ref="H3:H4"/>
    <mergeCell ref="I3:I4"/>
    <mergeCell ref="J3:J4"/>
    <mergeCell ref="K3:K4"/>
    <mergeCell ref="L3:L4"/>
    <mergeCell ref="N2:O2"/>
    <mergeCell ref="M3:M4"/>
    <mergeCell ref="P2:Q2"/>
    <mergeCell ref="R2:U2"/>
    <mergeCell ref="V2:Y2"/>
    <mergeCell ref="Y3:Y4"/>
    <mergeCell ref="N3:N4"/>
    <mergeCell ref="O3:O4"/>
    <mergeCell ref="A1:E2"/>
    <mergeCell ref="F2:G2"/>
    <mergeCell ref="H2:I2"/>
    <mergeCell ref="A3:A4"/>
    <mergeCell ref="B3:B4"/>
    <mergeCell ref="C3:C4"/>
    <mergeCell ref="D3:D4"/>
    <mergeCell ref="E3:E4"/>
    <mergeCell ref="A9:D9"/>
    <mergeCell ref="U3:U4"/>
    <mergeCell ref="V3:V4"/>
    <mergeCell ref="W3:W4"/>
    <mergeCell ref="P3:P4"/>
    <mergeCell ref="Q3:Q4"/>
    <mergeCell ref="R3:R4"/>
    <mergeCell ref="S3:S4"/>
    <mergeCell ref="T3:T4"/>
    <mergeCell ref="F3:F4"/>
    <mergeCell ref="G3:G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6E87B-2F0C-48E6-A404-A8EA0EB31225}">
  <dimension ref="A1:CE128"/>
  <sheetViews>
    <sheetView topLeftCell="A103" zoomScale="65" zoomScaleNormal="65" workbookViewId="0">
      <selection activeCell="A8" sqref="A8:E108"/>
    </sheetView>
  </sheetViews>
  <sheetFormatPr baseColWidth="10" defaultColWidth="11.453125" defaultRowHeight="15.5"/>
  <cols>
    <col min="1" max="1" width="9.26953125" style="16" customWidth="1"/>
    <col min="2" max="2" width="24" style="12" customWidth="1"/>
    <col min="3" max="3" width="50.26953125" style="17" customWidth="1"/>
    <col min="4" max="4" width="13.7265625" style="12" customWidth="1"/>
    <col min="5" max="5" width="25" style="12" customWidth="1"/>
    <col min="6" max="6" width="32.26953125" style="12" customWidth="1"/>
    <col min="7" max="7" width="24" style="16" customWidth="1"/>
    <col min="8" max="8" width="32.26953125" style="12" customWidth="1"/>
    <col min="9" max="9" width="24.26953125" style="12" customWidth="1"/>
    <col min="10" max="10" width="32.26953125" style="12" customWidth="1"/>
    <col min="11" max="11" width="24.26953125" style="12" customWidth="1"/>
    <col min="12" max="26" width="32.453125" style="12" customWidth="1"/>
    <col min="27" max="27" width="36" style="12" customWidth="1"/>
    <col min="28" max="70" width="32.453125" style="12" customWidth="1"/>
    <col min="71" max="71" width="20.7265625" style="14" customWidth="1"/>
    <col min="72" max="72" width="16.26953125" style="14" customWidth="1"/>
    <col min="73" max="73" width="25.453125" style="12" customWidth="1"/>
    <col min="74" max="74" width="26.26953125" style="16" customWidth="1"/>
    <col min="75" max="75" width="28" style="15" customWidth="1"/>
    <col min="76" max="76" width="27" style="12" bestFit="1" customWidth="1"/>
    <col min="77" max="77" width="28" style="15" bestFit="1" customWidth="1"/>
    <col min="78" max="78" width="52.453125" style="13" customWidth="1"/>
    <col min="79" max="16384" width="11.453125" style="12"/>
  </cols>
  <sheetData>
    <row r="1" spans="1:83" ht="16" thickBot="1">
      <c r="A1" s="412"/>
      <c r="B1" s="413"/>
      <c r="C1" s="414"/>
      <c r="D1" s="413"/>
      <c r="E1" s="413"/>
      <c r="F1" s="413"/>
      <c r="G1" s="413"/>
      <c r="H1" s="413"/>
      <c r="I1" s="413"/>
      <c r="J1" s="413"/>
      <c r="K1" s="413"/>
      <c r="L1" s="413"/>
      <c r="M1" s="413"/>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row>
    <row r="2" spans="1:83" ht="42" customHeight="1">
      <c r="A2" s="417" t="s">
        <v>686</v>
      </c>
      <c r="B2" s="418"/>
      <c r="C2" s="418"/>
      <c r="D2" s="418"/>
      <c r="E2" s="418"/>
      <c r="F2" s="418"/>
      <c r="G2" s="418"/>
      <c r="H2" s="418"/>
      <c r="I2" s="418"/>
      <c r="J2" s="418"/>
      <c r="K2" s="418"/>
      <c r="L2" s="418"/>
      <c r="M2" s="418"/>
      <c r="N2" s="418"/>
      <c r="O2" s="418"/>
      <c r="P2" s="418"/>
      <c r="Q2" s="418"/>
      <c r="R2" s="418"/>
      <c r="S2" s="418"/>
      <c r="T2" s="418"/>
      <c r="U2" s="418"/>
      <c r="V2" s="418"/>
      <c r="W2" s="418"/>
      <c r="X2" s="418"/>
      <c r="Y2" s="418"/>
      <c r="Z2" s="418"/>
      <c r="AA2" s="418"/>
      <c r="AB2" s="418"/>
      <c r="AC2" s="418"/>
      <c r="AD2" s="418"/>
      <c r="AE2" s="418"/>
      <c r="AF2" s="418"/>
      <c r="AG2" s="418"/>
      <c r="AH2" s="418"/>
      <c r="AI2" s="418"/>
      <c r="AJ2" s="418"/>
      <c r="AK2" s="418"/>
      <c r="AL2" s="418"/>
      <c r="AM2" s="418"/>
      <c r="AN2" s="418"/>
      <c r="AO2" s="418"/>
      <c r="AP2" s="418"/>
      <c r="AQ2" s="418"/>
      <c r="AR2" s="418"/>
      <c r="AS2" s="418"/>
      <c r="AT2" s="418"/>
      <c r="AU2" s="418"/>
      <c r="AV2" s="418"/>
      <c r="AW2" s="418"/>
      <c r="AX2" s="418"/>
      <c r="AY2" s="418"/>
      <c r="AZ2" s="418"/>
      <c r="BA2" s="418"/>
      <c r="BB2" s="418"/>
      <c r="BC2" s="418"/>
      <c r="BD2" s="418"/>
      <c r="BE2" s="418"/>
      <c r="BF2" s="418"/>
      <c r="BG2" s="418"/>
      <c r="BH2" s="418"/>
      <c r="BI2" s="418"/>
      <c r="BJ2" s="418"/>
      <c r="BK2" s="418"/>
      <c r="BL2" s="418"/>
      <c r="BM2" s="418"/>
      <c r="BN2" s="418"/>
      <c r="BO2" s="418"/>
      <c r="BP2" s="418"/>
      <c r="BQ2" s="418"/>
      <c r="BR2" s="418"/>
      <c r="BS2" s="418"/>
      <c r="BT2" s="418"/>
      <c r="BU2" s="418"/>
      <c r="BV2" s="418"/>
      <c r="BW2" s="418"/>
      <c r="BX2" s="418"/>
      <c r="BY2" s="418"/>
      <c r="BZ2" s="419"/>
    </row>
    <row r="3" spans="1:83" ht="28.5" customHeight="1">
      <c r="A3" s="420" t="s">
        <v>156</v>
      </c>
      <c r="B3" s="421"/>
      <c r="C3" s="421"/>
      <c r="D3" s="421"/>
      <c r="E3" s="421"/>
      <c r="F3" s="421"/>
      <c r="G3" s="421"/>
      <c r="H3" s="421"/>
      <c r="I3" s="421"/>
      <c r="J3" s="421"/>
      <c r="K3" s="421"/>
      <c r="L3" s="421"/>
      <c r="M3" s="421"/>
      <c r="N3" s="421"/>
      <c r="O3" s="421"/>
      <c r="P3" s="421"/>
      <c r="Q3" s="421"/>
      <c r="R3" s="421"/>
      <c r="S3" s="421"/>
      <c r="T3" s="421"/>
      <c r="U3" s="421"/>
      <c r="V3" s="421"/>
      <c r="W3" s="421"/>
      <c r="X3" s="421"/>
      <c r="Y3" s="421"/>
      <c r="Z3" s="421"/>
      <c r="AA3" s="421"/>
      <c r="AB3" s="421"/>
      <c r="AC3" s="421"/>
      <c r="AD3" s="421"/>
      <c r="AE3" s="421"/>
      <c r="AF3" s="421"/>
      <c r="AG3" s="421"/>
      <c r="AH3" s="421"/>
      <c r="AI3" s="421"/>
      <c r="AJ3" s="421"/>
      <c r="AK3" s="421"/>
      <c r="AL3" s="421"/>
      <c r="AM3" s="421"/>
      <c r="AN3" s="421"/>
      <c r="AO3" s="421"/>
      <c r="AP3" s="421"/>
      <c r="AQ3" s="421"/>
      <c r="AR3" s="421"/>
      <c r="AS3" s="421"/>
      <c r="AT3" s="421"/>
      <c r="AU3" s="421"/>
      <c r="AV3" s="421"/>
      <c r="AW3" s="421"/>
      <c r="AX3" s="421"/>
      <c r="AY3" s="421"/>
      <c r="AZ3" s="421"/>
      <c r="BA3" s="421"/>
      <c r="BB3" s="421"/>
      <c r="BC3" s="421"/>
      <c r="BD3" s="421"/>
      <c r="BE3" s="421"/>
      <c r="BF3" s="421"/>
      <c r="BG3" s="421"/>
      <c r="BH3" s="421"/>
      <c r="BI3" s="421"/>
      <c r="BJ3" s="421"/>
      <c r="BK3" s="421"/>
      <c r="BL3" s="421"/>
      <c r="BM3" s="421"/>
      <c r="BN3" s="421"/>
      <c r="BO3" s="421"/>
      <c r="BP3" s="421"/>
      <c r="BQ3" s="421"/>
      <c r="BR3" s="421"/>
      <c r="BS3" s="421"/>
      <c r="BT3" s="421"/>
      <c r="BU3" s="421"/>
      <c r="BV3" s="421"/>
      <c r="BW3" s="421"/>
      <c r="BX3" s="421"/>
      <c r="BY3" s="421"/>
      <c r="BZ3" s="422"/>
    </row>
    <row r="4" spans="1:83" ht="35.25" customHeight="1">
      <c r="A4" s="423"/>
      <c r="B4" s="424"/>
      <c r="C4" s="424"/>
      <c r="D4" s="424"/>
      <c r="E4" s="424"/>
      <c r="F4" s="424"/>
      <c r="G4" s="424"/>
      <c r="H4" s="424"/>
      <c r="I4" s="424"/>
      <c r="J4" s="424"/>
      <c r="K4" s="424"/>
      <c r="L4" s="424"/>
      <c r="M4" s="424"/>
      <c r="N4" s="424"/>
      <c r="O4" s="424"/>
      <c r="P4" s="424"/>
      <c r="Q4" s="424"/>
      <c r="R4" s="424"/>
      <c r="S4" s="424"/>
      <c r="T4" s="424"/>
      <c r="U4" s="424"/>
      <c r="V4" s="424"/>
      <c r="W4" s="424"/>
      <c r="X4" s="424"/>
      <c r="Y4" s="424"/>
      <c r="Z4" s="424"/>
      <c r="AA4" s="424"/>
      <c r="AB4" s="424"/>
      <c r="AC4" s="424"/>
      <c r="AD4" s="424"/>
      <c r="AE4" s="424"/>
      <c r="AF4" s="424"/>
      <c r="AG4" s="424"/>
      <c r="AH4" s="424"/>
      <c r="AI4" s="424"/>
      <c r="AJ4" s="424"/>
      <c r="AK4" s="424"/>
      <c r="AL4" s="424"/>
      <c r="AM4" s="424"/>
      <c r="AN4" s="424"/>
      <c r="AO4" s="424"/>
      <c r="AP4" s="424"/>
      <c r="AQ4" s="424"/>
      <c r="AR4" s="424"/>
      <c r="AS4" s="424"/>
      <c r="AT4" s="424"/>
      <c r="AU4" s="424"/>
      <c r="AV4" s="424"/>
      <c r="AW4" s="424"/>
      <c r="AX4" s="424"/>
      <c r="AY4" s="424"/>
      <c r="AZ4" s="424"/>
      <c r="BA4" s="424"/>
      <c r="BB4" s="424"/>
      <c r="BC4" s="424"/>
      <c r="BD4" s="424"/>
      <c r="BE4" s="424"/>
      <c r="BF4" s="424"/>
      <c r="BG4" s="424"/>
      <c r="BH4" s="424"/>
      <c r="BI4" s="424"/>
      <c r="BJ4" s="424"/>
      <c r="BK4" s="424"/>
      <c r="BL4" s="424"/>
      <c r="BM4" s="424"/>
      <c r="BN4" s="424"/>
      <c r="BO4" s="424"/>
      <c r="BP4" s="424"/>
      <c r="BQ4" s="424"/>
      <c r="BR4" s="424"/>
      <c r="BS4" s="424"/>
      <c r="BT4" s="424"/>
      <c r="BU4" s="424"/>
      <c r="BV4" s="424"/>
      <c r="BW4" s="424"/>
      <c r="BX4" s="424"/>
      <c r="BY4" s="424"/>
      <c r="BZ4" s="425"/>
    </row>
    <row r="5" spans="1:83" ht="47.65" customHeight="1">
      <c r="A5" s="415" t="s">
        <v>0</v>
      </c>
      <c r="B5" s="405" t="s">
        <v>1</v>
      </c>
      <c r="C5" s="416" t="s">
        <v>2</v>
      </c>
      <c r="D5" s="405" t="s">
        <v>3</v>
      </c>
      <c r="E5" s="405" t="s">
        <v>685</v>
      </c>
      <c r="F5" s="171" t="s">
        <v>684</v>
      </c>
      <c r="G5" s="57" t="s">
        <v>683</v>
      </c>
      <c r="H5" s="171" t="s">
        <v>682</v>
      </c>
      <c r="I5" s="57" t="s">
        <v>681</v>
      </c>
      <c r="J5" s="171" t="s">
        <v>680</v>
      </c>
      <c r="K5" s="57" t="s">
        <v>679</v>
      </c>
      <c r="L5" s="171" t="s">
        <v>678</v>
      </c>
      <c r="M5" s="57" t="s">
        <v>677</v>
      </c>
      <c r="N5" s="171" t="s">
        <v>676</v>
      </c>
      <c r="O5" s="403" t="s">
        <v>675</v>
      </c>
      <c r="P5" s="403"/>
      <c r="Q5" s="404" t="s">
        <v>674</v>
      </c>
      <c r="R5" s="404"/>
      <c r="S5" s="403" t="s">
        <v>673</v>
      </c>
      <c r="T5" s="403"/>
      <c r="U5" s="404" t="s">
        <v>672</v>
      </c>
      <c r="V5" s="404"/>
      <c r="W5" s="403" t="s">
        <v>671</v>
      </c>
      <c r="X5" s="403"/>
      <c r="Y5" s="404" t="s">
        <v>670</v>
      </c>
      <c r="Z5" s="404"/>
      <c r="AA5" s="404"/>
      <c r="AB5" s="403" t="s">
        <v>669</v>
      </c>
      <c r="AC5" s="403"/>
      <c r="AD5" s="403"/>
      <c r="AE5" s="404" t="s">
        <v>668</v>
      </c>
      <c r="AF5" s="404"/>
      <c r="AG5" s="404"/>
      <c r="AH5" s="403" t="s">
        <v>667</v>
      </c>
      <c r="AI5" s="403"/>
      <c r="AJ5" s="403"/>
      <c r="AK5" s="404" t="s">
        <v>666</v>
      </c>
      <c r="AL5" s="404"/>
      <c r="AM5" s="404"/>
      <c r="AN5" s="403" t="s">
        <v>665</v>
      </c>
      <c r="AO5" s="403"/>
      <c r="AP5" s="403"/>
      <c r="AQ5" s="404" t="s">
        <v>664</v>
      </c>
      <c r="AR5" s="404"/>
      <c r="AS5" s="404"/>
      <c r="AT5" s="403" t="s">
        <v>663</v>
      </c>
      <c r="AU5" s="403"/>
      <c r="AV5" s="403"/>
      <c r="AW5" s="404" t="s">
        <v>662</v>
      </c>
      <c r="AX5" s="404"/>
      <c r="AY5" s="404"/>
      <c r="AZ5" s="403" t="s">
        <v>661</v>
      </c>
      <c r="BA5" s="403"/>
      <c r="BB5" s="403"/>
      <c r="BC5" s="404" t="s">
        <v>660</v>
      </c>
      <c r="BD5" s="404"/>
      <c r="BE5" s="404"/>
      <c r="BF5" s="403" t="s">
        <v>659</v>
      </c>
      <c r="BG5" s="403"/>
      <c r="BH5" s="403"/>
      <c r="BI5" s="189" t="s">
        <v>658</v>
      </c>
      <c r="BJ5" s="189" t="s">
        <v>657</v>
      </c>
      <c r="BK5" s="189" t="s">
        <v>656</v>
      </c>
      <c r="BL5" s="406" t="s">
        <v>655</v>
      </c>
      <c r="BM5" s="406"/>
      <c r="BN5" s="410" t="s">
        <v>654</v>
      </c>
      <c r="BO5" s="410"/>
      <c r="BP5" s="411" t="s">
        <v>864</v>
      </c>
      <c r="BQ5" s="411"/>
      <c r="BR5" s="411"/>
      <c r="BS5" s="428" t="s">
        <v>157</v>
      </c>
      <c r="BT5" s="428"/>
      <c r="BU5" s="428"/>
      <c r="BV5" s="428"/>
      <c r="BW5" s="408" t="s">
        <v>159</v>
      </c>
      <c r="BX5" s="408" t="s">
        <v>160</v>
      </c>
      <c r="BY5" s="429" t="s">
        <v>158</v>
      </c>
      <c r="BZ5" s="427" t="s">
        <v>162</v>
      </c>
    </row>
    <row r="6" spans="1:83" ht="37.5" customHeight="1">
      <c r="A6" s="415"/>
      <c r="B6" s="405"/>
      <c r="C6" s="416"/>
      <c r="D6" s="405"/>
      <c r="E6" s="405"/>
      <c r="F6" s="171" t="s">
        <v>653</v>
      </c>
      <c r="G6" s="57" t="s">
        <v>652</v>
      </c>
      <c r="H6" s="171" t="s">
        <v>651</v>
      </c>
      <c r="I6" s="57" t="s">
        <v>650</v>
      </c>
      <c r="J6" s="171" t="s">
        <v>649</v>
      </c>
      <c r="K6" s="57" t="s">
        <v>648</v>
      </c>
      <c r="L6" s="171" t="s">
        <v>647</v>
      </c>
      <c r="M6" s="57" t="s">
        <v>646</v>
      </c>
      <c r="N6" s="171" t="s">
        <v>645</v>
      </c>
      <c r="O6" s="403" t="s">
        <v>644</v>
      </c>
      <c r="P6" s="403"/>
      <c r="Q6" s="404" t="s">
        <v>643</v>
      </c>
      <c r="R6" s="404"/>
      <c r="S6" s="403" t="s">
        <v>642</v>
      </c>
      <c r="T6" s="403"/>
      <c r="U6" s="404" t="s">
        <v>641</v>
      </c>
      <c r="V6" s="404"/>
      <c r="W6" s="403" t="s">
        <v>640</v>
      </c>
      <c r="X6" s="403"/>
      <c r="Y6" s="404" t="s">
        <v>639</v>
      </c>
      <c r="Z6" s="404"/>
      <c r="AA6" s="404"/>
      <c r="AB6" s="403" t="s">
        <v>638</v>
      </c>
      <c r="AC6" s="403"/>
      <c r="AD6" s="403"/>
      <c r="AE6" s="404" t="s">
        <v>637</v>
      </c>
      <c r="AF6" s="404"/>
      <c r="AG6" s="404"/>
      <c r="AH6" s="403" t="s">
        <v>636</v>
      </c>
      <c r="AI6" s="403"/>
      <c r="AJ6" s="403"/>
      <c r="AK6" s="404" t="s">
        <v>635</v>
      </c>
      <c r="AL6" s="404"/>
      <c r="AM6" s="404"/>
      <c r="AN6" s="403" t="s">
        <v>634</v>
      </c>
      <c r="AO6" s="403"/>
      <c r="AP6" s="403"/>
      <c r="AQ6" s="404" t="s">
        <v>633</v>
      </c>
      <c r="AR6" s="404"/>
      <c r="AS6" s="404"/>
      <c r="AT6" s="403" t="s">
        <v>632</v>
      </c>
      <c r="AU6" s="403"/>
      <c r="AV6" s="403"/>
      <c r="AW6" s="404" t="s">
        <v>631</v>
      </c>
      <c r="AX6" s="404"/>
      <c r="AY6" s="404"/>
      <c r="AZ6" s="403" t="s">
        <v>630</v>
      </c>
      <c r="BA6" s="403"/>
      <c r="BB6" s="403"/>
      <c r="BC6" s="404" t="s">
        <v>629</v>
      </c>
      <c r="BD6" s="404"/>
      <c r="BE6" s="404"/>
      <c r="BF6" s="403" t="s">
        <v>628</v>
      </c>
      <c r="BG6" s="403"/>
      <c r="BH6" s="403"/>
      <c r="BI6" s="189" t="s">
        <v>627</v>
      </c>
      <c r="BJ6" s="189" t="s">
        <v>626</v>
      </c>
      <c r="BK6" s="189" t="s">
        <v>625</v>
      </c>
      <c r="BL6" s="407"/>
      <c r="BM6" s="407"/>
      <c r="BN6" s="410"/>
      <c r="BO6" s="410"/>
      <c r="BP6" s="411"/>
      <c r="BQ6" s="411"/>
      <c r="BR6" s="411"/>
      <c r="BS6" s="409" t="s">
        <v>163</v>
      </c>
      <c r="BT6" s="409" t="s">
        <v>164</v>
      </c>
      <c r="BU6" s="426" t="s">
        <v>165</v>
      </c>
      <c r="BV6" s="426" t="s">
        <v>166</v>
      </c>
      <c r="BW6" s="408"/>
      <c r="BX6" s="408"/>
      <c r="BY6" s="429"/>
      <c r="BZ6" s="427"/>
    </row>
    <row r="7" spans="1:83" ht="66" customHeight="1">
      <c r="A7" s="415"/>
      <c r="B7" s="405"/>
      <c r="C7" s="416"/>
      <c r="D7" s="405"/>
      <c r="E7" s="405"/>
      <c r="F7" s="56" t="s">
        <v>624</v>
      </c>
      <c r="G7" s="56" t="s">
        <v>403</v>
      </c>
      <c r="H7" s="56" t="s">
        <v>624</v>
      </c>
      <c r="I7" s="56" t="s">
        <v>403</v>
      </c>
      <c r="J7" s="56" t="s">
        <v>624</v>
      </c>
      <c r="K7" s="56" t="s">
        <v>403</v>
      </c>
      <c r="L7" s="56" t="s">
        <v>624</v>
      </c>
      <c r="M7" s="56" t="s">
        <v>403</v>
      </c>
      <c r="N7" s="56" t="s">
        <v>624</v>
      </c>
      <c r="O7" s="172" t="s">
        <v>171</v>
      </c>
      <c r="P7" s="173" t="s">
        <v>623</v>
      </c>
      <c r="Q7" s="172" t="s">
        <v>171</v>
      </c>
      <c r="R7" s="173" t="s">
        <v>623</v>
      </c>
      <c r="S7" s="172" t="s">
        <v>171</v>
      </c>
      <c r="T7" s="173" t="s">
        <v>623</v>
      </c>
      <c r="U7" s="172" t="s">
        <v>171</v>
      </c>
      <c r="V7" s="173" t="s">
        <v>623</v>
      </c>
      <c r="W7" s="172" t="s">
        <v>171</v>
      </c>
      <c r="X7" s="173" t="s">
        <v>623</v>
      </c>
      <c r="Y7" s="55" t="s">
        <v>622</v>
      </c>
      <c r="Z7" s="55" t="s">
        <v>621</v>
      </c>
      <c r="AA7" s="55" t="s">
        <v>620</v>
      </c>
      <c r="AB7" s="55" t="s">
        <v>622</v>
      </c>
      <c r="AC7" s="55" t="s">
        <v>621</v>
      </c>
      <c r="AD7" s="55" t="s">
        <v>620</v>
      </c>
      <c r="AE7" s="55" t="s">
        <v>622</v>
      </c>
      <c r="AF7" s="55" t="s">
        <v>621</v>
      </c>
      <c r="AG7" s="55" t="s">
        <v>620</v>
      </c>
      <c r="AH7" s="55" t="s">
        <v>622</v>
      </c>
      <c r="AI7" s="55" t="s">
        <v>621</v>
      </c>
      <c r="AJ7" s="55" t="s">
        <v>620</v>
      </c>
      <c r="AK7" s="55" t="s">
        <v>622</v>
      </c>
      <c r="AL7" s="55" t="s">
        <v>621</v>
      </c>
      <c r="AM7" s="55" t="s">
        <v>620</v>
      </c>
      <c r="AN7" s="55" t="s">
        <v>622</v>
      </c>
      <c r="AO7" s="55" t="s">
        <v>621</v>
      </c>
      <c r="AP7" s="55" t="s">
        <v>620</v>
      </c>
      <c r="AQ7" s="55" t="s">
        <v>622</v>
      </c>
      <c r="AR7" s="55" t="s">
        <v>621</v>
      </c>
      <c r="AS7" s="55" t="s">
        <v>620</v>
      </c>
      <c r="AT7" s="55" t="s">
        <v>622</v>
      </c>
      <c r="AU7" s="55" t="s">
        <v>621</v>
      </c>
      <c r="AV7" s="55" t="s">
        <v>620</v>
      </c>
      <c r="AW7" s="55" t="s">
        <v>622</v>
      </c>
      <c r="AX7" s="55" t="s">
        <v>621</v>
      </c>
      <c r="AY7" s="55" t="s">
        <v>620</v>
      </c>
      <c r="AZ7" s="55" t="s">
        <v>622</v>
      </c>
      <c r="BA7" s="55" t="s">
        <v>621</v>
      </c>
      <c r="BB7" s="55" t="s">
        <v>620</v>
      </c>
      <c r="BC7" s="55" t="s">
        <v>622</v>
      </c>
      <c r="BD7" s="55" t="s">
        <v>621</v>
      </c>
      <c r="BE7" s="55" t="s">
        <v>620</v>
      </c>
      <c r="BF7" s="55" t="s">
        <v>622</v>
      </c>
      <c r="BG7" s="55" t="s">
        <v>621</v>
      </c>
      <c r="BH7" s="55" t="s">
        <v>620</v>
      </c>
      <c r="BI7" s="53" t="s">
        <v>619</v>
      </c>
      <c r="BJ7" s="54" t="s">
        <v>619</v>
      </c>
      <c r="BK7" s="53" t="s">
        <v>619</v>
      </c>
      <c r="BL7" s="172" t="s">
        <v>171</v>
      </c>
      <c r="BM7" s="173" t="s">
        <v>623</v>
      </c>
      <c r="BN7" s="172" t="s">
        <v>171</v>
      </c>
      <c r="BO7" s="173" t="s">
        <v>623</v>
      </c>
      <c r="BP7" s="55" t="s">
        <v>622</v>
      </c>
      <c r="BQ7" s="55" t="s">
        <v>621</v>
      </c>
      <c r="BR7" s="55" t="s">
        <v>620</v>
      </c>
      <c r="BS7" s="409"/>
      <c r="BT7" s="409"/>
      <c r="BU7" s="426"/>
      <c r="BV7" s="426"/>
      <c r="BW7" s="408"/>
      <c r="BX7" s="408"/>
      <c r="BY7" s="429"/>
      <c r="BZ7" s="427"/>
    </row>
    <row r="8" spans="1:83" s="19" customFormat="1" ht="65">
      <c r="A8" s="179">
        <v>1</v>
      </c>
      <c r="B8" s="28" t="s">
        <v>618</v>
      </c>
      <c r="C8" s="35" t="s">
        <v>617</v>
      </c>
      <c r="D8" s="28" t="s">
        <v>6</v>
      </c>
      <c r="E8" s="48">
        <v>1</v>
      </c>
      <c r="F8" s="27"/>
      <c r="G8" s="26"/>
      <c r="H8" s="26"/>
      <c r="I8" s="26"/>
      <c r="J8" s="26"/>
      <c r="K8" s="26"/>
      <c r="L8" s="26"/>
      <c r="M8" s="26">
        <f>[1]PAPELERIA!G7</f>
        <v>72400</v>
      </c>
      <c r="N8" s="26">
        <v>72400</v>
      </c>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c r="BS8" s="25">
        <f>MEDIAN(F8:N8)</f>
        <v>72400</v>
      </c>
      <c r="BT8" s="25">
        <f>AVERAGE(F8:N8)</f>
        <v>72400</v>
      </c>
      <c r="BU8" s="24">
        <f>STDEV(F8:N8)</f>
        <v>0</v>
      </c>
      <c r="BV8" s="23">
        <f t="shared" ref="BV8:BV39" si="0">BU8/BT8</f>
        <v>0</v>
      </c>
      <c r="BW8" s="22">
        <f t="shared" ref="BW8:BW25" si="1">+BY8/1.19</f>
        <v>60840.336134453784</v>
      </c>
      <c r="BX8" s="21">
        <f t="shared" ref="BX8:BX25" si="2">+BW8*19%</f>
        <v>11559.663865546219</v>
      </c>
      <c r="BY8" s="170">
        <f t="shared" ref="BY8:BY25" si="3">ROUNDUP(IF(BV8&lt;15%,BT8,BS8),0)</f>
        <v>72400</v>
      </c>
      <c r="BZ8" s="180" t="s">
        <v>167</v>
      </c>
      <c r="CA8" s="20"/>
      <c r="CB8" s="20"/>
      <c r="CC8" s="20"/>
      <c r="CD8" s="20"/>
      <c r="CE8" s="20"/>
    </row>
    <row r="9" spans="1:83" s="19" customFormat="1" ht="29">
      <c r="A9" s="179">
        <v>2</v>
      </c>
      <c r="B9" s="28" t="s">
        <v>616</v>
      </c>
      <c r="C9" s="33" t="s">
        <v>615</v>
      </c>
      <c r="D9" s="28" t="s">
        <v>444</v>
      </c>
      <c r="E9" s="48">
        <v>1</v>
      </c>
      <c r="F9" s="27"/>
      <c r="G9" s="26"/>
      <c r="H9" s="26"/>
      <c r="I9" s="26">
        <v>9400</v>
      </c>
      <c r="J9" s="26"/>
      <c r="K9" s="26">
        <v>6295</v>
      </c>
      <c r="L9" s="26">
        <v>5720</v>
      </c>
      <c r="M9" s="26">
        <f>[1]PAPELERIA!G8</f>
        <v>9500</v>
      </c>
      <c r="N9" s="26"/>
      <c r="O9" s="26"/>
      <c r="P9" s="26"/>
      <c r="Q9" s="26"/>
      <c r="R9" s="26"/>
      <c r="S9" s="26"/>
      <c r="T9" s="26"/>
      <c r="U9" s="26"/>
      <c r="V9" s="26"/>
      <c r="W9" s="26"/>
      <c r="X9" s="26"/>
      <c r="Y9" s="26"/>
      <c r="Z9" s="26"/>
      <c r="AA9" s="26"/>
      <c r="AB9" s="26"/>
      <c r="AC9" s="26"/>
      <c r="AD9" s="26"/>
      <c r="AE9" s="26"/>
      <c r="AF9" s="26"/>
      <c r="AG9" s="26"/>
      <c r="AH9" s="26"/>
      <c r="AI9" s="26"/>
      <c r="AJ9" s="26"/>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26"/>
      <c r="BM9" s="26"/>
      <c r="BN9" s="26"/>
      <c r="BO9" s="26"/>
      <c r="BP9" s="26"/>
      <c r="BQ9" s="26"/>
      <c r="BR9" s="26"/>
      <c r="BS9" s="25">
        <f>MEDIAN(F9:M9)</f>
        <v>7847.5</v>
      </c>
      <c r="BT9" s="25">
        <f>AVERAGE(F9:M9)</f>
        <v>7728.75</v>
      </c>
      <c r="BU9" s="24">
        <f>STDEV(F9:M9)</f>
        <v>2001.7591222055999</v>
      </c>
      <c r="BV9" s="23">
        <f t="shared" si="0"/>
        <v>0.2590016654964386</v>
      </c>
      <c r="BW9" s="22">
        <f t="shared" si="1"/>
        <v>6594.9579831932779</v>
      </c>
      <c r="BX9" s="21">
        <f t="shared" si="2"/>
        <v>1253.0420168067228</v>
      </c>
      <c r="BY9" s="170">
        <f t="shared" si="3"/>
        <v>7848</v>
      </c>
      <c r="BZ9" s="180" t="s">
        <v>168</v>
      </c>
      <c r="CA9" s="20"/>
      <c r="CB9" s="20"/>
      <c r="CC9" s="20"/>
      <c r="CD9" s="20"/>
      <c r="CE9" s="20"/>
    </row>
    <row r="10" spans="1:83" s="19" customFormat="1" ht="30" customHeight="1">
      <c r="A10" s="179">
        <v>3</v>
      </c>
      <c r="B10" s="28" t="s">
        <v>614</v>
      </c>
      <c r="C10" s="33" t="s">
        <v>613</v>
      </c>
      <c r="D10" s="28" t="s">
        <v>6</v>
      </c>
      <c r="E10" s="48">
        <v>1</v>
      </c>
      <c r="F10" s="27"/>
      <c r="G10" s="26"/>
      <c r="H10" s="26"/>
      <c r="I10" s="26">
        <v>1500</v>
      </c>
      <c r="J10" s="26"/>
      <c r="K10" s="26"/>
      <c r="L10" s="26"/>
      <c r="M10" s="26">
        <f>[1]PAPELERIA!G9</f>
        <v>1100</v>
      </c>
      <c r="N10" s="26"/>
      <c r="O10" s="26"/>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6"/>
      <c r="AU10" s="26"/>
      <c r="AV10" s="26"/>
      <c r="AW10" s="26"/>
      <c r="AX10" s="26"/>
      <c r="AY10" s="26"/>
      <c r="AZ10" s="26"/>
      <c r="BA10" s="26"/>
      <c r="BB10" s="26"/>
      <c r="BC10" s="26"/>
      <c r="BD10" s="26"/>
      <c r="BE10" s="26"/>
      <c r="BF10" s="26"/>
      <c r="BG10" s="26"/>
      <c r="BH10" s="26"/>
      <c r="BI10" s="26"/>
      <c r="BJ10" s="26"/>
      <c r="BK10" s="26"/>
      <c r="BL10" s="26"/>
      <c r="BM10" s="26"/>
      <c r="BN10" s="26"/>
      <c r="BO10" s="26"/>
      <c r="BP10" s="26"/>
      <c r="BQ10" s="26"/>
      <c r="BR10" s="26"/>
      <c r="BS10" s="25">
        <f>MEDIAN(F10:M10)</f>
        <v>1300</v>
      </c>
      <c r="BT10" s="25">
        <f>AVERAGE(F10:M10)</f>
        <v>1300</v>
      </c>
      <c r="BU10" s="24">
        <f>STDEV(F10:M10)</f>
        <v>282.84271247461902</v>
      </c>
      <c r="BV10" s="23">
        <f t="shared" si="0"/>
        <v>0.21757131728816848</v>
      </c>
      <c r="BW10" s="22">
        <f t="shared" si="1"/>
        <v>1092.4369747899161</v>
      </c>
      <c r="BX10" s="21">
        <f t="shared" si="2"/>
        <v>207.56302521008408</v>
      </c>
      <c r="BY10" s="170">
        <f t="shared" si="3"/>
        <v>1300</v>
      </c>
      <c r="BZ10" s="180" t="s">
        <v>168</v>
      </c>
      <c r="CA10" s="20"/>
      <c r="CB10" s="20"/>
      <c r="CC10" s="20"/>
      <c r="CD10" s="20"/>
      <c r="CE10" s="20"/>
    </row>
    <row r="11" spans="1:83" s="19" customFormat="1" ht="72.5">
      <c r="A11" s="179">
        <v>4</v>
      </c>
      <c r="B11" s="52" t="s">
        <v>612</v>
      </c>
      <c r="C11" s="52" t="s">
        <v>611</v>
      </c>
      <c r="D11" s="28" t="s">
        <v>444</v>
      </c>
      <c r="E11" s="48">
        <v>1</v>
      </c>
      <c r="F11" s="27"/>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c r="AM11" s="26"/>
      <c r="AN11" s="26"/>
      <c r="AO11" s="26"/>
      <c r="AP11" s="26"/>
      <c r="AQ11" s="26"/>
      <c r="AR11" s="26"/>
      <c r="AS11" s="26"/>
      <c r="AT11" s="26"/>
      <c r="AU11" s="26"/>
      <c r="AV11" s="26"/>
      <c r="AW11" s="26"/>
      <c r="AX11" s="26"/>
      <c r="AY11" s="26"/>
      <c r="AZ11" s="26"/>
      <c r="BA11" s="26"/>
      <c r="BB11" s="26"/>
      <c r="BC11" s="26"/>
      <c r="BD11" s="26"/>
      <c r="BE11" s="26"/>
      <c r="BF11" s="26"/>
      <c r="BG11" s="26"/>
      <c r="BH11" s="26"/>
      <c r="BI11" s="51">
        <v>16000</v>
      </c>
      <c r="BJ11" s="174">
        <v>14500</v>
      </c>
      <c r="BK11" s="51">
        <v>15000</v>
      </c>
      <c r="BL11" s="51"/>
      <c r="BM11" s="51"/>
      <c r="BN11" s="51"/>
      <c r="BO11" s="51"/>
      <c r="BP11" s="51"/>
      <c r="BQ11" s="51"/>
      <c r="BR11" s="51"/>
      <c r="BS11" s="25">
        <f>MEDIAN(BI11,BJ11,BK11)</f>
        <v>15000</v>
      </c>
      <c r="BT11" s="25">
        <f>AVERAGE(BI11,BJ11,BK11)</f>
        <v>15166.666666666666</v>
      </c>
      <c r="BU11" s="24">
        <f>STDEV(BI11,BJ11,BK11)</f>
        <v>763.76261582597328</v>
      </c>
      <c r="BV11" s="23">
        <f t="shared" si="0"/>
        <v>5.0357974669844395E-2</v>
      </c>
      <c r="BW11" s="22">
        <f t="shared" si="1"/>
        <v>12745.378151260506</v>
      </c>
      <c r="BX11" s="21">
        <f t="shared" si="2"/>
        <v>2421.6218487394963</v>
      </c>
      <c r="BY11" s="170">
        <f t="shared" si="3"/>
        <v>15167</v>
      </c>
      <c r="BZ11" s="180" t="s">
        <v>167</v>
      </c>
      <c r="CA11" s="20"/>
      <c r="CB11" s="20"/>
      <c r="CC11" s="20"/>
      <c r="CD11" s="20"/>
      <c r="CE11" s="20"/>
    </row>
    <row r="12" spans="1:83" s="19" customFormat="1" ht="52">
      <c r="A12" s="179">
        <v>5</v>
      </c>
      <c r="B12" s="42" t="s">
        <v>610</v>
      </c>
      <c r="C12" s="35" t="s">
        <v>609</v>
      </c>
      <c r="D12" s="28" t="s">
        <v>444</v>
      </c>
      <c r="E12" s="48">
        <v>1</v>
      </c>
      <c r="F12" s="27"/>
      <c r="G12" s="26"/>
      <c r="H12" s="26"/>
      <c r="I12" s="26"/>
      <c r="J12" s="26"/>
      <c r="K12" s="26"/>
      <c r="L12" s="26"/>
      <c r="M12" s="26"/>
      <c r="N12" s="26"/>
      <c r="O12" s="50">
        <v>4202</v>
      </c>
      <c r="P12" s="175">
        <f>((O12*5.1%)+O12)</f>
        <v>4416.3019999999997</v>
      </c>
      <c r="Q12" s="50">
        <v>3200</v>
      </c>
      <c r="R12" s="50">
        <f>((Q12*5.1%)+Q12)</f>
        <v>3363.2</v>
      </c>
      <c r="S12" s="50">
        <v>3415</v>
      </c>
      <c r="T12" s="50">
        <f>((S12*5.1%)+S12)</f>
        <v>3589.165</v>
      </c>
      <c r="U12" s="50">
        <v>3800</v>
      </c>
      <c r="V12" s="50">
        <v>3993.8</v>
      </c>
      <c r="W12" s="50"/>
      <c r="X12" s="50"/>
      <c r="Y12" s="50"/>
      <c r="Z12" s="50"/>
      <c r="AA12" s="50"/>
      <c r="AB12" s="50"/>
      <c r="AC12" s="50"/>
      <c r="AD12" s="50"/>
      <c r="AE12" s="50"/>
      <c r="AF12" s="50"/>
      <c r="AG12" s="50"/>
      <c r="AH12" s="50"/>
      <c r="AI12" s="50"/>
      <c r="AJ12" s="50"/>
      <c r="AK12" s="50"/>
      <c r="AL12" s="50"/>
      <c r="AM12" s="50"/>
      <c r="AN12" s="50"/>
      <c r="AO12" s="50"/>
      <c r="AP12" s="50"/>
      <c r="AQ12" s="50"/>
      <c r="AR12" s="50"/>
      <c r="AS12" s="50"/>
      <c r="AT12" s="50"/>
      <c r="AU12" s="50"/>
      <c r="AV12" s="50"/>
      <c r="AW12" s="50"/>
      <c r="AX12" s="50"/>
      <c r="AY12" s="50"/>
      <c r="AZ12" s="50"/>
      <c r="BA12" s="50"/>
      <c r="BB12" s="50"/>
      <c r="BC12" s="50"/>
      <c r="BD12" s="50"/>
      <c r="BE12" s="50"/>
      <c r="BF12" s="50"/>
      <c r="BG12" s="50"/>
      <c r="BH12" s="50"/>
      <c r="BI12" s="50"/>
      <c r="BJ12" s="50"/>
      <c r="BK12" s="50"/>
      <c r="BL12" s="50"/>
      <c r="BM12" s="50"/>
      <c r="BN12" s="50"/>
      <c r="BO12" s="50"/>
      <c r="BP12" s="50"/>
      <c r="BQ12" s="50"/>
      <c r="BR12" s="50"/>
      <c r="BS12" s="25">
        <f>MEDIAN(P12,R12,T12,V12,X12)</f>
        <v>3791.4825000000001</v>
      </c>
      <c r="BT12" s="25">
        <f>AVERAGE(P12,R12,T12,V12,X12)</f>
        <v>3840.6167500000001</v>
      </c>
      <c r="BU12" s="24">
        <f>STDEV(P12,R12,T12,V12,X12)</f>
        <v>464.05220644044806</v>
      </c>
      <c r="BV12" s="23">
        <f t="shared" si="0"/>
        <v>0.12082752241302079</v>
      </c>
      <c r="BW12" s="22">
        <f t="shared" si="1"/>
        <v>3227.7310924369749</v>
      </c>
      <c r="BX12" s="21">
        <f t="shared" si="2"/>
        <v>613.26890756302521</v>
      </c>
      <c r="BY12" s="170">
        <f t="shared" si="3"/>
        <v>3841</v>
      </c>
      <c r="BZ12" s="180" t="s">
        <v>167</v>
      </c>
      <c r="CA12" s="20"/>
      <c r="CB12" s="20"/>
      <c r="CC12" s="20"/>
      <c r="CD12" s="20"/>
      <c r="CE12" s="20"/>
    </row>
    <row r="13" spans="1:83" s="19" customFormat="1" ht="52.5" customHeight="1">
      <c r="A13" s="179">
        <v>6</v>
      </c>
      <c r="B13" s="42" t="s">
        <v>608</v>
      </c>
      <c r="C13" s="33" t="s">
        <v>607</v>
      </c>
      <c r="D13" s="28" t="s">
        <v>6</v>
      </c>
      <c r="E13" s="48">
        <v>1</v>
      </c>
      <c r="F13" s="27"/>
      <c r="G13" s="26"/>
      <c r="H13" s="26"/>
      <c r="I13" s="26"/>
      <c r="J13" s="26">
        <f>[2]PAPELERIA!I12</f>
        <v>7000</v>
      </c>
      <c r="K13" s="26"/>
      <c r="L13" s="26">
        <v>6360</v>
      </c>
      <c r="M13" s="26">
        <f>[1]PAPELERIA!G12</f>
        <v>9200</v>
      </c>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6"/>
      <c r="AZ13" s="26"/>
      <c r="BA13" s="26"/>
      <c r="BB13" s="26"/>
      <c r="BC13" s="26"/>
      <c r="BD13" s="26"/>
      <c r="BE13" s="26"/>
      <c r="BF13" s="26"/>
      <c r="BG13" s="26"/>
      <c r="BH13" s="26"/>
      <c r="BI13" s="26"/>
      <c r="BJ13" s="26"/>
      <c r="BK13" s="26"/>
      <c r="BL13" s="26"/>
      <c r="BM13" s="26"/>
      <c r="BN13" s="26"/>
      <c r="BO13" s="26"/>
      <c r="BP13" s="26"/>
      <c r="BQ13" s="26"/>
      <c r="BR13" s="26"/>
      <c r="BS13" s="25">
        <f>MEDIAN(F13:M13)</f>
        <v>7000</v>
      </c>
      <c r="BT13" s="25">
        <f>AVERAGE(F13:M13)</f>
        <v>7520</v>
      </c>
      <c r="BU13" s="24">
        <f>STDEV(F13:M13)</f>
        <v>1489.6979559628858</v>
      </c>
      <c r="BV13" s="23">
        <f t="shared" si="0"/>
        <v>0.1980981324418731</v>
      </c>
      <c r="BW13" s="22">
        <f t="shared" si="1"/>
        <v>5882.3529411764712</v>
      </c>
      <c r="BX13" s="21">
        <f t="shared" si="2"/>
        <v>1117.6470588235295</v>
      </c>
      <c r="BY13" s="170">
        <f t="shared" si="3"/>
        <v>7000</v>
      </c>
      <c r="BZ13" s="180" t="s">
        <v>168</v>
      </c>
      <c r="CA13" s="20"/>
      <c r="CB13" s="20"/>
      <c r="CC13" s="20"/>
      <c r="CD13" s="20"/>
      <c r="CE13" s="20"/>
    </row>
    <row r="14" spans="1:83" s="19" customFormat="1" ht="29">
      <c r="A14" s="179">
        <v>7</v>
      </c>
      <c r="B14" s="42" t="s">
        <v>606</v>
      </c>
      <c r="C14" s="33" t="s">
        <v>605</v>
      </c>
      <c r="D14" s="28" t="s">
        <v>444</v>
      </c>
      <c r="E14" s="48">
        <v>1</v>
      </c>
      <c r="F14" s="27">
        <v>3500</v>
      </c>
      <c r="G14" s="26"/>
      <c r="H14" s="26"/>
      <c r="I14" s="26"/>
      <c r="J14" s="26"/>
      <c r="K14" s="26"/>
      <c r="L14" s="26"/>
      <c r="M14" s="26"/>
      <c r="N14" s="26"/>
      <c r="O14" s="26">
        <v>2521</v>
      </c>
      <c r="P14" s="26">
        <v>2649.5709999999999</v>
      </c>
      <c r="Q14" s="26">
        <v>2200</v>
      </c>
      <c r="R14" s="26">
        <v>2312.1999999999998</v>
      </c>
      <c r="S14" s="26"/>
      <c r="T14" s="26"/>
      <c r="U14" s="26"/>
      <c r="V14" s="26"/>
      <c r="W14" s="26"/>
      <c r="X14" s="26"/>
      <c r="Y14" s="26"/>
      <c r="Z14" s="26"/>
      <c r="AA14" s="26"/>
      <c r="AB14" s="26"/>
      <c r="AC14" s="26"/>
      <c r="AD14" s="26"/>
      <c r="AE14" s="26"/>
      <c r="AF14" s="26"/>
      <c r="AG14" s="26"/>
      <c r="AH14" s="26"/>
      <c r="AI14" s="26"/>
      <c r="AJ14" s="26"/>
      <c r="AK14" s="26"/>
      <c r="AL14" s="26"/>
      <c r="AM14" s="26"/>
      <c r="AN14" s="26"/>
      <c r="AO14" s="26"/>
      <c r="AP14" s="26"/>
      <c r="AQ14" s="26"/>
      <c r="AR14" s="26"/>
      <c r="AS14" s="26"/>
      <c r="AT14" s="26"/>
      <c r="AU14" s="26"/>
      <c r="AV14" s="26"/>
      <c r="AW14" s="26"/>
      <c r="AX14" s="26"/>
      <c r="AY14" s="26"/>
      <c r="AZ14" s="26"/>
      <c r="BA14" s="26"/>
      <c r="BB14" s="26"/>
      <c r="BC14" s="26"/>
      <c r="BD14" s="26"/>
      <c r="BE14" s="26"/>
      <c r="BF14" s="26"/>
      <c r="BG14" s="26"/>
      <c r="BH14" s="26"/>
      <c r="BI14" s="26"/>
      <c r="BJ14" s="26"/>
      <c r="BK14" s="26"/>
      <c r="BL14" s="26"/>
      <c r="BM14" s="26"/>
      <c r="BN14" s="26"/>
      <c r="BO14" s="26"/>
      <c r="BP14" s="26"/>
      <c r="BQ14" s="26"/>
      <c r="BR14" s="26"/>
      <c r="BS14" s="25">
        <f>MEDIAN(F14,P14,R14)</f>
        <v>2649.5709999999999</v>
      </c>
      <c r="BT14" s="25">
        <f>AVERAGE(F14,P14,R14)</f>
        <v>2820.5903333333335</v>
      </c>
      <c r="BU14" s="24">
        <f>STDEV(F14,P14,R14)</f>
        <v>612.08897987166029</v>
      </c>
      <c r="BV14" s="23">
        <f t="shared" si="0"/>
        <v>0.21700740183290007</v>
      </c>
      <c r="BW14" s="22">
        <f t="shared" si="1"/>
        <v>2226.8907563025209</v>
      </c>
      <c r="BX14" s="21">
        <f t="shared" si="2"/>
        <v>423.10924369747897</v>
      </c>
      <c r="BY14" s="170">
        <f t="shared" si="3"/>
        <v>2650</v>
      </c>
      <c r="BZ14" s="180" t="s">
        <v>168</v>
      </c>
      <c r="CA14" s="20"/>
      <c r="CB14" s="20"/>
      <c r="CC14" s="20"/>
      <c r="CD14" s="20"/>
      <c r="CE14" s="20"/>
    </row>
    <row r="15" spans="1:83" s="19" customFormat="1" ht="29">
      <c r="A15" s="179">
        <v>8</v>
      </c>
      <c r="B15" s="42" t="s">
        <v>604</v>
      </c>
      <c r="C15" s="33" t="s">
        <v>603</v>
      </c>
      <c r="D15" s="28" t="s">
        <v>444</v>
      </c>
      <c r="E15" s="48">
        <v>1</v>
      </c>
      <c r="F15" s="27">
        <v>800</v>
      </c>
      <c r="G15" s="26"/>
      <c r="H15" s="26"/>
      <c r="I15" s="26"/>
      <c r="J15" s="26"/>
      <c r="K15" s="26"/>
      <c r="L15" s="26"/>
      <c r="M15" s="26"/>
      <c r="N15" s="26"/>
      <c r="O15" s="26"/>
      <c r="P15" s="26"/>
      <c r="Q15" s="26">
        <v>550</v>
      </c>
      <c r="R15" s="26">
        <v>578.04999999999995</v>
      </c>
      <c r="S15" s="26">
        <v>526</v>
      </c>
      <c r="T15" s="26">
        <v>552.82600000000002</v>
      </c>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c r="BP15" s="26"/>
      <c r="BQ15" s="26"/>
      <c r="BR15" s="26"/>
      <c r="BS15" s="25">
        <f>MEDIAN(F15,R15,T15)</f>
        <v>578.04999999999995</v>
      </c>
      <c r="BT15" s="25">
        <f>AVERAGE(F15,R15,T15)</f>
        <v>643.62533333333329</v>
      </c>
      <c r="BU15" s="24">
        <f>STDEV(F15,R15,T15)</f>
        <v>136.01044013359211</v>
      </c>
      <c r="BV15" s="23">
        <f t="shared" si="0"/>
        <v>0.21131927705392597</v>
      </c>
      <c r="BW15" s="22">
        <f t="shared" si="1"/>
        <v>486.55462184873954</v>
      </c>
      <c r="BX15" s="21">
        <f t="shared" si="2"/>
        <v>92.445378151260513</v>
      </c>
      <c r="BY15" s="170">
        <f t="shared" si="3"/>
        <v>579</v>
      </c>
      <c r="BZ15" s="180" t="s">
        <v>168</v>
      </c>
      <c r="CA15" s="20"/>
      <c r="CB15" s="20"/>
      <c r="CC15" s="20"/>
      <c r="CD15" s="20"/>
      <c r="CE15" s="20"/>
    </row>
    <row r="16" spans="1:83" s="19" customFormat="1" ht="29">
      <c r="A16" s="179">
        <v>9</v>
      </c>
      <c r="B16" s="42" t="s">
        <v>602</v>
      </c>
      <c r="C16" s="35" t="s">
        <v>601</v>
      </c>
      <c r="D16" s="28" t="s">
        <v>444</v>
      </c>
      <c r="E16" s="48">
        <v>1</v>
      </c>
      <c r="F16" s="27">
        <v>2500</v>
      </c>
      <c r="G16" s="26"/>
      <c r="H16" s="26"/>
      <c r="I16" s="26"/>
      <c r="J16" s="26"/>
      <c r="K16" s="26"/>
      <c r="L16" s="26"/>
      <c r="M16" s="26"/>
      <c r="N16" s="26"/>
      <c r="O16" s="26"/>
      <c r="P16" s="26"/>
      <c r="Q16" s="26"/>
      <c r="R16" s="26"/>
      <c r="S16" s="26"/>
      <c r="T16" s="26"/>
      <c r="U16" s="26">
        <v>2400</v>
      </c>
      <c r="V16" s="26">
        <v>2522.4</v>
      </c>
      <c r="W16" s="26">
        <v>2000</v>
      </c>
      <c r="X16" s="26">
        <v>2102</v>
      </c>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c r="BP16" s="26"/>
      <c r="BQ16" s="26"/>
      <c r="BR16" s="26"/>
      <c r="BS16" s="25">
        <f>MEDIAN(X16,V16,F16)</f>
        <v>2500</v>
      </c>
      <c r="BT16" s="25">
        <f>AVERAGE(X16,V16,F16)</f>
        <v>2374.7999999999997</v>
      </c>
      <c r="BU16" s="24">
        <f>STDEV(X16,V16,F16)</f>
        <v>236.51706069541794</v>
      </c>
      <c r="BV16" s="23">
        <f t="shared" si="0"/>
        <v>9.9594517725879211E-2</v>
      </c>
      <c r="BW16" s="22">
        <f t="shared" si="1"/>
        <v>1995.7983193277312</v>
      </c>
      <c r="BX16" s="21">
        <f t="shared" si="2"/>
        <v>379.20168067226894</v>
      </c>
      <c r="BY16" s="170">
        <f t="shared" si="3"/>
        <v>2375</v>
      </c>
      <c r="BZ16" s="180" t="s">
        <v>167</v>
      </c>
      <c r="CA16" s="20"/>
      <c r="CB16" s="20"/>
      <c r="CC16" s="20"/>
      <c r="CD16" s="20"/>
      <c r="CE16" s="20"/>
    </row>
    <row r="17" spans="1:83" s="19" customFormat="1" ht="130">
      <c r="A17" s="179">
        <v>10</v>
      </c>
      <c r="B17" s="28" t="s">
        <v>600</v>
      </c>
      <c r="C17" s="33" t="s">
        <v>599</v>
      </c>
      <c r="D17" s="28" t="s">
        <v>11</v>
      </c>
      <c r="E17" s="48">
        <v>1</v>
      </c>
      <c r="F17" s="27"/>
      <c r="G17" s="26"/>
      <c r="H17" s="26"/>
      <c r="I17" s="26"/>
      <c r="J17" s="26">
        <f>[2]PAPELERIA!I17</f>
        <v>14500</v>
      </c>
      <c r="K17" s="26">
        <v>10756</v>
      </c>
      <c r="L17" s="26">
        <v>12760</v>
      </c>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c r="BP17" s="26"/>
      <c r="BQ17" s="26"/>
      <c r="BR17" s="26"/>
      <c r="BS17" s="25">
        <f>MEDIAN(F17:M17)</f>
        <v>12760</v>
      </c>
      <c r="BT17" s="25">
        <f>AVERAGE(F17:M17)</f>
        <v>12672</v>
      </c>
      <c r="BU17" s="24">
        <f>STDEV(F17:M17)</f>
        <v>1873.5506398280245</v>
      </c>
      <c r="BV17" s="23">
        <f t="shared" si="0"/>
        <v>0.14784964013794386</v>
      </c>
      <c r="BW17" s="22">
        <f t="shared" si="1"/>
        <v>10648.73949579832</v>
      </c>
      <c r="BX17" s="21">
        <f t="shared" si="2"/>
        <v>2023.2605042016808</v>
      </c>
      <c r="BY17" s="170">
        <f t="shared" si="3"/>
        <v>12672</v>
      </c>
      <c r="BZ17" s="180" t="s">
        <v>167</v>
      </c>
      <c r="CA17" s="20"/>
      <c r="CB17" s="20"/>
      <c r="CC17" s="20"/>
      <c r="CD17" s="20"/>
      <c r="CE17" s="20"/>
    </row>
    <row r="18" spans="1:83" s="19" customFormat="1" ht="29">
      <c r="A18" s="179">
        <v>11</v>
      </c>
      <c r="B18" s="28" t="s">
        <v>598</v>
      </c>
      <c r="C18" s="33" t="s">
        <v>597</v>
      </c>
      <c r="D18" s="28" t="s">
        <v>478</v>
      </c>
      <c r="E18" s="48">
        <v>1</v>
      </c>
      <c r="F18" s="27"/>
      <c r="G18" s="26"/>
      <c r="H18" s="26"/>
      <c r="I18" s="26"/>
      <c r="J18" s="26">
        <f>[2]PAPELERIA!I18</f>
        <v>2200</v>
      </c>
      <c r="K18" s="26">
        <v>2353</v>
      </c>
      <c r="L18" s="26">
        <v>2200</v>
      </c>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c r="BP18" s="26"/>
      <c r="BQ18" s="26"/>
      <c r="BR18" s="26"/>
      <c r="BS18" s="25">
        <f>MEDIAN(F18:M18)</f>
        <v>2200</v>
      </c>
      <c r="BT18" s="25">
        <f>AVERAGE(F18:M18)</f>
        <v>2251</v>
      </c>
      <c r="BU18" s="24">
        <f>STDEV(F18:M18)</f>
        <v>88.334591186012744</v>
      </c>
      <c r="BV18" s="23">
        <f t="shared" si="0"/>
        <v>3.9242377248339733E-2</v>
      </c>
      <c r="BW18" s="22">
        <f t="shared" si="1"/>
        <v>1891.5966386554624</v>
      </c>
      <c r="BX18" s="21">
        <f t="shared" si="2"/>
        <v>359.40336134453787</v>
      </c>
      <c r="BY18" s="170">
        <f t="shared" si="3"/>
        <v>2251</v>
      </c>
      <c r="BZ18" s="180" t="s">
        <v>167</v>
      </c>
      <c r="CA18" s="20"/>
      <c r="CB18" s="20"/>
      <c r="CC18" s="20"/>
      <c r="CD18" s="20"/>
      <c r="CE18" s="20"/>
    </row>
    <row r="19" spans="1:83" s="19" customFormat="1" ht="29">
      <c r="A19" s="179">
        <v>12</v>
      </c>
      <c r="B19" s="28" t="s">
        <v>596</v>
      </c>
      <c r="C19" s="35" t="s">
        <v>595</v>
      </c>
      <c r="D19" s="28" t="s">
        <v>11</v>
      </c>
      <c r="E19" s="48">
        <v>1</v>
      </c>
      <c r="F19" s="27"/>
      <c r="G19" s="26"/>
      <c r="H19" s="26"/>
      <c r="I19" s="26"/>
      <c r="J19" s="26">
        <f>[2]PAPELERIA!I20</f>
        <v>25000</v>
      </c>
      <c r="K19" s="26">
        <v>24180</v>
      </c>
      <c r="L19" s="26">
        <v>26400</v>
      </c>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c r="BP19" s="26"/>
      <c r="BQ19" s="26"/>
      <c r="BR19" s="26"/>
      <c r="BS19" s="25">
        <f>MEDIAN(F19:M19)</f>
        <v>25000</v>
      </c>
      <c r="BT19" s="25">
        <f>AVERAGE(F19:M19)</f>
        <v>25193.333333333332</v>
      </c>
      <c r="BU19" s="24">
        <f>STDEV(F19:M19)</f>
        <v>1122.5566058481566</v>
      </c>
      <c r="BV19" s="23">
        <f t="shared" si="0"/>
        <v>4.4557684804769383E-2</v>
      </c>
      <c r="BW19" s="22">
        <f t="shared" si="1"/>
        <v>21171.428571428572</v>
      </c>
      <c r="BX19" s="21">
        <f t="shared" si="2"/>
        <v>4022.5714285714289</v>
      </c>
      <c r="BY19" s="170">
        <f t="shared" si="3"/>
        <v>25194</v>
      </c>
      <c r="BZ19" s="180" t="s">
        <v>167</v>
      </c>
      <c r="CA19" s="20"/>
      <c r="CB19" s="20"/>
      <c r="CC19" s="20"/>
      <c r="CD19" s="20"/>
      <c r="CE19" s="20"/>
    </row>
    <row r="20" spans="1:83" s="19" customFormat="1" ht="29">
      <c r="A20" s="179">
        <v>13</v>
      </c>
      <c r="B20" s="28" t="s">
        <v>590</v>
      </c>
      <c r="C20" s="33" t="s">
        <v>594</v>
      </c>
      <c r="D20" s="28" t="s">
        <v>138</v>
      </c>
      <c r="E20" s="48">
        <v>1</v>
      </c>
      <c r="F20" s="27"/>
      <c r="G20" s="26"/>
      <c r="H20" s="26"/>
      <c r="I20" s="26"/>
      <c r="J20" s="26"/>
      <c r="K20" s="26"/>
      <c r="L20" s="26"/>
      <c r="M20" s="26"/>
      <c r="N20" s="26"/>
      <c r="O20" s="50">
        <v>5462</v>
      </c>
      <c r="P20" s="175">
        <f>((O20*5.1%)+O20)</f>
        <v>5740.5619999999999</v>
      </c>
      <c r="Q20" s="50">
        <v>4000</v>
      </c>
      <c r="R20" s="50">
        <f>((Q20*5.1%)+Q20)</f>
        <v>4204</v>
      </c>
      <c r="S20" s="50">
        <v>4096</v>
      </c>
      <c r="T20" s="50">
        <f>((S20*5.1%)+S20)</f>
        <v>4304.8959999999997</v>
      </c>
      <c r="U20" s="26"/>
      <c r="V20" s="26"/>
      <c r="W20" s="26"/>
      <c r="X20" s="34"/>
      <c r="Y20" s="34"/>
      <c r="Z20" s="34"/>
      <c r="AA20" s="34"/>
      <c r="AB20" s="34"/>
      <c r="AC20" s="34"/>
      <c r="AD20" s="34"/>
      <c r="AE20" s="34"/>
      <c r="AF20" s="34"/>
      <c r="AG20" s="34"/>
      <c r="AH20" s="34"/>
      <c r="AI20" s="34"/>
      <c r="AJ20" s="34"/>
      <c r="AK20" s="34"/>
      <c r="AL20" s="34"/>
      <c r="AM20" s="34"/>
      <c r="AN20" s="34"/>
      <c r="AO20" s="34"/>
      <c r="AP20" s="34"/>
      <c r="AQ20" s="34"/>
      <c r="AR20" s="34"/>
      <c r="AS20" s="34"/>
      <c r="AT20" s="34"/>
      <c r="AU20" s="34"/>
      <c r="AV20" s="34"/>
      <c r="AW20" s="34"/>
      <c r="AX20" s="34"/>
      <c r="AY20" s="34"/>
      <c r="AZ20" s="34"/>
      <c r="BA20" s="34"/>
      <c r="BB20" s="34"/>
      <c r="BC20" s="34"/>
      <c r="BD20" s="34"/>
      <c r="BE20" s="34"/>
      <c r="BF20" s="34"/>
      <c r="BG20" s="34"/>
      <c r="BH20" s="34"/>
      <c r="BI20" s="34"/>
      <c r="BJ20" s="34"/>
      <c r="BK20" s="34"/>
      <c r="BL20" s="34"/>
      <c r="BM20" s="34"/>
      <c r="BN20" s="34"/>
      <c r="BO20" s="34"/>
      <c r="BP20" s="34"/>
      <c r="BQ20" s="34"/>
      <c r="BR20" s="34"/>
      <c r="BS20" s="25">
        <f>MEDIAN(T20,R20,P20)</f>
        <v>4304.8959999999997</v>
      </c>
      <c r="BT20" s="25">
        <f>AVERAGE(T20,R20,P20)</f>
        <v>4749.8193333333338</v>
      </c>
      <c r="BU20" s="24">
        <f>STDEV(T20,R20,P20)</f>
        <v>859.4901246491022</v>
      </c>
      <c r="BV20" s="23">
        <f t="shared" si="0"/>
        <v>0.18095217193154339</v>
      </c>
      <c r="BW20" s="22">
        <f t="shared" si="1"/>
        <v>3617.6470588235297</v>
      </c>
      <c r="BX20" s="21">
        <f t="shared" si="2"/>
        <v>687.35294117647061</v>
      </c>
      <c r="BY20" s="170">
        <f t="shared" si="3"/>
        <v>4305</v>
      </c>
      <c r="BZ20" s="180" t="s">
        <v>168</v>
      </c>
      <c r="CA20" s="20"/>
      <c r="CB20" s="20"/>
      <c r="CC20" s="20"/>
      <c r="CD20" s="20"/>
      <c r="CE20" s="20"/>
    </row>
    <row r="21" spans="1:83" s="19" customFormat="1" ht="29">
      <c r="A21" s="179">
        <v>14</v>
      </c>
      <c r="B21" s="28" t="s">
        <v>590</v>
      </c>
      <c r="C21" s="33" t="s">
        <v>593</v>
      </c>
      <c r="D21" s="28" t="s">
        <v>138</v>
      </c>
      <c r="E21" s="48">
        <v>1</v>
      </c>
      <c r="F21" s="27">
        <v>4200</v>
      </c>
      <c r="G21" s="26"/>
      <c r="H21" s="26"/>
      <c r="I21" s="26"/>
      <c r="J21" s="26"/>
      <c r="K21" s="26"/>
      <c r="L21" s="26"/>
      <c r="M21" s="26"/>
      <c r="N21" s="26"/>
      <c r="O21" s="50">
        <v>2941</v>
      </c>
      <c r="P21" s="175">
        <f>((O21*5.1%)+O21)</f>
        <v>3090.991</v>
      </c>
      <c r="Q21" s="50">
        <v>3100</v>
      </c>
      <c r="R21" s="50">
        <f>((Q21*5.1%)+Q21)</f>
        <v>3258.1</v>
      </c>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c r="BP21" s="26"/>
      <c r="BQ21" s="26"/>
      <c r="BR21" s="26"/>
      <c r="BS21" s="25">
        <f>MEDIAN(F21,P21,R21)</f>
        <v>3258.1</v>
      </c>
      <c r="BT21" s="25">
        <f>AVERAGE(F21,P21,R21)</f>
        <v>3516.3636666666666</v>
      </c>
      <c r="BU21" s="24">
        <f>STDEV(F21,P21,R21)</f>
        <v>597.91331450330676</v>
      </c>
      <c r="BV21" s="23">
        <f t="shared" si="0"/>
        <v>0.17003739407593699</v>
      </c>
      <c r="BW21" s="22">
        <f t="shared" si="1"/>
        <v>2738.6554621848741</v>
      </c>
      <c r="BX21" s="21">
        <f t="shared" si="2"/>
        <v>520.34453781512605</v>
      </c>
      <c r="BY21" s="170">
        <f t="shared" si="3"/>
        <v>3259</v>
      </c>
      <c r="BZ21" s="180" t="s">
        <v>168</v>
      </c>
      <c r="CA21" s="20"/>
      <c r="CB21" s="20"/>
      <c r="CC21" s="20"/>
      <c r="CD21" s="20"/>
      <c r="CE21" s="20"/>
    </row>
    <row r="22" spans="1:83" s="19" customFormat="1" ht="29">
      <c r="A22" s="179">
        <v>15</v>
      </c>
      <c r="B22" s="28" t="s">
        <v>590</v>
      </c>
      <c r="C22" s="33" t="s">
        <v>592</v>
      </c>
      <c r="D22" s="28" t="s">
        <v>138</v>
      </c>
      <c r="E22" s="48">
        <v>1</v>
      </c>
      <c r="F22" s="27"/>
      <c r="G22" s="26"/>
      <c r="H22" s="26"/>
      <c r="I22" s="26"/>
      <c r="J22" s="26">
        <f>[2]PAPELERIA!I23</f>
        <v>4800</v>
      </c>
      <c r="K22" s="26">
        <v>7983</v>
      </c>
      <c r="L22" s="26">
        <v>5940</v>
      </c>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c r="BP22" s="26"/>
      <c r="BQ22" s="26"/>
      <c r="BR22" s="26"/>
      <c r="BS22" s="25">
        <f>MEDIAN(F22:M22)</f>
        <v>5940</v>
      </c>
      <c r="BT22" s="25">
        <f>AVERAGE(F22:M22)</f>
        <v>6241</v>
      </c>
      <c r="BU22" s="24">
        <f>STDEV(F22:M22)</f>
        <v>1612.706730934053</v>
      </c>
      <c r="BV22" s="23">
        <f t="shared" si="0"/>
        <v>0.25840518040923777</v>
      </c>
      <c r="BW22" s="22">
        <f t="shared" si="1"/>
        <v>4991.5966386554628</v>
      </c>
      <c r="BX22" s="21">
        <f t="shared" si="2"/>
        <v>948.40336134453798</v>
      </c>
      <c r="BY22" s="170">
        <f t="shared" si="3"/>
        <v>5940</v>
      </c>
      <c r="BZ22" s="180" t="s">
        <v>168</v>
      </c>
      <c r="CA22" s="20"/>
      <c r="CB22" s="20"/>
      <c r="CC22" s="20"/>
      <c r="CD22" s="20"/>
      <c r="CE22" s="20"/>
    </row>
    <row r="23" spans="1:83" s="19" customFormat="1" ht="29">
      <c r="A23" s="179">
        <v>16</v>
      </c>
      <c r="B23" s="28" t="s">
        <v>590</v>
      </c>
      <c r="C23" s="33" t="s">
        <v>591</v>
      </c>
      <c r="D23" s="28" t="s">
        <v>138</v>
      </c>
      <c r="E23" s="48">
        <v>1</v>
      </c>
      <c r="F23" s="27">
        <v>8000</v>
      </c>
      <c r="G23" s="26"/>
      <c r="H23" s="26"/>
      <c r="I23" s="26"/>
      <c r="J23" s="26"/>
      <c r="K23" s="26"/>
      <c r="L23" s="26"/>
      <c r="M23" s="26"/>
      <c r="N23" s="26"/>
      <c r="O23" s="50">
        <v>5262</v>
      </c>
      <c r="P23" s="175">
        <f>((O23*5.1%)+O23)</f>
        <v>5530.3620000000001</v>
      </c>
      <c r="Q23" s="50">
        <v>7400</v>
      </c>
      <c r="R23" s="50">
        <f>((Q23*5.1%)+Q23)</f>
        <v>7777.4</v>
      </c>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c r="BP23" s="26"/>
      <c r="BQ23" s="26"/>
      <c r="BR23" s="26"/>
      <c r="BS23" s="25">
        <f>MEDIAN(F23,P23,R23)</f>
        <v>7777.4</v>
      </c>
      <c r="BT23" s="25">
        <f>AVERAGE(F23,P23,R23)</f>
        <v>7102.5873333333338</v>
      </c>
      <c r="BU23" s="24">
        <f>STDEV(F23,P23,R23)</f>
        <v>1366.1284947183085</v>
      </c>
      <c r="BV23" s="23">
        <f t="shared" si="0"/>
        <v>0.19234237195604706</v>
      </c>
      <c r="BW23" s="22">
        <f t="shared" si="1"/>
        <v>6536.134453781513</v>
      </c>
      <c r="BX23" s="21">
        <f t="shared" si="2"/>
        <v>1241.8655462184875</v>
      </c>
      <c r="BY23" s="170">
        <f t="shared" si="3"/>
        <v>7778</v>
      </c>
      <c r="BZ23" s="180" t="s">
        <v>168</v>
      </c>
      <c r="CA23" s="20"/>
      <c r="CB23" s="20"/>
      <c r="CC23" s="20"/>
      <c r="CD23" s="20"/>
      <c r="CE23" s="20"/>
    </row>
    <row r="24" spans="1:83" s="19" customFormat="1" ht="29">
      <c r="A24" s="179">
        <v>17</v>
      </c>
      <c r="B24" s="28" t="s">
        <v>590</v>
      </c>
      <c r="C24" s="35" t="s">
        <v>589</v>
      </c>
      <c r="D24" s="28" t="s">
        <v>138</v>
      </c>
      <c r="E24" s="48">
        <v>1</v>
      </c>
      <c r="F24" s="27">
        <v>5600</v>
      </c>
      <c r="G24" s="26"/>
      <c r="H24" s="26"/>
      <c r="I24" s="26"/>
      <c r="J24" s="26"/>
      <c r="K24" s="26"/>
      <c r="L24" s="26"/>
      <c r="M24" s="26"/>
      <c r="N24" s="26"/>
      <c r="O24" s="26"/>
      <c r="P24" s="26"/>
      <c r="Q24" s="50">
        <v>4000</v>
      </c>
      <c r="R24" s="50">
        <f>((Q24*5.1%)+Q24)</f>
        <v>4204</v>
      </c>
      <c r="S24" s="50">
        <v>5030</v>
      </c>
      <c r="T24" s="50">
        <f>((S24*5.1%)+S24)</f>
        <v>5286.53</v>
      </c>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c r="BP24" s="26"/>
      <c r="BQ24" s="26"/>
      <c r="BR24" s="26"/>
      <c r="BS24" s="25">
        <f>MEDIAN(F24,R24,T24)</f>
        <v>5286.53</v>
      </c>
      <c r="BT24" s="25">
        <f>AVERAGE(F24,R24,T24)</f>
        <v>5030.1766666666663</v>
      </c>
      <c r="BU24" s="24">
        <f>STDEV(F24,R24,T24)</f>
        <v>732.45598750596514</v>
      </c>
      <c r="BV24" s="23">
        <f t="shared" si="0"/>
        <v>0.1456123782609289</v>
      </c>
      <c r="BW24" s="22">
        <f t="shared" si="1"/>
        <v>4227.7310924369749</v>
      </c>
      <c r="BX24" s="21">
        <f t="shared" si="2"/>
        <v>803.26890756302521</v>
      </c>
      <c r="BY24" s="170">
        <f t="shared" si="3"/>
        <v>5031</v>
      </c>
      <c r="BZ24" s="180" t="s">
        <v>167</v>
      </c>
      <c r="CA24" s="20"/>
      <c r="CB24" s="20"/>
      <c r="CC24" s="20"/>
      <c r="CD24" s="20"/>
      <c r="CE24" s="20"/>
    </row>
    <row r="25" spans="1:83" s="19" customFormat="1" ht="29">
      <c r="A25" s="179">
        <v>18</v>
      </c>
      <c r="B25" s="28" t="s">
        <v>588</v>
      </c>
      <c r="C25" s="33" t="s">
        <v>587</v>
      </c>
      <c r="D25" s="28" t="s">
        <v>6</v>
      </c>
      <c r="E25" s="48">
        <v>1</v>
      </c>
      <c r="F25" s="27"/>
      <c r="G25" s="26"/>
      <c r="H25" s="26"/>
      <c r="I25" s="26"/>
      <c r="J25" s="26">
        <f>[2]PAPELERIA!I26</f>
        <v>3500</v>
      </c>
      <c r="K25" s="26">
        <v>2479</v>
      </c>
      <c r="L25" s="26">
        <v>2620</v>
      </c>
      <c r="M25" s="26">
        <f>[1]PAPELERIA!G26</f>
        <v>3500</v>
      </c>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c r="BP25" s="26"/>
      <c r="BQ25" s="26"/>
      <c r="BR25" s="26"/>
      <c r="BS25" s="25">
        <f>MEDIAN(F25:M25)</f>
        <v>3060</v>
      </c>
      <c r="BT25" s="25">
        <f>AVERAGE(F25:M25)</f>
        <v>3024.75</v>
      </c>
      <c r="BU25" s="24">
        <f>STDEV(F25:M25)</f>
        <v>551.78218830742742</v>
      </c>
      <c r="BV25" s="23">
        <f t="shared" si="0"/>
        <v>0.18242241120999336</v>
      </c>
      <c r="BW25" s="22">
        <f t="shared" si="1"/>
        <v>2571.4285714285716</v>
      </c>
      <c r="BX25" s="21">
        <f t="shared" si="2"/>
        <v>488.57142857142861</v>
      </c>
      <c r="BY25" s="170">
        <f t="shared" si="3"/>
        <v>3060</v>
      </c>
      <c r="BZ25" s="180" t="s">
        <v>168</v>
      </c>
      <c r="CA25" s="20"/>
      <c r="CB25" s="20"/>
      <c r="CC25" s="20"/>
      <c r="CD25" s="20"/>
      <c r="CE25" s="20"/>
    </row>
    <row r="26" spans="1:83" s="19" customFormat="1" ht="29">
      <c r="A26" s="179">
        <v>19</v>
      </c>
      <c r="B26" s="28" t="s">
        <v>586</v>
      </c>
      <c r="C26" s="35" t="s">
        <v>585</v>
      </c>
      <c r="D26" s="28" t="s">
        <v>6</v>
      </c>
      <c r="E26" s="48">
        <v>1</v>
      </c>
      <c r="F26" s="27">
        <v>18000</v>
      </c>
      <c r="G26" s="26"/>
      <c r="H26" s="26"/>
      <c r="I26" s="26"/>
      <c r="J26" s="26">
        <v>19600</v>
      </c>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c r="BP26" s="26"/>
      <c r="BQ26" s="26"/>
      <c r="BR26" s="26"/>
      <c r="BS26" s="25">
        <f>MEDIAN(F26:M26)</f>
        <v>18800</v>
      </c>
      <c r="BT26" s="25">
        <f>AVERAGE(F26:M26)</f>
        <v>18800</v>
      </c>
      <c r="BU26" s="24">
        <f>STDEV(F26:M26)</f>
        <v>1131.3708498984761</v>
      </c>
      <c r="BV26" s="23">
        <f t="shared" si="0"/>
        <v>6.0179300526514684E-2</v>
      </c>
      <c r="BW26" s="22">
        <v>18800</v>
      </c>
      <c r="BX26" s="21">
        <v>0</v>
      </c>
      <c r="BY26" s="170">
        <f>+BS26</f>
        <v>18800</v>
      </c>
      <c r="BZ26" s="180" t="s">
        <v>167</v>
      </c>
      <c r="CA26" s="20"/>
      <c r="CB26" s="20"/>
      <c r="CC26" s="20"/>
      <c r="CD26" s="20"/>
      <c r="CE26" s="20"/>
    </row>
    <row r="27" spans="1:83" s="19" customFormat="1" ht="29">
      <c r="A27" s="179">
        <v>20</v>
      </c>
      <c r="B27" s="28" t="s">
        <v>584</v>
      </c>
      <c r="C27" s="35" t="s">
        <v>583</v>
      </c>
      <c r="D27" s="28" t="s">
        <v>6</v>
      </c>
      <c r="E27" s="48">
        <v>1</v>
      </c>
      <c r="F27" s="27"/>
      <c r="G27" s="26"/>
      <c r="H27" s="26"/>
      <c r="I27" s="26">
        <v>11200</v>
      </c>
      <c r="J27" s="26"/>
      <c r="K27" s="26"/>
      <c r="L27" s="26"/>
      <c r="M27" s="26">
        <f>[1]PAPELERIA!G28</f>
        <v>12000</v>
      </c>
      <c r="N27" s="26"/>
      <c r="O27" s="26"/>
      <c r="P27" s="26"/>
      <c r="Q27" s="26"/>
      <c r="R27" s="26"/>
      <c r="S27" s="26"/>
      <c r="T27" s="26"/>
      <c r="U27" s="26"/>
      <c r="V27" s="26"/>
      <c r="W27" s="26"/>
      <c r="X27" s="26"/>
      <c r="Y27" s="26"/>
      <c r="Z27" s="26"/>
      <c r="AA27" s="26"/>
      <c r="AB27" s="26"/>
      <c r="AC27" s="26"/>
      <c r="AD27" s="26"/>
      <c r="AE27" s="26"/>
      <c r="AF27" s="26"/>
      <c r="AG27" s="26"/>
      <c r="AH27" s="26"/>
      <c r="AI27" s="26"/>
      <c r="AJ27" s="26"/>
      <c r="AK27" s="26"/>
      <c r="AL27" s="26"/>
      <c r="AM27" s="26"/>
      <c r="AN27" s="26"/>
      <c r="AO27" s="26"/>
      <c r="AP27" s="26"/>
      <c r="AQ27" s="26"/>
      <c r="AR27" s="26"/>
      <c r="AS27" s="26"/>
      <c r="AT27" s="26"/>
      <c r="AU27" s="26"/>
      <c r="AV27" s="26"/>
      <c r="AW27" s="26"/>
      <c r="AX27" s="26"/>
      <c r="AY27" s="26"/>
      <c r="AZ27" s="26"/>
      <c r="BA27" s="26"/>
      <c r="BB27" s="26"/>
      <c r="BC27" s="26"/>
      <c r="BD27" s="26"/>
      <c r="BE27" s="26"/>
      <c r="BF27" s="26"/>
      <c r="BG27" s="26"/>
      <c r="BH27" s="26"/>
      <c r="BI27" s="26"/>
      <c r="BJ27" s="26"/>
      <c r="BK27" s="26"/>
      <c r="BL27" s="26"/>
      <c r="BM27" s="26"/>
      <c r="BN27" s="26"/>
      <c r="BO27" s="26"/>
      <c r="BP27" s="26"/>
      <c r="BQ27" s="26"/>
      <c r="BR27" s="26"/>
      <c r="BS27" s="25">
        <f>MEDIAN(F27:M27)</f>
        <v>11600</v>
      </c>
      <c r="BT27" s="25">
        <f>AVERAGE(F27:M27)</f>
        <v>11600</v>
      </c>
      <c r="BU27" s="24">
        <f>STDEV(F27:M27)</f>
        <v>565.68542494923804</v>
      </c>
      <c r="BV27" s="23">
        <f t="shared" si="0"/>
        <v>4.8765984909417075E-2</v>
      </c>
      <c r="BW27" s="22">
        <v>11600</v>
      </c>
      <c r="BX27" s="21">
        <v>0</v>
      </c>
      <c r="BY27" s="170">
        <f>+BS27</f>
        <v>11600</v>
      </c>
      <c r="BZ27" s="180" t="s">
        <v>167</v>
      </c>
      <c r="CA27" s="20"/>
      <c r="CB27" s="20"/>
      <c r="CC27" s="20"/>
      <c r="CD27" s="20"/>
      <c r="CE27" s="20"/>
    </row>
    <row r="28" spans="1:83" s="19" customFormat="1" ht="29">
      <c r="A28" s="179">
        <v>21</v>
      </c>
      <c r="B28" s="28" t="s">
        <v>582</v>
      </c>
      <c r="C28" s="33" t="s">
        <v>581</v>
      </c>
      <c r="D28" s="28" t="s">
        <v>6</v>
      </c>
      <c r="E28" s="48">
        <v>1</v>
      </c>
      <c r="F28" s="27"/>
      <c r="G28" s="26"/>
      <c r="H28" s="26"/>
      <c r="I28" s="26">
        <v>17400</v>
      </c>
      <c r="J28" s="26">
        <f>[2]PAPELERIA!I29</f>
        <v>12000</v>
      </c>
      <c r="K28" s="26">
        <v>19072</v>
      </c>
      <c r="L28" s="26">
        <v>18580</v>
      </c>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5">
        <f>MEDIAN(F28:M28)</f>
        <v>17990</v>
      </c>
      <c r="BT28" s="25">
        <f>AVERAGE(F28:M28)</f>
        <v>16763</v>
      </c>
      <c r="BU28" s="24">
        <f>STDEV(F28:M28)</f>
        <v>3251.917793138894</v>
      </c>
      <c r="BV28" s="23">
        <f t="shared" si="0"/>
        <v>0.1939937835195904</v>
      </c>
      <c r="BW28" s="22">
        <f t="shared" ref="BW28:BW50" si="4">+BY28/1.19</f>
        <v>15117.64705882353</v>
      </c>
      <c r="BX28" s="21">
        <f t="shared" ref="BX28:BX50" si="5">+BW28*19%</f>
        <v>2872.3529411764707</v>
      </c>
      <c r="BY28" s="170">
        <f t="shared" ref="BY28:BY50" si="6">ROUNDUP(IF(BV28&lt;15%,BT28,BS28),0)</f>
        <v>17990</v>
      </c>
      <c r="BZ28" s="180" t="s">
        <v>168</v>
      </c>
      <c r="CA28" s="20"/>
      <c r="CB28" s="20"/>
      <c r="CC28" s="20"/>
      <c r="CD28" s="20"/>
      <c r="CE28" s="20"/>
    </row>
    <row r="29" spans="1:83" s="19" customFormat="1" ht="29">
      <c r="A29" s="179">
        <v>22</v>
      </c>
      <c r="B29" s="28" t="s">
        <v>580</v>
      </c>
      <c r="C29" s="35" t="s">
        <v>579</v>
      </c>
      <c r="D29" s="28" t="s">
        <v>444</v>
      </c>
      <c r="E29" s="48">
        <v>1</v>
      </c>
      <c r="F29" s="27"/>
      <c r="G29" s="26"/>
      <c r="H29" s="26"/>
      <c r="I29" s="26"/>
      <c r="J29" s="26"/>
      <c r="K29" s="26">
        <v>6303</v>
      </c>
      <c r="L29" s="26">
        <v>7660</v>
      </c>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c r="AL29" s="26"/>
      <c r="AM29" s="26"/>
      <c r="AN29" s="26"/>
      <c r="AO29" s="26"/>
      <c r="AP29" s="26"/>
      <c r="AQ29" s="26"/>
      <c r="AR29" s="26"/>
      <c r="AS29" s="26"/>
      <c r="AT29" s="26"/>
      <c r="AU29" s="26"/>
      <c r="AV29" s="26"/>
      <c r="AW29" s="26"/>
      <c r="AX29" s="26"/>
      <c r="AY29" s="26"/>
      <c r="AZ29" s="26"/>
      <c r="BA29" s="26"/>
      <c r="BB29" s="26"/>
      <c r="BC29" s="26"/>
      <c r="BD29" s="26"/>
      <c r="BE29" s="26"/>
      <c r="BF29" s="26"/>
      <c r="BG29" s="26"/>
      <c r="BH29" s="26"/>
      <c r="BI29" s="26"/>
      <c r="BJ29" s="26"/>
      <c r="BK29" s="26"/>
      <c r="BL29" s="26"/>
      <c r="BM29" s="26"/>
      <c r="BN29" s="26"/>
      <c r="BO29" s="26"/>
      <c r="BP29" s="26"/>
      <c r="BQ29" s="26"/>
      <c r="BR29" s="26"/>
      <c r="BS29" s="25">
        <f>MEDIAN(F29:M29)</f>
        <v>6981.5</v>
      </c>
      <c r="BT29" s="25">
        <f>AVERAGE(F29:M29)</f>
        <v>6981.5</v>
      </c>
      <c r="BU29" s="24">
        <f>STDEV(F29:M29)</f>
        <v>959.54390207014501</v>
      </c>
      <c r="BV29" s="23">
        <f t="shared" si="0"/>
        <v>0.13744093705795962</v>
      </c>
      <c r="BW29" s="22">
        <f t="shared" si="4"/>
        <v>5867.226890756303</v>
      </c>
      <c r="BX29" s="21">
        <f t="shared" si="5"/>
        <v>1114.7731092436975</v>
      </c>
      <c r="BY29" s="170">
        <f t="shared" si="6"/>
        <v>6982</v>
      </c>
      <c r="BZ29" s="180" t="s">
        <v>167</v>
      </c>
      <c r="CA29" s="20"/>
      <c r="CB29" s="20"/>
      <c r="CC29" s="20"/>
      <c r="CD29" s="20"/>
      <c r="CE29" s="20"/>
    </row>
    <row r="30" spans="1:83" s="19" customFormat="1" ht="29">
      <c r="A30" s="179">
        <v>23</v>
      </c>
      <c r="B30" s="28" t="s">
        <v>578</v>
      </c>
      <c r="C30" s="33" t="s">
        <v>577</v>
      </c>
      <c r="D30" s="28" t="s">
        <v>444</v>
      </c>
      <c r="E30" s="48">
        <v>1</v>
      </c>
      <c r="F30" s="27">
        <v>3200</v>
      </c>
      <c r="G30" s="26"/>
      <c r="H30" s="26"/>
      <c r="I30" s="26"/>
      <c r="J30" s="26"/>
      <c r="K30" s="26"/>
      <c r="L30" s="26"/>
      <c r="M30" s="26"/>
      <c r="N30" s="26"/>
      <c r="O30" s="50">
        <v>2200</v>
      </c>
      <c r="P30" s="175">
        <f>((O30*5.1%)+O30)</f>
        <v>2312.1999999999998</v>
      </c>
      <c r="Q30" s="50">
        <v>2528</v>
      </c>
      <c r="R30" s="50">
        <f>((Q30*5.1%)+Q30)</f>
        <v>2656.9279999999999</v>
      </c>
      <c r="S30" s="26"/>
      <c r="T30" s="26"/>
      <c r="U30" s="26"/>
      <c r="V30" s="26"/>
      <c r="W30" s="26"/>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5">
        <f>MEDIAN(R30,P30,F30)</f>
        <v>2656.9279999999999</v>
      </c>
      <c r="BT30" s="25">
        <f>AVERAGE(R30,P30,F30)</f>
        <v>2723.0426666666667</v>
      </c>
      <c r="BU30" s="24">
        <f>STDEV(R30,P30,F30)</f>
        <v>447.57744789179685</v>
      </c>
      <c r="BV30" s="23">
        <f t="shared" si="0"/>
        <v>0.16436666724715179</v>
      </c>
      <c r="BW30" s="22">
        <f t="shared" si="4"/>
        <v>2232.7731092436975</v>
      </c>
      <c r="BX30" s="21">
        <f t="shared" si="5"/>
        <v>424.22689075630251</v>
      </c>
      <c r="BY30" s="170">
        <f t="shared" si="6"/>
        <v>2657</v>
      </c>
      <c r="BZ30" s="180" t="s">
        <v>168</v>
      </c>
      <c r="CA30" s="20"/>
      <c r="CB30" s="20"/>
      <c r="CC30" s="20"/>
      <c r="CD30" s="20"/>
      <c r="CE30" s="20"/>
    </row>
    <row r="31" spans="1:83" s="19" customFormat="1" ht="29">
      <c r="A31" s="179">
        <v>24</v>
      </c>
      <c r="B31" s="28" t="s">
        <v>576</v>
      </c>
      <c r="C31" s="33" t="s">
        <v>575</v>
      </c>
      <c r="D31" s="28" t="s">
        <v>11</v>
      </c>
      <c r="E31" s="48">
        <v>1</v>
      </c>
      <c r="F31" s="27"/>
      <c r="G31" s="26"/>
      <c r="H31" s="26"/>
      <c r="I31" s="26">
        <v>4400</v>
      </c>
      <c r="J31" s="26">
        <f>[2]PAPELERIA!I32</f>
        <v>3500</v>
      </c>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6"/>
      <c r="AK31" s="26"/>
      <c r="AL31" s="26"/>
      <c r="AM31" s="26"/>
      <c r="AN31" s="26"/>
      <c r="AO31" s="26"/>
      <c r="AP31" s="26"/>
      <c r="AQ31" s="26"/>
      <c r="AR31" s="26"/>
      <c r="AS31" s="26"/>
      <c r="AT31" s="26"/>
      <c r="AU31" s="26"/>
      <c r="AV31" s="26"/>
      <c r="AW31" s="26"/>
      <c r="AX31" s="26"/>
      <c r="AY31" s="26"/>
      <c r="AZ31" s="26"/>
      <c r="BA31" s="26"/>
      <c r="BB31" s="26"/>
      <c r="BC31" s="26"/>
      <c r="BD31" s="26"/>
      <c r="BE31" s="26"/>
      <c r="BF31" s="26"/>
      <c r="BG31" s="26"/>
      <c r="BH31" s="26"/>
      <c r="BI31" s="26"/>
      <c r="BJ31" s="26"/>
      <c r="BK31" s="26"/>
      <c r="BL31" s="26"/>
      <c r="BM31" s="26"/>
      <c r="BN31" s="26"/>
      <c r="BO31" s="26"/>
      <c r="BP31" s="26"/>
      <c r="BQ31" s="26"/>
      <c r="BR31" s="26"/>
      <c r="BS31" s="25">
        <f t="shared" ref="BS31:BS49" si="7">MEDIAN(F31:M31)</f>
        <v>3950</v>
      </c>
      <c r="BT31" s="25">
        <f t="shared" ref="BT31:BT49" si="8">AVERAGE(F31:M31)</f>
        <v>3950</v>
      </c>
      <c r="BU31" s="24">
        <f t="shared" ref="BU31:BU49" si="9">STDEV(F31:M31)</f>
        <v>636.3961030678928</v>
      </c>
      <c r="BV31" s="23">
        <f t="shared" si="0"/>
        <v>0.16111293748554248</v>
      </c>
      <c r="BW31" s="22">
        <f t="shared" si="4"/>
        <v>3319.3277310924373</v>
      </c>
      <c r="BX31" s="21">
        <f t="shared" si="5"/>
        <v>630.67226890756308</v>
      </c>
      <c r="BY31" s="170">
        <f t="shared" si="6"/>
        <v>3950</v>
      </c>
      <c r="BZ31" s="180" t="s">
        <v>168</v>
      </c>
      <c r="CA31" s="20"/>
      <c r="CB31" s="20"/>
      <c r="CC31" s="20"/>
      <c r="CD31" s="20"/>
      <c r="CE31" s="20"/>
    </row>
    <row r="32" spans="1:83" s="19" customFormat="1" ht="29">
      <c r="A32" s="179">
        <v>25</v>
      </c>
      <c r="B32" s="28" t="s">
        <v>574</v>
      </c>
      <c r="C32" s="35" t="s">
        <v>560</v>
      </c>
      <c r="D32" s="28" t="s">
        <v>444</v>
      </c>
      <c r="E32" s="48">
        <v>1</v>
      </c>
      <c r="F32" s="27"/>
      <c r="G32" s="26">
        <f>[3]PAPELERIA!K7</f>
        <v>178.5</v>
      </c>
      <c r="H32" s="26"/>
      <c r="I32" s="26"/>
      <c r="J32" s="26"/>
      <c r="K32" s="26"/>
      <c r="L32" s="26"/>
      <c r="M32" s="26">
        <f>[1]PAPELERIA!G33</f>
        <v>150</v>
      </c>
      <c r="N32" s="26"/>
      <c r="O32" s="26"/>
      <c r="P32" s="26"/>
      <c r="Q32" s="26"/>
      <c r="R32" s="26"/>
      <c r="S32" s="26"/>
      <c r="T32" s="26"/>
      <c r="U32" s="26"/>
      <c r="V32" s="26"/>
      <c r="W32" s="26"/>
      <c r="X32" s="26"/>
      <c r="Y32" s="26"/>
      <c r="Z32" s="26"/>
      <c r="AA32" s="26"/>
      <c r="AB32" s="26"/>
      <c r="AC32" s="26"/>
      <c r="AD32" s="26"/>
      <c r="AE32" s="26"/>
      <c r="AF32" s="26"/>
      <c r="AG32" s="26"/>
      <c r="AH32" s="26"/>
      <c r="AI32" s="26"/>
      <c r="AJ32" s="26"/>
      <c r="AK32" s="26"/>
      <c r="AL32" s="26"/>
      <c r="AM32" s="26"/>
      <c r="AN32" s="26"/>
      <c r="AO32" s="26"/>
      <c r="AP32" s="26"/>
      <c r="AQ32" s="26"/>
      <c r="AR32" s="26"/>
      <c r="AS32" s="26"/>
      <c r="AT32" s="26"/>
      <c r="AU32" s="26"/>
      <c r="AV32" s="26"/>
      <c r="AW32" s="26"/>
      <c r="AX32" s="26"/>
      <c r="AY32" s="26"/>
      <c r="AZ32" s="26"/>
      <c r="BA32" s="26"/>
      <c r="BB32" s="26"/>
      <c r="BC32" s="26"/>
      <c r="BD32" s="26"/>
      <c r="BE32" s="26"/>
      <c r="BF32" s="26"/>
      <c r="BG32" s="26"/>
      <c r="BH32" s="26"/>
      <c r="BI32" s="26"/>
      <c r="BJ32" s="26"/>
      <c r="BK32" s="26"/>
      <c r="BL32" s="26"/>
      <c r="BM32" s="26"/>
      <c r="BN32" s="26"/>
      <c r="BO32" s="26"/>
      <c r="BP32" s="26"/>
      <c r="BQ32" s="26"/>
      <c r="BR32" s="26"/>
      <c r="BS32" s="25">
        <f t="shared" si="7"/>
        <v>164.25</v>
      </c>
      <c r="BT32" s="25">
        <f t="shared" si="8"/>
        <v>164.25</v>
      </c>
      <c r="BU32" s="24">
        <f t="shared" si="9"/>
        <v>20.152543263816604</v>
      </c>
      <c r="BV32" s="23">
        <f t="shared" si="0"/>
        <v>0.12269432732917263</v>
      </c>
      <c r="BW32" s="22">
        <f t="shared" si="4"/>
        <v>138.65546218487395</v>
      </c>
      <c r="BX32" s="21">
        <f t="shared" si="5"/>
        <v>26.344537815126053</v>
      </c>
      <c r="BY32" s="170">
        <f t="shared" si="6"/>
        <v>165</v>
      </c>
      <c r="BZ32" s="180" t="s">
        <v>167</v>
      </c>
      <c r="CA32" s="20"/>
      <c r="CB32" s="20"/>
      <c r="CC32" s="20"/>
      <c r="CD32" s="20"/>
      <c r="CE32" s="20"/>
    </row>
    <row r="33" spans="1:83" s="19" customFormat="1" ht="29">
      <c r="A33" s="179">
        <v>26</v>
      </c>
      <c r="B33" s="28" t="s">
        <v>573</v>
      </c>
      <c r="C33" s="35" t="s">
        <v>560</v>
      </c>
      <c r="D33" s="28" t="s">
        <v>444</v>
      </c>
      <c r="E33" s="48">
        <v>1</v>
      </c>
      <c r="F33" s="27"/>
      <c r="G33" s="26">
        <f>[3]PAPELERIA!K8</f>
        <v>178.5</v>
      </c>
      <c r="H33" s="26"/>
      <c r="I33" s="26"/>
      <c r="J33" s="26"/>
      <c r="K33" s="26"/>
      <c r="L33" s="26"/>
      <c r="M33" s="26">
        <f>[1]PAPELERIA!G34</f>
        <v>150</v>
      </c>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c r="AZ33" s="26"/>
      <c r="BA33" s="26"/>
      <c r="BB33" s="26"/>
      <c r="BC33" s="26"/>
      <c r="BD33" s="26"/>
      <c r="BE33" s="26"/>
      <c r="BF33" s="26"/>
      <c r="BG33" s="26"/>
      <c r="BH33" s="26"/>
      <c r="BI33" s="26"/>
      <c r="BJ33" s="26"/>
      <c r="BK33" s="26"/>
      <c r="BL33" s="26"/>
      <c r="BM33" s="26"/>
      <c r="BN33" s="26"/>
      <c r="BO33" s="26"/>
      <c r="BP33" s="26"/>
      <c r="BQ33" s="26"/>
      <c r="BR33" s="26"/>
      <c r="BS33" s="25">
        <f t="shared" si="7"/>
        <v>164.25</v>
      </c>
      <c r="BT33" s="25">
        <f t="shared" si="8"/>
        <v>164.25</v>
      </c>
      <c r="BU33" s="24">
        <f t="shared" si="9"/>
        <v>20.152543263816604</v>
      </c>
      <c r="BV33" s="23">
        <f t="shared" si="0"/>
        <v>0.12269432732917263</v>
      </c>
      <c r="BW33" s="22">
        <f t="shared" si="4"/>
        <v>138.65546218487395</v>
      </c>
      <c r="BX33" s="21">
        <f t="shared" si="5"/>
        <v>26.344537815126053</v>
      </c>
      <c r="BY33" s="170">
        <f t="shared" si="6"/>
        <v>165</v>
      </c>
      <c r="BZ33" s="180" t="s">
        <v>167</v>
      </c>
      <c r="CA33" s="20"/>
      <c r="CB33" s="20"/>
      <c r="CC33" s="20"/>
      <c r="CD33" s="20"/>
      <c r="CE33" s="20"/>
    </row>
    <row r="34" spans="1:83" s="19" customFormat="1" ht="29">
      <c r="A34" s="179">
        <v>27</v>
      </c>
      <c r="B34" s="28" t="s">
        <v>572</v>
      </c>
      <c r="C34" s="35" t="s">
        <v>560</v>
      </c>
      <c r="D34" s="28" t="s">
        <v>444</v>
      </c>
      <c r="E34" s="48">
        <v>1</v>
      </c>
      <c r="F34" s="27"/>
      <c r="G34" s="26">
        <f>[3]PAPELERIA!K9</f>
        <v>178.5</v>
      </c>
      <c r="H34" s="26"/>
      <c r="I34" s="26"/>
      <c r="J34" s="26"/>
      <c r="K34" s="26"/>
      <c r="L34" s="26"/>
      <c r="M34" s="26">
        <f>[1]PAPELERIA!G35</f>
        <v>150</v>
      </c>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6"/>
      <c r="AZ34" s="26"/>
      <c r="BA34" s="26"/>
      <c r="BB34" s="26"/>
      <c r="BC34" s="26"/>
      <c r="BD34" s="26"/>
      <c r="BE34" s="26"/>
      <c r="BF34" s="26"/>
      <c r="BG34" s="26"/>
      <c r="BH34" s="26"/>
      <c r="BI34" s="26"/>
      <c r="BJ34" s="26"/>
      <c r="BK34" s="26"/>
      <c r="BL34" s="26"/>
      <c r="BM34" s="26"/>
      <c r="BN34" s="26"/>
      <c r="BO34" s="26"/>
      <c r="BP34" s="26"/>
      <c r="BQ34" s="26"/>
      <c r="BR34" s="26"/>
      <c r="BS34" s="25">
        <f t="shared" si="7"/>
        <v>164.25</v>
      </c>
      <c r="BT34" s="25">
        <f t="shared" si="8"/>
        <v>164.25</v>
      </c>
      <c r="BU34" s="24">
        <f t="shared" si="9"/>
        <v>20.152543263816604</v>
      </c>
      <c r="BV34" s="23">
        <f t="shared" si="0"/>
        <v>0.12269432732917263</v>
      </c>
      <c r="BW34" s="22">
        <f t="shared" si="4"/>
        <v>138.65546218487395</v>
      </c>
      <c r="BX34" s="21">
        <f t="shared" si="5"/>
        <v>26.344537815126053</v>
      </c>
      <c r="BY34" s="170">
        <f t="shared" si="6"/>
        <v>165</v>
      </c>
      <c r="BZ34" s="180" t="s">
        <v>167</v>
      </c>
      <c r="CA34" s="20"/>
      <c r="CB34" s="20"/>
      <c r="CC34" s="20"/>
      <c r="CD34" s="20"/>
      <c r="CE34" s="20"/>
    </row>
    <row r="35" spans="1:83" s="19" customFormat="1" ht="29">
      <c r="A35" s="179">
        <v>28</v>
      </c>
      <c r="B35" s="28" t="s">
        <v>571</v>
      </c>
      <c r="C35" s="33" t="s">
        <v>560</v>
      </c>
      <c r="D35" s="28" t="s">
        <v>444</v>
      </c>
      <c r="E35" s="48">
        <v>1</v>
      </c>
      <c r="F35" s="27"/>
      <c r="G35" s="26">
        <f>[3]PAPELERIA!K10</f>
        <v>214.2</v>
      </c>
      <c r="H35" s="26"/>
      <c r="I35" s="26"/>
      <c r="J35" s="26"/>
      <c r="K35" s="26"/>
      <c r="L35" s="26"/>
      <c r="M35" s="26">
        <f>[1]PAPELERIA!G36</f>
        <v>150</v>
      </c>
      <c r="N35" s="26"/>
      <c r="O35" s="26"/>
      <c r="P35" s="26"/>
      <c r="Q35" s="26"/>
      <c r="R35" s="26"/>
      <c r="S35" s="26"/>
      <c r="T35" s="26"/>
      <c r="U35" s="26"/>
      <c r="V35" s="26"/>
      <c r="W35" s="26"/>
      <c r="X35" s="26"/>
      <c r="Y35" s="26"/>
      <c r="Z35" s="26"/>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6"/>
      <c r="AZ35" s="26"/>
      <c r="BA35" s="26"/>
      <c r="BB35" s="26"/>
      <c r="BC35" s="26"/>
      <c r="BD35" s="26"/>
      <c r="BE35" s="26"/>
      <c r="BF35" s="26"/>
      <c r="BG35" s="26"/>
      <c r="BH35" s="26"/>
      <c r="BI35" s="26"/>
      <c r="BJ35" s="26"/>
      <c r="BK35" s="26"/>
      <c r="BL35" s="26"/>
      <c r="BM35" s="26"/>
      <c r="BN35" s="26"/>
      <c r="BO35" s="26"/>
      <c r="BP35" s="26"/>
      <c r="BQ35" s="26"/>
      <c r="BR35" s="26"/>
      <c r="BS35" s="25">
        <f t="shared" si="7"/>
        <v>182.1</v>
      </c>
      <c r="BT35" s="25">
        <f t="shared" si="8"/>
        <v>182.1</v>
      </c>
      <c r="BU35" s="24">
        <f t="shared" si="9"/>
        <v>45.396255352176269</v>
      </c>
      <c r="BV35" s="23">
        <f t="shared" si="0"/>
        <v>0.24929300028652537</v>
      </c>
      <c r="BW35" s="22">
        <f t="shared" si="4"/>
        <v>153.78151260504202</v>
      </c>
      <c r="BX35" s="21">
        <f t="shared" si="5"/>
        <v>29.218487394957986</v>
      </c>
      <c r="BY35" s="170">
        <f t="shared" si="6"/>
        <v>183</v>
      </c>
      <c r="BZ35" s="180" t="s">
        <v>168</v>
      </c>
      <c r="CA35" s="20"/>
      <c r="CB35" s="20"/>
      <c r="CC35" s="20"/>
      <c r="CD35" s="20"/>
      <c r="CE35" s="20"/>
    </row>
    <row r="36" spans="1:83" s="19" customFormat="1" ht="29">
      <c r="A36" s="179">
        <v>29</v>
      </c>
      <c r="B36" s="28" t="s">
        <v>570</v>
      </c>
      <c r="C36" s="35" t="s">
        <v>560</v>
      </c>
      <c r="D36" s="28" t="s">
        <v>444</v>
      </c>
      <c r="E36" s="48">
        <v>1</v>
      </c>
      <c r="F36" s="27"/>
      <c r="G36" s="26">
        <f>[3]PAPELERIA!K11</f>
        <v>178.5</v>
      </c>
      <c r="H36" s="26"/>
      <c r="I36" s="26"/>
      <c r="J36" s="26"/>
      <c r="K36" s="26"/>
      <c r="L36" s="26"/>
      <c r="M36" s="26">
        <f>[1]PAPELERIA!G37</f>
        <v>150</v>
      </c>
      <c r="N36" s="26"/>
      <c r="O36" s="26"/>
      <c r="P36" s="26"/>
      <c r="Q36" s="26"/>
      <c r="R36" s="26"/>
      <c r="S36" s="26"/>
      <c r="T36" s="26"/>
      <c r="U36" s="26"/>
      <c r="V36" s="26"/>
      <c r="W36" s="26"/>
      <c r="X36" s="26"/>
      <c r="Y36" s="26"/>
      <c r="Z36" s="26"/>
      <c r="AA36" s="26"/>
      <c r="AB36" s="26"/>
      <c r="AC36" s="26"/>
      <c r="AD36" s="26"/>
      <c r="AE36" s="26"/>
      <c r="AF36" s="26"/>
      <c r="AG36" s="26"/>
      <c r="AH36" s="26"/>
      <c r="AI36" s="26"/>
      <c r="AJ36" s="26"/>
      <c r="AK36" s="26"/>
      <c r="AL36" s="26"/>
      <c r="AM36" s="26"/>
      <c r="AN36" s="26"/>
      <c r="AO36" s="26"/>
      <c r="AP36" s="26"/>
      <c r="AQ36" s="26"/>
      <c r="AR36" s="26"/>
      <c r="AS36" s="26"/>
      <c r="AT36" s="26"/>
      <c r="AU36" s="26"/>
      <c r="AV36" s="26"/>
      <c r="AW36" s="26"/>
      <c r="AX36" s="26"/>
      <c r="AY36" s="26"/>
      <c r="AZ36" s="26"/>
      <c r="BA36" s="26"/>
      <c r="BB36" s="26"/>
      <c r="BC36" s="26"/>
      <c r="BD36" s="26"/>
      <c r="BE36" s="26"/>
      <c r="BF36" s="26"/>
      <c r="BG36" s="26"/>
      <c r="BH36" s="26"/>
      <c r="BI36" s="26"/>
      <c r="BJ36" s="26"/>
      <c r="BK36" s="26"/>
      <c r="BL36" s="26"/>
      <c r="BM36" s="26"/>
      <c r="BN36" s="26"/>
      <c r="BO36" s="26"/>
      <c r="BP36" s="26"/>
      <c r="BQ36" s="26"/>
      <c r="BR36" s="26"/>
      <c r="BS36" s="25">
        <f t="shared" si="7"/>
        <v>164.25</v>
      </c>
      <c r="BT36" s="25">
        <f t="shared" si="8"/>
        <v>164.25</v>
      </c>
      <c r="BU36" s="24">
        <f t="shared" si="9"/>
        <v>20.152543263816604</v>
      </c>
      <c r="BV36" s="23">
        <f t="shared" si="0"/>
        <v>0.12269432732917263</v>
      </c>
      <c r="BW36" s="22">
        <f t="shared" si="4"/>
        <v>138.65546218487395</v>
      </c>
      <c r="BX36" s="21">
        <f t="shared" si="5"/>
        <v>26.344537815126053</v>
      </c>
      <c r="BY36" s="170">
        <f t="shared" si="6"/>
        <v>165</v>
      </c>
      <c r="BZ36" s="180" t="s">
        <v>167</v>
      </c>
      <c r="CA36" s="20"/>
      <c r="CB36" s="20"/>
      <c r="CC36" s="20"/>
      <c r="CD36" s="20"/>
      <c r="CE36" s="20"/>
    </row>
    <row r="37" spans="1:83" s="19" customFormat="1" ht="29">
      <c r="A37" s="179">
        <v>30</v>
      </c>
      <c r="B37" s="28" t="s">
        <v>569</v>
      </c>
      <c r="C37" s="33" t="s">
        <v>560</v>
      </c>
      <c r="D37" s="28" t="s">
        <v>444</v>
      </c>
      <c r="E37" s="48">
        <v>1</v>
      </c>
      <c r="F37" s="27"/>
      <c r="G37" s="26">
        <f>[3]PAPELERIA!K12</f>
        <v>190.4</v>
      </c>
      <c r="H37" s="26"/>
      <c r="I37" s="26"/>
      <c r="J37" s="26"/>
      <c r="K37" s="26"/>
      <c r="L37" s="26"/>
      <c r="M37" s="26">
        <f>[1]PAPELERIA!G38</f>
        <v>150</v>
      </c>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5">
        <f t="shared" si="7"/>
        <v>170.2</v>
      </c>
      <c r="BT37" s="25">
        <f t="shared" si="8"/>
        <v>170.2</v>
      </c>
      <c r="BU37" s="24">
        <f t="shared" si="9"/>
        <v>28.567113959936677</v>
      </c>
      <c r="BV37" s="23">
        <f t="shared" si="0"/>
        <v>0.16784438284334124</v>
      </c>
      <c r="BW37" s="22">
        <f t="shared" si="4"/>
        <v>143.69747899159665</v>
      </c>
      <c r="BX37" s="21">
        <f t="shared" si="5"/>
        <v>27.302521008403364</v>
      </c>
      <c r="BY37" s="170">
        <f t="shared" si="6"/>
        <v>171</v>
      </c>
      <c r="BZ37" s="180" t="s">
        <v>168</v>
      </c>
      <c r="CA37" s="20"/>
      <c r="CB37" s="20"/>
      <c r="CC37" s="20"/>
      <c r="CD37" s="20"/>
      <c r="CE37" s="20"/>
    </row>
    <row r="38" spans="1:83" s="19" customFormat="1" ht="29">
      <c r="A38" s="179">
        <v>31</v>
      </c>
      <c r="B38" s="28" t="s">
        <v>568</v>
      </c>
      <c r="C38" s="35" t="s">
        <v>560</v>
      </c>
      <c r="D38" s="28" t="s">
        <v>444</v>
      </c>
      <c r="E38" s="48">
        <v>1</v>
      </c>
      <c r="F38" s="27"/>
      <c r="G38" s="26">
        <f>[3]PAPELERIA!K13</f>
        <v>142.80000000000001</v>
      </c>
      <c r="H38" s="26"/>
      <c r="I38" s="26"/>
      <c r="J38" s="26"/>
      <c r="K38" s="26"/>
      <c r="L38" s="26"/>
      <c r="M38" s="26">
        <f>[1]PAPELERIA!G39</f>
        <v>150</v>
      </c>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5">
        <f t="shared" si="7"/>
        <v>146.4</v>
      </c>
      <c r="BT38" s="25">
        <f t="shared" si="8"/>
        <v>146.4</v>
      </c>
      <c r="BU38" s="24">
        <f t="shared" si="9"/>
        <v>5.0911688245431339</v>
      </c>
      <c r="BV38" s="23">
        <f t="shared" si="0"/>
        <v>3.4775743337043266E-2</v>
      </c>
      <c r="BW38" s="22">
        <f t="shared" si="4"/>
        <v>123.52941176470588</v>
      </c>
      <c r="BX38" s="21">
        <f t="shared" si="5"/>
        <v>23.47058823529412</v>
      </c>
      <c r="BY38" s="170">
        <f t="shared" si="6"/>
        <v>147</v>
      </c>
      <c r="BZ38" s="180" t="s">
        <v>167</v>
      </c>
      <c r="CA38" s="20"/>
      <c r="CB38" s="20"/>
      <c r="CC38" s="20"/>
      <c r="CD38" s="20"/>
      <c r="CE38" s="20"/>
    </row>
    <row r="39" spans="1:83" s="19" customFormat="1" ht="29">
      <c r="A39" s="179">
        <v>32</v>
      </c>
      <c r="B39" s="28" t="s">
        <v>567</v>
      </c>
      <c r="C39" s="35" t="s">
        <v>560</v>
      </c>
      <c r="D39" s="28" t="s">
        <v>444</v>
      </c>
      <c r="E39" s="48">
        <v>1</v>
      </c>
      <c r="F39" s="27"/>
      <c r="G39" s="26">
        <f>[3]PAPELERIA!K14</f>
        <v>178.5</v>
      </c>
      <c r="H39" s="26"/>
      <c r="I39" s="26"/>
      <c r="J39" s="26"/>
      <c r="K39" s="26"/>
      <c r="L39" s="26"/>
      <c r="M39" s="26">
        <f>[1]PAPELERIA!G40</f>
        <v>150</v>
      </c>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5">
        <f t="shared" si="7"/>
        <v>164.25</v>
      </c>
      <c r="BT39" s="25">
        <f t="shared" si="8"/>
        <v>164.25</v>
      </c>
      <c r="BU39" s="24">
        <f t="shared" si="9"/>
        <v>20.152543263816604</v>
      </c>
      <c r="BV39" s="23">
        <f t="shared" si="0"/>
        <v>0.12269432732917263</v>
      </c>
      <c r="BW39" s="22">
        <f t="shared" si="4"/>
        <v>138.65546218487395</v>
      </c>
      <c r="BX39" s="21">
        <f t="shared" si="5"/>
        <v>26.344537815126053</v>
      </c>
      <c r="BY39" s="170">
        <f t="shared" si="6"/>
        <v>165</v>
      </c>
      <c r="BZ39" s="180" t="s">
        <v>167</v>
      </c>
      <c r="CA39" s="20"/>
      <c r="CB39" s="20"/>
      <c r="CC39" s="20"/>
      <c r="CD39" s="20"/>
      <c r="CE39" s="20"/>
    </row>
    <row r="40" spans="1:83" s="19" customFormat="1" ht="45" customHeight="1">
      <c r="A40" s="179">
        <v>33</v>
      </c>
      <c r="B40" s="28" t="s">
        <v>566</v>
      </c>
      <c r="C40" s="35" t="s">
        <v>560</v>
      </c>
      <c r="D40" s="28" t="s">
        <v>444</v>
      </c>
      <c r="E40" s="48">
        <v>1</v>
      </c>
      <c r="F40" s="27"/>
      <c r="G40" s="26">
        <f>[3]PAPELERIA!K15</f>
        <v>178.5</v>
      </c>
      <c r="H40" s="26"/>
      <c r="I40" s="26"/>
      <c r="J40" s="26"/>
      <c r="K40" s="26"/>
      <c r="L40" s="26"/>
      <c r="M40" s="26">
        <f>[1]PAPELERIA!G41</f>
        <v>150</v>
      </c>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5">
        <f t="shared" si="7"/>
        <v>164.25</v>
      </c>
      <c r="BT40" s="25">
        <f t="shared" si="8"/>
        <v>164.25</v>
      </c>
      <c r="BU40" s="24">
        <f t="shared" si="9"/>
        <v>20.152543263816604</v>
      </c>
      <c r="BV40" s="23">
        <f t="shared" ref="BV40:BV71" si="10">BU40/BT40</f>
        <v>0.12269432732917263</v>
      </c>
      <c r="BW40" s="22">
        <f t="shared" si="4"/>
        <v>138.65546218487395</v>
      </c>
      <c r="BX40" s="21">
        <f t="shared" si="5"/>
        <v>26.344537815126053</v>
      </c>
      <c r="BY40" s="170">
        <f t="shared" si="6"/>
        <v>165</v>
      </c>
      <c r="BZ40" s="180" t="s">
        <v>167</v>
      </c>
      <c r="CA40" s="20"/>
      <c r="CB40" s="20"/>
      <c r="CC40" s="20"/>
      <c r="CD40" s="20"/>
      <c r="CE40" s="20"/>
    </row>
    <row r="41" spans="1:83" s="19" customFormat="1" ht="29">
      <c r="A41" s="179">
        <v>34</v>
      </c>
      <c r="B41" s="28" t="s">
        <v>565</v>
      </c>
      <c r="C41" s="35" t="s">
        <v>560</v>
      </c>
      <c r="D41" s="28" t="s">
        <v>444</v>
      </c>
      <c r="E41" s="48">
        <v>1</v>
      </c>
      <c r="F41" s="27"/>
      <c r="G41" s="26">
        <f>[3]PAPELERIA!K16</f>
        <v>178.5</v>
      </c>
      <c r="H41" s="26"/>
      <c r="I41" s="26"/>
      <c r="J41" s="26"/>
      <c r="K41" s="26"/>
      <c r="L41" s="26"/>
      <c r="M41" s="26">
        <f>[1]PAPELERIA!G42</f>
        <v>150</v>
      </c>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5">
        <f t="shared" si="7"/>
        <v>164.25</v>
      </c>
      <c r="BT41" s="25">
        <f t="shared" si="8"/>
        <v>164.25</v>
      </c>
      <c r="BU41" s="24">
        <f t="shared" si="9"/>
        <v>20.152543263816604</v>
      </c>
      <c r="BV41" s="23">
        <f t="shared" si="10"/>
        <v>0.12269432732917263</v>
      </c>
      <c r="BW41" s="22">
        <f t="shared" si="4"/>
        <v>138.65546218487395</v>
      </c>
      <c r="BX41" s="21">
        <f t="shared" si="5"/>
        <v>26.344537815126053</v>
      </c>
      <c r="BY41" s="170">
        <f t="shared" si="6"/>
        <v>165</v>
      </c>
      <c r="BZ41" s="180" t="s">
        <v>167</v>
      </c>
      <c r="CA41" s="20"/>
      <c r="CB41" s="20"/>
      <c r="CC41" s="20"/>
      <c r="CD41" s="20"/>
      <c r="CE41" s="20"/>
    </row>
    <row r="42" spans="1:83" s="19" customFormat="1" ht="29">
      <c r="A42" s="179">
        <v>35</v>
      </c>
      <c r="B42" s="28" t="s">
        <v>564</v>
      </c>
      <c r="C42" s="35" t="s">
        <v>560</v>
      </c>
      <c r="D42" s="28" t="s">
        <v>444</v>
      </c>
      <c r="E42" s="48">
        <v>1</v>
      </c>
      <c r="F42" s="27"/>
      <c r="G42" s="26">
        <f>[3]PAPELERIA!K17</f>
        <v>178.5</v>
      </c>
      <c r="H42" s="26"/>
      <c r="I42" s="26"/>
      <c r="J42" s="26"/>
      <c r="K42" s="26"/>
      <c r="L42" s="26"/>
      <c r="M42" s="26">
        <f>[1]PAPELERIA!G43</f>
        <v>150</v>
      </c>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5">
        <f t="shared" si="7"/>
        <v>164.25</v>
      </c>
      <c r="BT42" s="25">
        <f t="shared" si="8"/>
        <v>164.25</v>
      </c>
      <c r="BU42" s="24">
        <f t="shared" si="9"/>
        <v>20.152543263816604</v>
      </c>
      <c r="BV42" s="23">
        <f t="shared" si="10"/>
        <v>0.12269432732917263</v>
      </c>
      <c r="BW42" s="22">
        <f t="shared" si="4"/>
        <v>138.65546218487395</v>
      </c>
      <c r="BX42" s="21">
        <f t="shared" si="5"/>
        <v>26.344537815126053</v>
      </c>
      <c r="BY42" s="170">
        <f t="shared" si="6"/>
        <v>165</v>
      </c>
      <c r="BZ42" s="180" t="s">
        <v>167</v>
      </c>
      <c r="CA42" s="20"/>
      <c r="CB42" s="20"/>
      <c r="CC42" s="20"/>
      <c r="CD42" s="20"/>
      <c r="CE42" s="20"/>
    </row>
    <row r="43" spans="1:83" s="19" customFormat="1" ht="29">
      <c r="A43" s="179">
        <v>36</v>
      </c>
      <c r="B43" s="28" t="s">
        <v>563</v>
      </c>
      <c r="C43" s="35" t="s">
        <v>560</v>
      </c>
      <c r="D43" s="28" t="s">
        <v>444</v>
      </c>
      <c r="E43" s="48">
        <v>1</v>
      </c>
      <c r="F43" s="27"/>
      <c r="G43" s="26">
        <f>[3]PAPELERIA!K18</f>
        <v>178.5</v>
      </c>
      <c r="H43" s="26"/>
      <c r="I43" s="26"/>
      <c r="J43" s="26"/>
      <c r="K43" s="26"/>
      <c r="L43" s="26"/>
      <c r="M43" s="26">
        <f>[1]PAPELERIA!G44</f>
        <v>150</v>
      </c>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5">
        <f t="shared" si="7"/>
        <v>164.25</v>
      </c>
      <c r="BT43" s="25">
        <f t="shared" si="8"/>
        <v>164.25</v>
      </c>
      <c r="BU43" s="24">
        <f t="shared" si="9"/>
        <v>20.152543263816604</v>
      </c>
      <c r="BV43" s="23">
        <f t="shared" si="10"/>
        <v>0.12269432732917263</v>
      </c>
      <c r="BW43" s="22">
        <f t="shared" si="4"/>
        <v>138.65546218487395</v>
      </c>
      <c r="BX43" s="21">
        <f t="shared" si="5"/>
        <v>26.344537815126053</v>
      </c>
      <c r="BY43" s="170">
        <f t="shared" si="6"/>
        <v>165</v>
      </c>
      <c r="BZ43" s="180" t="s">
        <v>167</v>
      </c>
      <c r="CA43" s="20"/>
      <c r="CB43" s="20"/>
      <c r="CC43" s="20"/>
      <c r="CD43" s="20"/>
      <c r="CE43" s="20"/>
    </row>
    <row r="44" spans="1:83" s="19" customFormat="1" ht="47.25" customHeight="1">
      <c r="A44" s="179">
        <v>37</v>
      </c>
      <c r="B44" s="28" t="s">
        <v>562</v>
      </c>
      <c r="C44" s="35" t="s">
        <v>560</v>
      </c>
      <c r="D44" s="28" t="s">
        <v>444</v>
      </c>
      <c r="E44" s="48">
        <v>1</v>
      </c>
      <c r="F44" s="27"/>
      <c r="G44" s="26">
        <f>[3]PAPELERIA!K19</f>
        <v>178.5</v>
      </c>
      <c r="H44" s="26"/>
      <c r="I44" s="26"/>
      <c r="J44" s="26"/>
      <c r="K44" s="26"/>
      <c r="L44" s="26"/>
      <c r="M44" s="26">
        <f>[1]PAPELERIA!G45</f>
        <v>150</v>
      </c>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5">
        <f t="shared" si="7"/>
        <v>164.25</v>
      </c>
      <c r="BT44" s="25">
        <f t="shared" si="8"/>
        <v>164.25</v>
      </c>
      <c r="BU44" s="24">
        <f t="shared" si="9"/>
        <v>20.152543263816604</v>
      </c>
      <c r="BV44" s="23">
        <f t="shared" si="10"/>
        <v>0.12269432732917263</v>
      </c>
      <c r="BW44" s="22">
        <f t="shared" si="4"/>
        <v>138.65546218487395</v>
      </c>
      <c r="BX44" s="21">
        <f t="shared" si="5"/>
        <v>26.344537815126053</v>
      </c>
      <c r="BY44" s="170">
        <f t="shared" si="6"/>
        <v>165</v>
      </c>
      <c r="BZ44" s="180" t="s">
        <v>167</v>
      </c>
      <c r="CA44" s="20"/>
      <c r="CB44" s="20"/>
      <c r="CC44" s="20"/>
      <c r="CD44" s="20"/>
      <c r="CE44" s="20"/>
    </row>
    <row r="45" spans="1:83" s="19" customFormat="1" ht="29">
      <c r="A45" s="179">
        <v>38</v>
      </c>
      <c r="B45" s="28" t="s">
        <v>561</v>
      </c>
      <c r="C45" s="35" t="s">
        <v>560</v>
      </c>
      <c r="D45" s="28" t="s">
        <v>444</v>
      </c>
      <c r="E45" s="48">
        <v>1</v>
      </c>
      <c r="F45" s="27"/>
      <c r="G45" s="26">
        <f>[3]PAPELERIA!K20</f>
        <v>178.5</v>
      </c>
      <c r="H45" s="26"/>
      <c r="I45" s="26"/>
      <c r="J45" s="26"/>
      <c r="K45" s="26"/>
      <c r="L45" s="26"/>
      <c r="M45" s="26">
        <f>[1]PAPELERIA!G46</f>
        <v>150</v>
      </c>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5">
        <f t="shared" si="7"/>
        <v>164.25</v>
      </c>
      <c r="BT45" s="25">
        <f t="shared" si="8"/>
        <v>164.25</v>
      </c>
      <c r="BU45" s="24">
        <f t="shared" si="9"/>
        <v>20.152543263816604</v>
      </c>
      <c r="BV45" s="23">
        <f t="shared" si="10"/>
        <v>0.12269432732917263</v>
      </c>
      <c r="BW45" s="22">
        <f t="shared" si="4"/>
        <v>138.65546218487395</v>
      </c>
      <c r="BX45" s="21">
        <f t="shared" si="5"/>
        <v>26.344537815126053</v>
      </c>
      <c r="BY45" s="170">
        <f t="shared" si="6"/>
        <v>165</v>
      </c>
      <c r="BZ45" s="180" t="s">
        <v>167</v>
      </c>
      <c r="CA45" s="20"/>
      <c r="CB45" s="20"/>
      <c r="CC45" s="20"/>
      <c r="CD45" s="20"/>
      <c r="CE45" s="20"/>
    </row>
    <row r="46" spans="1:83" s="19" customFormat="1" ht="29">
      <c r="A46" s="179">
        <v>39</v>
      </c>
      <c r="B46" s="28" t="s">
        <v>559</v>
      </c>
      <c r="C46" s="35" t="s">
        <v>558</v>
      </c>
      <c r="D46" s="28" t="s">
        <v>11</v>
      </c>
      <c r="E46" s="48">
        <v>1</v>
      </c>
      <c r="F46" s="27"/>
      <c r="G46" s="26"/>
      <c r="H46" s="26"/>
      <c r="I46" s="26"/>
      <c r="J46" s="26"/>
      <c r="K46" s="26">
        <v>12605</v>
      </c>
      <c r="L46" s="26">
        <v>12150</v>
      </c>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5">
        <f t="shared" si="7"/>
        <v>12377.5</v>
      </c>
      <c r="BT46" s="25">
        <f t="shared" si="8"/>
        <v>12377.5</v>
      </c>
      <c r="BU46" s="24">
        <f t="shared" si="9"/>
        <v>321.73358543987911</v>
      </c>
      <c r="BV46" s="23">
        <f t="shared" si="10"/>
        <v>2.5993422374460038E-2</v>
      </c>
      <c r="BW46" s="22">
        <f t="shared" si="4"/>
        <v>10401.680672268909</v>
      </c>
      <c r="BX46" s="21">
        <f t="shared" si="5"/>
        <v>1976.3193277310927</v>
      </c>
      <c r="BY46" s="170">
        <f t="shared" si="6"/>
        <v>12378</v>
      </c>
      <c r="BZ46" s="180" t="s">
        <v>167</v>
      </c>
      <c r="CA46" s="20"/>
      <c r="CB46" s="20"/>
      <c r="CC46" s="20"/>
      <c r="CD46" s="20"/>
      <c r="CE46" s="20"/>
    </row>
    <row r="47" spans="1:83" s="19" customFormat="1" ht="57" customHeight="1">
      <c r="A47" s="179">
        <v>40</v>
      </c>
      <c r="B47" s="28" t="s">
        <v>557</v>
      </c>
      <c r="C47" s="35" t="s">
        <v>556</v>
      </c>
      <c r="D47" s="28" t="s">
        <v>6</v>
      </c>
      <c r="E47" s="48">
        <v>1</v>
      </c>
      <c r="F47" s="27"/>
      <c r="G47" s="26"/>
      <c r="H47" s="26"/>
      <c r="I47" s="26">
        <v>2200</v>
      </c>
      <c r="J47" s="26"/>
      <c r="K47" s="26"/>
      <c r="L47" s="26">
        <v>2640</v>
      </c>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5">
        <f t="shared" si="7"/>
        <v>2420</v>
      </c>
      <c r="BT47" s="25">
        <f t="shared" si="8"/>
        <v>2420</v>
      </c>
      <c r="BU47" s="24">
        <f t="shared" si="9"/>
        <v>311.12698372208092</v>
      </c>
      <c r="BV47" s="23">
        <f t="shared" si="10"/>
        <v>0.12856486930664501</v>
      </c>
      <c r="BW47" s="22">
        <f t="shared" si="4"/>
        <v>2033.6134453781513</v>
      </c>
      <c r="BX47" s="21">
        <f t="shared" si="5"/>
        <v>386.38655462184875</v>
      </c>
      <c r="BY47" s="170">
        <f t="shared" si="6"/>
        <v>2420</v>
      </c>
      <c r="BZ47" s="180" t="s">
        <v>167</v>
      </c>
      <c r="CA47" s="20"/>
      <c r="CB47" s="20"/>
      <c r="CC47" s="20"/>
      <c r="CD47" s="20"/>
      <c r="CE47" s="20"/>
    </row>
    <row r="48" spans="1:83" s="19" customFormat="1" ht="39">
      <c r="A48" s="179">
        <v>41</v>
      </c>
      <c r="B48" s="28" t="s">
        <v>555</v>
      </c>
      <c r="C48" s="35" t="s">
        <v>554</v>
      </c>
      <c r="D48" s="28" t="s">
        <v>6</v>
      </c>
      <c r="E48" s="48">
        <v>1</v>
      </c>
      <c r="F48" s="27"/>
      <c r="G48" s="26"/>
      <c r="H48" s="26"/>
      <c r="I48" s="26">
        <v>5100</v>
      </c>
      <c r="J48" s="26"/>
      <c r="K48" s="26"/>
      <c r="L48" s="26">
        <v>4560</v>
      </c>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5">
        <f t="shared" si="7"/>
        <v>4830</v>
      </c>
      <c r="BT48" s="25">
        <f t="shared" si="8"/>
        <v>4830</v>
      </c>
      <c r="BU48" s="24">
        <f t="shared" si="9"/>
        <v>381.83766184073568</v>
      </c>
      <c r="BV48" s="23">
        <f t="shared" si="10"/>
        <v>7.905541653017302E-2</v>
      </c>
      <c r="BW48" s="22">
        <f t="shared" si="4"/>
        <v>4058.8235294117649</v>
      </c>
      <c r="BX48" s="21">
        <f t="shared" si="5"/>
        <v>771.17647058823536</v>
      </c>
      <c r="BY48" s="170">
        <f t="shared" si="6"/>
        <v>4830</v>
      </c>
      <c r="BZ48" s="180" t="s">
        <v>167</v>
      </c>
      <c r="CA48" s="20"/>
      <c r="CB48" s="20"/>
      <c r="CC48" s="20"/>
      <c r="CD48" s="20"/>
      <c r="CE48" s="20"/>
    </row>
    <row r="49" spans="1:83" s="19" customFormat="1" ht="29">
      <c r="A49" s="179">
        <v>42</v>
      </c>
      <c r="B49" s="28" t="s">
        <v>553</v>
      </c>
      <c r="C49" s="35" t="s">
        <v>552</v>
      </c>
      <c r="D49" s="28" t="s">
        <v>6</v>
      </c>
      <c r="E49" s="48">
        <v>1</v>
      </c>
      <c r="F49" s="27"/>
      <c r="G49" s="26"/>
      <c r="H49" s="26"/>
      <c r="I49" s="26"/>
      <c r="J49" s="26">
        <v>12400</v>
      </c>
      <c r="K49" s="26"/>
      <c r="L49" s="26"/>
      <c r="M49" s="26">
        <v>13900</v>
      </c>
      <c r="N49" s="26"/>
      <c r="O49" s="26"/>
      <c r="P49" s="26"/>
      <c r="Q49" s="26"/>
      <c r="R49" s="26"/>
      <c r="S49" s="26"/>
      <c r="T49" s="26"/>
      <c r="U49" s="26"/>
      <c r="V49" s="26"/>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5">
        <f t="shared" si="7"/>
        <v>13150</v>
      </c>
      <c r="BT49" s="25">
        <f t="shared" si="8"/>
        <v>13150</v>
      </c>
      <c r="BU49" s="24">
        <f t="shared" si="9"/>
        <v>1060.6601717798212</v>
      </c>
      <c r="BV49" s="23">
        <f t="shared" si="10"/>
        <v>8.0658568196184124E-2</v>
      </c>
      <c r="BW49" s="22">
        <f t="shared" si="4"/>
        <v>11050.420168067227</v>
      </c>
      <c r="BX49" s="21">
        <f t="shared" si="5"/>
        <v>2099.5798319327732</v>
      </c>
      <c r="BY49" s="170">
        <f t="shared" si="6"/>
        <v>13150</v>
      </c>
      <c r="BZ49" s="180" t="s">
        <v>167</v>
      </c>
      <c r="CA49" s="20"/>
      <c r="CB49" s="20"/>
      <c r="CC49" s="20"/>
      <c r="CD49" s="20"/>
      <c r="CE49" s="20"/>
    </row>
    <row r="50" spans="1:83" s="19" customFormat="1" ht="39">
      <c r="A50" s="179">
        <v>43</v>
      </c>
      <c r="B50" s="28" t="s">
        <v>551</v>
      </c>
      <c r="C50" s="35" t="s">
        <v>550</v>
      </c>
      <c r="D50" s="28" t="s">
        <v>444</v>
      </c>
      <c r="E50" s="48">
        <v>1</v>
      </c>
      <c r="F50" s="27"/>
      <c r="G50" s="26"/>
      <c r="H50" s="26"/>
      <c r="I50" s="26"/>
      <c r="J50" s="26"/>
      <c r="K50" s="26"/>
      <c r="L50" s="26"/>
      <c r="M50" s="26"/>
      <c r="N50" s="26"/>
      <c r="O50" s="50">
        <v>2521</v>
      </c>
      <c r="P50" s="175">
        <f>((O50*5.1%)+O50)</f>
        <v>2649.5709999999999</v>
      </c>
      <c r="Q50" s="50">
        <v>2000</v>
      </c>
      <c r="R50" s="50">
        <f>((Q50*5.1%)+Q50)</f>
        <v>2102</v>
      </c>
      <c r="S50" s="50">
        <v>2087</v>
      </c>
      <c r="T50" s="50">
        <f>((S50*5.1%)+S50)</f>
        <v>2193.4369999999999</v>
      </c>
      <c r="U50" s="26"/>
      <c r="V50" s="26"/>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5">
        <f>MEDIAN(P50,R50,T50)</f>
        <v>2193.4369999999999</v>
      </c>
      <c r="BT50" s="25">
        <f>AVERAGE(P50,R50,T50)</f>
        <v>2315.0026666666668</v>
      </c>
      <c r="BU50" s="24">
        <f>STDEV(P50,R50,T50)</f>
        <v>293.32943680158274</v>
      </c>
      <c r="BV50" s="23">
        <f t="shared" si="10"/>
        <v>0.12670803408790143</v>
      </c>
      <c r="BW50" s="22">
        <f t="shared" si="4"/>
        <v>1946.2184873949582</v>
      </c>
      <c r="BX50" s="21">
        <f t="shared" si="5"/>
        <v>369.78151260504205</v>
      </c>
      <c r="BY50" s="170">
        <f t="shared" si="6"/>
        <v>2316</v>
      </c>
      <c r="BZ50" s="180" t="s">
        <v>167</v>
      </c>
      <c r="CA50" s="20"/>
      <c r="CB50" s="20"/>
      <c r="CC50" s="20"/>
      <c r="CD50" s="20"/>
      <c r="CE50" s="20"/>
    </row>
    <row r="51" spans="1:83" s="19" customFormat="1" ht="65">
      <c r="A51" s="179">
        <v>44</v>
      </c>
      <c r="B51" s="28" t="s">
        <v>549</v>
      </c>
      <c r="C51" s="33" t="s">
        <v>548</v>
      </c>
      <c r="D51" s="28" t="s">
        <v>6</v>
      </c>
      <c r="E51" s="48">
        <v>1</v>
      </c>
      <c r="F51" s="27"/>
      <c r="G51" s="26"/>
      <c r="H51" s="26"/>
      <c r="I51" s="26">
        <v>16900</v>
      </c>
      <c r="J51" s="26"/>
      <c r="K51" s="26"/>
      <c r="L51" s="26"/>
      <c r="M51" s="26">
        <f>[1]PAPELERIA!G52</f>
        <v>12980</v>
      </c>
      <c r="N51" s="26"/>
      <c r="O51" s="26"/>
      <c r="P51" s="26"/>
      <c r="Q51" s="26"/>
      <c r="R51" s="26"/>
      <c r="S51" s="26"/>
      <c r="T51" s="26"/>
      <c r="U51" s="26"/>
      <c r="V51" s="26"/>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5">
        <f t="shared" ref="BS51:BS65" si="11">MEDIAN(F51:M51)</f>
        <v>14940</v>
      </c>
      <c r="BT51" s="25">
        <f>AVERAGE(F51:M51)</f>
        <v>14940</v>
      </c>
      <c r="BU51" s="24">
        <f>STDEV(F51:M51)</f>
        <v>2771.8585822512664</v>
      </c>
      <c r="BV51" s="23">
        <f t="shared" si="10"/>
        <v>0.18553270296193217</v>
      </c>
      <c r="BW51" s="22">
        <v>14940</v>
      </c>
      <c r="BX51" s="21">
        <v>0</v>
      </c>
      <c r="BY51" s="170">
        <v>14940</v>
      </c>
      <c r="BZ51" s="180" t="s">
        <v>168</v>
      </c>
      <c r="CA51" s="20"/>
      <c r="CB51" s="20"/>
      <c r="CC51" s="20"/>
      <c r="CD51" s="20"/>
      <c r="CE51" s="20"/>
    </row>
    <row r="52" spans="1:83" s="19" customFormat="1" ht="65">
      <c r="A52" s="179">
        <v>45</v>
      </c>
      <c r="B52" s="28" t="s">
        <v>547</v>
      </c>
      <c r="C52" s="35" t="s">
        <v>546</v>
      </c>
      <c r="D52" s="28" t="s">
        <v>6</v>
      </c>
      <c r="E52" s="48">
        <v>1</v>
      </c>
      <c r="F52" s="27"/>
      <c r="G52" s="26"/>
      <c r="H52" s="26"/>
      <c r="I52" s="26">
        <v>13400</v>
      </c>
      <c r="J52" s="26"/>
      <c r="K52" s="26"/>
      <c r="L52" s="26"/>
      <c r="M52" s="26">
        <f>[1]PAPELERIA!G53</f>
        <v>11000</v>
      </c>
      <c r="N52" s="26"/>
      <c r="O52" s="26"/>
      <c r="P52" s="26"/>
      <c r="Q52" s="26"/>
      <c r="R52" s="26"/>
      <c r="S52" s="26"/>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5">
        <f t="shared" si="11"/>
        <v>12200</v>
      </c>
      <c r="BT52" s="25">
        <f>AVERAGE(F52:M52)</f>
        <v>12200</v>
      </c>
      <c r="BU52" s="24">
        <f>STDEV(F52:M52)</f>
        <v>1697.0562748477141</v>
      </c>
      <c r="BV52" s="23">
        <f t="shared" si="10"/>
        <v>0.13910297334817329</v>
      </c>
      <c r="BW52" s="22">
        <v>12200</v>
      </c>
      <c r="BX52" s="21">
        <v>0</v>
      </c>
      <c r="BY52" s="170">
        <v>12200</v>
      </c>
      <c r="BZ52" s="180" t="s">
        <v>167</v>
      </c>
      <c r="CA52" s="20"/>
      <c r="CB52" s="20"/>
      <c r="CC52" s="20"/>
      <c r="CD52" s="20"/>
      <c r="CE52" s="20"/>
    </row>
    <row r="53" spans="1:83" s="19" customFormat="1" ht="39">
      <c r="A53" s="179">
        <v>46</v>
      </c>
      <c r="B53" s="28" t="s">
        <v>545</v>
      </c>
      <c r="C53" s="35" t="s">
        <v>544</v>
      </c>
      <c r="D53" s="28" t="s">
        <v>444</v>
      </c>
      <c r="E53" s="48">
        <v>1</v>
      </c>
      <c r="F53" s="27">
        <v>24800</v>
      </c>
      <c r="G53" s="26"/>
      <c r="H53" s="26"/>
      <c r="I53" s="26"/>
      <c r="J53" s="26"/>
      <c r="K53" s="26"/>
      <c r="L53" s="26"/>
      <c r="M53" s="26"/>
      <c r="N53" s="26"/>
      <c r="O53" s="26"/>
      <c r="P53" s="26"/>
      <c r="Q53" s="26"/>
      <c r="R53" s="26"/>
      <c r="S53" s="26"/>
      <c r="T53" s="26"/>
      <c r="U53" s="50">
        <v>21400</v>
      </c>
      <c r="V53" s="50">
        <f>((U53*5.1%)+U53)</f>
        <v>22491.4</v>
      </c>
      <c r="W53" s="50">
        <v>23700</v>
      </c>
      <c r="X53" s="50">
        <f>((W53*5.1%)+W53)</f>
        <v>24908.7</v>
      </c>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c r="BK53" s="50"/>
      <c r="BL53" s="50"/>
      <c r="BM53" s="50"/>
      <c r="BN53" s="50"/>
      <c r="BO53" s="50"/>
      <c r="BP53" s="50"/>
      <c r="BQ53" s="50"/>
      <c r="BR53" s="50"/>
      <c r="BS53" s="25">
        <f t="shared" si="11"/>
        <v>24800</v>
      </c>
      <c r="BT53" s="25">
        <f>AVERAGE(X53,V53,F53)</f>
        <v>24066.7</v>
      </c>
      <c r="BU53" s="24">
        <f>STDEV(X53,V53,F53)</f>
        <v>1365.3320072421939</v>
      </c>
      <c r="BV53" s="23">
        <f t="shared" si="10"/>
        <v>5.6731168263293011E-2</v>
      </c>
      <c r="BW53" s="22">
        <f t="shared" ref="BW53:BW84" si="12">+BY53/1.19</f>
        <v>20224.36974789916</v>
      </c>
      <c r="BX53" s="21">
        <f t="shared" ref="BX53:BX84" si="13">+BW53*19%</f>
        <v>3842.6302521008406</v>
      </c>
      <c r="BY53" s="170">
        <f t="shared" ref="BY53:BY84" si="14">ROUNDUP(IF(BV53&lt;15%,BT53,BS53),0)</f>
        <v>24067</v>
      </c>
      <c r="BZ53" s="180" t="s">
        <v>167</v>
      </c>
      <c r="CA53" s="20"/>
      <c r="CB53" s="20"/>
      <c r="CC53" s="20"/>
      <c r="CD53" s="20"/>
      <c r="CE53" s="20"/>
    </row>
    <row r="54" spans="1:83" s="19" customFormat="1" ht="91">
      <c r="A54" s="179">
        <v>47</v>
      </c>
      <c r="B54" s="28" t="s">
        <v>543</v>
      </c>
      <c r="C54" s="33" t="s">
        <v>542</v>
      </c>
      <c r="D54" s="28" t="s">
        <v>444</v>
      </c>
      <c r="E54" s="48">
        <v>1</v>
      </c>
      <c r="F54" s="27"/>
      <c r="G54" s="26"/>
      <c r="H54" s="26"/>
      <c r="I54" s="26">
        <v>14900</v>
      </c>
      <c r="J54" s="26"/>
      <c r="K54" s="26"/>
      <c r="L54" s="26"/>
      <c r="M54" s="26">
        <f>[1]PAPELERIA!G55</f>
        <v>18900</v>
      </c>
      <c r="N54" s="26"/>
      <c r="O54" s="26"/>
      <c r="P54" s="26"/>
      <c r="Q54" s="26"/>
      <c r="R54" s="26"/>
      <c r="S54" s="26"/>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5">
        <f t="shared" si="11"/>
        <v>16900</v>
      </c>
      <c r="BT54" s="25">
        <f t="shared" ref="BT54:BT65" si="15">AVERAGE(F54:M54)</f>
        <v>16900</v>
      </c>
      <c r="BU54" s="24">
        <f t="shared" ref="BU54:BU65" si="16">STDEV(F54:M54)</f>
        <v>2828.4271247461902</v>
      </c>
      <c r="BV54" s="23">
        <f t="shared" si="10"/>
        <v>0.1673625517601296</v>
      </c>
      <c r="BW54" s="22">
        <f t="shared" si="12"/>
        <v>14201.680672268909</v>
      </c>
      <c r="BX54" s="21">
        <f t="shared" si="13"/>
        <v>2698.3193277310929</v>
      </c>
      <c r="BY54" s="170">
        <f t="shared" si="14"/>
        <v>16900</v>
      </c>
      <c r="BZ54" s="180" t="s">
        <v>167</v>
      </c>
      <c r="CA54" s="20"/>
      <c r="CB54" s="20"/>
      <c r="CC54" s="20"/>
      <c r="CD54" s="20"/>
      <c r="CE54" s="20"/>
    </row>
    <row r="55" spans="1:83" s="19" customFormat="1" ht="65">
      <c r="A55" s="179">
        <v>48</v>
      </c>
      <c r="B55" s="28" t="s">
        <v>541</v>
      </c>
      <c r="C55" s="35" t="s">
        <v>540</v>
      </c>
      <c r="D55" s="28" t="s">
        <v>6</v>
      </c>
      <c r="E55" s="48">
        <v>1</v>
      </c>
      <c r="F55" s="27"/>
      <c r="G55" s="26"/>
      <c r="H55" s="26"/>
      <c r="I55" s="26"/>
      <c r="J55" s="26">
        <f>[2]PAPELERIA!I56</f>
        <v>18900</v>
      </c>
      <c r="K55" s="26"/>
      <c r="L55" s="26">
        <v>15370</v>
      </c>
      <c r="M55" s="26"/>
      <c r="N55" s="26"/>
      <c r="O55" s="26"/>
      <c r="P55" s="26"/>
      <c r="Q55" s="26"/>
      <c r="R55" s="26"/>
      <c r="S55" s="26"/>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5">
        <f t="shared" si="11"/>
        <v>17135</v>
      </c>
      <c r="BT55" s="25">
        <f t="shared" si="15"/>
        <v>17135</v>
      </c>
      <c r="BU55" s="24">
        <f t="shared" si="16"/>
        <v>2496.0869375885127</v>
      </c>
      <c r="BV55" s="23">
        <f t="shared" si="10"/>
        <v>0.14567183761823826</v>
      </c>
      <c r="BW55" s="22">
        <f t="shared" si="12"/>
        <v>14399.159663865546</v>
      </c>
      <c r="BX55" s="21">
        <f t="shared" si="13"/>
        <v>2735.840336134454</v>
      </c>
      <c r="BY55" s="170">
        <f t="shared" si="14"/>
        <v>17135</v>
      </c>
      <c r="BZ55" s="180" t="s">
        <v>167</v>
      </c>
      <c r="CA55" s="20"/>
      <c r="CB55" s="20"/>
      <c r="CC55" s="20"/>
      <c r="CD55" s="20"/>
      <c r="CE55" s="20"/>
    </row>
    <row r="56" spans="1:83" s="19" customFormat="1" ht="39">
      <c r="A56" s="179">
        <v>49</v>
      </c>
      <c r="B56" s="28" t="s">
        <v>535</v>
      </c>
      <c r="C56" s="35" t="s">
        <v>539</v>
      </c>
      <c r="D56" s="28" t="s">
        <v>444</v>
      </c>
      <c r="E56" s="48">
        <v>1</v>
      </c>
      <c r="F56" s="27"/>
      <c r="G56" s="26"/>
      <c r="H56" s="26"/>
      <c r="I56" s="26"/>
      <c r="J56" s="26">
        <f>[2]PAPELERIA!I57</f>
        <v>2833</v>
      </c>
      <c r="K56" s="26"/>
      <c r="L56" s="26"/>
      <c r="M56" s="26">
        <f>[1]PAPELERIA!G57</f>
        <v>3500</v>
      </c>
      <c r="N56" s="26"/>
      <c r="O56" s="26"/>
      <c r="P56" s="26"/>
      <c r="Q56" s="26"/>
      <c r="R56" s="26"/>
      <c r="S56" s="26"/>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5">
        <f t="shared" si="11"/>
        <v>3166.5</v>
      </c>
      <c r="BT56" s="25">
        <f t="shared" si="15"/>
        <v>3166.5</v>
      </c>
      <c r="BU56" s="24">
        <f t="shared" si="16"/>
        <v>471.6402230514272</v>
      </c>
      <c r="BV56" s="23">
        <f t="shared" si="10"/>
        <v>0.14894685711398301</v>
      </c>
      <c r="BW56" s="22">
        <f t="shared" si="12"/>
        <v>2661.3445378151264</v>
      </c>
      <c r="BX56" s="21">
        <f t="shared" si="13"/>
        <v>505.65546218487401</v>
      </c>
      <c r="BY56" s="170">
        <f t="shared" si="14"/>
        <v>3167</v>
      </c>
      <c r="BZ56" s="180" t="s">
        <v>167</v>
      </c>
      <c r="CA56" s="20"/>
      <c r="CB56" s="20"/>
      <c r="CC56" s="20"/>
      <c r="CD56" s="20"/>
      <c r="CE56" s="20"/>
    </row>
    <row r="57" spans="1:83" s="19" customFormat="1" ht="52">
      <c r="A57" s="179">
        <v>50</v>
      </c>
      <c r="B57" s="28" t="s">
        <v>535</v>
      </c>
      <c r="C57" s="33" t="s">
        <v>538</v>
      </c>
      <c r="D57" s="28" t="s">
        <v>6</v>
      </c>
      <c r="E57" s="48">
        <v>1</v>
      </c>
      <c r="F57" s="27"/>
      <c r="G57" s="26"/>
      <c r="H57" s="26"/>
      <c r="I57" s="26">
        <v>46200</v>
      </c>
      <c r="J57" s="26">
        <f>[2]PAPELERIA!I58</f>
        <v>34000</v>
      </c>
      <c r="K57" s="26"/>
      <c r="L57" s="26"/>
      <c r="M57" s="26"/>
      <c r="N57" s="26"/>
      <c r="O57" s="26"/>
      <c r="P57" s="26"/>
      <c r="Q57" s="26"/>
      <c r="R57" s="26"/>
      <c r="S57" s="26"/>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5">
        <f t="shared" si="11"/>
        <v>40100</v>
      </c>
      <c r="BT57" s="25">
        <f t="shared" si="15"/>
        <v>40100</v>
      </c>
      <c r="BU57" s="24">
        <f t="shared" si="16"/>
        <v>8626.7027304758794</v>
      </c>
      <c r="BV57" s="23">
        <f t="shared" si="10"/>
        <v>0.21512974390214162</v>
      </c>
      <c r="BW57" s="22">
        <f t="shared" si="12"/>
        <v>33697.478991596639</v>
      </c>
      <c r="BX57" s="21">
        <f t="shared" si="13"/>
        <v>6402.5210084033615</v>
      </c>
      <c r="BY57" s="170">
        <f t="shared" si="14"/>
        <v>40100</v>
      </c>
      <c r="BZ57" s="180" t="s">
        <v>168</v>
      </c>
      <c r="CA57" s="20"/>
      <c r="CB57" s="20"/>
      <c r="CC57" s="20"/>
      <c r="CD57" s="20"/>
      <c r="CE57" s="20"/>
    </row>
    <row r="58" spans="1:83" s="19" customFormat="1" ht="65">
      <c r="A58" s="179">
        <v>51</v>
      </c>
      <c r="B58" s="28" t="s">
        <v>535</v>
      </c>
      <c r="C58" s="35" t="s">
        <v>537</v>
      </c>
      <c r="D58" s="28" t="s">
        <v>6</v>
      </c>
      <c r="E58" s="48">
        <v>1</v>
      </c>
      <c r="F58" s="27"/>
      <c r="G58" s="26"/>
      <c r="H58" s="26"/>
      <c r="I58" s="26"/>
      <c r="J58" s="26">
        <f>[2]PAPELERIA!I59</f>
        <v>15000</v>
      </c>
      <c r="K58" s="26"/>
      <c r="L58" s="26">
        <v>15400</v>
      </c>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5">
        <f t="shared" si="11"/>
        <v>15200</v>
      </c>
      <c r="BT58" s="25">
        <f t="shared" si="15"/>
        <v>15200</v>
      </c>
      <c r="BU58" s="24">
        <f t="shared" si="16"/>
        <v>282.84271247461902</v>
      </c>
      <c r="BV58" s="23">
        <f t="shared" si="10"/>
        <v>1.8608073189119674E-2</v>
      </c>
      <c r="BW58" s="22">
        <f t="shared" si="12"/>
        <v>12773.10924369748</v>
      </c>
      <c r="BX58" s="21">
        <f t="shared" si="13"/>
        <v>2426.8907563025214</v>
      </c>
      <c r="BY58" s="170">
        <f t="shared" si="14"/>
        <v>15200</v>
      </c>
      <c r="BZ58" s="180" t="s">
        <v>167</v>
      </c>
      <c r="CA58" s="20"/>
      <c r="CB58" s="20"/>
      <c r="CC58" s="20"/>
      <c r="CD58" s="20"/>
      <c r="CE58" s="20"/>
    </row>
    <row r="59" spans="1:83" s="19" customFormat="1" ht="39">
      <c r="A59" s="179">
        <v>52</v>
      </c>
      <c r="B59" s="28" t="s">
        <v>535</v>
      </c>
      <c r="C59" s="33" t="s">
        <v>536</v>
      </c>
      <c r="D59" s="28" t="s">
        <v>6</v>
      </c>
      <c r="E59" s="48">
        <v>1</v>
      </c>
      <c r="F59" s="27"/>
      <c r="G59" s="26"/>
      <c r="H59" s="26"/>
      <c r="I59" s="26">
        <v>35800</v>
      </c>
      <c r="J59" s="26"/>
      <c r="K59" s="26"/>
      <c r="L59" s="26"/>
      <c r="M59" s="26">
        <f>[1]PAPELERIA!G60</f>
        <v>46455</v>
      </c>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5">
        <f t="shared" si="11"/>
        <v>41127.5</v>
      </c>
      <c r="BT59" s="25">
        <f t="shared" si="15"/>
        <v>41127.5</v>
      </c>
      <c r="BU59" s="24">
        <f t="shared" si="16"/>
        <v>7534.2227535426637</v>
      </c>
      <c r="BV59" s="23">
        <f t="shared" si="10"/>
        <v>0.18319184860598539</v>
      </c>
      <c r="BW59" s="22">
        <f t="shared" si="12"/>
        <v>34561.34453781513</v>
      </c>
      <c r="BX59" s="21">
        <f t="shared" si="13"/>
        <v>6566.6554621848745</v>
      </c>
      <c r="BY59" s="170">
        <f t="shared" si="14"/>
        <v>41128</v>
      </c>
      <c r="BZ59" s="180" t="s">
        <v>168</v>
      </c>
      <c r="CA59" s="20"/>
      <c r="CB59" s="20"/>
      <c r="CC59" s="20"/>
      <c r="CD59" s="20"/>
      <c r="CE59" s="20"/>
    </row>
    <row r="60" spans="1:83" s="19" customFormat="1" ht="52">
      <c r="A60" s="179">
        <v>53</v>
      </c>
      <c r="B60" s="28" t="s">
        <v>535</v>
      </c>
      <c r="C60" s="35" t="s">
        <v>534</v>
      </c>
      <c r="D60" s="28" t="s">
        <v>6</v>
      </c>
      <c r="E60" s="48">
        <v>1</v>
      </c>
      <c r="F60" s="27"/>
      <c r="G60" s="26"/>
      <c r="H60" s="26"/>
      <c r="I60" s="26">
        <v>25800</v>
      </c>
      <c r="J60" s="26">
        <v>26800</v>
      </c>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5">
        <f t="shared" si="11"/>
        <v>26300</v>
      </c>
      <c r="BT60" s="25">
        <f t="shared" si="15"/>
        <v>26300</v>
      </c>
      <c r="BU60" s="24">
        <f t="shared" si="16"/>
        <v>707.10678118654755</v>
      </c>
      <c r="BV60" s="23">
        <f t="shared" si="10"/>
        <v>2.6886189398728045E-2</v>
      </c>
      <c r="BW60" s="22">
        <f t="shared" si="12"/>
        <v>22100.840336134454</v>
      </c>
      <c r="BX60" s="21">
        <f t="shared" si="13"/>
        <v>4199.1596638655465</v>
      </c>
      <c r="BY60" s="170">
        <f t="shared" si="14"/>
        <v>26300</v>
      </c>
      <c r="BZ60" s="180" t="s">
        <v>167</v>
      </c>
      <c r="CA60" s="20"/>
      <c r="CB60" s="20"/>
      <c r="CC60" s="20"/>
      <c r="CD60" s="20"/>
      <c r="CE60" s="20"/>
    </row>
    <row r="61" spans="1:83" s="19" customFormat="1" ht="29">
      <c r="A61" s="179">
        <v>54</v>
      </c>
      <c r="B61" s="28" t="s">
        <v>533</v>
      </c>
      <c r="C61" s="35" t="s">
        <v>532</v>
      </c>
      <c r="D61" s="28" t="s">
        <v>11</v>
      </c>
      <c r="E61" s="48">
        <v>1</v>
      </c>
      <c r="F61" s="27"/>
      <c r="G61" s="26"/>
      <c r="H61" s="26"/>
      <c r="I61" s="26"/>
      <c r="J61" s="26">
        <f>[2]PAPELERIA!I62</f>
        <v>1600</v>
      </c>
      <c r="K61" s="26"/>
      <c r="L61" s="26">
        <v>1430</v>
      </c>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5">
        <f t="shared" si="11"/>
        <v>1515</v>
      </c>
      <c r="BT61" s="25">
        <f t="shared" si="15"/>
        <v>1515</v>
      </c>
      <c r="BU61" s="24">
        <f t="shared" si="16"/>
        <v>120.20815280171308</v>
      </c>
      <c r="BV61" s="23">
        <f t="shared" si="10"/>
        <v>7.9345315380668704E-2</v>
      </c>
      <c r="BW61" s="22">
        <f t="shared" si="12"/>
        <v>1273.1092436974791</v>
      </c>
      <c r="BX61" s="21">
        <f t="shared" si="13"/>
        <v>241.89075630252103</v>
      </c>
      <c r="BY61" s="170">
        <f t="shared" si="14"/>
        <v>1515</v>
      </c>
      <c r="BZ61" s="180" t="s">
        <v>167</v>
      </c>
      <c r="CA61" s="20"/>
      <c r="CB61" s="20"/>
      <c r="CC61" s="20"/>
      <c r="CD61" s="20"/>
      <c r="CE61" s="20"/>
    </row>
    <row r="62" spans="1:83" s="19" customFormat="1" ht="29">
      <c r="A62" s="179">
        <v>55</v>
      </c>
      <c r="B62" s="28" t="s">
        <v>530</v>
      </c>
      <c r="C62" s="35" t="s">
        <v>531</v>
      </c>
      <c r="D62" s="28" t="s">
        <v>11</v>
      </c>
      <c r="E62" s="48">
        <v>1</v>
      </c>
      <c r="F62" s="27"/>
      <c r="G62" s="26"/>
      <c r="H62" s="26"/>
      <c r="I62" s="26"/>
      <c r="J62" s="26">
        <v>2890</v>
      </c>
      <c r="K62" s="26"/>
      <c r="L62" s="26">
        <v>3045</v>
      </c>
      <c r="M62" s="26">
        <v>3727</v>
      </c>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5">
        <f t="shared" si="11"/>
        <v>3045</v>
      </c>
      <c r="BT62" s="25">
        <f t="shared" si="15"/>
        <v>3220.6666666666665</v>
      </c>
      <c r="BU62" s="24">
        <f t="shared" si="16"/>
        <v>445.29353614591571</v>
      </c>
      <c r="BV62" s="23">
        <f t="shared" si="10"/>
        <v>0.13826129253133379</v>
      </c>
      <c r="BW62" s="22">
        <f t="shared" si="12"/>
        <v>2706.7226890756306</v>
      </c>
      <c r="BX62" s="21">
        <f t="shared" si="13"/>
        <v>514.27731092436977</v>
      </c>
      <c r="BY62" s="170">
        <f t="shared" si="14"/>
        <v>3221</v>
      </c>
      <c r="BZ62" s="180" t="s">
        <v>167</v>
      </c>
      <c r="CA62" s="20"/>
      <c r="CB62" s="20"/>
      <c r="CC62" s="20"/>
      <c r="CD62" s="20"/>
      <c r="CE62" s="20"/>
    </row>
    <row r="63" spans="1:83" s="19" customFormat="1" ht="29">
      <c r="A63" s="179">
        <v>56</v>
      </c>
      <c r="B63" s="28" t="s">
        <v>530</v>
      </c>
      <c r="C63" s="35" t="s">
        <v>529</v>
      </c>
      <c r="D63" s="28" t="s">
        <v>11</v>
      </c>
      <c r="E63" s="48">
        <v>1</v>
      </c>
      <c r="F63" s="27"/>
      <c r="G63" s="26"/>
      <c r="H63" s="26"/>
      <c r="I63" s="26"/>
      <c r="J63" s="26">
        <v>4000</v>
      </c>
      <c r="K63" s="26"/>
      <c r="L63" s="26">
        <v>4100</v>
      </c>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5">
        <f t="shared" si="11"/>
        <v>4050</v>
      </c>
      <c r="BT63" s="25">
        <f t="shared" si="15"/>
        <v>4050</v>
      </c>
      <c r="BU63" s="24">
        <f t="shared" si="16"/>
        <v>70.710678118654755</v>
      </c>
      <c r="BV63" s="23">
        <f t="shared" si="10"/>
        <v>1.7459426695964137E-2</v>
      </c>
      <c r="BW63" s="22">
        <f t="shared" si="12"/>
        <v>3403.3613445378151</v>
      </c>
      <c r="BX63" s="21">
        <f t="shared" si="13"/>
        <v>646.63865546218483</v>
      </c>
      <c r="BY63" s="170">
        <f t="shared" si="14"/>
        <v>4050</v>
      </c>
      <c r="BZ63" s="180" t="s">
        <v>167</v>
      </c>
      <c r="CA63" s="20"/>
      <c r="CB63" s="20"/>
      <c r="CC63" s="20"/>
      <c r="CD63" s="20"/>
      <c r="CE63" s="20"/>
    </row>
    <row r="64" spans="1:83" s="19" customFormat="1" ht="55.5" customHeight="1">
      <c r="A64" s="179">
        <v>57</v>
      </c>
      <c r="B64" s="28" t="s">
        <v>528</v>
      </c>
      <c r="C64" s="35" t="s">
        <v>527</v>
      </c>
      <c r="D64" s="28" t="s">
        <v>526</v>
      </c>
      <c r="E64" s="48">
        <v>1</v>
      </c>
      <c r="F64" s="27"/>
      <c r="G64" s="26"/>
      <c r="H64" s="26"/>
      <c r="I64" s="26"/>
      <c r="J64" s="26">
        <f>[2]PAPELERIA!I65</f>
        <v>3400</v>
      </c>
      <c r="K64" s="26"/>
      <c r="L64" s="26">
        <v>2930</v>
      </c>
      <c r="M64" s="26">
        <f>[1]PAPELERIA!G65</f>
        <v>3500</v>
      </c>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5">
        <f t="shared" si="11"/>
        <v>3400</v>
      </c>
      <c r="BT64" s="25">
        <f t="shared" si="15"/>
        <v>3276.6666666666665</v>
      </c>
      <c r="BU64" s="24">
        <f t="shared" si="16"/>
        <v>304.3572462310259</v>
      </c>
      <c r="BV64" s="23">
        <f t="shared" si="10"/>
        <v>9.2886239948431107E-2</v>
      </c>
      <c r="BW64" s="22">
        <f t="shared" si="12"/>
        <v>2753.7815126050423</v>
      </c>
      <c r="BX64" s="21">
        <f t="shared" si="13"/>
        <v>523.21848739495806</v>
      </c>
      <c r="BY64" s="170">
        <f t="shared" si="14"/>
        <v>3277</v>
      </c>
      <c r="BZ64" s="180" t="s">
        <v>167</v>
      </c>
      <c r="CA64" s="20"/>
      <c r="CB64" s="20"/>
      <c r="CC64" s="20"/>
      <c r="CD64" s="20"/>
      <c r="CE64" s="20"/>
    </row>
    <row r="65" spans="1:83" s="19" customFormat="1" ht="29">
      <c r="A65" s="179">
        <v>58</v>
      </c>
      <c r="B65" s="28" t="s">
        <v>525</v>
      </c>
      <c r="C65" s="35" t="s">
        <v>524</v>
      </c>
      <c r="D65" s="28" t="s">
        <v>6</v>
      </c>
      <c r="E65" s="48">
        <v>1</v>
      </c>
      <c r="F65" s="27"/>
      <c r="G65" s="26"/>
      <c r="H65" s="26"/>
      <c r="I65" s="26">
        <v>199000</v>
      </c>
      <c r="J65" s="26">
        <v>195000</v>
      </c>
      <c r="K65" s="26"/>
      <c r="L65" s="26">
        <v>198000</v>
      </c>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5">
        <f t="shared" si="11"/>
        <v>198000</v>
      </c>
      <c r="BT65" s="25">
        <f t="shared" si="15"/>
        <v>197333.33333333334</v>
      </c>
      <c r="BU65" s="24">
        <f t="shared" si="16"/>
        <v>2081.6659994661327</v>
      </c>
      <c r="BV65" s="23">
        <f t="shared" si="10"/>
        <v>1.0548983105402698E-2</v>
      </c>
      <c r="BW65" s="22">
        <f t="shared" si="12"/>
        <v>165826.89075630254</v>
      </c>
      <c r="BX65" s="21">
        <f t="shared" si="13"/>
        <v>31507.109243697483</v>
      </c>
      <c r="BY65" s="170">
        <f t="shared" si="14"/>
        <v>197334</v>
      </c>
      <c r="BZ65" s="180" t="s">
        <v>167</v>
      </c>
      <c r="CA65" s="20"/>
      <c r="CB65" s="20"/>
      <c r="CC65" s="20"/>
      <c r="CD65" s="20"/>
      <c r="CE65" s="20"/>
    </row>
    <row r="66" spans="1:83" s="19" customFormat="1" ht="31">
      <c r="A66" s="179">
        <v>59</v>
      </c>
      <c r="B66" s="28" t="s">
        <v>523</v>
      </c>
      <c r="C66" s="49" t="s">
        <v>522</v>
      </c>
      <c r="D66" s="176" t="s">
        <v>6</v>
      </c>
      <c r="E66" s="48">
        <v>1</v>
      </c>
      <c r="F66" s="27"/>
      <c r="G66" s="26"/>
      <c r="H66" s="26"/>
      <c r="I66" s="26"/>
      <c r="J66" s="26"/>
      <c r="K66" s="26"/>
      <c r="L66" s="26"/>
      <c r="M66" s="26"/>
      <c r="N66" s="26"/>
      <c r="O66" s="26">
        <v>205880</v>
      </c>
      <c r="P66" s="26">
        <v>216380</v>
      </c>
      <c r="Q66" s="26">
        <v>190000</v>
      </c>
      <c r="R66" s="26">
        <v>199690</v>
      </c>
      <c r="S66" s="26">
        <v>202310</v>
      </c>
      <c r="T66" s="26">
        <v>212628</v>
      </c>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5">
        <f>MEDIAN(P66,R66,T66)</f>
        <v>212628</v>
      </c>
      <c r="BT66" s="25">
        <f>AVERAGE(P66,R66,T66)</f>
        <v>209566</v>
      </c>
      <c r="BU66" s="24">
        <f>STDEV(P66,R66,T66)</f>
        <v>8756.1925515602961</v>
      </c>
      <c r="BV66" s="23">
        <f t="shared" si="10"/>
        <v>4.1782505518835576E-2</v>
      </c>
      <c r="BW66" s="22">
        <f t="shared" si="12"/>
        <v>176105.88235294117</v>
      </c>
      <c r="BX66" s="21">
        <f t="shared" si="13"/>
        <v>33460.117647058825</v>
      </c>
      <c r="BY66" s="170">
        <f t="shared" si="14"/>
        <v>209566</v>
      </c>
      <c r="BZ66" s="180" t="s">
        <v>167</v>
      </c>
      <c r="CA66" s="20"/>
      <c r="CB66" s="20"/>
      <c r="CC66" s="20"/>
      <c r="CD66" s="20"/>
      <c r="CE66" s="20"/>
    </row>
    <row r="67" spans="1:83" s="19" customFormat="1" ht="29">
      <c r="A67" s="179">
        <v>60</v>
      </c>
      <c r="B67" s="28" t="s">
        <v>19</v>
      </c>
      <c r="C67" s="33" t="s">
        <v>521</v>
      </c>
      <c r="D67" s="28" t="s">
        <v>520</v>
      </c>
      <c r="E67" s="48">
        <v>1</v>
      </c>
      <c r="F67" s="27"/>
      <c r="G67" s="26"/>
      <c r="H67" s="26"/>
      <c r="I67" s="26">
        <v>900</v>
      </c>
      <c r="J67" s="26"/>
      <c r="K67" s="26"/>
      <c r="L67" s="26"/>
      <c r="M67" s="26">
        <f>[1]PAPELERIA!G67</f>
        <v>1200</v>
      </c>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5">
        <f>MEDIAN(F67:M67)</f>
        <v>1050</v>
      </c>
      <c r="BT67" s="25">
        <f>AVERAGE(F67:M67)</f>
        <v>1050</v>
      </c>
      <c r="BU67" s="24">
        <f>STDEV(F67:M67)</f>
        <v>212.13203435596427</v>
      </c>
      <c r="BV67" s="23">
        <f t="shared" si="10"/>
        <v>0.20203050891044216</v>
      </c>
      <c r="BW67" s="22">
        <f t="shared" si="12"/>
        <v>882.35294117647061</v>
      </c>
      <c r="BX67" s="21">
        <f t="shared" si="13"/>
        <v>167.64705882352942</v>
      </c>
      <c r="BY67" s="170">
        <f t="shared" si="14"/>
        <v>1050</v>
      </c>
      <c r="BZ67" s="180" t="s">
        <v>168</v>
      </c>
      <c r="CA67" s="20"/>
      <c r="CB67" s="20"/>
      <c r="CC67" s="20"/>
      <c r="CD67" s="20"/>
      <c r="CE67" s="20"/>
    </row>
    <row r="68" spans="1:83" s="19" customFormat="1" ht="29">
      <c r="A68" s="179">
        <v>61</v>
      </c>
      <c r="B68" s="28" t="s">
        <v>518</v>
      </c>
      <c r="C68" s="35" t="s">
        <v>519</v>
      </c>
      <c r="D68" s="28" t="s">
        <v>138</v>
      </c>
      <c r="E68" s="48">
        <v>1</v>
      </c>
      <c r="F68" s="27"/>
      <c r="G68" s="26"/>
      <c r="H68" s="26"/>
      <c r="I68" s="26"/>
      <c r="J68" s="26">
        <f>[2]PAPELERIA!I69</f>
        <v>9800</v>
      </c>
      <c r="K68" s="26"/>
      <c r="L68" s="26">
        <v>10510</v>
      </c>
      <c r="M68" s="26">
        <v>10900</v>
      </c>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5">
        <f>MEDIAN(F68:M68)</f>
        <v>10510</v>
      </c>
      <c r="BT68" s="25">
        <f>AVERAGE(F68:M68)</f>
        <v>10403.333333333334</v>
      </c>
      <c r="BU68" s="24">
        <f>STDEV(F68:M68)</f>
        <v>557.70362499569012</v>
      </c>
      <c r="BV68" s="23">
        <f t="shared" si="10"/>
        <v>5.3608166452645635E-2</v>
      </c>
      <c r="BW68" s="22">
        <f t="shared" si="12"/>
        <v>8742.8571428571431</v>
      </c>
      <c r="BX68" s="21">
        <f t="shared" si="13"/>
        <v>1661.1428571428571</v>
      </c>
      <c r="BY68" s="170">
        <f t="shared" si="14"/>
        <v>10404</v>
      </c>
      <c r="BZ68" s="180" t="s">
        <v>167</v>
      </c>
      <c r="CA68" s="20"/>
      <c r="CB68" s="20"/>
      <c r="CC68" s="20"/>
      <c r="CD68" s="20"/>
      <c r="CE68" s="20"/>
    </row>
    <row r="69" spans="1:83" s="19" customFormat="1" ht="29">
      <c r="A69" s="179">
        <v>62</v>
      </c>
      <c r="B69" s="28" t="s">
        <v>518</v>
      </c>
      <c r="C69" s="33" t="s">
        <v>517</v>
      </c>
      <c r="D69" s="28" t="s">
        <v>138</v>
      </c>
      <c r="E69" s="48">
        <v>1</v>
      </c>
      <c r="F69" s="27"/>
      <c r="G69" s="26"/>
      <c r="H69" s="26"/>
      <c r="I69" s="26"/>
      <c r="J69" s="26">
        <f>[2]PAPELERIA!I70</f>
        <v>48000</v>
      </c>
      <c r="K69" s="26"/>
      <c r="L69" s="26">
        <v>35300</v>
      </c>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5">
        <f>MEDIAN(F69:M69)</f>
        <v>41650</v>
      </c>
      <c r="BT69" s="25">
        <f>AVERAGE(F69:M69)</f>
        <v>41650</v>
      </c>
      <c r="BU69" s="24">
        <f>STDEV(F69:M69)</f>
        <v>8980.2561210691529</v>
      </c>
      <c r="BV69" s="23">
        <f t="shared" si="10"/>
        <v>0.21561239186240463</v>
      </c>
      <c r="BW69" s="22">
        <f t="shared" si="12"/>
        <v>35000</v>
      </c>
      <c r="BX69" s="21">
        <f t="shared" si="13"/>
        <v>6650</v>
      </c>
      <c r="BY69" s="170">
        <f t="shared" si="14"/>
        <v>41650</v>
      </c>
      <c r="BZ69" s="180" t="s">
        <v>168</v>
      </c>
      <c r="CA69" s="20"/>
      <c r="CB69" s="20"/>
      <c r="CC69" s="20"/>
      <c r="CD69" s="20"/>
      <c r="CE69" s="20"/>
    </row>
    <row r="70" spans="1:83" s="19" customFormat="1" ht="39">
      <c r="A70" s="179">
        <v>63</v>
      </c>
      <c r="B70" s="28" t="s">
        <v>516</v>
      </c>
      <c r="C70" s="33" t="s">
        <v>515</v>
      </c>
      <c r="D70" s="28" t="s">
        <v>11</v>
      </c>
      <c r="E70" s="48">
        <v>1</v>
      </c>
      <c r="F70" s="27">
        <v>8100</v>
      </c>
      <c r="G70" s="26"/>
      <c r="H70" s="26"/>
      <c r="I70" s="26"/>
      <c r="J70" s="26"/>
      <c r="K70" s="26"/>
      <c r="L70" s="26"/>
      <c r="M70" s="26"/>
      <c r="N70" s="26"/>
      <c r="O70" s="34"/>
      <c r="P70" s="26"/>
      <c r="Q70" s="50">
        <v>6200</v>
      </c>
      <c r="R70" s="50">
        <f>((Q70*5.1%)+Q70)</f>
        <v>6516.2</v>
      </c>
      <c r="S70" s="50">
        <v>5612</v>
      </c>
      <c r="T70" s="50">
        <f>((S70*5.1%)+S70)</f>
        <v>5898.2119999999995</v>
      </c>
      <c r="U70" s="26"/>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c r="BG70" s="26"/>
      <c r="BH70" s="26"/>
      <c r="BI70" s="26"/>
      <c r="BJ70" s="26"/>
      <c r="BK70" s="26"/>
      <c r="BL70" s="26"/>
      <c r="BM70" s="26"/>
      <c r="BN70" s="26"/>
      <c r="BO70" s="26"/>
      <c r="BP70" s="26"/>
      <c r="BQ70" s="26"/>
      <c r="BR70" s="26"/>
      <c r="BS70" s="25">
        <f>MEDIAN(F70,R70,T70)</f>
        <v>6516.2</v>
      </c>
      <c r="BT70" s="25">
        <f>AVERAGE(F70,R70,T70)</f>
        <v>6838.1373333333331</v>
      </c>
      <c r="BU70" s="24">
        <f>STDEV(F70,R70,T70)</f>
        <v>1135.6497409770866</v>
      </c>
      <c r="BV70" s="23">
        <f t="shared" si="10"/>
        <v>0.16607588962000275</v>
      </c>
      <c r="BW70" s="22">
        <f t="shared" si="12"/>
        <v>5476.4705882352946</v>
      </c>
      <c r="BX70" s="21">
        <f t="shared" si="13"/>
        <v>1040.5294117647061</v>
      </c>
      <c r="BY70" s="170">
        <f t="shared" si="14"/>
        <v>6517</v>
      </c>
      <c r="BZ70" s="180" t="s">
        <v>168</v>
      </c>
      <c r="CA70" s="20"/>
      <c r="CB70" s="20"/>
      <c r="CC70" s="20"/>
      <c r="CD70" s="20"/>
      <c r="CE70" s="20"/>
    </row>
    <row r="71" spans="1:83" s="19" customFormat="1" ht="29">
      <c r="A71" s="179">
        <v>64</v>
      </c>
      <c r="B71" s="28" t="s">
        <v>19</v>
      </c>
      <c r="C71" s="35" t="s">
        <v>514</v>
      </c>
      <c r="D71" s="28" t="s">
        <v>11</v>
      </c>
      <c r="E71" s="48">
        <v>1</v>
      </c>
      <c r="F71" s="27"/>
      <c r="G71" s="26"/>
      <c r="H71" s="26"/>
      <c r="I71" s="26"/>
      <c r="J71" s="26">
        <v>17000</v>
      </c>
      <c r="K71" s="26"/>
      <c r="L71" s="26">
        <v>14490</v>
      </c>
      <c r="M71" s="26"/>
      <c r="N71" s="26"/>
      <c r="O71" s="26"/>
      <c r="P71" s="26"/>
      <c r="Q71" s="26"/>
      <c r="R71" s="26"/>
      <c r="S71" s="26"/>
      <c r="T71" s="26"/>
      <c r="U71" s="26"/>
      <c r="V71" s="26"/>
      <c r="W71" s="26"/>
      <c r="X71" s="26"/>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c r="BG71" s="26"/>
      <c r="BH71" s="26"/>
      <c r="BI71" s="26"/>
      <c r="BJ71" s="26"/>
      <c r="BK71" s="26"/>
      <c r="BL71" s="26"/>
      <c r="BM71" s="26"/>
      <c r="BN71" s="26"/>
      <c r="BO71" s="26"/>
      <c r="BP71" s="26"/>
      <c r="BQ71" s="26"/>
      <c r="BR71" s="26"/>
      <c r="BS71" s="25">
        <f>MEDIAN(F71:M71)</f>
        <v>15745</v>
      </c>
      <c r="BT71" s="25">
        <f>AVERAGE(F71:M71)</f>
        <v>15745</v>
      </c>
      <c r="BU71" s="24">
        <f>STDEV(F71:M71)</f>
        <v>1774.8380207782343</v>
      </c>
      <c r="BV71" s="23">
        <f t="shared" si="10"/>
        <v>0.11272391367279989</v>
      </c>
      <c r="BW71" s="22">
        <f t="shared" si="12"/>
        <v>13231.09243697479</v>
      </c>
      <c r="BX71" s="21">
        <f t="shared" si="13"/>
        <v>2513.90756302521</v>
      </c>
      <c r="BY71" s="170">
        <f t="shared" si="14"/>
        <v>15745</v>
      </c>
      <c r="BZ71" s="180" t="s">
        <v>167</v>
      </c>
      <c r="CA71" s="20"/>
      <c r="CB71" s="20"/>
      <c r="CC71" s="20"/>
      <c r="CD71" s="20"/>
      <c r="CE71" s="20"/>
    </row>
    <row r="72" spans="1:83" s="19" customFormat="1" ht="29">
      <c r="A72" s="179">
        <v>65</v>
      </c>
      <c r="B72" s="28" t="s">
        <v>19</v>
      </c>
      <c r="C72" s="35" t="s">
        <v>513</v>
      </c>
      <c r="D72" s="28" t="s">
        <v>138</v>
      </c>
      <c r="E72" s="48">
        <v>1</v>
      </c>
      <c r="F72" s="27"/>
      <c r="G72" s="26"/>
      <c r="H72" s="26"/>
      <c r="I72" s="26">
        <v>42000</v>
      </c>
      <c r="J72" s="26"/>
      <c r="K72" s="26"/>
      <c r="L72" s="26">
        <v>43200</v>
      </c>
      <c r="M72" s="26"/>
      <c r="N72" s="26"/>
      <c r="O72" s="26"/>
      <c r="P72" s="26"/>
      <c r="Q72" s="26"/>
      <c r="R72" s="26"/>
      <c r="S72" s="26"/>
      <c r="T72" s="26"/>
      <c r="U72" s="26"/>
      <c r="V72" s="26"/>
      <c r="W72" s="26"/>
      <c r="X72" s="26"/>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c r="BG72" s="26"/>
      <c r="BH72" s="26"/>
      <c r="BI72" s="26"/>
      <c r="BJ72" s="26"/>
      <c r="BK72" s="26"/>
      <c r="BL72" s="26"/>
      <c r="BM72" s="26"/>
      <c r="BN72" s="26"/>
      <c r="BO72" s="26"/>
      <c r="BP72" s="26"/>
      <c r="BQ72" s="26"/>
      <c r="BR72" s="26"/>
      <c r="BS72" s="25">
        <f>MEDIAN(F72:M72)</f>
        <v>42600</v>
      </c>
      <c r="BT72" s="25">
        <f>AVERAGE(F72:M72)</f>
        <v>42600</v>
      </c>
      <c r="BU72" s="24">
        <f>STDEV(F72:M72)</f>
        <v>848.52813742385706</v>
      </c>
      <c r="BV72" s="23">
        <f t="shared" ref="BV72:BV103" si="17">BU72/BT72</f>
        <v>1.9918500878494297E-2</v>
      </c>
      <c r="BW72" s="22">
        <f t="shared" si="12"/>
        <v>35798.319327731093</v>
      </c>
      <c r="BX72" s="21">
        <f t="shared" si="13"/>
        <v>6801.680672268908</v>
      </c>
      <c r="BY72" s="170">
        <f t="shared" si="14"/>
        <v>42600</v>
      </c>
      <c r="BZ72" s="180" t="s">
        <v>167</v>
      </c>
      <c r="CA72" s="20"/>
      <c r="CB72" s="20"/>
      <c r="CC72" s="20"/>
      <c r="CD72" s="20"/>
      <c r="CE72" s="20"/>
    </row>
    <row r="73" spans="1:83" s="19" customFormat="1" ht="29">
      <c r="A73" s="179">
        <v>66</v>
      </c>
      <c r="B73" s="28" t="s">
        <v>512</v>
      </c>
      <c r="C73" s="33" t="s">
        <v>511</v>
      </c>
      <c r="D73" s="28" t="s">
        <v>444</v>
      </c>
      <c r="E73" s="48">
        <v>1</v>
      </c>
      <c r="F73" s="27"/>
      <c r="G73" s="26"/>
      <c r="H73" s="26"/>
      <c r="I73" s="26">
        <v>1000</v>
      </c>
      <c r="J73" s="26">
        <v>800</v>
      </c>
      <c r="K73" s="26"/>
      <c r="L73" s="26"/>
      <c r="M73" s="26"/>
      <c r="N73" s="26"/>
      <c r="O73" s="26"/>
      <c r="P73" s="26"/>
      <c r="Q73" s="26"/>
      <c r="R73" s="26"/>
      <c r="S73" s="26"/>
      <c r="T73" s="26"/>
      <c r="U73" s="26"/>
      <c r="V73" s="26"/>
      <c r="W73" s="26"/>
      <c r="X73" s="26"/>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c r="BG73" s="26"/>
      <c r="BH73" s="26"/>
      <c r="BI73" s="26"/>
      <c r="BJ73" s="26"/>
      <c r="BK73" s="26"/>
      <c r="BL73" s="26"/>
      <c r="BM73" s="26"/>
      <c r="BN73" s="26"/>
      <c r="BO73" s="26"/>
      <c r="BP73" s="26"/>
      <c r="BQ73" s="26"/>
      <c r="BR73" s="26"/>
      <c r="BS73" s="25">
        <f>MEDIAN(F73:M73)</f>
        <v>900</v>
      </c>
      <c r="BT73" s="25">
        <f>AVERAGE(F73:M73)</f>
        <v>900</v>
      </c>
      <c r="BU73" s="24">
        <f>STDEV(F73:M73)</f>
        <v>141.42135623730951</v>
      </c>
      <c r="BV73" s="23">
        <f t="shared" si="17"/>
        <v>0.15713484026367724</v>
      </c>
      <c r="BW73" s="22">
        <f t="shared" si="12"/>
        <v>756.30252100840335</v>
      </c>
      <c r="BX73" s="21">
        <f t="shared" si="13"/>
        <v>143.69747899159663</v>
      </c>
      <c r="BY73" s="170">
        <f t="shared" si="14"/>
        <v>900</v>
      </c>
      <c r="BZ73" s="180" t="s">
        <v>168</v>
      </c>
      <c r="CA73" s="20"/>
      <c r="CB73" s="20"/>
      <c r="CC73" s="20"/>
      <c r="CD73" s="20"/>
      <c r="CE73" s="20"/>
    </row>
    <row r="74" spans="1:83" s="19" customFormat="1" ht="29">
      <c r="A74" s="179">
        <v>67</v>
      </c>
      <c r="B74" s="28" t="s">
        <v>510</v>
      </c>
      <c r="C74" s="33" t="s">
        <v>509</v>
      </c>
      <c r="D74" s="28" t="s">
        <v>444</v>
      </c>
      <c r="E74" s="48">
        <v>1</v>
      </c>
      <c r="F74" s="27"/>
      <c r="G74" s="26"/>
      <c r="H74" s="26"/>
      <c r="I74" s="26"/>
      <c r="J74" s="26"/>
      <c r="K74" s="26"/>
      <c r="L74" s="26"/>
      <c r="M74" s="26"/>
      <c r="N74" s="26"/>
      <c r="O74" s="26"/>
      <c r="P74" s="26"/>
      <c r="Q74" s="26"/>
      <c r="R74" s="26"/>
      <c r="S74" s="26"/>
      <c r="T74" s="26"/>
      <c r="U74" s="26"/>
      <c r="V74" s="26"/>
      <c r="W74" s="26"/>
      <c r="X74" s="26"/>
      <c r="Y74" s="26">
        <v>260000</v>
      </c>
      <c r="Z74" s="26">
        <f>+Y74/1.19</f>
        <v>218487.3949579832</v>
      </c>
      <c r="AA74" s="26">
        <f>+(Z74*36%)+Z74</f>
        <v>297142.85714285716</v>
      </c>
      <c r="AB74" s="26">
        <v>275400</v>
      </c>
      <c r="AC74" s="26">
        <f>+AB74/1.19</f>
        <v>231428.57142857145</v>
      </c>
      <c r="AD74" s="26">
        <f>+(AC74*36%)+AC74</f>
        <v>314742.85714285716</v>
      </c>
      <c r="AE74" s="26"/>
      <c r="AF74" s="26">
        <f>+AE74/1.19</f>
        <v>0</v>
      </c>
      <c r="AG74" s="26">
        <f>+(AF74*36%)+AF74</f>
        <v>0</v>
      </c>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c r="BG74" s="26"/>
      <c r="BH74" s="26"/>
      <c r="BI74" s="26"/>
      <c r="BJ74" s="26"/>
      <c r="BK74" s="26"/>
      <c r="BL74" s="26"/>
      <c r="BM74" s="26"/>
      <c r="BN74" s="26"/>
      <c r="BO74" s="26"/>
      <c r="BP74" s="26"/>
      <c r="BQ74" s="26"/>
      <c r="BR74" s="26"/>
      <c r="BS74" s="25">
        <f>MEDIAN(AA74,AD74)</f>
        <v>305942.85714285716</v>
      </c>
      <c r="BT74" s="25">
        <f>AVERAGE(AA74,AD74)</f>
        <v>305942.85714285716</v>
      </c>
      <c r="BU74" s="24">
        <f>STDEV(AA74,AD74)</f>
        <v>12445.079348883237</v>
      </c>
      <c r="BV74" s="23">
        <f t="shared" si="17"/>
        <v>4.0677790176588839E-2</v>
      </c>
      <c r="BW74" s="22">
        <f t="shared" si="12"/>
        <v>257094.95798319328</v>
      </c>
      <c r="BX74" s="21">
        <f t="shared" si="13"/>
        <v>48848.042016806721</v>
      </c>
      <c r="BY74" s="170">
        <f t="shared" si="14"/>
        <v>305943</v>
      </c>
      <c r="BZ74" s="180" t="s">
        <v>167</v>
      </c>
      <c r="CA74" s="20"/>
      <c r="CB74" s="20"/>
      <c r="CC74" s="20"/>
      <c r="CD74" s="20"/>
      <c r="CE74" s="20"/>
    </row>
    <row r="75" spans="1:83" s="19" customFormat="1" ht="39">
      <c r="A75" s="179">
        <v>68</v>
      </c>
      <c r="B75" s="47" t="s">
        <v>508</v>
      </c>
      <c r="C75" s="46" t="s">
        <v>507</v>
      </c>
      <c r="D75" s="28" t="s">
        <v>444</v>
      </c>
      <c r="E75" s="48">
        <v>1</v>
      </c>
      <c r="F75" s="27"/>
      <c r="G75" s="26"/>
      <c r="H75" s="26"/>
      <c r="I75" s="26"/>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c r="BG75" s="26"/>
      <c r="BH75" s="26"/>
      <c r="BI75" s="26"/>
      <c r="BJ75" s="26"/>
      <c r="BK75" s="26"/>
      <c r="BL75" s="26">
        <v>7500</v>
      </c>
      <c r="BM75" s="26">
        <f>+(BL75*5.1%)+BL75</f>
        <v>7882.5</v>
      </c>
      <c r="BN75" s="45">
        <v>4914.7</v>
      </c>
      <c r="BO75" s="45">
        <f>+(BN75*5.1%)+BN75</f>
        <v>5165.3496999999998</v>
      </c>
      <c r="BP75" s="177">
        <v>5850</v>
      </c>
      <c r="BQ75" s="178">
        <f>+BP75/1.19</f>
        <v>4915.9663865546217</v>
      </c>
      <c r="BR75" s="178">
        <f>+(BQ75*36%)+BQ75</f>
        <v>6685.7142857142853</v>
      </c>
      <c r="BS75" s="25">
        <f>MEDIAN(BM75,BO75,BR75)</f>
        <v>6685.7142857142853</v>
      </c>
      <c r="BT75" s="25">
        <f>AVERAGE(BM75,BO75,BR75)</f>
        <v>6577.854661904762</v>
      </c>
      <c r="BU75" s="24">
        <f>STDEV(BM75,BO75,BR75)</f>
        <v>1361.7825494673409</v>
      </c>
      <c r="BV75" s="23">
        <f t="shared" si="17"/>
        <v>0.20702533264439851</v>
      </c>
      <c r="BW75" s="22">
        <f t="shared" si="12"/>
        <v>5618.4873949579833</v>
      </c>
      <c r="BX75" s="21">
        <f t="shared" si="13"/>
        <v>1067.5126050420167</v>
      </c>
      <c r="BY75" s="170">
        <f t="shared" si="14"/>
        <v>6686</v>
      </c>
      <c r="BZ75" s="180" t="s">
        <v>167</v>
      </c>
      <c r="CA75" s="20"/>
      <c r="CB75" s="20"/>
      <c r="CC75" s="20"/>
      <c r="CD75" s="20"/>
      <c r="CE75" s="20"/>
    </row>
    <row r="76" spans="1:83" s="19" customFormat="1" ht="29">
      <c r="A76" s="179">
        <v>69</v>
      </c>
      <c r="B76" s="28" t="s">
        <v>506</v>
      </c>
      <c r="C76" s="33" t="s">
        <v>505</v>
      </c>
      <c r="D76" s="28" t="s">
        <v>444</v>
      </c>
      <c r="E76" s="48">
        <v>1</v>
      </c>
      <c r="F76" s="27"/>
      <c r="G76" s="26"/>
      <c r="H76" s="26"/>
      <c r="I76" s="26"/>
      <c r="J76" s="26"/>
      <c r="K76" s="26"/>
      <c r="L76" s="26"/>
      <c r="M76" s="26"/>
      <c r="N76" s="26"/>
      <c r="O76" s="50">
        <v>4370</v>
      </c>
      <c r="P76" s="175">
        <f>((O76*5.1%)+O76)</f>
        <v>4592.87</v>
      </c>
      <c r="Q76" s="50">
        <v>7900</v>
      </c>
      <c r="R76" s="50">
        <f>((Q76*5.1%)+Q76)</f>
        <v>8302.9</v>
      </c>
      <c r="S76" s="50">
        <v>6797</v>
      </c>
      <c r="T76" s="50">
        <f>((S76*5.1%)+S76)</f>
        <v>7143.6469999999999</v>
      </c>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c r="BG76" s="26"/>
      <c r="BH76" s="26"/>
      <c r="BI76" s="26"/>
      <c r="BJ76" s="26"/>
      <c r="BK76" s="26"/>
      <c r="BL76" s="26"/>
      <c r="BM76" s="26"/>
      <c r="BN76" s="26"/>
      <c r="BO76" s="26"/>
      <c r="BP76" s="26"/>
      <c r="BQ76" s="26"/>
      <c r="BR76" s="26"/>
      <c r="BS76" s="25">
        <f>MEDIAN(F76:AB76)</f>
        <v>6970.3235000000004</v>
      </c>
      <c r="BT76" s="25">
        <f>AVERAGE(F76:AB76)</f>
        <v>6517.7361666666657</v>
      </c>
      <c r="BU76" s="24">
        <f>STDEV(F76:AB76)</f>
        <v>1666.4390944682564</v>
      </c>
      <c r="BV76" s="23">
        <f t="shared" si="17"/>
        <v>0.25567759293339348</v>
      </c>
      <c r="BW76" s="22">
        <f t="shared" si="12"/>
        <v>5857.9831932773113</v>
      </c>
      <c r="BX76" s="21">
        <f t="shared" si="13"/>
        <v>1113.0168067226891</v>
      </c>
      <c r="BY76" s="170">
        <f t="shared" si="14"/>
        <v>6971</v>
      </c>
      <c r="BZ76" s="180" t="s">
        <v>168</v>
      </c>
      <c r="CA76" s="20"/>
      <c r="CB76" s="20"/>
      <c r="CC76" s="20"/>
      <c r="CD76" s="20"/>
      <c r="CE76" s="20"/>
    </row>
    <row r="77" spans="1:83" s="19" customFormat="1" ht="52">
      <c r="A77" s="179">
        <v>70</v>
      </c>
      <c r="B77" s="28" t="s">
        <v>504</v>
      </c>
      <c r="C77" s="33" t="s">
        <v>503</v>
      </c>
      <c r="D77" s="28" t="s">
        <v>444</v>
      </c>
      <c r="E77" s="48">
        <v>1</v>
      </c>
      <c r="F77" s="27"/>
      <c r="G77" s="26"/>
      <c r="H77" s="26"/>
      <c r="I77" s="26">
        <v>142000</v>
      </c>
      <c r="J77" s="26">
        <v>175000</v>
      </c>
      <c r="K77" s="26"/>
      <c r="L77" s="26">
        <v>195700</v>
      </c>
      <c r="M77" s="26"/>
      <c r="N77" s="26"/>
      <c r="O77" s="26"/>
      <c r="P77" s="26"/>
      <c r="Q77" s="26"/>
      <c r="R77" s="26"/>
      <c r="S77" s="26"/>
      <c r="T77" s="26"/>
      <c r="U77" s="26"/>
      <c r="V77" s="26"/>
      <c r="W77" s="26"/>
      <c r="X77" s="26"/>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c r="BG77" s="26"/>
      <c r="BH77" s="26"/>
      <c r="BI77" s="26"/>
      <c r="BJ77" s="26"/>
      <c r="BK77" s="26"/>
      <c r="BL77" s="26"/>
      <c r="BM77" s="26"/>
      <c r="BN77" s="26"/>
      <c r="BO77" s="26"/>
      <c r="BP77" s="26"/>
      <c r="BQ77" s="26"/>
      <c r="BR77" s="26"/>
      <c r="BS77" s="25">
        <f>MEDIAN(F77:M77)</f>
        <v>175000</v>
      </c>
      <c r="BT77" s="25">
        <f>AVERAGE(F77:M77)</f>
        <v>170900</v>
      </c>
      <c r="BU77" s="24">
        <f>STDEV(F77:M77)</f>
        <v>27083.758971014344</v>
      </c>
      <c r="BV77" s="23">
        <f t="shared" si="17"/>
        <v>0.15847723212998446</v>
      </c>
      <c r="BW77" s="22">
        <f t="shared" si="12"/>
        <v>147058.82352941178</v>
      </c>
      <c r="BX77" s="21">
        <f t="shared" si="13"/>
        <v>27941.176470588238</v>
      </c>
      <c r="BY77" s="170">
        <f t="shared" si="14"/>
        <v>175000</v>
      </c>
      <c r="BZ77" s="180" t="s">
        <v>168</v>
      </c>
      <c r="CA77" s="20"/>
      <c r="CB77" s="20"/>
      <c r="CC77" s="20"/>
      <c r="CD77" s="20"/>
      <c r="CE77" s="20"/>
    </row>
    <row r="78" spans="1:83" s="19" customFormat="1" ht="71.25" customHeight="1">
      <c r="A78" s="179">
        <v>71</v>
      </c>
      <c r="B78" s="42" t="s">
        <v>501</v>
      </c>
      <c r="C78" s="35" t="s">
        <v>502</v>
      </c>
      <c r="D78" s="28" t="s">
        <v>6</v>
      </c>
      <c r="E78" s="48">
        <v>1</v>
      </c>
      <c r="F78" s="27"/>
      <c r="G78" s="26"/>
      <c r="H78" s="26"/>
      <c r="I78" s="26">
        <v>10000</v>
      </c>
      <c r="J78" s="26"/>
      <c r="K78" s="26"/>
      <c r="L78" s="26"/>
      <c r="M78" s="26">
        <v>10400</v>
      </c>
      <c r="N78" s="26"/>
      <c r="O78" s="26"/>
      <c r="P78" s="26"/>
      <c r="Q78" s="26"/>
      <c r="R78" s="26"/>
      <c r="S78" s="26"/>
      <c r="T78" s="26"/>
      <c r="U78" s="26"/>
      <c r="V78" s="26"/>
      <c r="W78" s="26"/>
      <c r="X78" s="26"/>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5">
        <f>MEDIAN(F78:M78)</f>
        <v>10200</v>
      </c>
      <c r="BT78" s="25">
        <f>AVERAGE(F78:M78)</f>
        <v>10200</v>
      </c>
      <c r="BU78" s="24">
        <f>STDEV(F78:M78)</f>
        <v>282.84271247461902</v>
      </c>
      <c r="BV78" s="23">
        <f t="shared" si="17"/>
        <v>2.77296776935901E-2</v>
      </c>
      <c r="BW78" s="22">
        <f t="shared" si="12"/>
        <v>8571.4285714285725</v>
      </c>
      <c r="BX78" s="21">
        <f t="shared" si="13"/>
        <v>1628.5714285714289</v>
      </c>
      <c r="BY78" s="170">
        <f t="shared" si="14"/>
        <v>10200</v>
      </c>
      <c r="BZ78" s="180" t="s">
        <v>167</v>
      </c>
      <c r="CA78" s="20"/>
      <c r="CB78" s="20"/>
      <c r="CC78" s="20"/>
      <c r="CD78" s="20"/>
      <c r="CE78" s="20"/>
    </row>
    <row r="79" spans="1:83" s="19" customFormat="1" ht="156">
      <c r="A79" s="179">
        <v>72</v>
      </c>
      <c r="B79" s="42" t="s">
        <v>501</v>
      </c>
      <c r="C79" s="44" t="s">
        <v>500</v>
      </c>
      <c r="D79" s="28" t="s">
        <v>6</v>
      </c>
      <c r="E79" s="48">
        <v>1</v>
      </c>
      <c r="F79" s="27"/>
      <c r="G79" s="26"/>
      <c r="H79" s="26"/>
      <c r="I79" s="26">
        <v>27900</v>
      </c>
      <c r="J79" s="26"/>
      <c r="K79" s="26"/>
      <c r="L79" s="26"/>
      <c r="M79" s="26">
        <v>28900</v>
      </c>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5">
        <f>MEDIAN(F79:M79)</f>
        <v>28400</v>
      </c>
      <c r="BT79" s="25">
        <f>AVERAGE(F79:M79)</f>
        <v>28400</v>
      </c>
      <c r="BU79" s="24">
        <f>STDEV(F79:M79)</f>
        <v>707.10678118654755</v>
      </c>
      <c r="BV79" s="23">
        <f t="shared" si="17"/>
        <v>2.4898126098117871E-2</v>
      </c>
      <c r="BW79" s="22">
        <f t="shared" si="12"/>
        <v>23865.546218487398</v>
      </c>
      <c r="BX79" s="21">
        <f t="shared" si="13"/>
        <v>4534.4537815126059</v>
      </c>
      <c r="BY79" s="170">
        <f t="shared" si="14"/>
        <v>28400</v>
      </c>
      <c r="BZ79" s="180" t="s">
        <v>167</v>
      </c>
      <c r="CA79" s="20"/>
      <c r="CB79" s="20"/>
      <c r="CC79" s="20"/>
      <c r="CD79" s="20"/>
      <c r="CE79" s="20"/>
    </row>
    <row r="80" spans="1:83" s="19" customFormat="1" ht="78">
      <c r="A80" s="179">
        <v>73</v>
      </c>
      <c r="B80" s="28" t="s">
        <v>499</v>
      </c>
      <c r="C80" s="33" t="s">
        <v>498</v>
      </c>
      <c r="D80" s="28" t="s">
        <v>444</v>
      </c>
      <c r="E80" s="48">
        <v>1</v>
      </c>
      <c r="F80" s="27"/>
      <c r="G80" s="26"/>
      <c r="H80" s="26"/>
      <c r="I80" s="26"/>
      <c r="J80" s="26"/>
      <c r="K80" s="26"/>
      <c r="L80" s="26"/>
      <c r="M80" s="26"/>
      <c r="N80" s="26"/>
      <c r="O80" s="50">
        <v>19328</v>
      </c>
      <c r="P80" s="175">
        <f>((O80*5.1%)+O80)</f>
        <v>20313.727999999999</v>
      </c>
      <c r="Q80" s="50">
        <v>18500</v>
      </c>
      <c r="R80" s="50">
        <f>((Q80*5.1%)+Q80)</f>
        <v>19443.5</v>
      </c>
      <c r="S80" s="50">
        <v>29868</v>
      </c>
      <c r="T80" s="50">
        <f>((S80*5.1%)+S80)</f>
        <v>31391.268</v>
      </c>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5">
        <f>MEDIAN(F80:AB80)</f>
        <v>19878.614000000001</v>
      </c>
      <c r="BT80" s="25">
        <f>AVERAGE(F80:AB80)</f>
        <v>23140.749333333337</v>
      </c>
      <c r="BU80" s="24">
        <f>STDEV(F80:AB80)</f>
        <v>5849.1413712921239</v>
      </c>
      <c r="BV80" s="23">
        <f t="shared" si="17"/>
        <v>0.25276369779723018</v>
      </c>
      <c r="BW80" s="22">
        <f t="shared" si="12"/>
        <v>16705.042016806725</v>
      </c>
      <c r="BX80" s="21">
        <f t="shared" si="13"/>
        <v>3173.9579831932779</v>
      </c>
      <c r="BY80" s="170">
        <f t="shared" si="14"/>
        <v>19879</v>
      </c>
      <c r="BZ80" s="180" t="s">
        <v>168</v>
      </c>
      <c r="CA80" s="20"/>
      <c r="CB80" s="20"/>
      <c r="CC80" s="20"/>
      <c r="CD80" s="20"/>
      <c r="CE80" s="20"/>
    </row>
    <row r="81" spans="1:83" s="19" customFormat="1" ht="29">
      <c r="A81" s="179">
        <v>74</v>
      </c>
      <c r="B81" s="28" t="s">
        <v>454</v>
      </c>
      <c r="C81" s="35" t="s">
        <v>497</v>
      </c>
      <c r="D81" s="28" t="s">
        <v>444</v>
      </c>
      <c r="E81" s="48">
        <v>1</v>
      </c>
      <c r="F81" s="27"/>
      <c r="G81" s="26"/>
      <c r="H81" s="26"/>
      <c r="I81" s="26"/>
      <c r="J81" s="26">
        <f>[2]PAPELERIA!I84</f>
        <v>2000</v>
      </c>
      <c r="K81" s="26"/>
      <c r="L81" s="26">
        <v>1800</v>
      </c>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5">
        <f>MEDIAN(F81:M81)</f>
        <v>1900</v>
      </c>
      <c r="BT81" s="25">
        <f>AVERAGE(F81:M81)</f>
        <v>1900</v>
      </c>
      <c r="BU81" s="24">
        <f>STDEV(F81:M81)</f>
        <v>141.42135623730951</v>
      </c>
      <c r="BV81" s="23">
        <f t="shared" si="17"/>
        <v>7.4432292756478696E-2</v>
      </c>
      <c r="BW81" s="22">
        <f t="shared" si="12"/>
        <v>1596.6386554621849</v>
      </c>
      <c r="BX81" s="21">
        <f t="shared" si="13"/>
        <v>303.36134453781517</v>
      </c>
      <c r="BY81" s="170">
        <f t="shared" si="14"/>
        <v>1900</v>
      </c>
      <c r="BZ81" s="180" t="s">
        <v>167</v>
      </c>
      <c r="CA81" s="20"/>
      <c r="CB81" s="20"/>
      <c r="CC81" s="20"/>
      <c r="CD81" s="20"/>
      <c r="CE81" s="20"/>
    </row>
    <row r="82" spans="1:83" s="19" customFormat="1" ht="29">
      <c r="A82" s="179">
        <v>75</v>
      </c>
      <c r="B82" s="28" t="s">
        <v>454</v>
      </c>
      <c r="C82" s="33" t="s">
        <v>496</v>
      </c>
      <c r="D82" s="28" t="s">
        <v>444</v>
      </c>
      <c r="E82" s="48">
        <v>1</v>
      </c>
      <c r="F82" s="27">
        <v>5800</v>
      </c>
      <c r="G82" s="26"/>
      <c r="H82" s="26"/>
      <c r="I82" s="26"/>
      <c r="J82" s="26"/>
      <c r="K82" s="26"/>
      <c r="L82" s="26"/>
      <c r="M82" s="26"/>
      <c r="N82" s="26"/>
      <c r="O82" s="26"/>
      <c r="P82" s="26"/>
      <c r="Q82" s="50">
        <v>4250</v>
      </c>
      <c r="R82" s="50">
        <f>((Q82*5.1%)+Q82)</f>
        <v>4466.75</v>
      </c>
      <c r="S82" s="50">
        <v>4043</v>
      </c>
      <c r="T82" s="50">
        <f>((S82*5.1%)+S82)</f>
        <v>4249.1930000000002</v>
      </c>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5">
        <f>MEDIAN(F82:AB82)</f>
        <v>4250</v>
      </c>
      <c r="BT82" s="25">
        <f>AVERAGE(F82:AB82)</f>
        <v>4561.7885999999999</v>
      </c>
      <c r="BU82" s="24">
        <f>STDEV(F82:AB82)</f>
        <v>708.21422576421287</v>
      </c>
      <c r="BV82" s="23">
        <f t="shared" si="17"/>
        <v>0.15524924275627611</v>
      </c>
      <c r="BW82" s="22">
        <f t="shared" si="12"/>
        <v>3571.4285714285716</v>
      </c>
      <c r="BX82" s="21">
        <f t="shared" si="13"/>
        <v>678.57142857142856</v>
      </c>
      <c r="BY82" s="170">
        <f t="shared" si="14"/>
        <v>4250</v>
      </c>
      <c r="BZ82" s="180" t="s">
        <v>168</v>
      </c>
      <c r="CA82" s="20"/>
      <c r="CB82" s="20"/>
      <c r="CC82" s="20"/>
      <c r="CD82" s="20"/>
      <c r="CE82" s="20"/>
    </row>
    <row r="83" spans="1:83" s="19" customFormat="1" ht="104">
      <c r="A83" s="179">
        <v>76</v>
      </c>
      <c r="B83" s="28" t="s">
        <v>495</v>
      </c>
      <c r="C83" s="35" t="s">
        <v>494</v>
      </c>
      <c r="D83" s="28" t="s">
        <v>6</v>
      </c>
      <c r="E83" s="48">
        <v>1</v>
      </c>
      <c r="F83" s="27"/>
      <c r="G83" s="26"/>
      <c r="H83" s="26"/>
      <c r="I83" s="26">
        <v>18300</v>
      </c>
      <c r="J83" s="26">
        <f>[2]PAPELERIA!I86</f>
        <v>18000</v>
      </c>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5">
        <f t="shared" ref="BS83:BS90" si="18">MEDIAN(F83:M83)</f>
        <v>18150</v>
      </c>
      <c r="BT83" s="25">
        <f t="shared" ref="BT83:BT90" si="19">AVERAGE(F83:M83)</f>
        <v>18150</v>
      </c>
      <c r="BU83" s="24">
        <f t="shared" ref="BU83:BU90" si="20">STDEV(F83:M83)</f>
        <v>212.13203435596427</v>
      </c>
      <c r="BV83" s="23">
        <f t="shared" si="17"/>
        <v>1.1687715391513183E-2</v>
      </c>
      <c r="BW83" s="22">
        <f t="shared" si="12"/>
        <v>15252.100840336136</v>
      </c>
      <c r="BX83" s="21">
        <f t="shared" si="13"/>
        <v>2897.8991596638657</v>
      </c>
      <c r="BY83" s="170">
        <f t="shared" si="14"/>
        <v>18150</v>
      </c>
      <c r="BZ83" s="180" t="s">
        <v>167</v>
      </c>
      <c r="CA83" s="20"/>
      <c r="CB83" s="20"/>
      <c r="CC83" s="20"/>
      <c r="CD83" s="20"/>
      <c r="CE83" s="20"/>
    </row>
    <row r="84" spans="1:83" s="19" customFormat="1" ht="29">
      <c r="A84" s="179">
        <v>77</v>
      </c>
      <c r="B84" s="28" t="s">
        <v>493</v>
      </c>
      <c r="C84" s="35" t="s">
        <v>492</v>
      </c>
      <c r="D84" s="28" t="s">
        <v>491</v>
      </c>
      <c r="E84" s="48">
        <v>1</v>
      </c>
      <c r="F84" s="27"/>
      <c r="G84" s="26"/>
      <c r="H84" s="26"/>
      <c r="I84" s="26"/>
      <c r="J84" s="26">
        <v>1900</v>
      </c>
      <c r="K84" s="26"/>
      <c r="L84" s="26">
        <v>1590</v>
      </c>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5">
        <f t="shared" si="18"/>
        <v>1745</v>
      </c>
      <c r="BT84" s="25">
        <f t="shared" si="19"/>
        <v>1745</v>
      </c>
      <c r="BU84" s="24">
        <f t="shared" si="20"/>
        <v>219.20310216782974</v>
      </c>
      <c r="BV84" s="23">
        <f t="shared" si="17"/>
        <v>0.12561782359187951</v>
      </c>
      <c r="BW84" s="22">
        <f t="shared" si="12"/>
        <v>1466.3865546218487</v>
      </c>
      <c r="BX84" s="21">
        <f t="shared" si="13"/>
        <v>278.61344537815125</v>
      </c>
      <c r="BY84" s="170">
        <f t="shared" si="14"/>
        <v>1745</v>
      </c>
      <c r="BZ84" s="180" t="s">
        <v>167</v>
      </c>
      <c r="CA84" s="20"/>
      <c r="CB84" s="20"/>
      <c r="CC84" s="20"/>
      <c r="CD84" s="20"/>
      <c r="CE84" s="20"/>
    </row>
    <row r="85" spans="1:83" s="19" customFormat="1" ht="29">
      <c r="A85" s="179">
        <v>78</v>
      </c>
      <c r="B85" s="28" t="s">
        <v>488</v>
      </c>
      <c r="C85" s="33" t="s">
        <v>490</v>
      </c>
      <c r="D85" s="28" t="s">
        <v>489</v>
      </c>
      <c r="E85" s="48">
        <v>1</v>
      </c>
      <c r="F85" s="27"/>
      <c r="G85" s="26"/>
      <c r="H85" s="26"/>
      <c r="I85" s="26"/>
      <c r="J85" s="26">
        <f>[2]PAPELERIA!I88</f>
        <v>18000</v>
      </c>
      <c r="K85" s="26"/>
      <c r="L85" s="26">
        <v>13420</v>
      </c>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5">
        <f t="shared" si="18"/>
        <v>15710</v>
      </c>
      <c r="BT85" s="25">
        <f t="shared" si="19"/>
        <v>15710</v>
      </c>
      <c r="BU85" s="24">
        <f t="shared" si="20"/>
        <v>3238.5490578343874</v>
      </c>
      <c r="BV85" s="23">
        <f t="shared" si="17"/>
        <v>0.20614570705502147</v>
      </c>
      <c r="BW85" s="22">
        <f t="shared" ref="BW85:BW108" si="21">+BY85/1.19</f>
        <v>13201.680672268909</v>
      </c>
      <c r="BX85" s="21">
        <f t="shared" ref="BX85:BX108" si="22">+BW85*19%</f>
        <v>2508.3193277310929</v>
      </c>
      <c r="BY85" s="170">
        <f t="shared" ref="BY85:BY108" si="23">ROUNDUP(IF(BV85&lt;15%,BT85,BS85),0)</f>
        <v>15710</v>
      </c>
      <c r="BZ85" s="180" t="s">
        <v>168</v>
      </c>
      <c r="CA85" s="20"/>
      <c r="CB85" s="20"/>
      <c r="CC85" s="20"/>
      <c r="CD85" s="20"/>
      <c r="CE85" s="20"/>
    </row>
    <row r="86" spans="1:83" s="19" customFormat="1" ht="29">
      <c r="A86" s="179">
        <v>79</v>
      </c>
      <c r="B86" s="28" t="s">
        <v>488</v>
      </c>
      <c r="C86" s="33" t="s">
        <v>487</v>
      </c>
      <c r="D86" s="28" t="s">
        <v>444</v>
      </c>
      <c r="E86" s="48">
        <v>1</v>
      </c>
      <c r="F86" s="27"/>
      <c r="G86" s="26"/>
      <c r="H86" s="26"/>
      <c r="I86" s="26"/>
      <c r="J86" s="26">
        <v>7800</v>
      </c>
      <c r="K86" s="26"/>
      <c r="L86" s="26">
        <v>6000</v>
      </c>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5">
        <f t="shared" si="18"/>
        <v>6900</v>
      </c>
      <c r="BT86" s="25">
        <f t="shared" si="19"/>
        <v>6900</v>
      </c>
      <c r="BU86" s="24">
        <f t="shared" si="20"/>
        <v>1272.7922061357856</v>
      </c>
      <c r="BV86" s="23">
        <f t="shared" si="17"/>
        <v>0.18446263857040371</v>
      </c>
      <c r="BW86" s="22">
        <f t="shared" si="21"/>
        <v>5798.3193277310929</v>
      </c>
      <c r="BX86" s="21">
        <f t="shared" si="22"/>
        <v>1101.6806722689078</v>
      </c>
      <c r="BY86" s="170">
        <f t="shared" si="23"/>
        <v>6900</v>
      </c>
      <c r="BZ86" s="180" t="s">
        <v>168</v>
      </c>
      <c r="CA86" s="20"/>
      <c r="CB86" s="20"/>
      <c r="CC86" s="20"/>
      <c r="CD86" s="20"/>
      <c r="CE86" s="20"/>
    </row>
    <row r="87" spans="1:83" s="19" customFormat="1" ht="29">
      <c r="A87" s="179">
        <v>80</v>
      </c>
      <c r="B87" s="28" t="s">
        <v>486</v>
      </c>
      <c r="C87" s="35" t="s">
        <v>485</v>
      </c>
      <c r="D87" s="28" t="s">
        <v>6</v>
      </c>
      <c r="E87" s="48">
        <v>1</v>
      </c>
      <c r="F87" s="27"/>
      <c r="G87" s="26"/>
      <c r="H87" s="26"/>
      <c r="I87" s="26"/>
      <c r="J87" s="26">
        <f>[2]PAPELERIA!I90</f>
        <v>9800</v>
      </c>
      <c r="K87" s="26"/>
      <c r="L87" s="26">
        <v>10640</v>
      </c>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5">
        <f t="shared" si="18"/>
        <v>10220</v>
      </c>
      <c r="BT87" s="25">
        <f t="shared" si="19"/>
        <v>10220</v>
      </c>
      <c r="BU87" s="24">
        <f t="shared" si="20"/>
        <v>593.96969619669994</v>
      </c>
      <c r="BV87" s="23">
        <f t="shared" si="17"/>
        <v>5.8118365576976513E-2</v>
      </c>
      <c r="BW87" s="22">
        <f t="shared" si="21"/>
        <v>8588.2352941176468</v>
      </c>
      <c r="BX87" s="21">
        <f t="shared" si="22"/>
        <v>1631.7647058823529</v>
      </c>
      <c r="BY87" s="170">
        <f t="shared" si="23"/>
        <v>10220</v>
      </c>
      <c r="BZ87" s="180" t="s">
        <v>167</v>
      </c>
      <c r="CA87" s="20"/>
      <c r="CB87" s="20"/>
      <c r="CC87" s="20"/>
      <c r="CD87" s="20"/>
      <c r="CE87" s="20"/>
    </row>
    <row r="88" spans="1:83" s="19" customFormat="1" ht="29">
      <c r="A88" s="179">
        <v>81</v>
      </c>
      <c r="B88" s="28" t="s">
        <v>484</v>
      </c>
      <c r="C88" s="35" t="s">
        <v>483</v>
      </c>
      <c r="D88" s="28" t="s">
        <v>11</v>
      </c>
      <c r="E88" s="48">
        <v>1</v>
      </c>
      <c r="F88" s="27"/>
      <c r="G88" s="26"/>
      <c r="H88" s="26"/>
      <c r="I88" s="26"/>
      <c r="J88" s="26">
        <v>19800</v>
      </c>
      <c r="K88" s="26"/>
      <c r="L88" s="26">
        <v>18300</v>
      </c>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c r="BP88" s="26"/>
      <c r="BQ88" s="26"/>
      <c r="BR88" s="26"/>
      <c r="BS88" s="25">
        <f t="shared" si="18"/>
        <v>19050</v>
      </c>
      <c r="BT88" s="25">
        <f t="shared" si="19"/>
        <v>19050</v>
      </c>
      <c r="BU88" s="24">
        <f t="shared" si="20"/>
        <v>1060.6601717798212</v>
      </c>
      <c r="BV88" s="23">
        <f t="shared" si="17"/>
        <v>5.567769930602736E-2</v>
      </c>
      <c r="BW88" s="22">
        <f t="shared" si="21"/>
        <v>16008.403361344539</v>
      </c>
      <c r="BX88" s="21">
        <f t="shared" si="22"/>
        <v>3041.5966386554624</v>
      </c>
      <c r="BY88" s="170">
        <f t="shared" si="23"/>
        <v>19050</v>
      </c>
      <c r="BZ88" s="180" t="s">
        <v>167</v>
      </c>
      <c r="CA88" s="20"/>
      <c r="CB88" s="20"/>
      <c r="CC88" s="20"/>
      <c r="CD88" s="20"/>
      <c r="CE88" s="20"/>
    </row>
    <row r="89" spans="1:83" s="19" customFormat="1" ht="39">
      <c r="A89" s="179">
        <v>82</v>
      </c>
      <c r="B89" s="28" t="s">
        <v>482</v>
      </c>
      <c r="C89" s="35" t="s">
        <v>481</v>
      </c>
      <c r="D89" s="28" t="s">
        <v>444</v>
      </c>
      <c r="E89" s="48">
        <v>1</v>
      </c>
      <c r="F89" s="27"/>
      <c r="G89" s="26"/>
      <c r="H89" s="26"/>
      <c r="I89" s="26"/>
      <c r="J89" s="26">
        <f>[2]PAPELERIA!I92</f>
        <v>5800</v>
      </c>
      <c r="K89" s="26"/>
      <c r="L89" s="26">
        <v>5050</v>
      </c>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c r="BP89" s="26"/>
      <c r="BQ89" s="26"/>
      <c r="BR89" s="26"/>
      <c r="BS89" s="25">
        <f t="shared" si="18"/>
        <v>5425</v>
      </c>
      <c r="BT89" s="25">
        <f t="shared" si="19"/>
        <v>5425</v>
      </c>
      <c r="BU89" s="24">
        <f t="shared" si="20"/>
        <v>530.33008588991061</v>
      </c>
      <c r="BV89" s="23">
        <f t="shared" si="17"/>
        <v>9.7756697859891356E-2</v>
      </c>
      <c r="BW89" s="22">
        <f t="shared" si="21"/>
        <v>4558.8235294117649</v>
      </c>
      <c r="BX89" s="21">
        <f t="shared" si="22"/>
        <v>866.17647058823536</v>
      </c>
      <c r="BY89" s="170">
        <f t="shared" si="23"/>
        <v>5425</v>
      </c>
      <c r="BZ89" s="180" t="s">
        <v>167</v>
      </c>
      <c r="CA89" s="20"/>
      <c r="CB89" s="20"/>
      <c r="CC89" s="20"/>
      <c r="CD89" s="20"/>
      <c r="CE89" s="20"/>
    </row>
    <row r="90" spans="1:83" s="19" customFormat="1" ht="29">
      <c r="A90" s="179">
        <v>83</v>
      </c>
      <c r="B90" s="28" t="s">
        <v>480</v>
      </c>
      <c r="C90" s="35" t="s">
        <v>479</v>
      </c>
      <c r="D90" s="28" t="s">
        <v>478</v>
      </c>
      <c r="E90" s="48">
        <v>1</v>
      </c>
      <c r="F90" s="27"/>
      <c r="G90" s="26"/>
      <c r="H90" s="26"/>
      <c r="I90" s="26">
        <v>16900</v>
      </c>
      <c r="J90" s="26"/>
      <c r="K90" s="26"/>
      <c r="L90" s="26">
        <v>16720</v>
      </c>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c r="BP90" s="26"/>
      <c r="BQ90" s="26"/>
      <c r="BR90" s="26"/>
      <c r="BS90" s="25">
        <f t="shared" si="18"/>
        <v>16810</v>
      </c>
      <c r="BT90" s="25">
        <f t="shared" si="19"/>
        <v>16810</v>
      </c>
      <c r="BU90" s="24">
        <f t="shared" si="20"/>
        <v>127.27922061357856</v>
      </c>
      <c r="BV90" s="23">
        <f t="shared" si="17"/>
        <v>7.5716371572622579E-3</v>
      </c>
      <c r="BW90" s="22">
        <f t="shared" si="21"/>
        <v>14126.050420168069</v>
      </c>
      <c r="BX90" s="21">
        <f t="shared" si="22"/>
        <v>2683.9495798319331</v>
      </c>
      <c r="BY90" s="170">
        <f t="shared" si="23"/>
        <v>16810</v>
      </c>
      <c r="BZ90" s="180" t="s">
        <v>167</v>
      </c>
      <c r="CA90" s="20"/>
      <c r="CB90" s="20"/>
      <c r="CC90" s="20"/>
      <c r="CD90" s="20"/>
      <c r="CE90" s="20"/>
    </row>
    <row r="91" spans="1:83" s="19" customFormat="1" ht="117">
      <c r="A91" s="179">
        <v>84</v>
      </c>
      <c r="B91" s="28" t="s">
        <v>477</v>
      </c>
      <c r="C91" s="33" t="s">
        <v>476</v>
      </c>
      <c r="D91" s="28" t="s">
        <v>444</v>
      </c>
      <c r="E91" s="48">
        <v>1</v>
      </c>
      <c r="F91" s="27"/>
      <c r="G91" s="26"/>
      <c r="H91" s="26"/>
      <c r="I91" s="26"/>
      <c r="J91" s="26"/>
      <c r="K91" s="26"/>
      <c r="L91" s="26">
        <v>46800</v>
      </c>
      <c r="M91" s="26"/>
      <c r="N91" s="26"/>
      <c r="O91" s="26"/>
      <c r="P91" s="26"/>
      <c r="Q91" s="26"/>
      <c r="R91" s="26"/>
      <c r="S91" s="26"/>
      <c r="T91" s="26"/>
      <c r="U91" s="26"/>
      <c r="V91" s="26"/>
      <c r="W91" s="26"/>
      <c r="X91" s="26"/>
      <c r="Y91" s="26"/>
      <c r="Z91" s="26"/>
      <c r="AA91" s="26"/>
      <c r="AB91" s="26"/>
      <c r="AC91" s="26"/>
      <c r="AD91" s="26"/>
      <c r="AE91" s="26">
        <v>49900</v>
      </c>
      <c r="AF91" s="26">
        <f>+AE91/1.19</f>
        <v>41932.773109243702</v>
      </c>
      <c r="AG91" s="26">
        <f>+(AF91*36%)+AF91</f>
        <v>57028.571428571435</v>
      </c>
      <c r="AH91" s="26"/>
      <c r="AI91" s="26"/>
      <c r="AJ91" s="26"/>
      <c r="AK91" s="26"/>
      <c r="AL91" s="26"/>
      <c r="AM91" s="26"/>
      <c r="AN91" s="26"/>
      <c r="AO91" s="26"/>
      <c r="AP91" s="26"/>
      <c r="AQ91" s="26"/>
      <c r="AR91" s="26"/>
      <c r="AS91" s="26"/>
      <c r="AT91" s="26"/>
      <c r="AU91" s="26"/>
      <c r="AV91" s="26"/>
      <c r="AW91" s="26"/>
      <c r="AX91" s="26"/>
      <c r="AY91" s="26"/>
      <c r="AZ91" s="26"/>
      <c r="BA91" s="26"/>
      <c r="BB91" s="26"/>
      <c r="BC91" s="26"/>
      <c r="BD91" s="26"/>
      <c r="BE91" s="26"/>
      <c r="BF91" s="26"/>
      <c r="BG91" s="26"/>
      <c r="BH91" s="26"/>
      <c r="BI91" s="26"/>
      <c r="BJ91" s="26"/>
      <c r="BK91" s="26"/>
      <c r="BL91" s="26"/>
      <c r="BM91" s="26"/>
      <c r="BN91" s="26"/>
      <c r="BO91" s="26"/>
      <c r="BP91" s="26"/>
      <c r="BQ91" s="26"/>
      <c r="BR91" s="26"/>
      <c r="BS91" s="25">
        <f>MEDIAN(L91,AG91)</f>
        <v>51914.285714285717</v>
      </c>
      <c r="BT91" s="25">
        <f>AVERAGE(L91,AG91)</f>
        <v>51914.285714285717</v>
      </c>
      <c r="BU91" s="24">
        <f>STDEV(L91,AG91)</f>
        <v>7232.6922189938332</v>
      </c>
      <c r="BV91" s="23">
        <f t="shared" si="17"/>
        <v>0.13931988313967206</v>
      </c>
      <c r="BW91" s="22">
        <f t="shared" si="21"/>
        <v>43626.050420168067</v>
      </c>
      <c r="BX91" s="21">
        <f t="shared" si="22"/>
        <v>8288.9495798319331</v>
      </c>
      <c r="BY91" s="170">
        <f t="shared" si="23"/>
        <v>51915</v>
      </c>
      <c r="BZ91" s="180" t="s">
        <v>168</v>
      </c>
      <c r="CA91" s="20"/>
      <c r="CB91" s="20"/>
      <c r="CC91" s="20"/>
      <c r="CD91" s="20"/>
      <c r="CE91" s="20"/>
    </row>
    <row r="92" spans="1:83" s="37" customFormat="1" ht="29">
      <c r="A92" s="179">
        <v>85</v>
      </c>
      <c r="B92" s="42" t="s">
        <v>475</v>
      </c>
      <c r="C92" s="43" t="s">
        <v>474</v>
      </c>
      <c r="D92" s="42" t="s">
        <v>444</v>
      </c>
      <c r="E92" s="48">
        <v>1</v>
      </c>
      <c r="F92" s="36"/>
      <c r="G92" s="34"/>
      <c r="H92" s="34"/>
      <c r="I92" s="34">
        <v>129900</v>
      </c>
      <c r="J92" s="34"/>
      <c r="K92" s="34"/>
      <c r="L92" s="34"/>
      <c r="M92" s="34"/>
      <c r="N92" s="34"/>
      <c r="O92" s="34"/>
      <c r="P92" s="34"/>
      <c r="Q92" s="34"/>
      <c r="R92" s="34"/>
      <c r="S92" s="34"/>
      <c r="T92" s="34"/>
      <c r="U92" s="34"/>
      <c r="V92" s="34"/>
      <c r="W92" s="34"/>
      <c r="X92" s="34"/>
      <c r="Y92" s="34">
        <v>104000</v>
      </c>
      <c r="Z92" s="26">
        <f>+Y92/1.19</f>
        <v>87394.957983193279</v>
      </c>
      <c r="AA92" s="26">
        <f>+(Z92*36%)+Z92</f>
        <v>118857.14285714286</v>
      </c>
      <c r="AB92" s="34"/>
      <c r="AC92" s="34"/>
      <c r="AD92" s="34"/>
      <c r="AE92" s="34"/>
      <c r="AF92" s="34"/>
      <c r="AG92" s="34"/>
      <c r="AH92" s="34"/>
      <c r="AI92" s="34"/>
      <c r="AJ92" s="34"/>
      <c r="AK92" s="34"/>
      <c r="AL92" s="34"/>
      <c r="AM92" s="34"/>
      <c r="AN92" s="34"/>
      <c r="AO92" s="34"/>
      <c r="AP92" s="34"/>
      <c r="AQ92" s="34"/>
      <c r="AR92" s="34"/>
      <c r="AS92" s="34"/>
      <c r="AT92" s="34"/>
      <c r="AU92" s="34"/>
      <c r="AV92" s="34"/>
      <c r="AW92" s="34"/>
      <c r="AX92" s="34"/>
      <c r="AY92" s="34"/>
      <c r="AZ92" s="34"/>
      <c r="BA92" s="34"/>
      <c r="BB92" s="34"/>
      <c r="BC92" s="34"/>
      <c r="BD92" s="34"/>
      <c r="BE92" s="34"/>
      <c r="BF92" s="34"/>
      <c r="BG92" s="34"/>
      <c r="BH92" s="34"/>
      <c r="BI92" s="34"/>
      <c r="BJ92" s="34"/>
      <c r="BK92" s="34"/>
      <c r="BL92" s="34"/>
      <c r="BM92" s="34"/>
      <c r="BN92" s="34"/>
      <c r="BO92" s="34"/>
      <c r="BP92" s="34"/>
      <c r="BQ92" s="34"/>
      <c r="BR92" s="34"/>
      <c r="BS92" s="41">
        <f>MEDIAN(I92,AA92)</f>
        <v>124378.57142857142</v>
      </c>
      <c r="BT92" s="41">
        <f>AVERAGE(I92,AA92)</f>
        <v>124378.57142857142</v>
      </c>
      <c r="BU92" s="40">
        <f>STDEV(I92,AA92)</f>
        <v>7808.4791693885909</v>
      </c>
      <c r="BV92" s="7">
        <f t="shared" si="17"/>
        <v>6.2779939339252439E-2</v>
      </c>
      <c r="BW92" s="39">
        <f t="shared" si="21"/>
        <v>104520.1680672269</v>
      </c>
      <c r="BX92" s="38">
        <f t="shared" si="22"/>
        <v>19858.831932773111</v>
      </c>
      <c r="BY92" s="170">
        <f t="shared" si="23"/>
        <v>124379</v>
      </c>
      <c r="BZ92" s="180" t="s">
        <v>168</v>
      </c>
      <c r="CA92" s="6"/>
      <c r="CB92" s="6"/>
      <c r="CC92" s="6"/>
      <c r="CD92" s="6"/>
      <c r="CE92" s="6"/>
    </row>
    <row r="93" spans="1:83" s="19" customFormat="1" ht="78">
      <c r="A93" s="179">
        <v>86</v>
      </c>
      <c r="B93" s="28" t="s">
        <v>472</v>
      </c>
      <c r="C93" s="33" t="s">
        <v>473</v>
      </c>
      <c r="D93" s="28" t="s">
        <v>444</v>
      </c>
      <c r="E93" s="48">
        <v>1</v>
      </c>
      <c r="F93" s="27"/>
      <c r="G93" s="26"/>
      <c r="H93" s="26"/>
      <c r="I93" s="26">
        <v>129900</v>
      </c>
      <c r="J93" s="26"/>
      <c r="K93" s="26"/>
      <c r="L93" s="26">
        <v>143100</v>
      </c>
      <c r="M93" s="26"/>
      <c r="N93" s="26"/>
      <c r="O93" s="26"/>
      <c r="P93" s="26"/>
      <c r="Q93" s="26"/>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c r="BI93" s="26"/>
      <c r="BJ93" s="26"/>
      <c r="BK93" s="26"/>
      <c r="BL93" s="26"/>
      <c r="BM93" s="26"/>
      <c r="BN93" s="26"/>
      <c r="BO93" s="26"/>
      <c r="BP93" s="26"/>
      <c r="BQ93" s="26"/>
      <c r="BR93" s="26"/>
      <c r="BS93" s="25">
        <f>MEDIAN(F93:M93)</f>
        <v>136500</v>
      </c>
      <c r="BT93" s="25">
        <f>AVERAGE(F93:M93)</f>
        <v>136500</v>
      </c>
      <c r="BU93" s="24">
        <f>STDEV(F93:M93)</f>
        <v>9333.8095116624281</v>
      </c>
      <c r="BV93" s="23">
        <f t="shared" si="17"/>
        <v>6.8379556861995816E-2</v>
      </c>
      <c r="BW93" s="22">
        <f t="shared" si="21"/>
        <v>114705.88235294117</v>
      </c>
      <c r="BX93" s="21">
        <f t="shared" si="22"/>
        <v>21794.117647058825</v>
      </c>
      <c r="BY93" s="170">
        <f t="shared" si="23"/>
        <v>136500</v>
      </c>
      <c r="BZ93" s="180" t="s">
        <v>167</v>
      </c>
      <c r="CA93" s="20"/>
      <c r="CB93" s="20"/>
      <c r="CC93" s="20"/>
      <c r="CD93" s="20"/>
      <c r="CE93" s="20"/>
    </row>
    <row r="94" spans="1:83" s="19" customFormat="1" ht="39">
      <c r="A94" s="179">
        <v>87</v>
      </c>
      <c r="B94" s="28" t="s">
        <v>472</v>
      </c>
      <c r="C94" s="35" t="s">
        <v>471</v>
      </c>
      <c r="D94" s="28" t="s">
        <v>444</v>
      </c>
      <c r="E94" s="48">
        <v>1</v>
      </c>
      <c r="F94" s="27"/>
      <c r="G94" s="26"/>
      <c r="H94" s="26"/>
      <c r="I94" s="26">
        <v>101500</v>
      </c>
      <c r="J94" s="26">
        <f>[2]PAPELERIA!I97</f>
        <v>98000</v>
      </c>
      <c r="K94" s="26"/>
      <c r="L94" s="26"/>
      <c r="M94" s="26"/>
      <c r="N94" s="26"/>
      <c r="O94" s="26"/>
      <c r="P94" s="26"/>
      <c r="Q94" s="26"/>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c r="BI94" s="26"/>
      <c r="BJ94" s="26"/>
      <c r="BK94" s="26"/>
      <c r="BL94" s="26"/>
      <c r="BM94" s="26"/>
      <c r="BN94" s="26"/>
      <c r="BO94" s="26"/>
      <c r="BP94" s="26"/>
      <c r="BQ94" s="26"/>
      <c r="BR94" s="26"/>
      <c r="BS94" s="25">
        <f>MEDIAN(F94:M94)</f>
        <v>99750</v>
      </c>
      <c r="BT94" s="25">
        <f>AVERAGE(F94:M94)</f>
        <v>99750</v>
      </c>
      <c r="BU94" s="24">
        <f>STDEV(F94:M94)</f>
        <v>2474.8737341529163</v>
      </c>
      <c r="BV94" s="23">
        <f t="shared" si="17"/>
        <v>2.4810764252159563E-2</v>
      </c>
      <c r="BW94" s="22">
        <f t="shared" si="21"/>
        <v>83823.529411764714</v>
      </c>
      <c r="BX94" s="21">
        <f t="shared" si="22"/>
        <v>15926.470588235296</v>
      </c>
      <c r="BY94" s="170">
        <f t="shared" si="23"/>
        <v>99750</v>
      </c>
      <c r="BZ94" s="180" t="s">
        <v>167</v>
      </c>
      <c r="CA94" s="20"/>
      <c r="CB94" s="20"/>
      <c r="CC94" s="20"/>
      <c r="CD94" s="20"/>
      <c r="CE94" s="20"/>
    </row>
    <row r="95" spans="1:83" s="19" customFormat="1" ht="29">
      <c r="A95" s="179">
        <v>88</v>
      </c>
      <c r="B95" s="28" t="s">
        <v>470</v>
      </c>
      <c r="C95" s="35" t="s">
        <v>469</v>
      </c>
      <c r="D95" s="28" t="s">
        <v>444</v>
      </c>
      <c r="E95" s="48">
        <v>1</v>
      </c>
      <c r="F95" s="27"/>
      <c r="G95" s="26"/>
      <c r="H95" s="26"/>
      <c r="I95" s="26"/>
      <c r="J95" s="26"/>
      <c r="K95" s="26"/>
      <c r="L95" s="26"/>
      <c r="M95" s="26"/>
      <c r="N95" s="34"/>
      <c r="O95" s="26"/>
      <c r="P95" s="26"/>
      <c r="Q95" s="50">
        <v>239</v>
      </c>
      <c r="R95" s="50">
        <f>((Q95*5.1%)+Q95)</f>
        <v>251.18899999999999</v>
      </c>
      <c r="S95" s="50">
        <v>270</v>
      </c>
      <c r="T95" s="50">
        <f>((S95*5.1%)+S95)</f>
        <v>283.77</v>
      </c>
      <c r="U95" s="26"/>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c r="BI95" s="26"/>
      <c r="BJ95" s="26"/>
      <c r="BK95" s="26"/>
      <c r="BL95" s="26"/>
      <c r="BM95" s="26"/>
      <c r="BN95" s="26"/>
      <c r="BO95" s="26"/>
      <c r="BP95" s="26"/>
      <c r="BQ95" s="26"/>
      <c r="BR95" s="26"/>
      <c r="BS95" s="25">
        <f>MEDIAN(R95,T95)</f>
        <v>267.47949999999997</v>
      </c>
      <c r="BT95" s="25">
        <f>AVERAGE(R95,T95)</f>
        <v>267.47949999999997</v>
      </c>
      <c r="BU95" s="24">
        <f>STDEV(R95,T95)</f>
        <v>23.038246037838899</v>
      </c>
      <c r="BV95" s="23">
        <f t="shared" si="17"/>
        <v>8.6130884938243502E-2</v>
      </c>
      <c r="BW95" s="22">
        <f t="shared" si="21"/>
        <v>225.21008403361347</v>
      </c>
      <c r="BX95" s="21">
        <f t="shared" si="22"/>
        <v>42.789915966386559</v>
      </c>
      <c r="BY95" s="170">
        <f t="shared" si="23"/>
        <v>268</v>
      </c>
      <c r="BZ95" s="180" t="s">
        <v>167</v>
      </c>
      <c r="CA95" s="20"/>
      <c r="CB95" s="20"/>
      <c r="CC95" s="20"/>
      <c r="CD95" s="20"/>
      <c r="CE95" s="20"/>
    </row>
    <row r="96" spans="1:83" s="19" customFormat="1" ht="29">
      <c r="A96" s="179">
        <v>89</v>
      </c>
      <c r="B96" s="28" t="s">
        <v>468</v>
      </c>
      <c r="C96" s="35" t="s">
        <v>467</v>
      </c>
      <c r="D96" s="28" t="s">
        <v>6</v>
      </c>
      <c r="E96" s="48">
        <v>1</v>
      </c>
      <c r="F96" s="27"/>
      <c r="G96" s="26"/>
      <c r="H96" s="26"/>
      <c r="I96" s="26"/>
      <c r="J96" s="26">
        <f>[2]PAPELERIA!I99</f>
        <v>6000</v>
      </c>
      <c r="K96" s="26"/>
      <c r="L96" s="26">
        <v>7380</v>
      </c>
      <c r="M96" s="26"/>
      <c r="N96" s="26"/>
      <c r="O96" s="26"/>
      <c r="P96" s="26"/>
      <c r="Q96" s="26"/>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c r="BI96" s="26"/>
      <c r="BJ96" s="26"/>
      <c r="BK96" s="26"/>
      <c r="BL96" s="26"/>
      <c r="BM96" s="26"/>
      <c r="BN96" s="26"/>
      <c r="BO96" s="26"/>
      <c r="BP96" s="26"/>
      <c r="BQ96" s="26"/>
      <c r="BR96" s="26"/>
      <c r="BS96" s="25">
        <f>MEDIAN(F96:M96)</f>
        <v>6690</v>
      </c>
      <c r="BT96" s="25">
        <f>AVERAGE(F96:M96)</f>
        <v>6690</v>
      </c>
      <c r="BU96" s="24">
        <f>STDEV(F96:M96)</f>
        <v>975.80735803743562</v>
      </c>
      <c r="BV96" s="23">
        <f t="shared" si="17"/>
        <v>0.14586059163489321</v>
      </c>
      <c r="BW96" s="22">
        <f t="shared" si="21"/>
        <v>5621.8487394957983</v>
      </c>
      <c r="BX96" s="21">
        <f t="shared" si="22"/>
        <v>1068.1512605042017</v>
      </c>
      <c r="BY96" s="170">
        <f t="shared" si="23"/>
        <v>6690</v>
      </c>
      <c r="BZ96" s="180" t="s">
        <v>167</v>
      </c>
      <c r="CA96" s="20"/>
      <c r="CB96" s="20"/>
      <c r="CC96" s="20"/>
      <c r="CD96" s="20"/>
      <c r="CE96" s="20"/>
    </row>
    <row r="97" spans="1:83" s="19" customFormat="1" ht="29">
      <c r="A97" s="179">
        <v>90</v>
      </c>
      <c r="B97" s="28" t="s">
        <v>466</v>
      </c>
      <c r="C97" s="35" t="s">
        <v>465</v>
      </c>
      <c r="D97" s="28" t="s">
        <v>444</v>
      </c>
      <c r="E97" s="48">
        <v>1</v>
      </c>
      <c r="F97" s="27"/>
      <c r="G97" s="26"/>
      <c r="H97" s="26"/>
      <c r="I97" s="26">
        <v>10900</v>
      </c>
      <c r="J97" s="26"/>
      <c r="K97" s="26"/>
      <c r="L97" s="26">
        <v>12600</v>
      </c>
      <c r="M97" s="26"/>
      <c r="N97" s="26"/>
      <c r="O97" s="26"/>
      <c r="P97" s="26"/>
      <c r="Q97" s="26"/>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c r="BI97" s="26"/>
      <c r="BJ97" s="26"/>
      <c r="BK97" s="26"/>
      <c r="BL97" s="26"/>
      <c r="BM97" s="26"/>
      <c r="BN97" s="26"/>
      <c r="BO97" s="26"/>
      <c r="BP97" s="26"/>
      <c r="BQ97" s="26"/>
      <c r="BR97" s="26"/>
      <c r="BS97" s="25">
        <f>MEDIAN(F97:M97)</f>
        <v>11750</v>
      </c>
      <c r="BT97" s="25">
        <f>AVERAGE(F97:M97)</f>
        <v>11750</v>
      </c>
      <c r="BU97" s="24">
        <f>STDEV(F97:M97)</f>
        <v>1202.0815280171307</v>
      </c>
      <c r="BV97" s="23">
        <f t="shared" si="17"/>
        <v>0.10230481089507495</v>
      </c>
      <c r="BW97" s="22">
        <f t="shared" si="21"/>
        <v>9873.9495798319331</v>
      </c>
      <c r="BX97" s="21">
        <f t="shared" si="22"/>
        <v>1876.0504201680674</v>
      </c>
      <c r="BY97" s="170">
        <f t="shared" si="23"/>
        <v>11750</v>
      </c>
      <c r="BZ97" s="180" t="s">
        <v>167</v>
      </c>
      <c r="CA97" s="20"/>
      <c r="CB97" s="20"/>
      <c r="CC97" s="20"/>
      <c r="CD97" s="20"/>
      <c r="CE97" s="20"/>
    </row>
    <row r="98" spans="1:83" s="19" customFormat="1" ht="65">
      <c r="A98" s="179">
        <v>91</v>
      </c>
      <c r="B98" s="28" t="s">
        <v>464</v>
      </c>
      <c r="C98" s="35" t="s">
        <v>463</v>
      </c>
      <c r="D98" s="28" t="s">
        <v>444</v>
      </c>
      <c r="E98" s="48">
        <v>1</v>
      </c>
      <c r="F98" s="27"/>
      <c r="G98" s="26"/>
      <c r="H98" s="26"/>
      <c r="I98" s="26"/>
      <c r="J98" s="26"/>
      <c r="K98" s="26"/>
      <c r="L98" s="26">
        <v>2450</v>
      </c>
      <c r="M98" s="26"/>
      <c r="N98" s="26"/>
      <c r="O98" s="26"/>
      <c r="P98" s="26"/>
      <c r="Q98" s="26"/>
      <c r="R98" s="26"/>
      <c r="S98" s="26"/>
      <c r="T98" s="26"/>
      <c r="U98" s="26"/>
      <c r="V98" s="26"/>
      <c r="W98" s="26"/>
      <c r="X98" s="26"/>
      <c r="Y98" s="26"/>
      <c r="Z98" s="26"/>
      <c r="AA98" s="26"/>
      <c r="AB98" s="26"/>
      <c r="AC98" s="26"/>
      <c r="AD98" s="26"/>
      <c r="AE98" s="26"/>
      <c r="AF98" s="26"/>
      <c r="AG98" s="26"/>
      <c r="AH98" s="26">
        <f>+(2900*15%)+2900</f>
        <v>3335</v>
      </c>
      <c r="AI98" s="26">
        <f>+AH98/1.19</f>
        <v>2802.5210084033615</v>
      </c>
      <c r="AJ98" s="26">
        <f>+(AI98*36%)+AI98</f>
        <v>3811.4285714285716</v>
      </c>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c r="BI98" s="26"/>
      <c r="BJ98" s="26"/>
      <c r="BK98" s="26"/>
      <c r="BL98" s="26"/>
      <c r="BM98" s="26"/>
      <c r="BN98" s="26"/>
      <c r="BO98" s="26"/>
      <c r="BP98" s="26"/>
      <c r="BQ98" s="26"/>
      <c r="BR98" s="26"/>
      <c r="BS98" s="25">
        <f>MEDIAN(L98,AJ98)</f>
        <v>3130.7142857142858</v>
      </c>
      <c r="BT98" s="25">
        <f>AVERAGE(L98,AJ98)</f>
        <v>3130.7142857142858</v>
      </c>
      <c r="BU98" s="24">
        <f>STDEV(L98,AJ98)</f>
        <v>962.67537495825616</v>
      </c>
      <c r="BV98" s="23">
        <f t="shared" si="17"/>
        <v>0.30749384552625109</v>
      </c>
      <c r="BW98" s="22">
        <f t="shared" si="21"/>
        <v>2631.09243697479</v>
      </c>
      <c r="BX98" s="21">
        <f t="shared" si="22"/>
        <v>499.9075630252101</v>
      </c>
      <c r="BY98" s="170">
        <f t="shared" si="23"/>
        <v>3131</v>
      </c>
      <c r="BZ98" s="180" t="s">
        <v>167</v>
      </c>
      <c r="CA98" s="20"/>
      <c r="CB98" s="20"/>
      <c r="CC98" s="20"/>
      <c r="CD98" s="20"/>
      <c r="CE98" s="20"/>
    </row>
    <row r="99" spans="1:83" s="19" customFormat="1" ht="39">
      <c r="A99" s="179">
        <v>92</v>
      </c>
      <c r="B99" s="28" t="s">
        <v>462</v>
      </c>
      <c r="C99" s="35" t="s">
        <v>461</v>
      </c>
      <c r="D99" s="28" t="s">
        <v>444</v>
      </c>
      <c r="E99" s="48">
        <v>1</v>
      </c>
      <c r="F99" s="27"/>
      <c r="G99" s="26"/>
      <c r="H99" s="26"/>
      <c r="I99" s="26"/>
      <c r="J99" s="26">
        <f>[2]PAPELERIA!I102</f>
        <v>5800</v>
      </c>
      <c r="K99" s="26"/>
      <c r="L99" s="26">
        <v>4700</v>
      </c>
      <c r="M99" s="26"/>
      <c r="N99" s="26"/>
      <c r="O99" s="26"/>
      <c r="P99" s="26"/>
      <c r="Q99" s="26"/>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c r="BI99" s="26"/>
      <c r="BJ99" s="26"/>
      <c r="BK99" s="26"/>
      <c r="BL99" s="26"/>
      <c r="BM99" s="26"/>
      <c r="BN99" s="26"/>
      <c r="BO99" s="26"/>
      <c r="BP99" s="26"/>
      <c r="BQ99" s="26"/>
      <c r="BR99" s="26"/>
      <c r="BS99" s="25">
        <f>MEDIAN(F99:M99)</f>
        <v>5250</v>
      </c>
      <c r="BT99" s="25">
        <f>AVERAGE(F99:M99)</f>
        <v>5250</v>
      </c>
      <c r="BU99" s="24">
        <f>STDEV(F99:M99)</f>
        <v>777.81745930520231</v>
      </c>
      <c r="BV99" s="23">
        <f t="shared" si="17"/>
        <v>0.14815570653432425</v>
      </c>
      <c r="BW99" s="22">
        <f t="shared" si="21"/>
        <v>4411.7647058823532</v>
      </c>
      <c r="BX99" s="21">
        <f t="shared" si="22"/>
        <v>838.23529411764707</v>
      </c>
      <c r="BY99" s="170">
        <f t="shared" si="23"/>
        <v>5250</v>
      </c>
      <c r="BZ99" s="180" t="s">
        <v>167</v>
      </c>
      <c r="CA99" s="20"/>
      <c r="CB99" s="20"/>
      <c r="CC99" s="20"/>
      <c r="CD99" s="20"/>
      <c r="CE99" s="20"/>
    </row>
    <row r="100" spans="1:83" s="19" customFormat="1" ht="65">
      <c r="A100" s="179">
        <v>93</v>
      </c>
      <c r="B100" s="28" t="s">
        <v>460</v>
      </c>
      <c r="C100" s="35" t="s">
        <v>459</v>
      </c>
      <c r="D100" s="28" t="s">
        <v>6</v>
      </c>
      <c r="E100" s="48">
        <v>1</v>
      </c>
      <c r="F100" s="36"/>
      <c r="G100" s="26"/>
      <c r="H100" s="26"/>
      <c r="I100" s="26">
        <v>35000</v>
      </c>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34"/>
      <c r="AI100" s="34"/>
      <c r="AJ100" s="34"/>
      <c r="AK100" s="34">
        <f>+(35000*15%)+35000</f>
        <v>40250</v>
      </c>
      <c r="AL100" s="26">
        <f>+AK100/1.19</f>
        <v>33823.529411764706</v>
      </c>
      <c r="AM100" s="26">
        <f>+(AL100*36%)+AL100</f>
        <v>46000</v>
      </c>
      <c r="AN100" s="34"/>
      <c r="AO100" s="34"/>
      <c r="AP100" s="34"/>
      <c r="AQ100" s="34"/>
      <c r="AR100" s="34"/>
      <c r="AS100" s="34"/>
      <c r="AT100" s="34"/>
      <c r="AU100" s="34"/>
      <c r="AV100" s="34"/>
      <c r="AW100" s="34"/>
      <c r="AX100" s="34"/>
      <c r="AY100" s="34"/>
      <c r="AZ100" s="34"/>
      <c r="BA100" s="34"/>
      <c r="BB100" s="34"/>
      <c r="BC100" s="34"/>
      <c r="BD100" s="34"/>
      <c r="BE100" s="34"/>
      <c r="BF100" s="34"/>
      <c r="BG100" s="34"/>
      <c r="BH100" s="34"/>
      <c r="BI100" s="34"/>
      <c r="BJ100" s="34"/>
      <c r="BK100" s="34"/>
      <c r="BL100" s="34"/>
      <c r="BM100" s="34"/>
      <c r="BN100" s="34"/>
      <c r="BO100" s="34"/>
      <c r="BP100" s="34"/>
      <c r="BQ100" s="34"/>
      <c r="BR100" s="34"/>
      <c r="BS100" s="25">
        <f>MEDIAN(I100,AM100)</f>
        <v>40500</v>
      </c>
      <c r="BT100" s="25">
        <f>AVERAGE(I100,AM100)</f>
        <v>40500</v>
      </c>
      <c r="BU100" s="24">
        <f>STDEV(I100,AM100)</f>
        <v>7778.1745930520228</v>
      </c>
      <c r="BV100" s="23">
        <f t="shared" si="17"/>
        <v>0.19205369365560551</v>
      </c>
      <c r="BW100" s="22">
        <f t="shared" si="21"/>
        <v>34033.613445378156</v>
      </c>
      <c r="BX100" s="21">
        <f t="shared" si="22"/>
        <v>6466.3865546218494</v>
      </c>
      <c r="BY100" s="170">
        <f t="shared" si="23"/>
        <v>40500</v>
      </c>
      <c r="BZ100" s="180" t="s">
        <v>167</v>
      </c>
      <c r="CA100" s="20"/>
      <c r="CB100" s="20"/>
      <c r="CC100" s="20"/>
      <c r="CD100" s="20"/>
      <c r="CE100" s="20"/>
    </row>
    <row r="101" spans="1:83" s="19" customFormat="1" ht="29">
      <c r="A101" s="179">
        <v>94</v>
      </c>
      <c r="B101" s="28" t="s">
        <v>458</v>
      </c>
      <c r="C101" s="35" t="s">
        <v>457</v>
      </c>
      <c r="D101" s="28" t="s">
        <v>444</v>
      </c>
      <c r="E101" s="48">
        <v>1</v>
      </c>
      <c r="F101" s="27"/>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f>+(3500*15%)+3500</f>
        <v>4025</v>
      </c>
      <c r="AO101" s="26">
        <f>+AN101/1.19</f>
        <v>3382.3529411764707</v>
      </c>
      <c r="AP101" s="26">
        <f>+(AO101*36%)+AO101</f>
        <v>4600</v>
      </c>
      <c r="AQ101" s="26">
        <f>+(3800*15%)+3800</f>
        <v>4370</v>
      </c>
      <c r="AR101" s="26">
        <f>+AQ101/1.19</f>
        <v>3672.2689075630256</v>
      </c>
      <c r="AS101" s="26">
        <f>+(AR101*36%)+AR101</f>
        <v>4994.2857142857147</v>
      </c>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c r="BP101" s="26"/>
      <c r="BQ101" s="26"/>
      <c r="BR101" s="26"/>
      <c r="BS101" s="25">
        <f>MEDIAN(AP101,AS101)</f>
        <v>4797.1428571428569</v>
      </c>
      <c r="BT101" s="25">
        <f>AVERAGE(AP101,AS101)</f>
        <v>4797.1428571428569</v>
      </c>
      <c r="BU101" s="24">
        <f>STDEV(AP101,AS101)</f>
        <v>278.80210229641045</v>
      </c>
      <c r="BV101" s="23">
        <f t="shared" si="17"/>
        <v>5.8118365576976569E-2</v>
      </c>
      <c r="BW101" s="22">
        <f t="shared" si="21"/>
        <v>4031.932773109244</v>
      </c>
      <c r="BX101" s="21">
        <f t="shared" si="22"/>
        <v>766.06722689075639</v>
      </c>
      <c r="BY101" s="170">
        <f t="shared" si="23"/>
        <v>4798</v>
      </c>
      <c r="BZ101" s="180" t="s">
        <v>167</v>
      </c>
      <c r="CA101" s="20"/>
      <c r="CB101" s="20"/>
      <c r="CC101" s="20"/>
      <c r="CD101" s="20"/>
      <c r="CE101" s="20"/>
    </row>
    <row r="102" spans="1:83" s="19" customFormat="1" ht="39">
      <c r="A102" s="179">
        <v>95</v>
      </c>
      <c r="B102" s="28" t="s">
        <v>456</v>
      </c>
      <c r="C102" s="28" t="s">
        <v>455</v>
      </c>
      <c r="D102" s="28" t="s">
        <v>444</v>
      </c>
      <c r="E102" s="48">
        <v>1</v>
      </c>
      <c r="F102" s="27"/>
      <c r="G102" s="26"/>
      <c r="H102" s="26"/>
      <c r="I102" s="26"/>
      <c r="J102" s="26"/>
      <c r="K102" s="26"/>
      <c r="L102" s="26">
        <v>4260</v>
      </c>
      <c r="M102" s="26">
        <v>5000</v>
      </c>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c r="BP102" s="26"/>
      <c r="BQ102" s="26"/>
      <c r="BR102" s="26"/>
      <c r="BS102" s="25">
        <f>MEDIAN(F102:M102)</f>
        <v>4630</v>
      </c>
      <c r="BT102" s="25">
        <f>AVERAGE(F102:M102)</f>
        <v>4630</v>
      </c>
      <c r="BU102" s="24">
        <f>STDEV(F102:M102)</f>
        <v>523.25901807804519</v>
      </c>
      <c r="BV102" s="23">
        <f t="shared" si="17"/>
        <v>0.11301490671232077</v>
      </c>
      <c r="BW102" s="22">
        <f t="shared" si="21"/>
        <v>3890.7563025210084</v>
      </c>
      <c r="BX102" s="21">
        <f t="shared" si="22"/>
        <v>739.24369747899163</v>
      </c>
      <c r="BY102" s="170">
        <f t="shared" si="23"/>
        <v>4630</v>
      </c>
      <c r="BZ102" s="180" t="s">
        <v>167</v>
      </c>
      <c r="CA102" s="20"/>
      <c r="CB102" s="20"/>
      <c r="CC102" s="20"/>
      <c r="CD102" s="20"/>
      <c r="CE102" s="20"/>
    </row>
    <row r="103" spans="1:83" s="19" customFormat="1" ht="29">
      <c r="A103" s="179">
        <v>96</v>
      </c>
      <c r="B103" s="28" t="s">
        <v>454</v>
      </c>
      <c r="C103" s="33" t="s">
        <v>453</v>
      </c>
      <c r="D103" s="28" t="s">
        <v>444</v>
      </c>
      <c r="E103" s="48">
        <v>1</v>
      </c>
      <c r="F103" s="27"/>
      <c r="G103" s="26"/>
      <c r="H103" s="26"/>
      <c r="I103" s="26"/>
      <c r="J103" s="26">
        <v>1100</v>
      </c>
      <c r="K103" s="26"/>
      <c r="L103" s="26">
        <v>1080</v>
      </c>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5">
        <f>MEDIAN(F103:M103)</f>
        <v>1090</v>
      </c>
      <c r="BT103" s="25">
        <f>AVERAGE(F103:M103)</f>
        <v>1090</v>
      </c>
      <c r="BU103" s="24">
        <f>STDEV(F103:M103)</f>
        <v>14.142135623730951</v>
      </c>
      <c r="BV103" s="23">
        <f t="shared" si="17"/>
        <v>1.2974436352046745E-2</v>
      </c>
      <c r="BW103" s="22">
        <f t="shared" si="21"/>
        <v>915.96638655462186</v>
      </c>
      <c r="BX103" s="21">
        <f t="shared" si="22"/>
        <v>174.03361344537817</v>
      </c>
      <c r="BY103" s="170">
        <f t="shared" si="23"/>
        <v>1090</v>
      </c>
      <c r="BZ103" s="180" t="s">
        <v>167</v>
      </c>
      <c r="CA103" s="20"/>
      <c r="CB103" s="20"/>
      <c r="CC103" s="20"/>
      <c r="CD103" s="20"/>
      <c r="CE103" s="20"/>
    </row>
    <row r="104" spans="1:83" s="19" customFormat="1" ht="28.15" customHeight="1">
      <c r="A104" s="179">
        <v>97</v>
      </c>
      <c r="B104" s="32" t="s">
        <v>452</v>
      </c>
      <c r="C104" s="30" t="s">
        <v>451</v>
      </c>
      <c r="D104" s="28" t="s">
        <v>11</v>
      </c>
      <c r="E104" s="48">
        <v>1</v>
      </c>
      <c r="F104" s="27"/>
      <c r="G104" s="26"/>
      <c r="H104" s="26"/>
      <c r="I104" s="34">
        <v>32900</v>
      </c>
      <c r="J104" s="26">
        <v>35000</v>
      </c>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c r="BP104" s="26"/>
      <c r="BQ104" s="26"/>
      <c r="BR104" s="26"/>
      <c r="BS104" s="25">
        <f>MEDIAN(F104:M104)</f>
        <v>33950</v>
      </c>
      <c r="BT104" s="25">
        <f>AVERAGE(F104:M104)</f>
        <v>33950</v>
      </c>
      <c r="BU104" s="24">
        <f>STDEV(F104:M104)</f>
        <v>1484.9242404917497</v>
      </c>
      <c r="BV104" s="23">
        <f t="shared" ref="BV104:BV108" si="24">BU104/BT104</f>
        <v>4.3738563784734896E-2</v>
      </c>
      <c r="BW104" s="22">
        <f t="shared" si="21"/>
        <v>28529.411764705885</v>
      </c>
      <c r="BX104" s="21">
        <f t="shared" si="22"/>
        <v>5420.588235294118</v>
      </c>
      <c r="BY104" s="170">
        <f t="shared" si="23"/>
        <v>33950</v>
      </c>
      <c r="BZ104" s="180" t="s">
        <v>167</v>
      </c>
      <c r="CA104" s="20"/>
      <c r="CB104" s="20"/>
      <c r="CC104" s="20"/>
      <c r="CD104" s="20"/>
      <c r="CE104" s="20"/>
    </row>
    <row r="105" spans="1:83" s="19" customFormat="1" ht="29">
      <c r="A105" s="179">
        <v>98</v>
      </c>
      <c r="B105" s="28" t="s">
        <v>450</v>
      </c>
      <c r="C105" s="33" t="s">
        <v>449</v>
      </c>
      <c r="D105" s="28" t="s">
        <v>138</v>
      </c>
      <c r="E105" s="48">
        <v>1</v>
      </c>
      <c r="F105" s="27"/>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f>+(197171*15%)+197171</f>
        <v>226746.65</v>
      </c>
      <c r="AU105" s="26">
        <f>+AT105/1.19</f>
        <v>190543.40336134454</v>
      </c>
      <c r="AV105" s="26">
        <f>+(AU105*36%)+AU105</f>
        <v>259139.02857142856</v>
      </c>
      <c r="AW105" s="26">
        <f>+(151695*15%)+151695</f>
        <v>174449.25</v>
      </c>
      <c r="AX105" s="26">
        <f>+AW105/1.19</f>
        <v>146596.00840336134</v>
      </c>
      <c r="AY105" s="26">
        <f>+(AX105*36%)+AX105</f>
        <v>199370.57142857142</v>
      </c>
      <c r="AZ105" s="26"/>
      <c r="BA105" s="26"/>
      <c r="BB105" s="26"/>
      <c r="BC105" s="26"/>
      <c r="BD105" s="26"/>
      <c r="BE105" s="26"/>
      <c r="BF105" s="26"/>
      <c r="BG105" s="26"/>
      <c r="BH105" s="26"/>
      <c r="BI105" s="26"/>
      <c r="BJ105" s="26"/>
      <c r="BK105" s="26"/>
      <c r="BL105" s="26"/>
      <c r="BM105" s="26"/>
      <c r="BN105" s="26"/>
      <c r="BO105" s="26"/>
      <c r="BP105" s="26"/>
      <c r="BQ105" s="26"/>
      <c r="BR105" s="26"/>
      <c r="BS105" s="25">
        <f>MEDIAN(AV105,AY105)</f>
        <v>229254.8</v>
      </c>
      <c r="BT105" s="25">
        <f>AVERAGE(AV105,AY105)</f>
        <v>229254.8</v>
      </c>
      <c r="BU105" s="24">
        <f>STDEV(AV105,AY105)</f>
        <v>42262.681346771817</v>
      </c>
      <c r="BV105" s="23">
        <f t="shared" si="24"/>
        <v>0.18434807623121444</v>
      </c>
      <c r="BW105" s="22">
        <f t="shared" si="21"/>
        <v>192651.26050420169</v>
      </c>
      <c r="BX105" s="21">
        <f t="shared" si="22"/>
        <v>36603.73949579832</v>
      </c>
      <c r="BY105" s="170">
        <f t="shared" si="23"/>
        <v>229255</v>
      </c>
      <c r="BZ105" s="180" t="s">
        <v>168</v>
      </c>
      <c r="CA105" s="20"/>
      <c r="CB105" s="20"/>
      <c r="CC105" s="20"/>
      <c r="CD105" s="20"/>
      <c r="CE105" s="20"/>
    </row>
    <row r="106" spans="1:83" s="19" customFormat="1" ht="29">
      <c r="A106" s="179">
        <v>99</v>
      </c>
      <c r="B106" s="32" t="s">
        <v>448</v>
      </c>
      <c r="C106" s="31" t="s">
        <v>447</v>
      </c>
      <c r="D106" s="28" t="s">
        <v>138</v>
      </c>
      <c r="E106" s="48">
        <v>1</v>
      </c>
      <c r="F106" s="27"/>
      <c r="G106" s="26"/>
      <c r="H106" s="26"/>
      <c r="I106" s="26">
        <v>46900</v>
      </c>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f>+(30998*15%)+30998</f>
        <v>35647.699999999997</v>
      </c>
      <c r="BA106" s="26">
        <f>+AZ106/1.19</f>
        <v>29956.050420168067</v>
      </c>
      <c r="BB106" s="26">
        <f>+(BA106*36%)+BA106</f>
        <v>40740.228571428568</v>
      </c>
      <c r="BC106" s="26"/>
      <c r="BD106" s="26"/>
      <c r="BE106" s="26"/>
      <c r="BF106" s="26"/>
      <c r="BG106" s="26"/>
      <c r="BH106" s="26"/>
      <c r="BI106" s="26"/>
      <c r="BJ106" s="26"/>
      <c r="BK106" s="26"/>
      <c r="BL106" s="26"/>
      <c r="BM106" s="26"/>
      <c r="BN106" s="26"/>
      <c r="BO106" s="26"/>
      <c r="BP106" s="26"/>
      <c r="BQ106" s="26"/>
      <c r="BR106" s="26"/>
      <c r="BS106" s="25">
        <f>MEDIAN(I106,BB106)</f>
        <v>43820.114285714284</v>
      </c>
      <c r="BT106" s="25">
        <f>AVERAGE(I106,BB106)</f>
        <v>43820.114285714284</v>
      </c>
      <c r="BU106" s="24">
        <f>STDEV(I106,BB106)</f>
        <v>4355.6161477020069</v>
      </c>
      <c r="BV106" s="23">
        <f t="shared" si="24"/>
        <v>9.9397644636494559E-2</v>
      </c>
      <c r="BW106" s="22">
        <f t="shared" si="21"/>
        <v>36824.36974789916</v>
      </c>
      <c r="BX106" s="21">
        <f t="shared" si="22"/>
        <v>6996.6302521008402</v>
      </c>
      <c r="BY106" s="170">
        <f t="shared" si="23"/>
        <v>43821</v>
      </c>
      <c r="BZ106" s="180" t="s">
        <v>168</v>
      </c>
      <c r="CA106" s="20"/>
      <c r="CB106" s="20"/>
      <c r="CC106" s="20"/>
      <c r="CD106" s="20"/>
      <c r="CE106" s="20"/>
    </row>
    <row r="107" spans="1:83" s="19" customFormat="1" ht="29">
      <c r="A107" s="179">
        <v>100</v>
      </c>
      <c r="B107" s="32" t="s">
        <v>446</v>
      </c>
      <c r="C107" s="29" t="s">
        <v>445</v>
      </c>
      <c r="D107" s="28" t="s">
        <v>444</v>
      </c>
      <c r="E107" s="48">
        <v>1</v>
      </c>
      <c r="F107" s="27"/>
      <c r="G107" s="26"/>
      <c r="H107" s="26"/>
      <c r="I107" s="26"/>
      <c r="J107" s="26"/>
      <c r="K107" s="26"/>
      <c r="L107" s="26">
        <v>75512</v>
      </c>
      <c r="M107" s="26">
        <f>[1]PAPELERIA!G111</f>
        <v>0</v>
      </c>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f>+(900000*15%)+900000</f>
        <v>1035000</v>
      </c>
      <c r="BD107" s="26">
        <f>+BC107/1.19</f>
        <v>869747.89915966394</v>
      </c>
      <c r="BE107" s="26">
        <f>+(BD107*36%)+BD107</f>
        <v>1182857.142857143</v>
      </c>
      <c r="BF107" s="26">
        <f>+(816000*15%)+816000</f>
        <v>938400</v>
      </c>
      <c r="BG107" s="26">
        <f>+BF107/1.19</f>
        <v>788571.42857142864</v>
      </c>
      <c r="BH107" s="26">
        <f>+(BG107*36%)+BG107</f>
        <v>1072457.142857143</v>
      </c>
      <c r="BI107" s="26"/>
      <c r="BJ107" s="26"/>
      <c r="BK107" s="26"/>
      <c r="BL107" s="26"/>
      <c r="BM107" s="26"/>
      <c r="BN107" s="26"/>
      <c r="BO107" s="26"/>
      <c r="BP107" s="26"/>
      <c r="BQ107" s="26"/>
      <c r="BR107" s="26"/>
      <c r="BS107" s="25">
        <f>MEDIAN(BE107,BH107)</f>
        <v>1127657.142857143</v>
      </c>
      <c r="BT107" s="25">
        <f>AVERAGE(BE107,BH107)</f>
        <v>1127657.142857143</v>
      </c>
      <c r="BU107" s="24">
        <f>STDEV(BE107,BH107)</f>
        <v>78064.588642994844</v>
      </c>
      <c r="BV107" s="23">
        <f t="shared" si="24"/>
        <v>6.9227237318962687E-2</v>
      </c>
      <c r="BW107" s="22">
        <f t="shared" si="21"/>
        <v>947611.76470588241</v>
      </c>
      <c r="BX107" s="21">
        <f t="shared" si="22"/>
        <v>180046.23529411765</v>
      </c>
      <c r="BY107" s="170">
        <f t="shared" si="23"/>
        <v>1127658</v>
      </c>
      <c r="BZ107" s="180" t="s">
        <v>168</v>
      </c>
      <c r="CA107" s="20"/>
      <c r="CB107" s="20"/>
      <c r="CC107" s="20"/>
      <c r="CD107" s="20"/>
      <c r="CE107" s="20"/>
    </row>
    <row r="108" spans="1:83" s="19" customFormat="1" ht="29">
      <c r="A108" s="179">
        <v>101</v>
      </c>
      <c r="B108" s="30" t="s">
        <v>443</v>
      </c>
      <c r="C108" s="29" t="s">
        <v>442</v>
      </c>
      <c r="D108" s="28" t="s">
        <v>441</v>
      </c>
      <c r="E108" s="48">
        <v>1</v>
      </c>
      <c r="F108" s="27"/>
      <c r="G108" s="26"/>
      <c r="H108" s="26"/>
      <c r="I108" s="26">
        <v>3900</v>
      </c>
      <c r="J108" s="26">
        <v>3500</v>
      </c>
      <c r="K108" s="26"/>
      <c r="L108" s="26">
        <v>2700</v>
      </c>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5">
        <f>MEDIAN(F108:M108)</f>
        <v>3500</v>
      </c>
      <c r="BT108" s="25">
        <f>AVERAGE(F108:M108)</f>
        <v>3366.6666666666665</v>
      </c>
      <c r="BU108" s="24">
        <f>STDEV(F108:M108)</f>
        <v>611.01009266077767</v>
      </c>
      <c r="BV108" s="23">
        <f t="shared" si="24"/>
        <v>0.18148814633488447</v>
      </c>
      <c r="BW108" s="22">
        <f t="shared" si="21"/>
        <v>2941.1764705882356</v>
      </c>
      <c r="BX108" s="21">
        <f t="shared" si="22"/>
        <v>558.82352941176475</v>
      </c>
      <c r="BY108" s="170">
        <f t="shared" si="23"/>
        <v>3500</v>
      </c>
      <c r="BZ108" s="180" t="s">
        <v>168</v>
      </c>
      <c r="CA108" s="20"/>
      <c r="CB108" s="20"/>
      <c r="CC108" s="20"/>
      <c r="CD108" s="20"/>
      <c r="CE108" s="20"/>
    </row>
    <row r="109" spans="1:83" s="188" customFormat="1" ht="16" thickBot="1">
      <c r="A109" s="399" t="s">
        <v>440</v>
      </c>
      <c r="B109" s="400"/>
      <c r="C109" s="400"/>
      <c r="D109" s="400"/>
      <c r="E109" s="181"/>
      <c r="F109" s="182"/>
      <c r="G109" s="182"/>
      <c r="H109" s="182"/>
      <c r="I109" s="182"/>
      <c r="J109" s="182"/>
      <c r="K109" s="182"/>
      <c r="L109" s="182"/>
      <c r="M109" s="182"/>
      <c r="N109" s="182"/>
      <c r="O109" s="182"/>
      <c r="P109" s="182"/>
      <c r="Q109" s="182"/>
      <c r="R109" s="182"/>
      <c r="S109" s="182"/>
      <c r="T109" s="182"/>
      <c r="U109" s="182"/>
      <c r="V109" s="182"/>
      <c r="W109" s="182"/>
      <c r="X109" s="182"/>
      <c r="Y109" s="182"/>
      <c r="Z109" s="182"/>
      <c r="AA109" s="182"/>
      <c r="AB109" s="182"/>
      <c r="AC109" s="182"/>
      <c r="AD109" s="182"/>
      <c r="AE109" s="182"/>
      <c r="AF109" s="182"/>
      <c r="AG109" s="182"/>
      <c r="AH109" s="182"/>
      <c r="AI109" s="182"/>
      <c r="AJ109" s="182"/>
      <c r="AK109" s="182"/>
      <c r="AL109" s="182"/>
      <c r="AM109" s="182"/>
      <c r="AN109" s="182"/>
      <c r="AO109" s="182"/>
      <c r="AP109" s="182"/>
      <c r="AQ109" s="182"/>
      <c r="AR109" s="182"/>
      <c r="AS109" s="182"/>
      <c r="AT109" s="182"/>
      <c r="AU109" s="182"/>
      <c r="AV109" s="182"/>
      <c r="AW109" s="182"/>
      <c r="AX109" s="182"/>
      <c r="AY109" s="182"/>
      <c r="AZ109" s="182"/>
      <c r="BA109" s="182"/>
      <c r="BB109" s="182"/>
      <c r="BC109" s="182"/>
      <c r="BD109" s="182"/>
      <c r="BE109" s="182"/>
      <c r="BF109" s="182"/>
      <c r="BG109" s="182"/>
      <c r="BH109" s="182"/>
      <c r="BI109" s="182"/>
      <c r="BJ109" s="182"/>
      <c r="BK109" s="182"/>
      <c r="BL109" s="182"/>
      <c r="BM109" s="182"/>
      <c r="BN109" s="182"/>
      <c r="BO109" s="182"/>
      <c r="BP109" s="182"/>
      <c r="BQ109" s="182"/>
      <c r="BR109" s="182"/>
      <c r="BS109" s="183"/>
      <c r="BT109" s="183"/>
      <c r="BU109" s="184"/>
      <c r="BV109" s="185"/>
      <c r="BW109" s="186"/>
      <c r="BX109" s="186"/>
      <c r="BY109" s="186">
        <f>SUM(BY8:BY108)</f>
        <v>3613079</v>
      </c>
      <c r="BZ109" s="187"/>
    </row>
    <row r="112" spans="1:83">
      <c r="B112" s="401" t="s">
        <v>439</v>
      </c>
      <c r="C112" s="402"/>
      <c r="D112" s="401"/>
      <c r="E112" s="401"/>
      <c r="BX112" s="18"/>
    </row>
    <row r="113" spans="2:5">
      <c r="B113" s="401"/>
      <c r="C113" s="402"/>
      <c r="D113" s="401"/>
      <c r="E113" s="401"/>
    </row>
    <row r="114" spans="2:5">
      <c r="B114" s="401"/>
      <c r="C114" s="402"/>
      <c r="D114" s="401"/>
      <c r="E114" s="401"/>
    </row>
    <row r="115" spans="2:5">
      <c r="B115" s="401"/>
      <c r="C115" s="402"/>
      <c r="D115" s="401"/>
      <c r="E115" s="401"/>
    </row>
    <row r="116" spans="2:5">
      <c r="B116" s="401"/>
      <c r="C116" s="402"/>
      <c r="D116" s="401"/>
      <c r="E116" s="401"/>
    </row>
    <row r="117" spans="2:5">
      <c r="B117" s="401"/>
      <c r="C117" s="402"/>
      <c r="D117" s="401"/>
      <c r="E117" s="401"/>
    </row>
    <row r="118" spans="2:5">
      <c r="B118" s="401"/>
      <c r="C118" s="402"/>
      <c r="D118" s="401"/>
      <c r="E118" s="401"/>
    </row>
    <row r="119" spans="2:5">
      <c r="B119" s="401"/>
      <c r="C119" s="402"/>
      <c r="D119" s="401"/>
      <c r="E119" s="401"/>
    </row>
    <row r="120" spans="2:5">
      <c r="B120" s="401"/>
      <c r="C120" s="402"/>
      <c r="D120" s="401"/>
      <c r="E120" s="401"/>
    </row>
    <row r="121" spans="2:5">
      <c r="B121" s="401"/>
      <c r="C121" s="402"/>
      <c r="D121" s="401"/>
      <c r="E121" s="401"/>
    </row>
    <row r="122" spans="2:5">
      <c r="B122" s="401"/>
      <c r="C122" s="402"/>
      <c r="D122" s="401"/>
      <c r="E122" s="401"/>
    </row>
    <row r="123" spans="2:5">
      <c r="B123" s="401"/>
      <c r="C123" s="402"/>
      <c r="D123" s="401"/>
      <c r="E123" s="401"/>
    </row>
    <row r="124" spans="2:5">
      <c r="B124" s="401"/>
      <c r="C124" s="402"/>
      <c r="D124" s="401"/>
      <c r="E124" s="401"/>
    </row>
    <row r="125" spans="2:5">
      <c r="B125" s="401"/>
      <c r="C125" s="402"/>
      <c r="D125" s="401"/>
      <c r="E125" s="401"/>
    </row>
    <row r="126" spans="2:5">
      <c r="B126" s="401"/>
      <c r="C126" s="402"/>
      <c r="D126" s="401"/>
      <c r="E126" s="401"/>
    </row>
    <row r="127" spans="2:5">
      <c r="B127" s="401"/>
      <c r="C127" s="402"/>
      <c r="D127" s="401"/>
      <c r="E127" s="401"/>
    </row>
    <row r="128" spans="2:5">
      <c r="B128" s="401"/>
      <c r="C128" s="402"/>
      <c r="D128" s="401"/>
      <c r="E128" s="401"/>
    </row>
  </sheetData>
  <autoFilter ref="A5:E109" xr:uid="{9A4167FE-F5AE-4607-B699-EDC436BDE277}"/>
  <mergeCells count="57">
    <mergeCell ref="A1:M1"/>
    <mergeCell ref="A5:A7"/>
    <mergeCell ref="B5:B7"/>
    <mergeCell ref="C5:C7"/>
    <mergeCell ref="D5:D7"/>
    <mergeCell ref="A2:BZ2"/>
    <mergeCell ref="A3:BZ3"/>
    <mergeCell ref="A4:BZ4"/>
    <mergeCell ref="BT6:BT7"/>
    <mergeCell ref="BU6:BU7"/>
    <mergeCell ref="BV6:BV7"/>
    <mergeCell ref="U6:V6"/>
    <mergeCell ref="BZ5:BZ7"/>
    <mergeCell ref="BS5:BV5"/>
    <mergeCell ref="BY5:BY7"/>
    <mergeCell ref="BW5:BW7"/>
    <mergeCell ref="BC5:BE5"/>
    <mergeCell ref="BC6:BE6"/>
    <mergeCell ref="BX5:BX7"/>
    <mergeCell ref="U5:V5"/>
    <mergeCell ref="W5:X5"/>
    <mergeCell ref="BS6:BS7"/>
    <mergeCell ref="BN5:BO6"/>
    <mergeCell ref="BP5:BR6"/>
    <mergeCell ref="W6:X6"/>
    <mergeCell ref="AQ5:AS5"/>
    <mergeCell ref="AQ6:AS6"/>
    <mergeCell ref="AT5:AV5"/>
    <mergeCell ref="AT6:AV6"/>
    <mergeCell ref="AW6:AY6"/>
    <mergeCell ref="Y5:AA5"/>
    <mergeCell ref="Y6:AA6"/>
    <mergeCell ref="AB5:AD5"/>
    <mergeCell ref="AB6:AD6"/>
    <mergeCell ref="AZ5:BB5"/>
    <mergeCell ref="AZ6:BB6"/>
    <mergeCell ref="BL5:BM6"/>
    <mergeCell ref="AE5:AG5"/>
    <mergeCell ref="AK5:AM5"/>
    <mergeCell ref="BF5:BH5"/>
    <mergeCell ref="AE6:AG6"/>
    <mergeCell ref="AH5:AJ5"/>
    <mergeCell ref="AH6:AJ6"/>
    <mergeCell ref="AN6:AP6"/>
    <mergeCell ref="BF6:BH6"/>
    <mergeCell ref="AW5:AY5"/>
    <mergeCell ref="AK6:AM6"/>
    <mergeCell ref="AN5:AP5"/>
    <mergeCell ref="A109:D109"/>
    <mergeCell ref="B112:E128"/>
    <mergeCell ref="O6:P6"/>
    <mergeCell ref="Q6:R6"/>
    <mergeCell ref="S6:T6"/>
    <mergeCell ref="E5:E7"/>
    <mergeCell ref="O5:P5"/>
    <mergeCell ref="Q5:R5"/>
    <mergeCell ref="S5:T5"/>
  </mergeCells>
  <pageMargins left="0.7" right="0.7" top="0.75" bottom="0.75" header="0.3" footer="0.3"/>
  <pageSetup paperSize="9" scale="6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56B28-E8C7-4DCF-930F-6E7B1CA55580}">
  <dimension ref="A1:BF24"/>
  <sheetViews>
    <sheetView topLeftCell="B1" zoomScale="57" zoomScaleNormal="57" workbookViewId="0">
      <pane xSplit="4" ySplit="6" topLeftCell="F19" activePane="bottomRight" state="frozen"/>
      <selection activeCell="B1" sqref="B1"/>
      <selection pane="topRight" activeCell="F1" sqref="F1"/>
      <selection pane="bottomLeft" activeCell="B7" sqref="B7"/>
      <selection pane="bottomRight" activeCell="G19" sqref="G19"/>
    </sheetView>
  </sheetViews>
  <sheetFormatPr baseColWidth="10" defaultColWidth="23.453125" defaultRowHeight="14.5"/>
  <cols>
    <col min="1" max="2" width="23.453125" style="154"/>
    <col min="3" max="3" width="43.7265625" style="154" customWidth="1"/>
    <col min="4" max="4" width="14.54296875" style="154" customWidth="1"/>
    <col min="5" max="5" width="16.7265625" style="154" customWidth="1"/>
    <col min="6" max="16384" width="23.453125" style="154"/>
  </cols>
  <sheetData>
    <row r="1" spans="1:58" ht="15.65" customHeight="1">
      <c r="A1" s="432" t="s">
        <v>861</v>
      </c>
      <c r="B1" s="433"/>
      <c r="C1" s="433"/>
      <c r="D1" s="433"/>
      <c r="E1" s="433"/>
      <c r="F1" s="433"/>
      <c r="G1" s="433"/>
      <c r="H1" s="433"/>
      <c r="I1" s="433"/>
      <c r="J1" s="433"/>
      <c r="K1" s="433"/>
      <c r="L1" s="433"/>
      <c r="M1" s="433"/>
      <c r="N1" s="433"/>
      <c r="O1" s="433"/>
      <c r="P1" s="433"/>
      <c r="Q1" s="433"/>
      <c r="R1" s="433"/>
      <c r="S1" s="433"/>
      <c r="T1" s="433"/>
      <c r="U1" s="433"/>
      <c r="V1" s="433"/>
      <c r="W1" s="433"/>
      <c r="X1" s="433"/>
      <c r="Y1" s="433"/>
      <c r="Z1" s="433"/>
      <c r="AA1" s="433"/>
      <c r="AB1" s="433"/>
      <c r="AC1" s="433"/>
      <c r="AD1" s="433"/>
      <c r="AE1" s="433"/>
      <c r="AF1" s="433"/>
      <c r="AG1" s="433"/>
      <c r="AH1" s="433"/>
      <c r="AI1" s="433"/>
      <c r="AJ1" s="433"/>
      <c r="AK1" s="433"/>
      <c r="AL1" s="433"/>
      <c r="AM1" s="433"/>
      <c r="AN1" s="433"/>
      <c r="AO1" s="433"/>
      <c r="AP1" s="433"/>
      <c r="AQ1" s="433"/>
      <c r="AR1" s="433"/>
      <c r="AS1" s="433"/>
      <c r="AT1" s="433"/>
      <c r="AU1" s="433"/>
      <c r="AV1" s="433"/>
      <c r="AW1" s="433"/>
      <c r="AX1" s="433"/>
      <c r="AY1" s="433"/>
      <c r="AZ1" s="433"/>
      <c r="BA1" s="433"/>
      <c r="BB1" s="433"/>
      <c r="BC1" s="433"/>
      <c r="BD1" s="433"/>
      <c r="BE1" s="433"/>
      <c r="BF1" s="434"/>
    </row>
    <row r="2" spans="1:58" ht="22.15" customHeight="1">
      <c r="A2" s="446" t="s">
        <v>0</v>
      </c>
      <c r="B2" s="447" t="s">
        <v>1</v>
      </c>
      <c r="C2" s="448" t="s">
        <v>2</v>
      </c>
      <c r="D2" s="447" t="s">
        <v>3</v>
      </c>
      <c r="E2" s="447" t="s">
        <v>685</v>
      </c>
      <c r="F2" s="443" t="s">
        <v>863</v>
      </c>
      <c r="G2" s="444"/>
      <c r="H2" s="445" t="s">
        <v>865</v>
      </c>
      <c r="I2" s="440"/>
      <c r="J2" s="444" t="s">
        <v>860</v>
      </c>
      <c r="K2" s="439" t="s">
        <v>859</v>
      </c>
      <c r="L2" s="440"/>
      <c r="M2" s="436" t="s">
        <v>858</v>
      </c>
      <c r="N2" s="441"/>
      <c r="O2" s="438" t="s">
        <v>857</v>
      </c>
      <c r="P2" s="436" t="s">
        <v>856</v>
      </c>
      <c r="Q2" s="438" t="s">
        <v>855</v>
      </c>
      <c r="R2" s="442"/>
      <c r="S2" s="435" t="s">
        <v>866</v>
      </c>
      <c r="T2" s="436"/>
      <c r="U2" s="436"/>
      <c r="V2" s="437" t="s">
        <v>867</v>
      </c>
      <c r="W2" s="438"/>
      <c r="X2" s="438"/>
      <c r="Y2" s="436" t="s">
        <v>854</v>
      </c>
      <c r="Z2" s="436"/>
      <c r="AA2" s="445" t="s">
        <v>868</v>
      </c>
      <c r="AB2" s="440"/>
      <c r="AC2" s="440"/>
      <c r="AD2" s="435" t="s">
        <v>869</v>
      </c>
      <c r="AE2" s="436"/>
      <c r="AF2" s="436"/>
      <c r="AG2" s="445" t="s">
        <v>870</v>
      </c>
      <c r="AH2" s="439"/>
      <c r="AI2" s="439"/>
      <c r="AJ2" s="435" t="s">
        <v>871</v>
      </c>
      <c r="AK2" s="436"/>
      <c r="AL2" s="436"/>
      <c r="AM2" s="445" t="s">
        <v>872</v>
      </c>
      <c r="AN2" s="439"/>
      <c r="AO2" s="439"/>
      <c r="AP2" s="435" t="s">
        <v>873</v>
      </c>
      <c r="AQ2" s="436"/>
      <c r="AR2" s="436"/>
      <c r="AS2" s="445" t="s">
        <v>874</v>
      </c>
      <c r="AT2" s="439"/>
      <c r="AU2" s="439"/>
      <c r="AV2" s="435" t="s">
        <v>875</v>
      </c>
      <c r="AW2" s="436"/>
      <c r="AX2" s="436"/>
      <c r="AY2" s="449" t="s">
        <v>157</v>
      </c>
      <c r="AZ2" s="449"/>
      <c r="BA2" s="449"/>
      <c r="BB2" s="449"/>
      <c r="BC2" s="450" t="s">
        <v>406</v>
      </c>
      <c r="BD2" s="450"/>
      <c r="BE2" s="450"/>
      <c r="BF2" s="451"/>
    </row>
    <row r="3" spans="1:58" ht="46.5" customHeight="1">
      <c r="A3" s="446"/>
      <c r="B3" s="447"/>
      <c r="C3" s="448"/>
      <c r="D3" s="447"/>
      <c r="E3" s="447"/>
      <c r="F3" s="444"/>
      <c r="G3" s="444"/>
      <c r="H3" s="440"/>
      <c r="I3" s="440"/>
      <c r="J3" s="444"/>
      <c r="K3" s="440"/>
      <c r="L3" s="440"/>
      <c r="M3" s="441"/>
      <c r="N3" s="441"/>
      <c r="O3" s="438"/>
      <c r="P3" s="436"/>
      <c r="Q3" s="442"/>
      <c r="R3" s="442"/>
      <c r="S3" s="436"/>
      <c r="T3" s="436"/>
      <c r="U3" s="436"/>
      <c r="V3" s="438"/>
      <c r="W3" s="438"/>
      <c r="X3" s="438"/>
      <c r="Y3" s="436"/>
      <c r="Z3" s="436"/>
      <c r="AA3" s="440"/>
      <c r="AB3" s="440"/>
      <c r="AC3" s="440"/>
      <c r="AD3" s="436"/>
      <c r="AE3" s="436"/>
      <c r="AF3" s="436"/>
      <c r="AG3" s="439"/>
      <c r="AH3" s="439"/>
      <c r="AI3" s="439"/>
      <c r="AJ3" s="436"/>
      <c r="AK3" s="436"/>
      <c r="AL3" s="436"/>
      <c r="AM3" s="439"/>
      <c r="AN3" s="439"/>
      <c r="AO3" s="439"/>
      <c r="AP3" s="436"/>
      <c r="AQ3" s="436"/>
      <c r="AR3" s="436"/>
      <c r="AS3" s="439"/>
      <c r="AT3" s="439"/>
      <c r="AU3" s="439"/>
      <c r="AV3" s="436"/>
      <c r="AW3" s="436"/>
      <c r="AX3" s="436"/>
      <c r="AY3" s="449"/>
      <c r="AZ3" s="449"/>
      <c r="BA3" s="449"/>
      <c r="BB3" s="449"/>
      <c r="BC3" s="450"/>
      <c r="BD3" s="450"/>
      <c r="BE3" s="450"/>
      <c r="BF3" s="451"/>
    </row>
    <row r="4" spans="1:58" ht="43.5" customHeight="1">
      <c r="A4" s="446"/>
      <c r="B4" s="447"/>
      <c r="C4" s="448"/>
      <c r="D4" s="447"/>
      <c r="E4" s="447"/>
      <c r="F4" s="164" t="s">
        <v>171</v>
      </c>
      <c r="G4" s="164" t="s">
        <v>623</v>
      </c>
      <c r="H4" s="164" t="s">
        <v>171</v>
      </c>
      <c r="I4" s="164" t="s">
        <v>623</v>
      </c>
      <c r="J4" s="164" t="s">
        <v>171</v>
      </c>
      <c r="K4" s="164" t="s">
        <v>171</v>
      </c>
      <c r="L4" s="164" t="s">
        <v>623</v>
      </c>
      <c r="M4" s="164" t="s">
        <v>171</v>
      </c>
      <c r="N4" s="164" t="s">
        <v>623</v>
      </c>
      <c r="O4" s="164" t="s">
        <v>171</v>
      </c>
      <c r="P4" s="164" t="s">
        <v>171</v>
      </c>
      <c r="Q4" s="164" t="s">
        <v>171</v>
      </c>
      <c r="R4" s="164" t="s">
        <v>623</v>
      </c>
      <c r="S4" s="166" t="s">
        <v>431</v>
      </c>
      <c r="T4" s="166" t="s">
        <v>160</v>
      </c>
      <c r="U4" s="165" t="s">
        <v>432</v>
      </c>
      <c r="V4" s="166" t="s">
        <v>431</v>
      </c>
      <c r="W4" s="166" t="s">
        <v>160</v>
      </c>
      <c r="X4" s="165" t="s">
        <v>432</v>
      </c>
      <c r="Y4" s="164" t="s">
        <v>171</v>
      </c>
      <c r="Z4" s="164" t="s">
        <v>623</v>
      </c>
      <c r="AA4" s="166" t="s">
        <v>431</v>
      </c>
      <c r="AB4" s="166" t="s">
        <v>160</v>
      </c>
      <c r="AC4" s="165" t="s">
        <v>432</v>
      </c>
      <c r="AD4" s="166" t="s">
        <v>431</v>
      </c>
      <c r="AE4" s="166" t="s">
        <v>160</v>
      </c>
      <c r="AF4" s="165" t="s">
        <v>432</v>
      </c>
      <c r="AG4" s="166" t="s">
        <v>431</v>
      </c>
      <c r="AH4" s="166" t="s">
        <v>160</v>
      </c>
      <c r="AI4" s="165" t="s">
        <v>432</v>
      </c>
      <c r="AJ4" s="166" t="s">
        <v>431</v>
      </c>
      <c r="AK4" s="166" t="s">
        <v>160</v>
      </c>
      <c r="AL4" s="165" t="s">
        <v>432</v>
      </c>
      <c r="AM4" s="166" t="s">
        <v>431</v>
      </c>
      <c r="AN4" s="166" t="s">
        <v>160</v>
      </c>
      <c r="AO4" s="165" t="s">
        <v>432</v>
      </c>
      <c r="AP4" s="166" t="s">
        <v>431</v>
      </c>
      <c r="AQ4" s="166" t="s">
        <v>160</v>
      </c>
      <c r="AR4" s="165" t="s">
        <v>432</v>
      </c>
      <c r="AS4" s="166" t="s">
        <v>431</v>
      </c>
      <c r="AT4" s="166" t="s">
        <v>160</v>
      </c>
      <c r="AU4" s="165" t="s">
        <v>432</v>
      </c>
      <c r="AV4" s="166" t="s">
        <v>431</v>
      </c>
      <c r="AW4" s="166" t="s">
        <v>160</v>
      </c>
      <c r="AX4" s="165" t="s">
        <v>432</v>
      </c>
      <c r="AY4" s="167" t="s">
        <v>402</v>
      </c>
      <c r="AZ4" s="167" t="s">
        <v>401</v>
      </c>
      <c r="BA4" s="167" t="s">
        <v>400</v>
      </c>
      <c r="BB4" s="168" t="s">
        <v>399</v>
      </c>
      <c r="BC4" s="168" t="s">
        <v>398</v>
      </c>
      <c r="BD4" s="168" t="s">
        <v>397</v>
      </c>
      <c r="BE4" s="169" t="s">
        <v>396</v>
      </c>
      <c r="BF4" s="204" t="s">
        <v>395</v>
      </c>
    </row>
    <row r="5" spans="1:58" ht="28.15" customHeight="1">
      <c r="A5" s="205">
        <v>1</v>
      </c>
      <c r="B5" s="157" t="s">
        <v>853</v>
      </c>
      <c r="C5" s="159" t="s">
        <v>852</v>
      </c>
      <c r="D5" s="158" t="s">
        <v>834</v>
      </c>
      <c r="E5" s="163">
        <v>1</v>
      </c>
      <c r="F5" s="190"/>
      <c r="G5" s="107"/>
      <c r="H5" s="190">
        <v>4000</v>
      </c>
      <c r="I5" s="107">
        <f>+(H5*5.1%)+H5</f>
        <v>4204</v>
      </c>
      <c r="J5" s="190">
        <v>3000</v>
      </c>
      <c r="K5" s="190"/>
      <c r="L5" s="107"/>
      <c r="M5" s="190"/>
      <c r="N5" s="107"/>
      <c r="O5" s="191"/>
      <c r="P5" s="191"/>
      <c r="Q5" s="191"/>
      <c r="R5" s="191"/>
      <c r="S5" s="191"/>
      <c r="T5" s="191"/>
      <c r="U5" s="191"/>
      <c r="V5" s="191"/>
      <c r="W5" s="191"/>
      <c r="X5" s="191"/>
      <c r="Y5" s="191"/>
      <c r="Z5" s="191"/>
      <c r="AA5" s="191"/>
      <c r="AB5" s="191"/>
      <c r="AC5" s="191"/>
      <c r="AD5" s="191"/>
      <c r="AE5" s="191"/>
      <c r="AF5" s="191"/>
      <c r="AG5" s="191"/>
      <c r="AH5" s="191"/>
      <c r="AI5" s="191"/>
      <c r="AJ5" s="191"/>
      <c r="AK5" s="191"/>
      <c r="AL5" s="191"/>
      <c r="AM5" s="191"/>
      <c r="AN5" s="191"/>
      <c r="AO5" s="191"/>
      <c r="AP5" s="191"/>
      <c r="AQ5" s="191"/>
      <c r="AR5" s="191"/>
      <c r="AS5" s="191"/>
      <c r="AT5" s="191"/>
      <c r="AU5" s="191"/>
      <c r="AV5" s="191"/>
      <c r="AW5" s="191"/>
      <c r="AX5" s="191"/>
      <c r="AY5" s="191">
        <f>+MEDIAN(G5,I5,J5,L5,N5,O5,P5,R5,U5,X5,X5,Z5,AC5,AF5,AI5,AL5,AO5,AR5,AU5,AX5)</f>
        <v>3602</v>
      </c>
      <c r="AZ5" s="191">
        <f>+AVERAGE(G5,I5,J5,L5,N5,O5,P5,R5,U5,X5,X5,Z5,AC5,AF5,AI5,AL5,AO5,AR5,AU5,AX5)</f>
        <v>3602</v>
      </c>
      <c r="BA5" s="191">
        <f>+STDEV(G5,I5,J5,L5,N5,O5,P5,R5,U5,X5,X5,Z5,AC5,AF5,AI5,AL5,AO5,AR5,AU5,AX5)</f>
        <v>851.35656454860327</v>
      </c>
      <c r="BB5" s="198">
        <f t="shared" ref="BB5" si="0">BA5/AZ5</f>
        <v>0.23635662536052285</v>
      </c>
      <c r="BC5" s="5">
        <f>+BE5</f>
        <v>3602</v>
      </c>
      <c r="BD5" s="5">
        <v>0</v>
      </c>
      <c r="BE5" s="202">
        <f t="shared" ref="BE5" si="1">ROUNDUP(IF(BB5&lt;15%,AZ5,AY5),0)</f>
        <v>3602</v>
      </c>
      <c r="BF5" s="206" t="s">
        <v>731</v>
      </c>
    </row>
    <row r="6" spans="1:58" ht="72.5">
      <c r="A6" s="205">
        <v>2</v>
      </c>
      <c r="B6" s="157" t="s">
        <v>851</v>
      </c>
      <c r="C6" s="159" t="s">
        <v>850</v>
      </c>
      <c r="D6" s="158" t="s">
        <v>4</v>
      </c>
      <c r="E6" s="163">
        <v>1</v>
      </c>
      <c r="F6" s="191"/>
      <c r="G6" s="191"/>
      <c r="H6" s="191"/>
      <c r="I6" s="191"/>
      <c r="J6" s="190"/>
      <c r="K6" s="190">
        <v>13000</v>
      </c>
      <c r="L6" s="107">
        <f>+(K6*5.1%)+K6</f>
        <v>13663</v>
      </c>
      <c r="M6" s="190">
        <v>15000</v>
      </c>
      <c r="N6" s="107">
        <f>+(M6*5.1%)+M6</f>
        <v>15765</v>
      </c>
      <c r="O6" s="191"/>
      <c r="P6" s="191"/>
      <c r="Q6" s="191"/>
      <c r="R6" s="191"/>
      <c r="S6" s="191"/>
      <c r="T6" s="191"/>
      <c r="U6" s="191"/>
      <c r="V6" s="191"/>
      <c r="W6" s="191"/>
      <c r="X6" s="191"/>
      <c r="Y6" s="191"/>
      <c r="Z6" s="191"/>
      <c r="AA6" s="191"/>
      <c r="AB6" s="191"/>
      <c r="AC6" s="191"/>
      <c r="AD6" s="191"/>
      <c r="AE6" s="191"/>
      <c r="AF6" s="191"/>
      <c r="AG6" s="191"/>
      <c r="AH6" s="191"/>
      <c r="AI6" s="191"/>
      <c r="AJ6" s="191"/>
      <c r="AK6" s="191"/>
      <c r="AL6" s="191"/>
      <c r="AM6" s="191"/>
      <c r="AN6" s="191"/>
      <c r="AO6" s="191"/>
      <c r="AP6" s="191"/>
      <c r="AQ6" s="191"/>
      <c r="AR6" s="191"/>
      <c r="AS6" s="191"/>
      <c r="AT6" s="191"/>
      <c r="AU6" s="191"/>
      <c r="AV6" s="191"/>
      <c r="AW6" s="191"/>
      <c r="AX6" s="191"/>
      <c r="AY6" s="191">
        <f t="shared" ref="AY6:AY23" si="2">+MEDIAN(G6,I6,J6,L6,N6,O6,P6,R6,U6,X6,X6,Z6,AC6,AF6,AI6,AL6,AO6,AR6,AU6,AX6)</f>
        <v>14714</v>
      </c>
      <c r="AZ6" s="191">
        <f t="shared" ref="AZ6:AZ23" si="3">+AVERAGE(G6,I6,J6,L6,N6,O6,P6,R6,U6,X6,X6,Z6,AC6,AF6,AI6,AL6,AO6,AR6,AU6,AX6)</f>
        <v>14714</v>
      </c>
      <c r="BA6" s="191">
        <f t="shared" ref="BA6:BA23" si="4">+STDEV(G6,I6,J6,L6,N6,O6,P6,R6,U6,X6,X6,Z6,AC6,AF6,AI6,AL6,AO6,AR6,AU6,AX6)</f>
        <v>1486.3384540541228</v>
      </c>
      <c r="BB6" s="198">
        <f t="shared" ref="BB6:BB23" si="5">BA6/AZ6</f>
        <v>0.10101525445522107</v>
      </c>
      <c r="BC6" s="5">
        <f>+BE6</f>
        <v>14714</v>
      </c>
      <c r="BD6" s="5">
        <v>0</v>
      </c>
      <c r="BE6" s="202">
        <f t="shared" ref="BE6:BE23" si="6">ROUNDUP(IF(BB6&lt;15%,AZ6,AY6),0)</f>
        <v>14714</v>
      </c>
      <c r="BF6" s="207" t="s">
        <v>731</v>
      </c>
    </row>
    <row r="7" spans="1:58" ht="72.5">
      <c r="A7" s="205">
        <v>3</v>
      </c>
      <c r="B7" s="157" t="s">
        <v>849</v>
      </c>
      <c r="C7" s="159" t="s">
        <v>848</v>
      </c>
      <c r="D7" s="156" t="s">
        <v>825</v>
      </c>
      <c r="E7" s="160">
        <v>1</v>
      </c>
      <c r="F7" s="190">
        <v>19412</v>
      </c>
      <c r="G7" s="107">
        <f t="shared" ref="G7:G16" si="7">+(F7*5.1%)+F7</f>
        <v>20402.011999999999</v>
      </c>
      <c r="H7" s="191"/>
      <c r="I7" s="191"/>
      <c r="J7" s="191"/>
      <c r="K7" s="191"/>
      <c r="L7" s="191"/>
      <c r="M7" s="191"/>
      <c r="N7" s="191"/>
      <c r="O7" s="190">
        <v>30000</v>
      </c>
      <c r="P7" s="190">
        <v>25000</v>
      </c>
      <c r="Q7" s="191"/>
      <c r="R7" s="191"/>
      <c r="S7" s="191"/>
      <c r="T7" s="191"/>
      <c r="U7" s="191"/>
      <c r="V7" s="191"/>
      <c r="W7" s="191"/>
      <c r="X7" s="191"/>
      <c r="Y7" s="191"/>
      <c r="Z7" s="191"/>
      <c r="AA7" s="191"/>
      <c r="AB7" s="191"/>
      <c r="AC7" s="191"/>
      <c r="AD7" s="191"/>
      <c r="AE7" s="191"/>
      <c r="AF7" s="191"/>
      <c r="AG7" s="191"/>
      <c r="AH7" s="191"/>
      <c r="AI7" s="191"/>
      <c r="AJ7" s="191"/>
      <c r="AK7" s="191"/>
      <c r="AL7" s="191"/>
      <c r="AM7" s="191"/>
      <c r="AN7" s="191"/>
      <c r="AO7" s="191"/>
      <c r="AP7" s="191"/>
      <c r="AQ7" s="191"/>
      <c r="AR7" s="191"/>
      <c r="AS7" s="191"/>
      <c r="AT7" s="191"/>
      <c r="AU7" s="191"/>
      <c r="AV7" s="191"/>
      <c r="AW7" s="191"/>
      <c r="AX7" s="191"/>
      <c r="AY7" s="191">
        <f t="shared" si="2"/>
        <v>25000</v>
      </c>
      <c r="AZ7" s="191">
        <f t="shared" si="3"/>
        <v>25134.004000000001</v>
      </c>
      <c r="BA7" s="191">
        <f t="shared" si="4"/>
        <v>4800.39698525527</v>
      </c>
      <c r="BB7" s="198">
        <f t="shared" si="5"/>
        <v>0.19099213102915358</v>
      </c>
      <c r="BC7" s="5">
        <f>+BE7</f>
        <v>25000</v>
      </c>
      <c r="BD7" s="5">
        <v>0</v>
      </c>
      <c r="BE7" s="202">
        <f t="shared" si="6"/>
        <v>25000</v>
      </c>
      <c r="BF7" s="206" t="s">
        <v>731</v>
      </c>
    </row>
    <row r="8" spans="1:58" ht="72.5">
      <c r="A8" s="205">
        <v>4</v>
      </c>
      <c r="B8" s="157" t="s">
        <v>847</v>
      </c>
      <c r="C8" s="159" t="s">
        <v>846</v>
      </c>
      <c r="D8" s="158" t="s">
        <v>845</v>
      </c>
      <c r="E8" s="160">
        <v>1</v>
      </c>
      <c r="F8" s="190">
        <v>19412</v>
      </c>
      <c r="G8" s="107">
        <f t="shared" si="7"/>
        <v>20402.011999999999</v>
      </c>
      <c r="H8" s="191"/>
      <c r="I8" s="191"/>
      <c r="J8" s="191"/>
      <c r="K8" s="191"/>
      <c r="L8" s="191"/>
      <c r="M8" s="191"/>
      <c r="N8" s="191"/>
      <c r="O8" s="190">
        <v>23000</v>
      </c>
      <c r="P8" s="190">
        <v>21350</v>
      </c>
      <c r="Q8" s="191"/>
      <c r="R8" s="191"/>
      <c r="S8" s="191"/>
      <c r="T8" s="191"/>
      <c r="U8" s="191"/>
      <c r="V8" s="191"/>
      <c r="W8" s="191"/>
      <c r="X8" s="191"/>
      <c r="Y8" s="191"/>
      <c r="Z8" s="191"/>
      <c r="AA8" s="191"/>
      <c r="AB8" s="191"/>
      <c r="AC8" s="191"/>
      <c r="AD8" s="191"/>
      <c r="AE8" s="191"/>
      <c r="AF8" s="191"/>
      <c r="AG8" s="191"/>
      <c r="AH8" s="191"/>
      <c r="AI8" s="191"/>
      <c r="AJ8" s="191"/>
      <c r="AK8" s="191"/>
      <c r="AL8" s="191"/>
      <c r="AM8" s="191"/>
      <c r="AN8" s="191"/>
      <c r="AO8" s="191"/>
      <c r="AP8" s="191"/>
      <c r="AQ8" s="191"/>
      <c r="AR8" s="191"/>
      <c r="AS8" s="191"/>
      <c r="AT8" s="191"/>
      <c r="AU8" s="191"/>
      <c r="AV8" s="191"/>
      <c r="AW8" s="191"/>
      <c r="AX8" s="191"/>
      <c r="AY8" s="191">
        <f t="shared" si="2"/>
        <v>21350</v>
      </c>
      <c r="AZ8" s="191">
        <f t="shared" si="3"/>
        <v>21584.004000000001</v>
      </c>
      <c r="BA8" s="191">
        <f t="shared" si="4"/>
        <v>1314.7067414629018</v>
      </c>
      <c r="BB8" s="198">
        <f t="shared" si="5"/>
        <v>6.0911160944137233E-2</v>
      </c>
      <c r="BC8" s="5">
        <f>+BE8</f>
        <v>21585</v>
      </c>
      <c r="BD8" s="5">
        <v>0</v>
      </c>
      <c r="BE8" s="202">
        <f t="shared" si="6"/>
        <v>21585</v>
      </c>
      <c r="BF8" s="206" t="s">
        <v>731</v>
      </c>
    </row>
    <row r="9" spans="1:58" ht="72.5">
      <c r="A9" s="205">
        <v>5</v>
      </c>
      <c r="B9" s="157" t="s">
        <v>844</v>
      </c>
      <c r="C9" s="159" t="s">
        <v>843</v>
      </c>
      <c r="D9" s="158" t="s">
        <v>4</v>
      </c>
      <c r="E9" s="160">
        <v>1</v>
      </c>
      <c r="F9" s="203">
        <v>4118</v>
      </c>
      <c r="G9" s="107">
        <f t="shared" si="7"/>
        <v>4328.018</v>
      </c>
      <c r="H9" s="203">
        <v>4000</v>
      </c>
      <c r="I9" s="107">
        <f>+(H9*5.1%)+H9</f>
        <v>4204</v>
      </c>
      <c r="J9" s="190">
        <v>6000</v>
      </c>
      <c r="K9" s="191"/>
      <c r="L9" s="191"/>
      <c r="M9" s="191"/>
      <c r="N9" s="191"/>
      <c r="O9" s="191"/>
      <c r="P9" s="191"/>
      <c r="Q9" s="191"/>
      <c r="R9" s="191"/>
      <c r="S9" s="191"/>
      <c r="T9" s="191"/>
      <c r="U9" s="191"/>
      <c r="V9" s="191"/>
      <c r="W9" s="191"/>
      <c r="X9" s="191"/>
      <c r="Y9" s="191"/>
      <c r="Z9" s="191"/>
      <c r="AA9" s="191"/>
      <c r="AB9" s="191"/>
      <c r="AC9" s="191"/>
      <c r="AD9" s="191"/>
      <c r="AE9" s="191"/>
      <c r="AF9" s="191"/>
      <c r="AG9" s="191"/>
      <c r="AH9" s="191"/>
      <c r="AI9" s="191"/>
      <c r="AJ9" s="191"/>
      <c r="AK9" s="191"/>
      <c r="AL9" s="191"/>
      <c r="AM9" s="191"/>
      <c r="AN9" s="191"/>
      <c r="AO9" s="191"/>
      <c r="AP9" s="191"/>
      <c r="AQ9" s="191"/>
      <c r="AR9" s="191"/>
      <c r="AS9" s="191"/>
      <c r="AT9" s="191"/>
      <c r="AU9" s="191"/>
      <c r="AV9" s="191"/>
      <c r="AW9" s="191"/>
      <c r="AX9" s="191"/>
      <c r="AY9" s="191">
        <f t="shared" si="2"/>
        <v>4328.018</v>
      </c>
      <c r="AZ9" s="191">
        <f t="shared" si="3"/>
        <v>4844.0060000000003</v>
      </c>
      <c r="BA9" s="191">
        <f t="shared" si="4"/>
        <v>1003.0387390863867</v>
      </c>
      <c r="BB9" s="198">
        <f t="shared" si="5"/>
        <v>0.20706802160987964</v>
      </c>
      <c r="BC9" s="5">
        <f>+BE9</f>
        <v>4329</v>
      </c>
      <c r="BD9" s="5">
        <v>0</v>
      </c>
      <c r="BE9" s="202">
        <f t="shared" si="6"/>
        <v>4329</v>
      </c>
      <c r="BF9" s="206" t="s">
        <v>731</v>
      </c>
    </row>
    <row r="10" spans="1:58" ht="72.5">
      <c r="A10" s="205">
        <v>6</v>
      </c>
      <c r="B10" s="157" t="s">
        <v>842</v>
      </c>
      <c r="C10" s="159" t="s">
        <v>841</v>
      </c>
      <c r="D10" s="156" t="s">
        <v>825</v>
      </c>
      <c r="E10" s="160">
        <v>1</v>
      </c>
      <c r="F10" s="203">
        <v>59500</v>
      </c>
      <c r="G10" s="107">
        <f t="shared" si="7"/>
        <v>62534.5</v>
      </c>
      <c r="H10" s="191"/>
      <c r="I10" s="191"/>
      <c r="J10" s="191"/>
      <c r="K10" s="191"/>
      <c r="L10" s="191"/>
      <c r="M10" s="191"/>
      <c r="N10" s="191"/>
      <c r="O10" s="190">
        <v>73000</v>
      </c>
      <c r="P10" s="190">
        <v>65350</v>
      </c>
      <c r="Q10" s="191"/>
      <c r="R10" s="191"/>
      <c r="S10" s="191"/>
      <c r="T10" s="191"/>
      <c r="U10" s="191"/>
      <c r="V10" s="191"/>
      <c r="W10" s="191"/>
      <c r="X10" s="191"/>
      <c r="Y10" s="191"/>
      <c r="Z10" s="191"/>
      <c r="AA10" s="191"/>
      <c r="AB10" s="191"/>
      <c r="AC10" s="191"/>
      <c r="AD10" s="191"/>
      <c r="AE10" s="191"/>
      <c r="AF10" s="191"/>
      <c r="AG10" s="191"/>
      <c r="AH10" s="191"/>
      <c r="AI10" s="191"/>
      <c r="AJ10" s="191"/>
      <c r="AK10" s="191"/>
      <c r="AL10" s="191"/>
      <c r="AM10" s="191"/>
      <c r="AN10" s="191"/>
      <c r="AO10" s="191"/>
      <c r="AP10" s="191"/>
      <c r="AQ10" s="191"/>
      <c r="AR10" s="191"/>
      <c r="AS10" s="191"/>
      <c r="AT10" s="191"/>
      <c r="AU10" s="191"/>
      <c r="AV10" s="191"/>
      <c r="AW10" s="191"/>
      <c r="AX10" s="191"/>
      <c r="AY10" s="191">
        <f t="shared" si="2"/>
        <v>65350</v>
      </c>
      <c r="AZ10" s="191">
        <f t="shared" si="3"/>
        <v>66961.5</v>
      </c>
      <c r="BA10" s="191">
        <f t="shared" si="4"/>
        <v>5415.6598628422007</v>
      </c>
      <c r="BB10" s="198">
        <f t="shared" si="5"/>
        <v>8.0877218444064133E-2</v>
      </c>
      <c r="BC10" s="5">
        <f t="shared" ref="BC10:BC23" si="8">+BE10/1.19</f>
        <v>56270.588235294119</v>
      </c>
      <c r="BD10" s="5">
        <f t="shared" ref="BD10:BD23" si="9">+BC10*19%</f>
        <v>10691.411764705883</v>
      </c>
      <c r="BE10" s="202">
        <f t="shared" si="6"/>
        <v>66962</v>
      </c>
      <c r="BF10" s="206" t="s">
        <v>731</v>
      </c>
    </row>
    <row r="11" spans="1:58" ht="72.5">
      <c r="A11" s="205">
        <v>7</v>
      </c>
      <c r="B11" s="157" t="s">
        <v>840</v>
      </c>
      <c r="C11" s="159" t="s">
        <v>839</v>
      </c>
      <c r="D11" s="158" t="s">
        <v>828</v>
      </c>
      <c r="E11" s="160">
        <v>1</v>
      </c>
      <c r="F11" s="190"/>
      <c r="G11" s="107"/>
      <c r="H11" s="192">
        <v>4000</v>
      </c>
      <c r="I11" s="107">
        <f>+(H11*5.1%)+H11</f>
        <v>4204</v>
      </c>
      <c r="J11" s="191"/>
      <c r="K11" s="191"/>
      <c r="L11" s="191"/>
      <c r="M11" s="191"/>
      <c r="N11" s="191"/>
      <c r="O11" s="191"/>
      <c r="P11" s="191"/>
      <c r="Q11" s="190">
        <v>4923</v>
      </c>
      <c r="R11" s="107">
        <f>+(Q11*5.1%)+Q11</f>
        <v>5174.0730000000003</v>
      </c>
      <c r="S11" s="191"/>
      <c r="T11" s="191"/>
      <c r="U11" s="191"/>
      <c r="V11" s="191"/>
      <c r="W11" s="191"/>
      <c r="X11" s="191"/>
      <c r="Y11" s="191"/>
      <c r="Z11" s="191"/>
      <c r="AA11" s="191"/>
      <c r="AB11" s="191"/>
      <c r="AC11" s="191"/>
      <c r="AD11" s="191"/>
      <c r="AE11" s="191"/>
      <c r="AF11" s="191"/>
      <c r="AG11" s="191"/>
      <c r="AH11" s="191"/>
      <c r="AI11" s="191"/>
      <c r="AJ11" s="191"/>
      <c r="AK11" s="191"/>
      <c r="AL11" s="191"/>
      <c r="AM11" s="191"/>
      <c r="AN11" s="191"/>
      <c r="AO11" s="191"/>
      <c r="AP11" s="191"/>
      <c r="AQ11" s="191"/>
      <c r="AR11" s="191"/>
      <c r="AS11" s="191"/>
      <c r="AT11" s="191"/>
      <c r="AU11" s="191"/>
      <c r="AV11" s="191"/>
      <c r="AW11" s="191"/>
      <c r="AX11" s="191"/>
      <c r="AY11" s="191">
        <f t="shared" si="2"/>
        <v>4689.0365000000002</v>
      </c>
      <c r="AZ11" s="191">
        <f t="shared" si="3"/>
        <v>4689.0365000000002</v>
      </c>
      <c r="BA11" s="191">
        <f t="shared" si="4"/>
        <v>685.94519654597866</v>
      </c>
      <c r="BB11" s="198">
        <f t="shared" si="5"/>
        <v>0.14628702432706137</v>
      </c>
      <c r="BC11" s="5">
        <f>+BE11</f>
        <v>4690</v>
      </c>
      <c r="BD11" s="5">
        <v>0</v>
      </c>
      <c r="BE11" s="202">
        <f t="shared" si="6"/>
        <v>4690</v>
      </c>
      <c r="BF11" s="207" t="s">
        <v>731</v>
      </c>
    </row>
    <row r="12" spans="1:58" ht="72.5">
      <c r="A12" s="205">
        <v>8</v>
      </c>
      <c r="B12" s="157" t="s">
        <v>838</v>
      </c>
      <c r="C12" s="159" t="s">
        <v>837</v>
      </c>
      <c r="D12" s="158" t="s">
        <v>828</v>
      </c>
      <c r="E12" s="160">
        <v>1</v>
      </c>
      <c r="F12" s="190">
        <v>4480</v>
      </c>
      <c r="G12" s="107">
        <f t="shared" si="7"/>
        <v>4708.4799999999996</v>
      </c>
      <c r="H12" s="203"/>
      <c r="I12" s="107"/>
      <c r="J12" s="191"/>
      <c r="K12" s="190"/>
      <c r="L12" s="107"/>
      <c r="M12" s="191"/>
      <c r="N12" s="191"/>
      <c r="O12" s="203">
        <v>5000</v>
      </c>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1"/>
      <c r="AR12" s="191"/>
      <c r="AS12" s="191"/>
      <c r="AT12" s="191"/>
      <c r="AU12" s="191"/>
      <c r="AV12" s="191"/>
      <c r="AW12" s="191"/>
      <c r="AX12" s="191"/>
      <c r="AY12" s="191">
        <f t="shared" si="2"/>
        <v>4854.24</v>
      </c>
      <c r="AZ12" s="191">
        <f t="shared" si="3"/>
        <v>4854.24</v>
      </c>
      <c r="BA12" s="191">
        <f t="shared" si="4"/>
        <v>206.13576885150263</v>
      </c>
      <c r="BB12" s="198">
        <f t="shared" si="5"/>
        <v>4.2465096256366117E-2</v>
      </c>
      <c r="BC12" s="5">
        <f t="shared" ref="BC12:BC13" si="10">+BE12</f>
        <v>4855</v>
      </c>
      <c r="BD12" s="5">
        <v>0</v>
      </c>
      <c r="BE12" s="202">
        <f t="shared" si="6"/>
        <v>4855</v>
      </c>
      <c r="BF12" s="206" t="s">
        <v>731</v>
      </c>
    </row>
    <row r="13" spans="1:58" ht="72.5">
      <c r="A13" s="205">
        <v>9</v>
      </c>
      <c r="B13" s="157" t="s">
        <v>836</v>
      </c>
      <c r="C13" s="159" t="s">
        <v>835</v>
      </c>
      <c r="D13" s="158" t="s">
        <v>834</v>
      </c>
      <c r="E13" s="160">
        <v>1</v>
      </c>
      <c r="F13" s="190">
        <v>3059</v>
      </c>
      <c r="G13" s="107">
        <f t="shared" si="7"/>
        <v>3215.009</v>
      </c>
      <c r="H13" s="193">
        <v>4000</v>
      </c>
      <c r="I13" s="107">
        <f>+(H13*5.1%)+H13</f>
        <v>4204</v>
      </c>
      <c r="J13" s="191"/>
      <c r="K13" s="191"/>
      <c r="L13" s="191"/>
      <c r="M13" s="191"/>
      <c r="N13" s="191"/>
      <c r="O13" s="191"/>
      <c r="P13" s="191"/>
      <c r="Q13" s="190">
        <v>4923</v>
      </c>
      <c r="R13" s="107">
        <f>+(Q13*5.1%)+Q13</f>
        <v>5174.0730000000003</v>
      </c>
      <c r="S13" s="191"/>
      <c r="T13" s="191"/>
      <c r="U13" s="191"/>
      <c r="V13" s="191"/>
      <c r="W13" s="191"/>
      <c r="X13" s="191"/>
      <c r="Y13" s="191"/>
      <c r="Z13" s="191"/>
      <c r="AA13" s="191"/>
      <c r="AB13" s="191"/>
      <c r="AC13" s="191"/>
      <c r="AD13" s="191"/>
      <c r="AE13" s="191"/>
      <c r="AF13" s="191"/>
      <c r="AG13" s="191"/>
      <c r="AH13" s="191"/>
      <c r="AI13" s="191"/>
      <c r="AJ13" s="191"/>
      <c r="AK13" s="191"/>
      <c r="AL13" s="191"/>
      <c r="AM13" s="191"/>
      <c r="AN13" s="191"/>
      <c r="AO13" s="191"/>
      <c r="AP13" s="191"/>
      <c r="AQ13" s="191"/>
      <c r="AR13" s="191"/>
      <c r="AS13" s="191"/>
      <c r="AT13" s="191"/>
      <c r="AU13" s="191"/>
      <c r="AV13" s="191"/>
      <c r="AW13" s="191"/>
      <c r="AX13" s="191"/>
      <c r="AY13" s="191">
        <f t="shared" si="2"/>
        <v>4204</v>
      </c>
      <c r="AZ13" s="191">
        <f t="shared" si="3"/>
        <v>4197.6940000000004</v>
      </c>
      <c r="BA13" s="191">
        <f t="shared" si="4"/>
        <v>979.54722359414757</v>
      </c>
      <c r="BB13" s="198">
        <f t="shared" si="5"/>
        <v>0.23335365169403666</v>
      </c>
      <c r="BC13" s="5">
        <f t="shared" si="10"/>
        <v>4204</v>
      </c>
      <c r="BD13" s="5">
        <v>0</v>
      </c>
      <c r="BE13" s="202">
        <f t="shared" si="6"/>
        <v>4204</v>
      </c>
      <c r="BF13" s="206" t="s">
        <v>731</v>
      </c>
    </row>
    <row r="14" spans="1:58" ht="72.5">
      <c r="A14" s="205">
        <v>10</v>
      </c>
      <c r="B14" s="157" t="s">
        <v>833</v>
      </c>
      <c r="C14" s="159" t="s">
        <v>832</v>
      </c>
      <c r="D14" s="156" t="s">
        <v>831</v>
      </c>
      <c r="E14" s="160">
        <v>1</v>
      </c>
      <c r="F14" s="190">
        <v>592941</v>
      </c>
      <c r="G14" s="107">
        <f t="shared" si="7"/>
        <v>623180.99100000004</v>
      </c>
      <c r="H14" s="191"/>
      <c r="I14" s="191"/>
      <c r="J14" s="191"/>
      <c r="K14" s="191"/>
      <c r="L14" s="191"/>
      <c r="M14" s="191"/>
      <c r="N14" s="191"/>
      <c r="O14" s="203">
        <v>680000</v>
      </c>
      <c r="P14" s="191"/>
      <c r="Q14" s="191"/>
      <c r="R14" s="191"/>
      <c r="S14" s="191"/>
      <c r="T14" s="191"/>
      <c r="U14" s="191"/>
      <c r="V14" s="191"/>
      <c r="W14" s="191"/>
      <c r="X14" s="191"/>
      <c r="Y14" s="191"/>
      <c r="Z14" s="191"/>
      <c r="AA14" s="191"/>
      <c r="AB14" s="191"/>
      <c r="AC14" s="191"/>
      <c r="AD14" s="191"/>
      <c r="AE14" s="191"/>
      <c r="AF14" s="191"/>
      <c r="AG14" s="191"/>
      <c r="AH14" s="191"/>
      <c r="AI14" s="191"/>
      <c r="AJ14" s="191"/>
      <c r="AK14" s="191"/>
      <c r="AL14" s="191"/>
      <c r="AM14" s="191"/>
      <c r="AN14" s="191"/>
      <c r="AO14" s="191"/>
      <c r="AP14" s="191"/>
      <c r="AQ14" s="191"/>
      <c r="AR14" s="191"/>
      <c r="AS14" s="191"/>
      <c r="AT14" s="191"/>
      <c r="AU14" s="191"/>
      <c r="AV14" s="191"/>
      <c r="AW14" s="191"/>
      <c r="AX14" s="191"/>
      <c r="AY14" s="191">
        <f t="shared" si="2"/>
        <v>651590.49549999996</v>
      </c>
      <c r="AZ14" s="191">
        <f t="shared" si="3"/>
        <v>651590.49549999996</v>
      </c>
      <c r="BA14" s="191">
        <f t="shared" si="4"/>
        <v>40177.10656419945</v>
      </c>
      <c r="BB14" s="198">
        <f t="shared" si="5"/>
        <v>6.1660056188157598E-2</v>
      </c>
      <c r="BC14" s="5">
        <f t="shared" si="8"/>
        <v>547555.46218487399</v>
      </c>
      <c r="BD14" s="5">
        <f t="shared" si="9"/>
        <v>104035.53781512607</v>
      </c>
      <c r="BE14" s="202">
        <f t="shared" si="6"/>
        <v>651591</v>
      </c>
      <c r="BF14" s="207" t="s">
        <v>731</v>
      </c>
    </row>
    <row r="15" spans="1:58" ht="72.5">
      <c r="A15" s="205">
        <v>11</v>
      </c>
      <c r="B15" s="157" t="s">
        <v>830</v>
      </c>
      <c r="C15" s="159" t="s">
        <v>829</v>
      </c>
      <c r="D15" s="158" t="s">
        <v>828</v>
      </c>
      <c r="E15" s="160">
        <v>1</v>
      </c>
      <c r="F15" s="190">
        <v>4480</v>
      </c>
      <c r="G15" s="107">
        <f t="shared" si="7"/>
        <v>4708.4799999999996</v>
      </c>
      <c r="H15" s="190"/>
      <c r="I15" s="107"/>
      <c r="J15" s="191"/>
      <c r="K15" s="191"/>
      <c r="L15" s="191"/>
      <c r="M15" s="191"/>
      <c r="N15" s="191"/>
      <c r="O15" s="190">
        <v>5000</v>
      </c>
      <c r="P15" s="191"/>
      <c r="Q15" s="191"/>
      <c r="R15" s="191"/>
      <c r="S15" s="191"/>
      <c r="T15" s="191"/>
      <c r="U15" s="191"/>
      <c r="V15" s="191"/>
      <c r="W15" s="191"/>
      <c r="X15" s="191"/>
      <c r="Y15" s="191"/>
      <c r="Z15" s="191"/>
      <c r="AA15" s="191"/>
      <c r="AB15" s="191"/>
      <c r="AC15" s="191"/>
      <c r="AD15" s="191"/>
      <c r="AE15" s="191"/>
      <c r="AF15" s="191"/>
      <c r="AG15" s="191"/>
      <c r="AH15" s="191"/>
      <c r="AI15" s="191"/>
      <c r="AJ15" s="191"/>
      <c r="AK15" s="191"/>
      <c r="AL15" s="191"/>
      <c r="AM15" s="191"/>
      <c r="AN15" s="191"/>
      <c r="AO15" s="191"/>
      <c r="AP15" s="191"/>
      <c r="AQ15" s="191"/>
      <c r="AR15" s="191"/>
      <c r="AS15" s="191"/>
      <c r="AT15" s="191"/>
      <c r="AU15" s="191"/>
      <c r="AV15" s="191"/>
      <c r="AW15" s="191"/>
      <c r="AX15" s="191"/>
      <c r="AY15" s="191">
        <f t="shared" si="2"/>
        <v>4854.24</v>
      </c>
      <c r="AZ15" s="191">
        <f t="shared" si="3"/>
        <v>4854.24</v>
      </c>
      <c r="BA15" s="191">
        <f t="shared" si="4"/>
        <v>206.13576885150263</v>
      </c>
      <c r="BB15" s="198">
        <f t="shared" si="5"/>
        <v>4.2465096256366117E-2</v>
      </c>
      <c r="BC15" s="5">
        <f>+BE15</f>
        <v>4855</v>
      </c>
      <c r="BD15" s="5">
        <v>0</v>
      </c>
      <c r="BE15" s="202">
        <f t="shared" si="6"/>
        <v>4855</v>
      </c>
      <c r="BF15" s="207" t="s">
        <v>731</v>
      </c>
    </row>
    <row r="16" spans="1:58" ht="72.5">
      <c r="A16" s="205">
        <v>12</v>
      </c>
      <c r="B16" s="157" t="s">
        <v>827</v>
      </c>
      <c r="C16" s="159" t="s">
        <v>826</v>
      </c>
      <c r="D16" s="156" t="s">
        <v>825</v>
      </c>
      <c r="E16" s="160">
        <v>1</v>
      </c>
      <c r="F16" s="190">
        <v>10080</v>
      </c>
      <c r="G16" s="107">
        <f t="shared" si="7"/>
        <v>10594.08</v>
      </c>
      <c r="H16" s="191"/>
      <c r="I16" s="191"/>
      <c r="J16" s="191"/>
      <c r="K16" s="191"/>
      <c r="L16" s="191"/>
      <c r="M16" s="191"/>
      <c r="N16" s="191"/>
      <c r="O16" s="190">
        <v>15000</v>
      </c>
      <c r="P16" s="191"/>
      <c r="Q16" s="191"/>
      <c r="R16" s="191"/>
      <c r="S16" s="191"/>
      <c r="T16" s="191"/>
      <c r="U16" s="191"/>
      <c r="V16" s="191"/>
      <c r="W16" s="191"/>
      <c r="X16" s="191"/>
      <c r="Y16" s="191"/>
      <c r="Z16" s="191"/>
      <c r="AA16" s="191"/>
      <c r="AB16" s="191"/>
      <c r="AC16" s="191"/>
      <c r="AD16" s="191"/>
      <c r="AE16" s="191"/>
      <c r="AF16" s="191"/>
      <c r="AG16" s="191"/>
      <c r="AH16" s="191"/>
      <c r="AI16" s="191"/>
      <c r="AJ16" s="191"/>
      <c r="AK16" s="191"/>
      <c r="AL16" s="191"/>
      <c r="AM16" s="191"/>
      <c r="AN16" s="191"/>
      <c r="AO16" s="191"/>
      <c r="AP16" s="191"/>
      <c r="AQ16" s="191"/>
      <c r="AR16" s="191"/>
      <c r="AS16" s="191"/>
      <c r="AT16" s="191"/>
      <c r="AU16" s="191"/>
      <c r="AV16" s="191"/>
      <c r="AW16" s="191"/>
      <c r="AX16" s="191"/>
      <c r="AY16" s="191">
        <f t="shared" si="2"/>
        <v>12797.04</v>
      </c>
      <c r="AZ16" s="191">
        <f t="shared" si="3"/>
        <v>12797.04</v>
      </c>
      <c r="BA16" s="191">
        <f t="shared" si="4"/>
        <v>3115.4559093654298</v>
      </c>
      <c r="BB16" s="198">
        <f t="shared" si="5"/>
        <v>0.24345129103022492</v>
      </c>
      <c r="BC16" s="5">
        <f t="shared" si="8"/>
        <v>10754.621848739496</v>
      </c>
      <c r="BD16" s="5">
        <f t="shared" si="9"/>
        <v>2043.3781512605044</v>
      </c>
      <c r="BE16" s="202">
        <f t="shared" si="6"/>
        <v>12798</v>
      </c>
      <c r="BF16" s="207" t="s">
        <v>731</v>
      </c>
    </row>
    <row r="17" spans="1:58" ht="72.5">
      <c r="A17" s="205">
        <v>13</v>
      </c>
      <c r="B17" s="162" t="s">
        <v>824</v>
      </c>
      <c r="C17" s="161" t="s">
        <v>823</v>
      </c>
      <c r="D17" s="158" t="s">
        <v>11</v>
      </c>
      <c r="E17" s="160">
        <v>1</v>
      </c>
      <c r="F17" s="191"/>
      <c r="G17" s="191"/>
      <c r="H17" s="191"/>
      <c r="I17" s="191"/>
      <c r="J17" s="191"/>
      <c r="K17" s="191"/>
      <c r="L17" s="191"/>
      <c r="M17" s="191"/>
      <c r="N17" s="191"/>
      <c r="O17" s="191"/>
      <c r="P17" s="191"/>
      <c r="Q17" s="191"/>
      <c r="R17" s="191"/>
      <c r="S17" s="194">
        <f>19900/1.19</f>
        <v>16722.689075630253</v>
      </c>
      <c r="T17" s="111">
        <f>+S17*19%</f>
        <v>3177.3109243697481</v>
      </c>
      <c r="U17" s="111">
        <f>+((S17*17%)+S17+T17)</f>
        <v>22742.857142857145</v>
      </c>
      <c r="V17" s="194">
        <f>15900/1.19</f>
        <v>13361.344537815126</v>
      </c>
      <c r="W17" s="111">
        <f>+V17*19%</f>
        <v>2538.6554621848741</v>
      </c>
      <c r="X17" s="111">
        <f>+((V17*17%)+V17+W17)</f>
        <v>18171.428571428572</v>
      </c>
      <c r="Y17" s="195">
        <v>16000</v>
      </c>
      <c r="Z17" s="107">
        <f>+(Y17*5.1%)+Y17</f>
        <v>16816</v>
      </c>
      <c r="AA17" s="107"/>
      <c r="AB17" s="107"/>
      <c r="AC17" s="107"/>
      <c r="AD17" s="107"/>
      <c r="AE17" s="107"/>
      <c r="AF17" s="107"/>
      <c r="AG17" s="107"/>
      <c r="AH17" s="107"/>
      <c r="AI17" s="107"/>
      <c r="AJ17" s="107"/>
      <c r="AK17" s="107"/>
      <c r="AL17" s="107"/>
      <c r="AM17" s="107"/>
      <c r="AN17" s="107"/>
      <c r="AO17" s="107"/>
      <c r="AP17" s="107"/>
      <c r="AQ17" s="107"/>
      <c r="AR17" s="107"/>
      <c r="AS17" s="107"/>
      <c r="AT17" s="107"/>
      <c r="AU17" s="107"/>
      <c r="AV17" s="107"/>
      <c r="AW17" s="107"/>
      <c r="AX17" s="107"/>
      <c r="AY17" s="191">
        <f t="shared" si="2"/>
        <v>18171.428571428572</v>
      </c>
      <c r="AZ17" s="191">
        <f t="shared" si="3"/>
        <v>18975.428571428572</v>
      </c>
      <c r="BA17" s="191">
        <f t="shared" si="4"/>
        <v>2591.6199435821645</v>
      </c>
      <c r="BB17" s="198">
        <f t="shared" si="5"/>
        <v>0.13657767643173993</v>
      </c>
      <c r="BC17" s="5">
        <f t="shared" si="8"/>
        <v>15946.218487394959</v>
      </c>
      <c r="BD17" s="5">
        <f t="shared" si="9"/>
        <v>3029.7815126050423</v>
      </c>
      <c r="BE17" s="202">
        <f t="shared" si="6"/>
        <v>18976</v>
      </c>
      <c r="BF17" s="207" t="s">
        <v>731</v>
      </c>
    </row>
    <row r="18" spans="1:58" ht="72.5">
      <c r="A18" s="205">
        <v>14</v>
      </c>
      <c r="B18" s="157" t="s">
        <v>822</v>
      </c>
      <c r="C18" s="159" t="s">
        <v>821</v>
      </c>
      <c r="D18" s="158" t="s">
        <v>820</v>
      </c>
      <c r="E18" s="160">
        <v>1</v>
      </c>
      <c r="F18" s="190"/>
      <c r="G18" s="107"/>
      <c r="H18" s="190">
        <v>4000</v>
      </c>
      <c r="I18" s="107">
        <f>+(H18*5.1%)+H18</f>
        <v>4204</v>
      </c>
      <c r="J18" s="190">
        <v>4000</v>
      </c>
      <c r="K18" s="191"/>
      <c r="L18" s="191"/>
      <c r="M18" s="191"/>
      <c r="N18" s="191"/>
      <c r="O18" s="191"/>
      <c r="P18" s="191"/>
      <c r="Q18" s="191"/>
      <c r="R18" s="191"/>
      <c r="S18" s="191"/>
      <c r="T18" s="191"/>
      <c r="U18" s="191"/>
      <c r="V18" s="191"/>
      <c r="W18" s="191"/>
      <c r="X18" s="191"/>
      <c r="Y18" s="191"/>
      <c r="Z18" s="191"/>
      <c r="AA18" s="191"/>
      <c r="AB18" s="191"/>
      <c r="AC18" s="191"/>
      <c r="AD18" s="191"/>
      <c r="AE18" s="191"/>
      <c r="AF18" s="191"/>
      <c r="AG18" s="191"/>
      <c r="AH18" s="191"/>
      <c r="AI18" s="191"/>
      <c r="AJ18" s="191"/>
      <c r="AK18" s="191"/>
      <c r="AL18" s="191"/>
      <c r="AM18" s="191"/>
      <c r="AN18" s="191"/>
      <c r="AO18" s="191"/>
      <c r="AP18" s="191"/>
      <c r="AQ18" s="191"/>
      <c r="AR18" s="191"/>
      <c r="AS18" s="191"/>
      <c r="AT18" s="191"/>
      <c r="AU18" s="191"/>
      <c r="AV18" s="191"/>
      <c r="AW18" s="191"/>
      <c r="AX18" s="191"/>
      <c r="AY18" s="191">
        <f t="shared" si="2"/>
        <v>4102</v>
      </c>
      <c r="AZ18" s="191">
        <f t="shared" si="3"/>
        <v>4102</v>
      </c>
      <c r="BA18" s="191">
        <f t="shared" si="4"/>
        <v>144.24978336205569</v>
      </c>
      <c r="BB18" s="198">
        <f t="shared" si="5"/>
        <v>3.5165719980998461E-2</v>
      </c>
      <c r="BC18" s="5">
        <f>+BE18</f>
        <v>4102</v>
      </c>
      <c r="BD18" s="5"/>
      <c r="BE18" s="202">
        <f t="shared" si="6"/>
        <v>4102</v>
      </c>
      <c r="BF18" s="207" t="s">
        <v>731</v>
      </c>
    </row>
    <row r="19" spans="1:58" ht="43.5">
      <c r="A19" s="205">
        <v>15</v>
      </c>
      <c r="B19" s="157" t="s">
        <v>818</v>
      </c>
      <c r="C19" s="159" t="s">
        <v>819</v>
      </c>
      <c r="D19" s="156" t="s">
        <v>4</v>
      </c>
      <c r="E19" s="155">
        <v>1</v>
      </c>
      <c r="F19" s="191"/>
      <c r="G19" s="191"/>
      <c r="H19" s="191"/>
      <c r="I19" s="191"/>
      <c r="J19" s="191"/>
      <c r="K19" s="191"/>
      <c r="L19" s="191"/>
      <c r="M19" s="191"/>
      <c r="N19" s="191"/>
      <c r="O19" s="191"/>
      <c r="P19" s="191"/>
      <c r="Q19" s="191"/>
      <c r="R19" s="191"/>
      <c r="S19" s="191"/>
      <c r="T19" s="191"/>
      <c r="U19" s="191"/>
      <c r="V19" s="191"/>
      <c r="W19" s="191"/>
      <c r="X19" s="191"/>
      <c r="Y19" s="191"/>
      <c r="Z19" s="191"/>
      <c r="AA19" s="191">
        <f>80800/1.19</f>
        <v>67899.159663865546</v>
      </c>
      <c r="AB19" s="111">
        <f>+AA19*19%</f>
        <v>12900.840336134454</v>
      </c>
      <c r="AC19" s="111">
        <f>+((AA19*17%)+AA19+AB19)</f>
        <v>92342.857142857145</v>
      </c>
      <c r="AD19" s="191">
        <f>68243/1.19</f>
        <v>57347.058823529413</v>
      </c>
      <c r="AE19" s="111">
        <f>+AD19*19%</f>
        <v>10895.941176470589</v>
      </c>
      <c r="AF19" s="111">
        <f>+((AD19*17%)+AD19+AE19)</f>
        <v>77992</v>
      </c>
      <c r="AG19" s="191"/>
      <c r="AH19" s="191"/>
      <c r="AI19" s="191"/>
      <c r="AJ19" s="191"/>
      <c r="AK19" s="191"/>
      <c r="AL19" s="191"/>
      <c r="AM19" s="191"/>
      <c r="AN19" s="191"/>
      <c r="AO19" s="191"/>
      <c r="AP19" s="191"/>
      <c r="AQ19" s="191"/>
      <c r="AR19" s="191"/>
      <c r="AS19" s="191"/>
      <c r="AT19" s="191"/>
      <c r="AU19" s="191"/>
      <c r="AV19" s="191"/>
      <c r="AW19" s="191"/>
      <c r="AX19" s="191"/>
      <c r="AY19" s="191">
        <f t="shared" si="2"/>
        <v>85167.42857142858</v>
      </c>
      <c r="AZ19" s="191">
        <f t="shared" si="3"/>
        <v>85167.42857142858</v>
      </c>
      <c r="BA19" s="191">
        <f t="shared" si="4"/>
        <v>10147.58840155369</v>
      </c>
      <c r="BB19" s="198">
        <f t="shared" si="5"/>
        <v>0.11914870005782865</v>
      </c>
      <c r="BC19" s="5">
        <f t="shared" si="8"/>
        <v>71569.747899159673</v>
      </c>
      <c r="BD19" s="5">
        <f t="shared" si="9"/>
        <v>13598.252100840338</v>
      </c>
      <c r="BE19" s="202">
        <f t="shared" si="6"/>
        <v>85168</v>
      </c>
      <c r="BF19" s="206" t="s">
        <v>732</v>
      </c>
    </row>
    <row r="20" spans="1:58" ht="62">
      <c r="A20" s="205">
        <v>16</v>
      </c>
      <c r="B20" s="157" t="s">
        <v>818</v>
      </c>
      <c r="C20" s="159" t="s">
        <v>817</v>
      </c>
      <c r="D20" s="156" t="s">
        <v>4</v>
      </c>
      <c r="E20" s="155">
        <v>1</v>
      </c>
      <c r="F20" s="191"/>
      <c r="G20" s="191"/>
      <c r="H20" s="191"/>
      <c r="I20" s="191"/>
      <c r="J20" s="191"/>
      <c r="K20" s="191"/>
      <c r="L20" s="191"/>
      <c r="M20" s="191"/>
      <c r="N20" s="191"/>
      <c r="O20" s="191"/>
      <c r="P20" s="191"/>
      <c r="Q20" s="191"/>
      <c r="R20" s="191"/>
      <c r="S20" s="191"/>
      <c r="T20" s="191"/>
      <c r="U20" s="191"/>
      <c r="V20" s="191"/>
      <c r="W20" s="191"/>
      <c r="X20" s="191"/>
      <c r="Y20" s="191"/>
      <c r="Z20" s="191"/>
      <c r="AA20" s="191"/>
      <c r="AB20" s="191"/>
      <c r="AC20" s="191"/>
      <c r="AD20" s="191">
        <f>145000/1.19</f>
        <v>121848.73949579832</v>
      </c>
      <c r="AE20" s="111">
        <f>+AD20*19%</f>
        <v>23151.26050420168</v>
      </c>
      <c r="AF20" s="111">
        <f>+((AD20*17%)+AD20+AE20)</f>
        <v>165714.28571428574</v>
      </c>
      <c r="AG20" s="191">
        <f>140000/1.19</f>
        <v>117647.05882352941</v>
      </c>
      <c r="AH20" s="111">
        <f>+AG20*19%</f>
        <v>22352.941176470587</v>
      </c>
      <c r="AI20" s="111">
        <f>+((AG20*17%)+AG20+AH20)</f>
        <v>160000</v>
      </c>
      <c r="AJ20" s="111"/>
      <c r="AK20" s="111"/>
      <c r="AL20" s="111"/>
      <c r="AM20" s="111"/>
      <c r="AN20" s="111"/>
      <c r="AO20" s="111"/>
      <c r="AP20" s="111"/>
      <c r="AQ20" s="111"/>
      <c r="AR20" s="111"/>
      <c r="AS20" s="191"/>
      <c r="AT20" s="191"/>
      <c r="AU20" s="191"/>
      <c r="AV20" s="191"/>
      <c r="AW20" s="191"/>
      <c r="AX20" s="191"/>
      <c r="AY20" s="191">
        <f t="shared" si="2"/>
        <v>162857.14285714287</v>
      </c>
      <c r="AZ20" s="191">
        <f t="shared" si="3"/>
        <v>162857.14285714287</v>
      </c>
      <c r="BA20" s="191">
        <f t="shared" si="4"/>
        <v>4040.6101782088604</v>
      </c>
      <c r="BB20" s="198">
        <f t="shared" si="5"/>
        <v>2.4810764252159667E-2</v>
      </c>
      <c r="BC20" s="5">
        <f t="shared" si="8"/>
        <v>136855.46218487396</v>
      </c>
      <c r="BD20" s="5">
        <f t="shared" si="9"/>
        <v>26002.537815126052</v>
      </c>
      <c r="BE20" s="202">
        <f t="shared" si="6"/>
        <v>162858</v>
      </c>
      <c r="BF20" s="206" t="s">
        <v>732</v>
      </c>
    </row>
    <row r="21" spans="1:58" ht="62">
      <c r="A21" s="205">
        <v>17</v>
      </c>
      <c r="B21" s="157" t="s">
        <v>816</v>
      </c>
      <c r="C21" s="159" t="s">
        <v>815</v>
      </c>
      <c r="D21" s="156" t="s">
        <v>4</v>
      </c>
      <c r="E21" s="155">
        <v>1</v>
      </c>
      <c r="F21" s="191"/>
      <c r="G21" s="191"/>
      <c r="H21" s="191"/>
      <c r="I21" s="191"/>
      <c r="J21" s="191"/>
      <c r="K21" s="191"/>
      <c r="L21" s="191"/>
      <c r="M21" s="191"/>
      <c r="N21" s="191"/>
      <c r="O21" s="191"/>
      <c r="P21" s="191"/>
      <c r="Q21" s="191"/>
      <c r="R21" s="191"/>
      <c r="S21" s="191"/>
      <c r="T21" s="191"/>
      <c r="U21" s="191"/>
      <c r="V21" s="191"/>
      <c r="W21" s="191"/>
      <c r="X21" s="191"/>
      <c r="Y21" s="191"/>
      <c r="Z21" s="191"/>
      <c r="AA21" s="191"/>
      <c r="AB21" s="191"/>
      <c r="AC21" s="191"/>
      <c r="AD21" s="191"/>
      <c r="AE21" s="191"/>
      <c r="AF21" s="191"/>
      <c r="AG21" s="191"/>
      <c r="AH21" s="191"/>
      <c r="AI21" s="191"/>
      <c r="AJ21" s="196">
        <f>43600/1.19</f>
        <v>36638.655462184877</v>
      </c>
      <c r="AK21" s="111">
        <f>+AJ21*19%</f>
        <v>6961.3445378151264</v>
      </c>
      <c r="AL21" s="111">
        <f>+((AJ21*17%)+AJ21+AK21)</f>
        <v>49828.571428571435</v>
      </c>
      <c r="AM21" s="191">
        <f>65000/1.19</f>
        <v>54621.848739495799</v>
      </c>
      <c r="AN21" s="111">
        <f>+AM21*19%</f>
        <v>10378.151260504203</v>
      </c>
      <c r="AO21" s="111">
        <f>+((AM21*17%)+AM21+AN21)</f>
        <v>74285.71428571429</v>
      </c>
      <c r="AP21" s="111"/>
      <c r="AQ21" s="111"/>
      <c r="AR21" s="111"/>
      <c r="AS21" s="191"/>
      <c r="AT21" s="191"/>
      <c r="AU21" s="191"/>
      <c r="AV21" s="191"/>
      <c r="AW21" s="191"/>
      <c r="AX21" s="191"/>
      <c r="AY21" s="191">
        <f t="shared" si="2"/>
        <v>62057.142857142862</v>
      </c>
      <c r="AZ21" s="191">
        <f t="shared" si="3"/>
        <v>62057.142857142862</v>
      </c>
      <c r="BA21" s="191">
        <f t="shared" si="4"/>
        <v>17293.811562733845</v>
      </c>
      <c r="BB21" s="198">
        <f t="shared" si="5"/>
        <v>0.27867560068862085</v>
      </c>
      <c r="BC21" s="5">
        <f t="shared" si="8"/>
        <v>52149.579831932773</v>
      </c>
      <c r="BD21" s="5">
        <f t="shared" si="9"/>
        <v>9908.4201680672268</v>
      </c>
      <c r="BE21" s="202">
        <f t="shared" si="6"/>
        <v>62058</v>
      </c>
      <c r="BF21" s="207" t="s">
        <v>862</v>
      </c>
    </row>
    <row r="22" spans="1:58" ht="43.5">
      <c r="A22" s="205">
        <v>18</v>
      </c>
      <c r="B22" s="157" t="s">
        <v>814</v>
      </c>
      <c r="C22" s="159" t="s">
        <v>813</v>
      </c>
      <c r="D22" s="156" t="s">
        <v>4</v>
      </c>
      <c r="E22" s="155">
        <v>1</v>
      </c>
      <c r="F22" s="191"/>
      <c r="G22" s="191"/>
      <c r="H22" s="191"/>
      <c r="I22" s="191"/>
      <c r="J22" s="191"/>
      <c r="K22" s="191"/>
      <c r="L22" s="191"/>
      <c r="M22" s="191"/>
      <c r="N22" s="191"/>
      <c r="O22" s="191"/>
      <c r="P22" s="191"/>
      <c r="Q22" s="191"/>
      <c r="R22" s="191"/>
      <c r="S22" s="191"/>
      <c r="T22" s="191"/>
      <c r="U22" s="191"/>
      <c r="V22" s="191"/>
      <c r="W22" s="191"/>
      <c r="X22" s="191"/>
      <c r="Y22" s="191"/>
      <c r="Z22" s="191"/>
      <c r="AA22" s="191"/>
      <c r="AB22" s="191"/>
      <c r="AC22" s="191"/>
      <c r="AD22" s="191"/>
      <c r="AE22" s="191"/>
      <c r="AF22" s="191"/>
      <c r="AG22" s="191"/>
      <c r="AH22" s="191"/>
      <c r="AI22" s="191"/>
      <c r="AJ22" s="197">
        <f>65234/1.19</f>
        <v>54818.487394957985</v>
      </c>
      <c r="AK22" s="111">
        <f>+AJ22*19%</f>
        <v>10415.512605042017</v>
      </c>
      <c r="AL22" s="111">
        <f>+((AJ22*17%)+AJ22+AK22)</f>
        <v>74553.14285714287</v>
      </c>
      <c r="AM22" s="191"/>
      <c r="AN22" s="191"/>
      <c r="AO22" s="191"/>
      <c r="AP22" s="111">
        <f>43900/1.19</f>
        <v>36890.756302521011</v>
      </c>
      <c r="AQ22" s="111">
        <f>+AP22*19%</f>
        <v>7009.2436974789925</v>
      </c>
      <c r="AR22" s="111">
        <f>+((AP22*17%)+AP22+AQ22)</f>
        <v>50171.42857142858</v>
      </c>
      <c r="AS22" s="191"/>
      <c r="AT22" s="191"/>
      <c r="AU22" s="191"/>
      <c r="AV22" s="191"/>
      <c r="AW22" s="191"/>
      <c r="AX22" s="191"/>
      <c r="AY22" s="191">
        <f t="shared" si="2"/>
        <v>62362.285714285725</v>
      </c>
      <c r="AZ22" s="191">
        <f t="shared" si="3"/>
        <v>62362.285714285725</v>
      </c>
      <c r="BA22" s="191">
        <f t="shared" si="4"/>
        <v>17240.475508381496</v>
      </c>
      <c r="BB22" s="198">
        <f t="shared" si="5"/>
        <v>0.27645676085974685</v>
      </c>
      <c r="BC22" s="5">
        <f t="shared" si="8"/>
        <v>52405.882352941182</v>
      </c>
      <c r="BD22" s="5">
        <f t="shared" si="9"/>
        <v>9957.1176470588252</v>
      </c>
      <c r="BE22" s="202">
        <f t="shared" si="6"/>
        <v>62363</v>
      </c>
      <c r="BF22" s="207" t="s">
        <v>862</v>
      </c>
    </row>
    <row r="23" spans="1:58" ht="44" thickBot="1">
      <c r="A23" s="208">
        <v>19</v>
      </c>
      <c r="B23" s="209" t="s">
        <v>812</v>
      </c>
      <c r="C23" s="210" t="s">
        <v>811</v>
      </c>
      <c r="D23" s="211" t="s">
        <v>4</v>
      </c>
      <c r="E23" s="212">
        <v>1</v>
      </c>
      <c r="F23" s="213"/>
      <c r="G23" s="213"/>
      <c r="H23" s="213"/>
      <c r="I23" s="213"/>
      <c r="J23" s="213"/>
      <c r="K23" s="213"/>
      <c r="L23" s="213"/>
      <c r="M23" s="213"/>
      <c r="N23" s="213"/>
      <c r="O23" s="213"/>
      <c r="P23" s="213"/>
      <c r="Q23" s="213"/>
      <c r="R23" s="213"/>
      <c r="S23" s="213"/>
      <c r="T23" s="213"/>
      <c r="U23" s="213"/>
      <c r="V23" s="213"/>
      <c r="W23" s="213"/>
      <c r="X23" s="213"/>
      <c r="Y23" s="213"/>
      <c r="Z23" s="213"/>
      <c r="AA23" s="213"/>
      <c r="AB23" s="213"/>
      <c r="AC23" s="213"/>
      <c r="AD23" s="213"/>
      <c r="AE23" s="213"/>
      <c r="AF23" s="213"/>
      <c r="AG23" s="213"/>
      <c r="AH23" s="213"/>
      <c r="AI23" s="213"/>
      <c r="AJ23" s="213"/>
      <c r="AK23" s="213"/>
      <c r="AL23" s="213"/>
      <c r="AM23" s="213"/>
      <c r="AN23" s="213"/>
      <c r="AO23" s="213"/>
      <c r="AP23" s="213"/>
      <c r="AQ23" s="213"/>
      <c r="AR23" s="213"/>
      <c r="AS23" s="213">
        <f>65234/1.19</f>
        <v>54818.487394957985</v>
      </c>
      <c r="AT23" s="214">
        <f>+AS23*19%</f>
        <v>10415.512605042017</v>
      </c>
      <c r="AU23" s="214">
        <f>+((AS23*17%)+AS23+AT23)</f>
        <v>74553.14285714287</v>
      </c>
      <c r="AV23" s="214">
        <f>43900/1.19</f>
        <v>36890.756302521011</v>
      </c>
      <c r="AW23" s="214">
        <f>+AV23*19%</f>
        <v>7009.2436974789925</v>
      </c>
      <c r="AX23" s="214">
        <f>+((AV23*17%)+AV23+AW23)</f>
        <v>50171.42857142858</v>
      </c>
      <c r="AY23" s="213">
        <f t="shared" si="2"/>
        <v>62362.285714285725</v>
      </c>
      <c r="AZ23" s="213">
        <f t="shared" si="3"/>
        <v>62362.285714285725</v>
      </c>
      <c r="BA23" s="213">
        <f t="shared" si="4"/>
        <v>17240.475508381496</v>
      </c>
      <c r="BB23" s="215">
        <f t="shared" si="5"/>
        <v>0.27645676085974685</v>
      </c>
      <c r="BC23" s="216">
        <f t="shared" si="8"/>
        <v>52405.882352941182</v>
      </c>
      <c r="BD23" s="216">
        <f t="shared" si="9"/>
        <v>9957.1176470588252</v>
      </c>
      <c r="BE23" s="217">
        <f t="shared" si="6"/>
        <v>62363</v>
      </c>
      <c r="BF23" s="218" t="s">
        <v>862</v>
      </c>
    </row>
    <row r="24" spans="1:58" ht="15" thickBot="1">
      <c r="A24" s="430" t="s">
        <v>440</v>
      </c>
      <c r="B24" s="431"/>
      <c r="C24" s="431"/>
      <c r="D24" s="431"/>
      <c r="E24" s="431"/>
      <c r="F24" s="199"/>
      <c r="G24" s="199"/>
      <c r="H24" s="199"/>
      <c r="I24" s="199"/>
      <c r="J24" s="199"/>
      <c r="K24" s="199"/>
      <c r="L24" s="199"/>
      <c r="M24" s="199"/>
      <c r="N24" s="199"/>
      <c r="O24" s="199"/>
      <c r="P24" s="199"/>
      <c r="Q24" s="199"/>
      <c r="R24" s="199"/>
      <c r="S24" s="199"/>
      <c r="T24" s="199"/>
      <c r="U24" s="199"/>
      <c r="V24" s="199"/>
      <c r="W24" s="199"/>
      <c r="X24" s="199"/>
      <c r="Y24" s="199"/>
      <c r="Z24" s="199"/>
      <c r="AA24" s="199"/>
      <c r="AB24" s="199"/>
      <c r="AC24" s="199"/>
      <c r="AD24" s="199"/>
      <c r="AE24" s="199"/>
      <c r="AF24" s="199"/>
      <c r="AG24" s="199"/>
      <c r="AH24" s="199"/>
      <c r="AI24" s="199"/>
      <c r="AJ24" s="199"/>
      <c r="AK24" s="199"/>
      <c r="AL24" s="199"/>
      <c r="AM24" s="199"/>
      <c r="AN24" s="199"/>
      <c r="AO24" s="199"/>
      <c r="AP24" s="199"/>
      <c r="AQ24" s="199"/>
      <c r="AR24" s="199"/>
      <c r="AS24" s="199"/>
      <c r="AT24" s="199"/>
      <c r="AU24" s="199"/>
      <c r="AV24" s="199"/>
      <c r="AW24" s="199"/>
      <c r="AX24" s="199"/>
      <c r="AY24" s="199"/>
      <c r="AZ24" s="199"/>
      <c r="BA24" s="199"/>
      <c r="BB24" s="199"/>
      <c r="BC24" s="199"/>
      <c r="BD24" s="199"/>
      <c r="BE24" s="200">
        <f>SUM(BE5:BE23)</f>
        <v>1277073</v>
      </c>
      <c r="BF24" s="201"/>
    </row>
  </sheetData>
  <autoFilter ref="A4:BF24" xr:uid="{87356B28-E8C7-4DCF-930F-6E7B1CA55580}"/>
  <mergeCells count="28">
    <mergeCell ref="D2:D4"/>
    <mergeCell ref="E2:E4"/>
    <mergeCell ref="AY2:BB3"/>
    <mergeCell ref="BC2:BF3"/>
    <mergeCell ref="AS2:AU3"/>
    <mergeCell ref="AA2:AC3"/>
    <mergeCell ref="AD2:AF3"/>
    <mergeCell ref="AG2:AI3"/>
    <mergeCell ref="AJ2:AL3"/>
    <mergeCell ref="AM2:AO3"/>
    <mergeCell ref="AP2:AR3"/>
    <mergeCell ref="AV2:AX3"/>
    <mergeCell ref="A24:E24"/>
    <mergeCell ref="A1:BF1"/>
    <mergeCell ref="S2:U3"/>
    <mergeCell ref="V2:X3"/>
    <mergeCell ref="Y2:Z3"/>
    <mergeCell ref="K2:L3"/>
    <mergeCell ref="M2:N3"/>
    <mergeCell ref="O2:O3"/>
    <mergeCell ref="P2:P3"/>
    <mergeCell ref="Q2:R3"/>
    <mergeCell ref="F2:G3"/>
    <mergeCell ref="H2:I3"/>
    <mergeCell ref="J2:J3"/>
    <mergeCell ref="A2:A4"/>
    <mergeCell ref="B2:B4"/>
    <mergeCell ref="C2:C4"/>
  </mergeCells>
  <pageMargins left="0.7" right="0.7" top="0.75" bottom="0.75" header="0.3" footer="0.3"/>
  <pageSetup orientation="portrait" r:id="rId1"/>
  <ignoredErrors>
    <ignoredError sqref="BC10 BC14"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ESTUDIO DE MERCADO</vt:lpstr>
      <vt:lpstr>BOLSA DIFUSION Y COMUNICACIÓN </vt:lpstr>
      <vt:lpstr>BOLSA DE ESPACIOS</vt:lpstr>
      <vt:lpstr>BOLSA PAPELERIA</vt:lpstr>
      <vt:lpstr>BOLSA DE ELEMENTOS ARMONIZACIÓN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Paola Cepeda Galindo</dc:creator>
  <cp:lastModifiedBy>Maria Paula Alarcon Motta</cp:lastModifiedBy>
  <dcterms:created xsi:type="dcterms:W3CDTF">2022-02-23T18:47:10Z</dcterms:created>
  <dcterms:modified xsi:type="dcterms:W3CDTF">2026-10-19T19:11:59Z</dcterms:modified>
</cp:coreProperties>
</file>