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90" yWindow="-135" windowWidth="14700" windowHeight="6990"/>
  </bookViews>
  <sheets>
    <sheet name="NECESIDAD" sheetId="1" r:id="rId1"/>
    <sheet name="ITEMS PRINCIPALES" sheetId="3" r:id="rId2"/>
  </sheets>
  <calcPr calcId="144525" iterateDelta="1E-4"/>
</workbook>
</file>

<file path=xl/calcChain.xml><?xml version="1.0" encoding="utf-8"?>
<calcChain xmlns="http://schemas.openxmlformats.org/spreadsheetml/2006/main">
  <c r="AY10" i="3" l="1"/>
  <c r="BE9" i="3"/>
  <c r="BD9" i="3"/>
  <c r="BA9" i="3"/>
  <c r="AX9" i="3"/>
  <c r="AQ9" i="3"/>
  <c r="AO9" i="3"/>
  <c r="AN9" i="3"/>
  <c r="AK9" i="3"/>
  <c r="AI9" i="3"/>
  <c r="AH9" i="3"/>
  <c r="AT9" i="3" s="1"/>
  <c r="AE9" i="3"/>
  <c r="AC9" i="3"/>
  <c r="AA9" i="3"/>
  <c r="Y9" i="3"/>
  <c r="W9" i="3"/>
  <c r="AR9" i="3" s="1"/>
  <c r="AU9" i="3" s="1"/>
  <c r="U9" i="3"/>
  <c r="L9" i="3"/>
  <c r="J9" i="3"/>
  <c r="AF9" i="3" l="1"/>
  <c r="AL9" i="3"/>
  <c r="BD10" i="3"/>
  <c r="AE4" i="3"/>
  <c r="AC4" i="3"/>
  <c r="AO4" i="3" s="1"/>
  <c r="Y4" i="3"/>
  <c r="AS4" i="3" s="1"/>
  <c r="AP4" i="3" l="1"/>
  <c r="AH4" i="3"/>
  <c r="AL4" i="3"/>
  <c r="AI4" i="3"/>
  <c r="AX4" i="3" s="1"/>
  <c r="BA4" i="3" s="1"/>
  <c r="AM4" i="3"/>
  <c r="AR4" i="3"/>
  <c r="AF4" i="3"/>
  <c r="AN4" i="3" s="1"/>
  <c r="AG4" i="3"/>
  <c r="AJ4" i="3" s="1"/>
  <c r="AY4" i="3" s="1"/>
  <c r="AK4" i="3"/>
  <c r="BB4" i="3" l="1"/>
  <c r="BE4" i="3" s="1"/>
  <c r="BD4" i="3"/>
  <c r="AQ4" i="3"/>
  <c r="AT4" i="3"/>
  <c r="AU4" i="3"/>
  <c r="AV4" i="3"/>
  <c r="BD12" i="3" l="1"/>
  <c r="BD16" i="3" s="1"/>
  <c r="BE12" i="3"/>
  <c r="BE16" i="3" s="1"/>
  <c r="BH8" i="1"/>
  <c r="AQ55" i="1"/>
  <c r="AQ50" i="1"/>
  <c r="AQ45" i="1"/>
  <c r="AQ44" i="1"/>
  <c r="AQ43" i="1"/>
  <c r="AQ42" i="1"/>
  <c r="AQ41" i="1"/>
  <c r="AQ35" i="1"/>
  <c r="AQ27" i="1"/>
  <c r="AQ15" i="1"/>
  <c r="AQ14" i="1"/>
  <c r="AQ13" i="1"/>
  <c r="AQ12" i="1"/>
  <c r="AO50" i="1"/>
  <c r="AO20" i="1"/>
  <c r="AO14" i="1"/>
  <c r="AO12" i="1"/>
  <c r="AO11" i="1"/>
  <c r="AN55" i="1"/>
  <c r="AN50" i="1"/>
  <c r="AN45" i="1"/>
  <c r="AN42" i="1"/>
  <c r="AN41" i="1"/>
  <c r="AN35" i="1"/>
  <c r="AN27" i="1"/>
  <c r="AN15" i="1"/>
  <c r="AN14" i="1"/>
  <c r="AN13" i="1"/>
  <c r="AN12" i="1"/>
  <c r="AL20" i="1"/>
  <c r="AL50" i="1"/>
  <c r="AL14" i="1"/>
  <c r="AL12" i="1"/>
  <c r="AL11" i="1"/>
  <c r="AK55" i="1"/>
  <c r="AK50" i="1"/>
  <c r="AK45" i="1"/>
  <c r="AK44" i="1"/>
  <c r="AK42" i="1"/>
  <c r="AK41" i="1"/>
  <c r="AK35" i="1"/>
  <c r="AK27" i="1"/>
  <c r="AK15" i="1"/>
  <c r="AK14" i="1"/>
  <c r="AK13" i="1"/>
  <c r="AK12" i="1"/>
  <c r="AI14" i="1"/>
  <c r="AI50" i="1"/>
  <c r="AI20" i="1"/>
  <c r="AI12" i="1"/>
  <c r="AI11" i="1"/>
  <c r="AH15" i="1" l="1"/>
  <c r="AT15" i="1" s="1"/>
  <c r="AH14" i="1"/>
  <c r="AT14" i="1" s="1"/>
  <c r="AH13" i="1"/>
  <c r="AT13" i="1" s="1"/>
  <c r="AH12" i="1"/>
  <c r="AT12" i="1" s="1"/>
  <c r="U9" i="1"/>
  <c r="AF50" i="1"/>
  <c r="AF20" i="1"/>
  <c r="AF14" i="1"/>
  <c r="AF12" i="1"/>
  <c r="AF11" i="1"/>
  <c r="AE55" i="1"/>
  <c r="AH55" i="1" s="1"/>
  <c r="AT55" i="1" s="1"/>
  <c r="AW55" i="1" s="1"/>
  <c r="AZ55" i="1" s="1"/>
  <c r="AE50" i="1"/>
  <c r="AE45" i="1"/>
  <c r="AH45" i="1" s="1"/>
  <c r="AT45" i="1" s="1"/>
  <c r="AW45" i="1" s="1"/>
  <c r="AZ45" i="1" s="1"/>
  <c r="AE44" i="1"/>
  <c r="AH44" i="1" s="1"/>
  <c r="AT44" i="1" s="1"/>
  <c r="AW44" i="1" s="1"/>
  <c r="AZ44" i="1" s="1"/>
  <c r="AE42" i="1"/>
  <c r="AE41" i="1"/>
  <c r="AE35" i="1"/>
  <c r="AH35" i="1" s="1"/>
  <c r="AT35" i="1" s="1"/>
  <c r="AW35" i="1" s="1"/>
  <c r="AZ35" i="1" s="1"/>
  <c r="AE27" i="1"/>
  <c r="AH27" i="1" s="1"/>
  <c r="AT27" i="1" s="1"/>
  <c r="AW27" i="1" s="1"/>
  <c r="AZ27" i="1" s="1"/>
  <c r="AE15" i="1"/>
  <c r="AE14" i="1"/>
  <c r="AE13" i="1"/>
  <c r="AE12" i="1"/>
  <c r="AE4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F47" i="1" s="1"/>
  <c r="AX47" i="1" s="1"/>
  <c r="AC48" i="1"/>
  <c r="AC49" i="1"/>
  <c r="AC50" i="1"/>
  <c r="AC51" i="1"/>
  <c r="AC52" i="1"/>
  <c r="AC53" i="1"/>
  <c r="AC54" i="1"/>
  <c r="AC55" i="1"/>
  <c r="AC9" i="1"/>
  <c r="AA10" i="1"/>
  <c r="AA11" i="1"/>
  <c r="AE11" i="1" s="1"/>
  <c r="AA12" i="1"/>
  <c r="AA13" i="1"/>
  <c r="AA14" i="1"/>
  <c r="AA15" i="1"/>
  <c r="AA16" i="1"/>
  <c r="AA17" i="1"/>
  <c r="AH17" i="1" s="1"/>
  <c r="AA18" i="1"/>
  <c r="AH18" i="1" s="1"/>
  <c r="AA19" i="1"/>
  <c r="AH19" i="1" s="1"/>
  <c r="AA20" i="1"/>
  <c r="AA21" i="1"/>
  <c r="AA22" i="1"/>
  <c r="AA23" i="1"/>
  <c r="AA24" i="1"/>
  <c r="AA25" i="1"/>
  <c r="AA26" i="1"/>
  <c r="AA27" i="1"/>
  <c r="AA28" i="1"/>
  <c r="AE28" i="1" s="1"/>
  <c r="AA29" i="1"/>
  <c r="AA30" i="1"/>
  <c r="AA31" i="1"/>
  <c r="AA32" i="1"/>
  <c r="AE32" i="1" s="1"/>
  <c r="AA33" i="1"/>
  <c r="AA34" i="1"/>
  <c r="AA35" i="1"/>
  <c r="AA36" i="1"/>
  <c r="AA37" i="1"/>
  <c r="AA38" i="1"/>
  <c r="AA39" i="1"/>
  <c r="AE39" i="1" s="1"/>
  <c r="AA40" i="1"/>
  <c r="AA41" i="1"/>
  <c r="AA42" i="1"/>
  <c r="AA43" i="1"/>
  <c r="AA44" i="1"/>
  <c r="AA45" i="1"/>
  <c r="AA46" i="1"/>
  <c r="AA47" i="1"/>
  <c r="AA48" i="1"/>
  <c r="AE48" i="1" s="1"/>
  <c r="AH48" i="1" s="1"/>
  <c r="AA49" i="1"/>
  <c r="AA50" i="1"/>
  <c r="AA51" i="1"/>
  <c r="AA52" i="1"/>
  <c r="AA53" i="1"/>
  <c r="AA54" i="1"/>
  <c r="AA55" i="1"/>
  <c r="AA9" i="1"/>
  <c r="AC4" i="1"/>
  <c r="AF4" i="1" s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AG50" i="1" s="1"/>
  <c r="Y51" i="1"/>
  <c r="Y52" i="1"/>
  <c r="Y53" i="1"/>
  <c r="Y54" i="1"/>
  <c r="Y55" i="1"/>
  <c r="Y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Y4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9" i="1"/>
  <c r="J10" i="1"/>
  <c r="J11" i="1"/>
  <c r="J12" i="1"/>
  <c r="J13" i="1"/>
  <c r="J14" i="1"/>
  <c r="J15" i="1"/>
  <c r="J16" i="1"/>
  <c r="AH16" i="1" s="1"/>
  <c r="J17" i="1"/>
  <c r="J18" i="1"/>
  <c r="J19" i="1"/>
  <c r="J20" i="1"/>
  <c r="J21" i="1"/>
  <c r="J22" i="1"/>
  <c r="J23" i="1"/>
  <c r="J24" i="1"/>
  <c r="J25" i="1"/>
  <c r="J26" i="1"/>
  <c r="AE26" i="1" s="1"/>
  <c r="J27" i="1"/>
  <c r="J28" i="1"/>
  <c r="J29" i="1"/>
  <c r="J30" i="1"/>
  <c r="AE30" i="1" s="1"/>
  <c r="J31" i="1"/>
  <c r="J32" i="1"/>
  <c r="J33" i="1"/>
  <c r="J34" i="1"/>
  <c r="AE34" i="1" s="1"/>
  <c r="J35" i="1"/>
  <c r="J36" i="1"/>
  <c r="J37" i="1"/>
  <c r="J38" i="1"/>
  <c r="AE38" i="1" s="1"/>
  <c r="J39" i="1"/>
  <c r="J40" i="1"/>
  <c r="J41" i="1"/>
  <c r="J42" i="1"/>
  <c r="J43" i="1"/>
  <c r="J44" i="1"/>
  <c r="AN44" i="1" s="1"/>
  <c r="J45" i="1"/>
  <c r="J46" i="1"/>
  <c r="J47" i="1"/>
  <c r="J48" i="1"/>
  <c r="J49" i="1"/>
  <c r="J50" i="1"/>
  <c r="J51" i="1"/>
  <c r="J52" i="1"/>
  <c r="J53" i="1"/>
  <c r="J54" i="1"/>
  <c r="J55" i="1"/>
  <c r="J9" i="1"/>
  <c r="AH9" i="1" s="1"/>
  <c r="AI54" i="1" l="1"/>
  <c r="AI46" i="1"/>
  <c r="AI42" i="1"/>
  <c r="AI38" i="1"/>
  <c r="AI34" i="1"/>
  <c r="AI30" i="1"/>
  <c r="AI26" i="1"/>
  <c r="AI22" i="1"/>
  <c r="AI18" i="1"/>
  <c r="AI10" i="1"/>
  <c r="AI53" i="1"/>
  <c r="AI49" i="1"/>
  <c r="AI45" i="1"/>
  <c r="AI41" i="1"/>
  <c r="AI37" i="1"/>
  <c r="AI33" i="1"/>
  <c r="AI29" i="1"/>
  <c r="AI25" i="1"/>
  <c r="AI21" i="1"/>
  <c r="AI17" i="1"/>
  <c r="AI9" i="1"/>
  <c r="AI48" i="1"/>
  <c r="AI44" i="1"/>
  <c r="AI40" i="1"/>
  <c r="AI36" i="1"/>
  <c r="AI32" i="1"/>
  <c r="AI28" i="1"/>
  <c r="AI24" i="1"/>
  <c r="AI16" i="1"/>
  <c r="AI55" i="1"/>
  <c r="AI51" i="1"/>
  <c r="AI43" i="1"/>
  <c r="AI39" i="1"/>
  <c r="AI35" i="1"/>
  <c r="AI31" i="1"/>
  <c r="AI27" i="1"/>
  <c r="AI23" i="1"/>
  <c r="AI19" i="1"/>
  <c r="AI15" i="1"/>
  <c r="AW13" i="1"/>
  <c r="AZ13" i="1" s="1"/>
  <c r="AE19" i="1"/>
  <c r="AW12" i="1"/>
  <c r="AZ12" i="1" s="1"/>
  <c r="BD12" i="1" s="1"/>
  <c r="AW15" i="1"/>
  <c r="AZ15" i="1" s="1"/>
  <c r="BD15" i="1" s="1"/>
  <c r="AE54" i="1"/>
  <c r="AH54" i="1" s="1"/>
  <c r="AE22" i="1"/>
  <c r="AH22" i="1" s="1"/>
  <c r="AE40" i="1"/>
  <c r="AH41" i="1" s="1"/>
  <c r="AT41" i="1" s="1"/>
  <c r="AW41" i="1" s="1"/>
  <c r="AZ41" i="1" s="1"/>
  <c r="AW14" i="1"/>
  <c r="AZ14" i="1" s="1"/>
  <c r="AQ47" i="1"/>
  <c r="AN47" i="1"/>
  <c r="AK47" i="1"/>
  <c r="AP4" i="1"/>
  <c r="AS4" i="1"/>
  <c r="AM4" i="1"/>
  <c r="AK4" i="1"/>
  <c r="AO13" i="1"/>
  <c r="AI13" i="1"/>
  <c r="AR13" i="1"/>
  <c r="AL13" i="1"/>
  <c r="AP47" i="1"/>
  <c r="AJ47" i="1"/>
  <c r="AQ46" i="1"/>
  <c r="AN46" i="1"/>
  <c r="AK46" i="1"/>
  <c r="AQ10" i="1"/>
  <c r="AK10" i="1"/>
  <c r="AN10" i="1"/>
  <c r="AN36" i="1"/>
  <c r="AQ36" i="1"/>
  <c r="AK36" i="1"/>
  <c r="AH29" i="1"/>
  <c r="AH28" i="1"/>
  <c r="AN24" i="1"/>
  <c r="AQ24" i="1"/>
  <c r="AK24" i="1"/>
  <c r="AN20" i="1"/>
  <c r="AQ20" i="1"/>
  <c r="AK20" i="1"/>
  <c r="AQ51" i="1"/>
  <c r="AN51" i="1"/>
  <c r="AK51" i="1"/>
  <c r="AQ39" i="1"/>
  <c r="AN39" i="1"/>
  <c r="AK39" i="1"/>
  <c r="AH39" i="1"/>
  <c r="AQ31" i="1"/>
  <c r="AN31" i="1"/>
  <c r="AK31" i="1"/>
  <c r="AQ19" i="1"/>
  <c r="AT19" i="1" s="1"/>
  <c r="AN19" i="1"/>
  <c r="AK19" i="1"/>
  <c r="AQ11" i="1"/>
  <c r="AN11" i="1"/>
  <c r="AK11" i="1"/>
  <c r="AE10" i="1"/>
  <c r="AE18" i="1"/>
  <c r="AH42" i="1"/>
  <c r="AT42" i="1" s="1"/>
  <c r="AW42" i="1" s="1"/>
  <c r="AZ42" i="1" s="1"/>
  <c r="AH43" i="1"/>
  <c r="AT43" i="1" s="1"/>
  <c r="AW43" i="1" s="1"/>
  <c r="AZ43" i="1" s="1"/>
  <c r="AE47" i="1"/>
  <c r="AE51" i="1"/>
  <c r="AH51" i="1" s="1"/>
  <c r="AG47" i="1"/>
  <c r="AN9" i="1"/>
  <c r="AQ9" i="1"/>
  <c r="AT9" i="1" s="1"/>
  <c r="AW9" i="1" s="1"/>
  <c r="AZ9" i="1" s="1"/>
  <c r="AK9" i="1"/>
  <c r="AQ23" i="1"/>
  <c r="AN23" i="1"/>
  <c r="AK23" i="1"/>
  <c r="AQ22" i="1"/>
  <c r="AK22" i="1"/>
  <c r="AN22" i="1"/>
  <c r="AE31" i="1"/>
  <c r="AH31" i="1" s="1"/>
  <c r="AF13" i="1"/>
  <c r="AX13" i="1" s="1"/>
  <c r="AH50" i="1"/>
  <c r="AT50" i="1" s="1"/>
  <c r="AW50" i="1" s="1"/>
  <c r="AZ50" i="1" s="1"/>
  <c r="AH10" i="1"/>
  <c r="AQ54" i="1"/>
  <c r="AT54" i="1" s="1"/>
  <c r="AW54" i="1" s="1"/>
  <c r="AZ54" i="1" s="1"/>
  <c r="AN54" i="1"/>
  <c r="AK54" i="1"/>
  <c r="AN38" i="1"/>
  <c r="AQ38" i="1"/>
  <c r="AK38" i="1"/>
  <c r="AH38" i="1"/>
  <c r="AN34" i="1"/>
  <c r="AQ34" i="1"/>
  <c r="AK34" i="1"/>
  <c r="AH34" i="1"/>
  <c r="AQ30" i="1"/>
  <c r="AK30" i="1"/>
  <c r="AH30" i="1"/>
  <c r="AN30" i="1"/>
  <c r="AQ26" i="1"/>
  <c r="AK26" i="1"/>
  <c r="AH26" i="1"/>
  <c r="AN26" i="1"/>
  <c r="AI52" i="1"/>
  <c r="AO52" i="1"/>
  <c r="AL52" i="1"/>
  <c r="AP50" i="1"/>
  <c r="AJ50" i="1"/>
  <c r="AQ53" i="1"/>
  <c r="AN53" i="1"/>
  <c r="AK53" i="1"/>
  <c r="AE53" i="1"/>
  <c r="AH53" i="1" s="1"/>
  <c r="AQ49" i="1"/>
  <c r="AN49" i="1"/>
  <c r="AK49" i="1"/>
  <c r="AN37" i="1"/>
  <c r="AQ37" i="1"/>
  <c r="AK37" i="1"/>
  <c r="AN33" i="1"/>
  <c r="AQ33" i="1"/>
  <c r="AK33" i="1"/>
  <c r="AN29" i="1"/>
  <c r="AQ29" i="1"/>
  <c r="AK29" i="1"/>
  <c r="AN25" i="1"/>
  <c r="AQ25" i="1"/>
  <c r="AK25" i="1"/>
  <c r="AN17" i="1"/>
  <c r="AQ17" i="1"/>
  <c r="AT17" i="1" s="1"/>
  <c r="AK17" i="1"/>
  <c r="AE16" i="1"/>
  <c r="AE20" i="1"/>
  <c r="AE24" i="1"/>
  <c r="AH24" i="1" s="1"/>
  <c r="AE36" i="1"/>
  <c r="AH36" i="1" s="1"/>
  <c r="AE49" i="1"/>
  <c r="AH49" i="1" s="1"/>
  <c r="AF52" i="1"/>
  <c r="AH4" i="1"/>
  <c r="AH11" i="1"/>
  <c r="AQ18" i="1"/>
  <c r="AT18" i="1" s="1"/>
  <c r="AW18" i="1" s="1"/>
  <c r="AZ18" i="1" s="1"/>
  <c r="BD18" i="1" s="1"/>
  <c r="AK18" i="1"/>
  <c r="AN18" i="1"/>
  <c r="AE23" i="1"/>
  <c r="AH23" i="1" s="1"/>
  <c r="AN21" i="1"/>
  <c r="AQ21" i="1"/>
  <c r="AK21" i="1"/>
  <c r="AO4" i="1"/>
  <c r="AI4" i="1"/>
  <c r="AX4" i="1" s="1"/>
  <c r="BA4" i="1" s="1"/>
  <c r="AR4" i="1"/>
  <c r="AL4" i="1"/>
  <c r="AQ48" i="1"/>
  <c r="AT48" i="1" s="1"/>
  <c r="AW48" i="1" s="1"/>
  <c r="AZ48" i="1" s="1"/>
  <c r="AN48" i="1"/>
  <c r="AK48" i="1"/>
  <c r="AN40" i="1"/>
  <c r="AQ40" i="1"/>
  <c r="AK40" i="1"/>
  <c r="AN32" i="1"/>
  <c r="AQ32" i="1"/>
  <c r="AK32" i="1"/>
  <c r="AH32" i="1"/>
  <c r="AN28" i="1"/>
  <c r="AQ28" i="1"/>
  <c r="AK28" i="1"/>
  <c r="AN16" i="1"/>
  <c r="AQ16" i="1"/>
  <c r="AT16" i="1" s="1"/>
  <c r="AK16" i="1"/>
  <c r="AO47" i="1"/>
  <c r="AL47" i="1"/>
  <c r="AR47" i="1"/>
  <c r="AI47" i="1"/>
  <c r="AE9" i="1"/>
  <c r="AE17" i="1"/>
  <c r="AE21" i="1"/>
  <c r="AH21" i="1" s="1"/>
  <c r="AE25" i="1"/>
  <c r="AH25" i="1" s="1"/>
  <c r="AE29" i="1"/>
  <c r="AE33" i="1"/>
  <c r="AH33" i="1" s="1"/>
  <c r="AE37" i="1"/>
  <c r="AH37" i="1" s="1"/>
  <c r="AE46" i="1"/>
  <c r="AH46" i="1" s="1"/>
  <c r="AG4" i="1"/>
  <c r="AJ4" i="1" s="1"/>
  <c r="AY4" i="1" s="1"/>
  <c r="BB4" i="1" s="1"/>
  <c r="BD4" i="1" s="1"/>
  <c r="BF4" i="1" s="1"/>
  <c r="AH20" i="1"/>
  <c r="AH52" i="1" l="1"/>
  <c r="AT52" i="1" s="1"/>
  <c r="AW52" i="1" s="1"/>
  <c r="AZ52" i="1" s="1"/>
  <c r="AX52" i="1"/>
  <c r="BA52" i="1" s="1"/>
  <c r="AW16" i="1"/>
  <c r="AZ16" i="1" s="1"/>
  <c r="AT28" i="1"/>
  <c r="AW28" i="1" s="1"/>
  <c r="AZ28" i="1" s="1"/>
  <c r="AW19" i="1"/>
  <c r="AZ19" i="1" s="1"/>
  <c r="BD19" i="1" s="1"/>
  <c r="AT29" i="1"/>
  <c r="AW29" i="1" s="1"/>
  <c r="AZ29" i="1" s="1"/>
  <c r="AT34" i="1"/>
  <c r="AW34" i="1" s="1"/>
  <c r="AZ34" i="1" s="1"/>
  <c r="AT38" i="1"/>
  <c r="AW38" i="1" s="1"/>
  <c r="AZ38" i="1" s="1"/>
  <c r="AT32" i="1"/>
  <c r="AW32" i="1" s="1"/>
  <c r="AZ32" i="1" s="1"/>
  <c r="AU13" i="1"/>
  <c r="BA13" i="1" s="1"/>
  <c r="BD13" i="1" s="1"/>
  <c r="BF13" i="1" s="1"/>
  <c r="AH47" i="1"/>
  <c r="AT47" i="1" s="1"/>
  <c r="AW47" i="1" s="1"/>
  <c r="AZ47" i="1" s="1"/>
  <c r="AH40" i="1"/>
  <c r="AT40" i="1" s="1"/>
  <c r="AW40" i="1" s="1"/>
  <c r="AZ40" i="1" s="1"/>
  <c r="AT25" i="1"/>
  <c r="AW25" i="1" s="1"/>
  <c r="AZ25" i="1" s="1"/>
  <c r="AT22" i="1"/>
  <c r="AW22" i="1" s="1"/>
  <c r="AZ22" i="1" s="1"/>
  <c r="AT20" i="1"/>
  <c r="AW20" i="1" s="1"/>
  <c r="AZ20" i="1" s="1"/>
  <c r="AT24" i="1"/>
  <c r="AW24" i="1" s="1"/>
  <c r="AZ24" i="1" s="1"/>
  <c r="AT46" i="1"/>
  <c r="AW46" i="1" s="1"/>
  <c r="AZ46" i="1" s="1"/>
  <c r="AN4" i="1"/>
  <c r="AU47" i="1"/>
  <c r="BA47" i="1" s="1"/>
  <c r="AW17" i="1"/>
  <c r="AZ17" i="1" s="1"/>
  <c r="AT26" i="1"/>
  <c r="AW26" i="1" s="1"/>
  <c r="AZ26" i="1" s="1"/>
  <c r="AT30" i="1"/>
  <c r="AW30" i="1" s="1"/>
  <c r="AZ30" i="1" s="1"/>
  <c r="AQ4" i="1"/>
  <c r="AT11" i="1"/>
  <c r="AW11" i="1" s="1"/>
  <c r="AZ11" i="1" s="1"/>
  <c r="BD11" i="1" s="1"/>
  <c r="AT10" i="1"/>
  <c r="AW10" i="1" s="1"/>
  <c r="AZ10" i="1" s="1"/>
  <c r="BD10" i="1" s="1"/>
  <c r="AU4" i="1"/>
  <c r="AT33" i="1"/>
  <c r="AW33" i="1" s="1"/>
  <c r="AZ33" i="1" s="1"/>
  <c r="AT37" i="1"/>
  <c r="AW37" i="1" s="1"/>
  <c r="AZ37" i="1" s="1"/>
  <c r="AT49" i="1"/>
  <c r="AW49" i="1" s="1"/>
  <c r="AZ49" i="1" s="1"/>
  <c r="AT53" i="1"/>
  <c r="AW53" i="1" s="1"/>
  <c r="AZ53" i="1" s="1"/>
  <c r="AT23" i="1"/>
  <c r="AW23" i="1" s="1"/>
  <c r="AZ23" i="1" s="1"/>
  <c r="AT51" i="1"/>
  <c r="AW51" i="1" s="1"/>
  <c r="AZ51" i="1" s="1"/>
  <c r="AT36" i="1"/>
  <c r="AW36" i="1" s="1"/>
  <c r="AZ36" i="1" s="1"/>
  <c r="AV4" i="1"/>
  <c r="AT21" i="1"/>
  <c r="AW21" i="1" s="1"/>
  <c r="AZ21" i="1" s="1"/>
  <c r="AT4" i="1"/>
  <c r="AT31" i="1"/>
  <c r="AW31" i="1" s="1"/>
  <c r="AZ31" i="1" s="1"/>
  <c r="AT39" i="1"/>
  <c r="AW39" i="1" s="1"/>
  <c r="AZ39" i="1" s="1"/>
  <c r="BF19" i="1" l="1"/>
</calcChain>
</file>

<file path=xl/comments1.xml><?xml version="1.0" encoding="utf-8"?>
<comments xmlns="http://schemas.openxmlformats.org/spreadsheetml/2006/main">
  <authors>
    <author>wilson Acuña</author>
  </authors>
  <commentList>
    <comment ref="AB47" authorId="0">
      <text>
        <r>
          <rPr>
            <b/>
            <sz val="9"/>
            <color indexed="81"/>
            <rFont val="Tahoma"/>
            <family val="2"/>
          </rPr>
          <t>wilson Acuña:</t>
        </r>
        <r>
          <rPr>
            <sz val="9"/>
            <color indexed="81"/>
            <rFont val="Tahoma"/>
            <family val="2"/>
          </rPr>
          <t xml:space="preserve">
SERVICIABLE</t>
        </r>
      </text>
    </comment>
  </commentList>
</comments>
</file>

<file path=xl/sharedStrings.xml><?xml version="1.0" encoding="utf-8"?>
<sst xmlns="http://schemas.openxmlformats.org/spreadsheetml/2006/main" count="444" uniqueCount="137">
  <si>
    <t>ITEM</t>
  </si>
  <si>
    <t xml:space="preserve">DESCRIPCIÓN DEL BIEN Y/O SERVICIO </t>
  </si>
  <si>
    <t>PARTE NUMERO</t>
  </si>
  <si>
    <t>UNIDAD MEDIDA</t>
  </si>
  <si>
    <t>NECESIDAD</t>
  </si>
  <si>
    <t>MAIN ROTOR BLADE ASSY UH-6OL</t>
  </si>
  <si>
    <t>70150-09100-043</t>
  </si>
  <si>
    <t>EA</t>
  </si>
  <si>
    <t>SPACER</t>
  </si>
  <si>
    <t>NAS43DD4-36FC</t>
  </si>
  <si>
    <t xml:space="preserve">UNIDAD   </t>
  </si>
  <si>
    <t>NUT, SELF, LOCKING (BALANCE MRB)</t>
  </si>
  <si>
    <t>SS5086C07S</t>
  </si>
  <si>
    <t>PISTON,LINEAR ACTUA</t>
  </si>
  <si>
    <t>70250-12067-102</t>
  </si>
  <si>
    <t>YOKE ASSY,LANDING G</t>
  </si>
  <si>
    <t>70250-13158-043</t>
  </si>
  <si>
    <t>PITCH TRIM ASSY</t>
  </si>
  <si>
    <t>70410-02760-047</t>
  </si>
  <si>
    <t>SUPPORT ASSY,CONTRO</t>
  </si>
  <si>
    <t>70301-10008-044</t>
  </si>
  <si>
    <t>CARGO HOOK CARTRIDGE</t>
  </si>
  <si>
    <t>1512AS121</t>
  </si>
  <si>
    <t>FILTER ELEMENT,FLUI SECONDARY</t>
  </si>
  <si>
    <t>AC-A089F-475</t>
  </si>
  <si>
    <t>BEARING,SLEEVE</t>
  </si>
  <si>
    <t>SB5203-202</t>
  </si>
  <si>
    <t>BEARING,PLAIN,SELF</t>
  </si>
  <si>
    <t>KNDB12-25</t>
  </si>
  <si>
    <t>BEARING,PLAIN,SELF-</t>
  </si>
  <si>
    <t>SB5064-103</t>
  </si>
  <si>
    <t>VALVE CHECK</t>
  </si>
  <si>
    <t>70306-02116-102</t>
  </si>
  <si>
    <t>BOLT,SHEAR</t>
  </si>
  <si>
    <t>NAS629-26</t>
  </si>
  <si>
    <t>BOLT,SHOULDER TIE DOWN,AIRCRAFT</t>
  </si>
  <si>
    <t>70700-20472-101</t>
  </si>
  <si>
    <t>SADDLE WASHER</t>
  </si>
  <si>
    <t>SS4411-06S200</t>
  </si>
  <si>
    <t>NUT,SELF-LOCKING,BA</t>
  </si>
  <si>
    <t>RMLH2577-098</t>
  </si>
  <si>
    <t>NUT,SELF-LOCKING,BARREL NUT</t>
  </si>
  <si>
    <t>NAS577B6A</t>
  </si>
  <si>
    <t>PIN,TAPERED,THREADE</t>
  </si>
  <si>
    <t>70209-05006-101</t>
  </si>
  <si>
    <t>CATCH, FLUSH</t>
  </si>
  <si>
    <t>H-5100K1499</t>
  </si>
  <si>
    <t>CONNECTOR,RECEPTACL</t>
  </si>
  <si>
    <t>MS3472W8-33S</t>
  </si>
  <si>
    <t>COUPLING,ELECTRICAL CONDUIT</t>
  </si>
  <si>
    <t>202C302-13</t>
  </si>
  <si>
    <t>WINDSHIELD PANEL,AI RH</t>
  </si>
  <si>
    <t>70206-01003-044</t>
  </si>
  <si>
    <t>BEARING,SLEEVE (YOKE)</t>
  </si>
  <si>
    <t>M81934/2-10C008</t>
  </si>
  <si>
    <t>BEARING,PLAIN,SELF- LUBRICATING</t>
  </si>
  <si>
    <t>SB5303-103</t>
  </si>
  <si>
    <t>BEARING,SLEEVE SPINDLE TEFLON</t>
  </si>
  <si>
    <t>70105-68003-102</t>
  </si>
  <si>
    <t>TRACK ASSY UPPER  RH</t>
  </si>
  <si>
    <t>70217-02702-050</t>
  </si>
  <si>
    <t>METER,TIME TOTALIZING</t>
  </si>
  <si>
    <t>166125-100</t>
  </si>
  <si>
    <t>WINDSHIELD PANEL,AI LH</t>
  </si>
  <si>
    <t>70206-01003-045</t>
  </si>
  <si>
    <t>PATCH /MAKE FROM TAPE, ADHESIVE</t>
  </si>
  <si>
    <t>70150-09100-101</t>
  </si>
  <si>
    <t>TRANSMITTER,RADIO (ELT)</t>
  </si>
  <si>
    <t>EBC-406HM</t>
  </si>
  <si>
    <t>PACKING PREFORMED</t>
  </si>
  <si>
    <t>4074T58P04</t>
  </si>
  <si>
    <t>BOLT (PUMP ACCUMULATOR)</t>
  </si>
  <si>
    <t>AN4-42A</t>
  </si>
  <si>
    <t>BUSHING,SLEEVE</t>
  </si>
  <si>
    <t>3903T81P02</t>
  </si>
  <si>
    <t>PUMP ETS SYSTEM,AIR</t>
  </si>
  <si>
    <t>70307-85801-101</t>
  </si>
  <si>
    <t>MULTI-PURPOSE CONTROL DISPLAY  TIPE III</t>
  </si>
  <si>
    <t>82165-20</t>
  </si>
  <si>
    <t>MASTER WARNING PNL</t>
  </si>
  <si>
    <t>70550-81808-101</t>
  </si>
  <si>
    <t>UHF/VHF RADIO MXF-4027</t>
  </si>
  <si>
    <t>902844-801</t>
  </si>
  <si>
    <t>BATTERY PACK</t>
  </si>
  <si>
    <t>452-0133</t>
  </si>
  <si>
    <t>DISPLAY HT 9100</t>
  </si>
  <si>
    <t>765100-20</t>
  </si>
  <si>
    <t xml:space="preserve">BATTERY EGI </t>
  </si>
  <si>
    <t>LB6-1034-20-1</t>
  </si>
  <si>
    <t>AFCC, COMPUTER</t>
  </si>
  <si>
    <t>70901-01802-101</t>
  </si>
  <si>
    <t>SCREW,CAP,SOCKET HEAD</t>
  </si>
  <si>
    <t>NAS1351-3H12P</t>
  </si>
  <si>
    <t>SLEW CTRL PILOT</t>
  </si>
  <si>
    <t>70600-01829-101</t>
  </si>
  <si>
    <t>AN4-45A</t>
  </si>
  <si>
    <t>SCREW,CLOSE TOLERAN (TIP-CAP)</t>
  </si>
  <si>
    <t>SS5305-1S11</t>
  </si>
  <si>
    <t>3903T81P01</t>
  </si>
  <si>
    <t>NUEVO</t>
  </si>
  <si>
    <t>OVERHAUL</t>
  </si>
  <si>
    <t>AEROTECNICA</t>
  </si>
  <si>
    <t>AVIATION</t>
  </si>
  <si>
    <t>GECI ESPAÑOLA</t>
  </si>
  <si>
    <t xml:space="preserve">BEARING,PLAIN,ROD </t>
  </si>
  <si>
    <t>HELIOS TECHNOLOGY</t>
  </si>
  <si>
    <t>UNIVERSAL LOGISTICS SUPPORT</t>
  </si>
  <si>
    <t>REPARADO</t>
  </si>
  <si>
    <t>WORLD BUSSINES AEROSPACE</t>
  </si>
  <si>
    <t>NUEVO PESOS</t>
  </si>
  <si>
    <t>NUEVO DOLARES</t>
  </si>
  <si>
    <t>OVERHAUL DOLARES</t>
  </si>
  <si>
    <t>OVERHAUL PESOS</t>
  </si>
  <si>
    <t>REPARADO PESOS</t>
  </si>
  <si>
    <t>REPARADO DOLARES</t>
  </si>
  <si>
    <t>MINIMO</t>
  </si>
  <si>
    <t>MEDIANA</t>
  </si>
  <si>
    <t>MEDIA Geométrica</t>
  </si>
  <si>
    <t>PROMEDIO</t>
  </si>
  <si>
    <t>DESVIACION</t>
  </si>
  <si>
    <t>DISPERSION</t>
  </si>
  <si>
    <t>PRECIO DE REFERENCIA PESOS ($)</t>
  </si>
  <si>
    <t>PRESUPUESTO EN PESOS ($)</t>
  </si>
  <si>
    <t>PRESUPUESTO EN DOLARES (U$)</t>
  </si>
  <si>
    <t>5 palas</t>
  </si>
  <si>
    <t>CANTIDADES MINIMAS PRINCIPALES</t>
  </si>
  <si>
    <t>PRECIO CANTIDAD MINIMA</t>
  </si>
  <si>
    <t>MODALIDAD</t>
  </si>
  <si>
    <t>PRECIO DOLARES CANTIDAD MINIMA</t>
  </si>
  <si>
    <t>PRECIO PESOS CANTIDAD MINIMA</t>
  </si>
  <si>
    <t>NUEVO U OVERHAUL PESOS</t>
  </si>
  <si>
    <t>TOTAL PRINCIPALES</t>
  </si>
  <si>
    <t>PRESUPUESTO</t>
  </si>
  <si>
    <t>DIFERENCIA</t>
  </si>
  <si>
    <t>PRECIO DE REFERENCIA DOLARES (USD)</t>
  </si>
  <si>
    <r>
      <t xml:space="preserve"> PALAS DE ROTOR PRINCIPAL</t>
    </r>
    <r>
      <rPr>
        <sz val="11"/>
        <color theme="1"/>
        <rFont val="Arial Narrow"/>
        <family val="2"/>
      </rPr>
      <t>.</t>
    </r>
  </si>
  <si>
    <t xml:space="preserve"> REPUESTO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</si>
</sst>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;\-&quot;$&quot;#,##0.00"/>
    <numFmt numFmtId="43" formatCode="_-* #,##0.00_-;\-* #,##0.00_-;_-* &quot;-&quot;??_-;_-@_-"/>
    <numFmt numFmtId="164" formatCode="#,##0.00_ ;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8F3A9"/>
        <bgColor indexed="64"/>
      </patternFill>
    </fill>
    <fill>
      <patternFill patternType="solid">
        <fgColor rgb="FFFABDA2"/>
        <bgColor indexed="64"/>
      </patternFill>
    </fill>
    <fill>
      <patternFill patternType="solid">
        <fgColor rgb="FF53F347"/>
        <bgColor indexed="64"/>
      </patternFill>
    </fill>
    <fill>
      <patternFill patternType="solid">
        <fgColor rgb="FFF9A5D5"/>
        <bgColor indexed="64"/>
      </patternFill>
    </fill>
    <fill>
      <patternFill patternType="solid">
        <fgColor rgb="FF6634F4"/>
        <bgColor indexed="64"/>
      </patternFill>
    </fill>
    <fill>
      <patternFill patternType="solid">
        <fgColor rgb="FFF75231"/>
        <bgColor indexed="64"/>
      </patternFill>
    </fill>
    <fill>
      <patternFill patternType="solid">
        <fgColor rgb="FF6FABB9"/>
        <bgColor indexed="64"/>
      </patternFill>
    </fill>
    <fill>
      <patternFill patternType="solid">
        <fgColor rgb="FF38F04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43" fontId="0" fillId="0" borderId="0" xfId="1" applyFont="1"/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wrapText="1"/>
    </xf>
    <xf numFmtId="7" fontId="5" fillId="0" borderId="3" xfId="1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7" fontId="0" fillId="0" borderId="0" xfId="0" applyNumberFormat="1"/>
    <xf numFmtId="7" fontId="5" fillId="0" borderId="3" xfId="1" applyNumberFormat="1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7" fontId="5" fillId="4" borderId="3" xfId="1" applyNumberFormat="1" applyFont="1" applyFill="1" applyBorder="1" applyAlignment="1">
      <alignment horizontal="center" vertical="center" wrapText="1"/>
    </xf>
    <xf numFmtId="7" fontId="5" fillId="9" borderId="3" xfId="1" applyNumberFormat="1" applyFont="1" applyFill="1" applyBorder="1" applyAlignment="1">
      <alignment horizontal="center" vertical="center" wrapText="1"/>
    </xf>
    <xf numFmtId="7" fontId="5" fillId="9" borderId="3" xfId="1" applyNumberFormat="1" applyFont="1" applyFill="1" applyBorder="1" applyAlignment="1">
      <alignment horizontal="right" vertical="center" wrapText="1"/>
    </xf>
    <xf numFmtId="9" fontId="5" fillId="0" borderId="3" xfId="2" applyFont="1" applyBorder="1" applyAlignment="1">
      <alignment horizontal="center"/>
    </xf>
    <xf numFmtId="9" fontId="0" fillId="0" borderId="0" xfId="0" applyNumberFormat="1"/>
    <xf numFmtId="7" fontId="0" fillId="0" borderId="3" xfId="0" applyNumberFormat="1" applyBorder="1" applyAlignment="1">
      <alignment horizontal="center"/>
    </xf>
    <xf numFmtId="9" fontId="5" fillId="9" borderId="3" xfId="2" applyFont="1" applyFill="1" applyBorder="1" applyAlignment="1">
      <alignment horizontal="center"/>
    </xf>
    <xf numFmtId="7" fontId="5" fillId="8" borderId="3" xfId="1" applyNumberFormat="1" applyFont="1" applyFill="1" applyBorder="1" applyAlignment="1">
      <alignment horizontal="center" vertical="center" wrapText="1"/>
    </xf>
    <xf numFmtId="7" fontId="9" fillId="0" borderId="3" xfId="1" applyNumberFormat="1" applyFont="1" applyBorder="1" applyAlignment="1">
      <alignment horizontal="center" vertical="center" wrapText="1"/>
    </xf>
    <xf numFmtId="43" fontId="5" fillId="14" borderId="1" xfId="1" applyFont="1" applyFill="1" applyBorder="1" applyAlignment="1">
      <alignment horizontal="center" vertical="center" wrapText="1"/>
    </xf>
    <xf numFmtId="43" fontId="5" fillId="4" borderId="10" xfId="1" applyFont="1" applyFill="1" applyBorder="1" applyAlignment="1">
      <alignment horizontal="center" vertical="center" wrapText="1"/>
    </xf>
    <xf numFmtId="7" fontId="5" fillId="18" borderId="3" xfId="1" applyNumberFormat="1" applyFont="1" applyFill="1" applyBorder="1" applyAlignment="1">
      <alignment horizontal="center" vertical="center" wrapText="1"/>
    </xf>
    <xf numFmtId="43" fontId="5" fillId="4" borderId="3" xfId="1" applyNumberFormat="1" applyFont="1" applyFill="1" applyBorder="1" applyAlignment="1">
      <alignment horizontal="center" vertical="center" wrapText="1"/>
    </xf>
    <xf numFmtId="9" fontId="5" fillId="0" borderId="3" xfId="2" applyFont="1" applyBorder="1" applyAlignment="1">
      <alignment horizontal="center" vertical="center" wrapText="1"/>
    </xf>
    <xf numFmtId="7" fontId="5" fillId="18" borderId="0" xfId="0" applyNumberFormat="1" applyFont="1" applyFill="1"/>
    <xf numFmtId="0" fontId="0" fillId="19" borderId="0" xfId="0" applyFill="1" applyAlignment="1">
      <alignment horizontal="center" vertical="center" wrapText="1"/>
    </xf>
    <xf numFmtId="0" fontId="0" fillId="18" borderId="0" xfId="0" applyFill="1"/>
    <xf numFmtId="7" fontId="0" fillId="18" borderId="0" xfId="0" applyNumberFormat="1" applyFill="1"/>
    <xf numFmtId="7" fontId="9" fillId="18" borderId="3" xfId="1" applyNumberFormat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vertical="center" wrapText="1"/>
    </xf>
    <xf numFmtId="0" fontId="6" fillId="9" borderId="3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7" fontId="12" fillId="18" borderId="3" xfId="1" applyNumberFormat="1" applyFont="1" applyFill="1" applyBorder="1" applyAlignment="1">
      <alignment horizontal="center" vertical="center" wrapText="1"/>
    </xf>
    <xf numFmtId="7" fontId="4" fillId="0" borderId="9" xfId="0" applyNumberFormat="1" applyFont="1" applyBorder="1" applyAlignment="1">
      <alignment horizontal="right" vertical="center"/>
    </xf>
    <xf numFmtId="7" fontId="12" fillId="9" borderId="3" xfId="1" applyNumberFormat="1" applyFont="1" applyFill="1" applyBorder="1" applyAlignment="1">
      <alignment horizontal="right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9" fillId="18" borderId="3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5" borderId="3" xfId="0" applyFont="1" applyFill="1" applyBorder="1" applyAlignment="1">
      <alignment horizontal="center" vertical="center"/>
    </xf>
    <xf numFmtId="0" fontId="2" fillId="16" borderId="3" xfId="0" applyFont="1" applyFill="1" applyBorder="1" applyAlignment="1">
      <alignment horizontal="center" vertical="center"/>
    </xf>
    <xf numFmtId="0" fontId="2" fillId="17" borderId="3" xfId="0" applyFont="1" applyFill="1" applyBorder="1" applyAlignment="1">
      <alignment horizontal="center" vertical="center"/>
    </xf>
    <xf numFmtId="0" fontId="2" fillId="20" borderId="9" xfId="0" applyFont="1" applyFill="1" applyBorder="1" applyAlignment="1">
      <alignment horizontal="center" vertical="center" wrapText="1"/>
    </xf>
    <xf numFmtId="0" fontId="2" fillId="20" borderId="12" xfId="0" applyFont="1" applyFill="1" applyBorder="1" applyAlignment="1">
      <alignment horizontal="center" vertical="center" wrapText="1"/>
    </xf>
    <xf numFmtId="0" fontId="2" fillId="20" borderId="11" xfId="0" applyFont="1" applyFill="1" applyBorder="1" applyAlignment="1">
      <alignment horizontal="center" vertical="center" wrapText="1"/>
    </xf>
    <xf numFmtId="0" fontId="2" fillId="20" borderId="3" xfId="0" applyFont="1" applyFill="1" applyBorder="1" applyAlignment="1">
      <alignment horizontal="center" vertical="center" wrapText="1"/>
    </xf>
    <xf numFmtId="0" fontId="2" fillId="20" borderId="1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/>
    </xf>
    <xf numFmtId="0" fontId="5" fillId="21" borderId="3" xfId="0" applyFont="1" applyFill="1" applyBorder="1" applyAlignment="1">
      <alignment horizontal="center" vertical="center" wrapText="1"/>
    </xf>
    <xf numFmtId="0" fontId="6" fillId="21" borderId="3" xfId="0" applyFont="1" applyFill="1" applyBorder="1" applyAlignment="1">
      <alignment vertical="center" wrapText="1"/>
    </xf>
    <xf numFmtId="0" fontId="6" fillId="21" borderId="3" xfId="0" applyFont="1" applyFill="1" applyBorder="1" applyAlignment="1">
      <alignment horizontal="center" vertical="center" wrapText="1"/>
    </xf>
    <xf numFmtId="0" fontId="6" fillId="21" borderId="9" xfId="0" applyFont="1" applyFill="1" applyBorder="1" applyAlignment="1">
      <alignment horizontal="center" vertical="center"/>
    </xf>
    <xf numFmtId="7" fontId="5" fillId="21" borderId="3" xfId="1" applyNumberFormat="1" applyFont="1" applyFill="1" applyBorder="1" applyAlignment="1">
      <alignment horizontal="center" vertical="center" wrapText="1"/>
    </xf>
    <xf numFmtId="7" fontId="5" fillId="21" borderId="3" xfId="1" applyNumberFormat="1" applyFont="1" applyFill="1" applyBorder="1" applyAlignment="1">
      <alignment horizontal="right" vertical="center" wrapText="1"/>
    </xf>
    <xf numFmtId="9" fontId="5" fillId="21" borderId="3" xfId="2" applyFont="1" applyFill="1" applyBorder="1" applyAlignment="1">
      <alignment horizontal="center"/>
    </xf>
    <xf numFmtId="0" fontId="0" fillId="21" borderId="0" xfId="0" applyFill="1"/>
    <xf numFmtId="7" fontId="0" fillId="21" borderId="0" xfId="0" applyNumberFormat="1" applyFill="1"/>
    <xf numFmtId="0" fontId="5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/>
    </xf>
    <xf numFmtId="0" fontId="0" fillId="9" borderId="0" xfId="0" applyFill="1"/>
    <xf numFmtId="7" fontId="0" fillId="9" borderId="0" xfId="0" applyNumberFormat="1" applyFill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38F041"/>
      <color rgb="FFF248A9"/>
      <color rgb="FF9B4BDD"/>
      <color rgb="FFFF0066"/>
      <color rgb="FFF9A5D5"/>
      <color rgb="FF6FABB9"/>
      <color rgb="FFF75231"/>
      <color rgb="FF6634F4"/>
      <color rgb="FF490DF1"/>
      <color rgb="FF53F34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I56"/>
  <sheetViews>
    <sheetView tabSelected="1" topLeftCell="AR16" zoomScaleNormal="100" workbookViewId="0">
      <selection activeCell="AZ15" sqref="AZ15"/>
    </sheetView>
  </sheetViews>
  <sheetFormatPr baseColWidth="10" defaultRowHeight="15" x14ac:dyDescent="0.25"/>
  <cols>
    <col min="1" max="1" width="6.140625" customWidth="1"/>
    <col min="2" max="2" width="34" customWidth="1"/>
    <col min="3" max="3" width="13.7109375" hidden="1" customWidth="1"/>
    <col min="4" max="4" width="11.42578125" hidden="1" customWidth="1"/>
    <col min="5" max="5" width="11.42578125" customWidth="1"/>
    <col min="6" max="8" width="12.5703125" customWidth="1"/>
    <col min="9" max="9" width="11.42578125" customWidth="1"/>
    <col min="10" max="10" width="12.5703125" customWidth="1"/>
    <col min="11" max="13" width="11.42578125" customWidth="1"/>
    <col min="14" max="14" width="12.5703125" customWidth="1"/>
    <col min="15" max="18" width="13.85546875" customWidth="1"/>
    <col min="19" max="19" width="11.42578125" customWidth="1"/>
    <col min="20" max="21" width="13.85546875" customWidth="1"/>
    <col min="22" max="22" width="11.42578125" customWidth="1"/>
    <col min="23" max="23" width="12.5703125" customWidth="1"/>
    <col min="24" max="24" width="21" customWidth="1"/>
    <col min="25" max="25" width="12.5703125" customWidth="1"/>
    <col min="26" max="28" width="11.42578125" customWidth="1"/>
    <col min="29" max="29" width="13.85546875" customWidth="1"/>
    <col min="30" max="30" width="11.42578125" customWidth="1"/>
    <col min="31" max="31" width="16.42578125" customWidth="1"/>
    <col min="32" max="32" width="15.140625" customWidth="1"/>
    <col min="33" max="33" width="12.5703125" customWidth="1"/>
    <col min="34" max="34" width="16.42578125" customWidth="1"/>
    <col min="35" max="35" width="14.7109375" customWidth="1"/>
    <col min="36" max="36" width="13.85546875" customWidth="1"/>
    <col min="37" max="37" width="16.42578125" customWidth="1"/>
    <col min="38" max="38" width="12.5703125" customWidth="1"/>
    <col min="39" max="39" width="13" customWidth="1"/>
    <col min="40" max="40" width="13.7109375" customWidth="1"/>
    <col min="41" max="42" width="14.7109375" customWidth="1"/>
    <col min="43" max="45" width="12.5703125" customWidth="1"/>
    <col min="46" max="48" width="11.42578125" customWidth="1"/>
    <col min="49" max="49" width="13.85546875" customWidth="1"/>
    <col min="50" max="50" width="12.5703125" customWidth="1"/>
    <col min="51" max="51" width="14.7109375" customWidth="1"/>
    <col min="52" max="52" width="11.42578125" customWidth="1"/>
    <col min="53" max="53" width="12.5703125" customWidth="1"/>
    <col min="54" max="54" width="11.42578125" customWidth="1"/>
    <col min="55" max="56" width="21.85546875" customWidth="1"/>
    <col min="57" max="59" width="11.42578125" customWidth="1"/>
    <col min="60" max="60" width="20.5703125" customWidth="1"/>
  </cols>
  <sheetData>
    <row r="1" spans="1:61" ht="17.25" thickBot="1" x14ac:dyDescent="0.3">
      <c r="A1" s="47" t="s">
        <v>135</v>
      </c>
      <c r="B1" s="47"/>
      <c r="C1" s="47"/>
      <c r="D1" s="47"/>
      <c r="E1" s="47"/>
      <c r="F1" s="47"/>
      <c r="G1" s="47"/>
      <c r="H1" s="47"/>
    </row>
    <row r="2" spans="1:61" ht="34.5" customHeight="1" thickBot="1" x14ac:dyDescent="0.3">
      <c r="F2" s="48" t="s">
        <v>101</v>
      </c>
      <c r="G2" s="49"/>
      <c r="H2" s="50"/>
      <c r="I2" s="51" t="s">
        <v>102</v>
      </c>
      <c r="J2" s="51"/>
      <c r="K2" s="51"/>
      <c r="L2" s="51"/>
      <c r="M2" s="52"/>
      <c r="N2" s="53" t="s">
        <v>103</v>
      </c>
      <c r="O2" s="53"/>
      <c r="P2" s="54"/>
      <c r="Q2" s="45" t="s">
        <v>105</v>
      </c>
      <c r="R2" s="45"/>
      <c r="S2" s="46"/>
      <c r="T2" s="55" t="s">
        <v>106</v>
      </c>
      <c r="U2" s="56"/>
      <c r="V2" s="56"/>
      <c r="W2" s="56"/>
      <c r="X2" s="56"/>
      <c r="Y2" s="56"/>
      <c r="Z2" s="58" t="s">
        <v>108</v>
      </c>
      <c r="AA2" s="58"/>
      <c r="AB2" s="58"/>
      <c r="AC2" s="58"/>
      <c r="AD2" s="58"/>
      <c r="AE2" s="59" t="s">
        <v>115</v>
      </c>
      <c r="AF2" s="59"/>
      <c r="AG2" s="59"/>
      <c r="AH2" s="60" t="s">
        <v>116</v>
      </c>
      <c r="AI2" s="60"/>
      <c r="AJ2" s="60"/>
      <c r="AK2" s="61" t="s">
        <v>117</v>
      </c>
      <c r="AL2" s="61"/>
      <c r="AM2" s="61"/>
      <c r="AN2" s="57" t="s">
        <v>118</v>
      </c>
      <c r="AO2" s="57"/>
      <c r="AP2" s="57"/>
      <c r="AQ2" s="63" t="s">
        <v>119</v>
      </c>
      <c r="AR2" s="63"/>
      <c r="AS2" s="63"/>
      <c r="AT2" s="64" t="s">
        <v>120</v>
      </c>
      <c r="AU2" s="64"/>
      <c r="AV2" s="64"/>
      <c r="AW2" s="65" t="s">
        <v>121</v>
      </c>
      <c r="AX2" s="65"/>
      <c r="AY2" s="65"/>
      <c r="AZ2" s="66" t="s">
        <v>134</v>
      </c>
      <c r="BA2" s="66"/>
      <c r="BB2" s="66"/>
      <c r="BC2" s="35" t="s">
        <v>125</v>
      </c>
      <c r="BD2" s="35" t="s">
        <v>126</v>
      </c>
    </row>
    <row r="3" spans="1:61" ht="26.25" thickBot="1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99</v>
      </c>
      <c r="G3" s="11" t="s">
        <v>100</v>
      </c>
      <c r="H3" s="11" t="s">
        <v>107</v>
      </c>
      <c r="I3" s="11" t="s">
        <v>110</v>
      </c>
      <c r="J3" s="11" t="s">
        <v>109</v>
      </c>
      <c r="K3" s="11" t="s">
        <v>111</v>
      </c>
      <c r="L3" s="11" t="s">
        <v>112</v>
      </c>
      <c r="M3" s="11" t="s">
        <v>107</v>
      </c>
      <c r="N3" s="11" t="s">
        <v>99</v>
      </c>
      <c r="O3" s="11" t="s">
        <v>100</v>
      </c>
      <c r="P3" s="11" t="s">
        <v>107</v>
      </c>
      <c r="Q3" s="11" t="s">
        <v>99</v>
      </c>
      <c r="R3" s="11" t="s">
        <v>100</v>
      </c>
      <c r="S3" s="11" t="s">
        <v>107</v>
      </c>
      <c r="T3" s="11" t="s">
        <v>110</v>
      </c>
      <c r="U3" s="11" t="s">
        <v>109</v>
      </c>
      <c r="V3" s="11" t="s">
        <v>111</v>
      </c>
      <c r="W3" s="11" t="s">
        <v>112</v>
      </c>
      <c r="X3" s="11" t="s">
        <v>114</v>
      </c>
      <c r="Y3" s="11" t="s">
        <v>113</v>
      </c>
      <c r="Z3" s="11" t="s">
        <v>110</v>
      </c>
      <c r="AA3" s="11" t="s">
        <v>109</v>
      </c>
      <c r="AB3" s="11" t="s">
        <v>111</v>
      </c>
      <c r="AC3" s="11" t="s">
        <v>112</v>
      </c>
      <c r="AD3" s="11" t="s">
        <v>113</v>
      </c>
      <c r="AE3" s="19" t="s">
        <v>109</v>
      </c>
      <c r="AF3" s="19" t="s">
        <v>112</v>
      </c>
      <c r="AG3" s="19" t="s">
        <v>113</v>
      </c>
      <c r="AH3" s="19" t="s">
        <v>109</v>
      </c>
      <c r="AI3" s="19" t="s">
        <v>112</v>
      </c>
      <c r="AJ3" s="19" t="s">
        <v>113</v>
      </c>
      <c r="AK3" s="19" t="s">
        <v>109</v>
      </c>
      <c r="AL3" s="19" t="s">
        <v>112</v>
      </c>
      <c r="AM3" s="19" t="s">
        <v>113</v>
      </c>
      <c r="AN3" s="19" t="s">
        <v>109</v>
      </c>
      <c r="AO3" s="19" t="s">
        <v>112</v>
      </c>
      <c r="AP3" s="19" t="s">
        <v>113</v>
      </c>
      <c r="AQ3" s="19" t="s">
        <v>109</v>
      </c>
      <c r="AR3" s="19" t="s">
        <v>112</v>
      </c>
      <c r="AS3" s="19" t="s">
        <v>113</v>
      </c>
      <c r="AT3" s="19" t="s">
        <v>109</v>
      </c>
      <c r="AU3" s="19" t="s">
        <v>112</v>
      </c>
      <c r="AV3" s="19" t="s">
        <v>113</v>
      </c>
      <c r="AW3" s="19" t="s">
        <v>109</v>
      </c>
      <c r="AX3" s="19" t="s">
        <v>112</v>
      </c>
      <c r="AY3" s="19" t="s">
        <v>113</v>
      </c>
      <c r="AZ3" s="19" t="s">
        <v>110</v>
      </c>
      <c r="BA3" s="19" t="s">
        <v>111</v>
      </c>
      <c r="BB3" s="19" t="s">
        <v>114</v>
      </c>
    </row>
    <row r="4" spans="1:61" ht="15.75" thickBot="1" x14ac:dyDescent="0.3">
      <c r="A4" s="5">
        <v>1</v>
      </c>
      <c r="B4" s="12" t="s">
        <v>5</v>
      </c>
      <c r="C4" s="2" t="s">
        <v>6</v>
      </c>
      <c r="D4" s="5" t="s">
        <v>7</v>
      </c>
      <c r="E4" s="13">
        <v>16</v>
      </c>
      <c r="F4" s="8">
        <v>0</v>
      </c>
      <c r="G4" s="30">
        <v>765000000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31">
        <v>1352000000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210000</v>
      </c>
      <c r="Y4" s="31">
        <f>+X4*3141.36</f>
        <v>659685600</v>
      </c>
      <c r="Z4" s="8">
        <v>0</v>
      </c>
      <c r="AA4" s="8">
        <v>0</v>
      </c>
      <c r="AB4" s="8">
        <v>387500</v>
      </c>
      <c r="AC4" s="20">
        <f>+AB4*3141.36</f>
        <v>1217277000</v>
      </c>
      <c r="AD4" s="8">
        <v>0</v>
      </c>
      <c r="AE4" s="8">
        <f>+MIN(F4,J4,N4,Q4,U4,AA4)</f>
        <v>0</v>
      </c>
      <c r="AF4" s="20">
        <f>+MIN(G4,AC4)</f>
        <v>765000000</v>
      </c>
      <c r="AG4" s="31">
        <f>+MIN(P4,Y4)</f>
        <v>659685600</v>
      </c>
      <c r="AH4" s="8">
        <f>+MEDIAN(F4:AA4)</f>
        <v>0</v>
      </c>
      <c r="AI4" s="32">
        <f>+MEDIAN(G4,AC4)</f>
        <v>991138500</v>
      </c>
      <c r="AJ4" s="31">
        <f>+MEDIAN(AG4,Y4)</f>
        <v>659685600</v>
      </c>
      <c r="AK4" s="8">
        <f>+MEDIAN(I4:AD4)</f>
        <v>0</v>
      </c>
      <c r="AL4" s="20">
        <f>+GEOMEAN(AC4,G4)</f>
        <v>964995805.69036674</v>
      </c>
      <c r="AM4" s="31">
        <f>+GEOMEAN(Y4,P4)</f>
        <v>944401890.7223767</v>
      </c>
      <c r="AN4" s="8">
        <f>+MEDIAN(L4:AG4)</f>
        <v>0</v>
      </c>
      <c r="AO4" s="32">
        <f>+AVERAGE(G4,AC4)</f>
        <v>991138500</v>
      </c>
      <c r="AP4" s="31">
        <f>+AVERAGE(Y4,P4)</f>
        <v>1005842800</v>
      </c>
      <c r="AQ4" s="8">
        <f>+MEDIAN(O4:AJ4)</f>
        <v>0</v>
      </c>
      <c r="AR4" s="20">
        <f>+_xlfn.STDEV.P(G4,AC4)</f>
        <v>226138499.99999997</v>
      </c>
      <c r="AS4" s="31">
        <f>+_xlfn.STDEV.P(P4,Y4)</f>
        <v>346157200</v>
      </c>
      <c r="AT4" s="8">
        <f>+MEDIAN(R4:AM4)</f>
        <v>0</v>
      </c>
      <c r="AU4" s="33">
        <f>+AR4/AI4</f>
        <v>0.22816034287841705</v>
      </c>
      <c r="AV4" s="33">
        <f>+AS4/AJ4</f>
        <v>0.52473056862238621</v>
      </c>
      <c r="AW4" s="8">
        <v>0</v>
      </c>
      <c r="AX4" s="32">
        <f>+AI4</f>
        <v>991138500</v>
      </c>
      <c r="AY4" s="34">
        <f>+AJ4</f>
        <v>659685600</v>
      </c>
      <c r="AZ4" s="8">
        <v>0</v>
      </c>
      <c r="BA4" s="20">
        <f>+AX4/3141.36</f>
        <v>315512.54870501946</v>
      </c>
      <c r="BB4" s="31">
        <f>+AY4/3141.36</f>
        <v>210000</v>
      </c>
      <c r="BC4" s="36">
        <v>8</v>
      </c>
      <c r="BD4" s="37">
        <f>+BC4*BB4</f>
        <v>1680000</v>
      </c>
      <c r="BF4" s="37">
        <f>+BH8-BD4</f>
        <v>264538.46052631573</v>
      </c>
      <c r="BI4" s="17"/>
    </row>
    <row r="5" spans="1:61" ht="15.75" thickBot="1" x14ac:dyDescent="0.3">
      <c r="G5" s="29" t="s">
        <v>124</v>
      </c>
      <c r="X5" s="1"/>
    </row>
    <row r="6" spans="1:61" ht="17.25" thickBot="1" x14ac:dyDescent="0.3">
      <c r="A6" s="47" t="s">
        <v>136</v>
      </c>
      <c r="B6" s="47"/>
      <c r="C6" s="47"/>
      <c r="D6" s="47"/>
      <c r="E6" s="47"/>
      <c r="F6" s="47"/>
      <c r="G6" s="47"/>
      <c r="H6" s="47"/>
      <c r="X6" s="1"/>
      <c r="Y6" s="17"/>
    </row>
    <row r="7" spans="1:61" ht="35.25" customHeight="1" thickBot="1" x14ac:dyDescent="0.3">
      <c r="F7" s="48" t="s">
        <v>101</v>
      </c>
      <c r="G7" s="49"/>
      <c r="H7" s="50"/>
      <c r="I7" s="51" t="s">
        <v>102</v>
      </c>
      <c r="J7" s="51"/>
      <c r="K7" s="51"/>
      <c r="L7" s="51"/>
      <c r="M7" s="52"/>
      <c r="N7" s="53" t="s">
        <v>103</v>
      </c>
      <c r="O7" s="53"/>
      <c r="P7" s="54"/>
      <c r="Q7" s="45" t="s">
        <v>105</v>
      </c>
      <c r="R7" s="45"/>
      <c r="S7" s="46"/>
      <c r="T7" s="55" t="s">
        <v>106</v>
      </c>
      <c r="U7" s="56"/>
      <c r="V7" s="56"/>
      <c r="W7" s="56"/>
      <c r="X7" s="56"/>
      <c r="Y7" s="56"/>
      <c r="Z7" s="58" t="s">
        <v>108</v>
      </c>
      <c r="AA7" s="58"/>
      <c r="AB7" s="58"/>
      <c r="AC7" s="58"/>
      <c r="AD7" s="58"/>
      <c r="AE7" s="59" t="s">
        <v>115</v>
      </c>
      <c r="AF7" s="59"/>
      <c r="AG7" s="59"/>
      <c r="AH7" s="60" t="s">
        <v>116</v>
      </c>
      <c r="AI7" s="60"/>
      <c r="AJ7" s="60"/>
      <c r="AK7" s="61" t="s">
        <v>117</v>
      </c>
      <c r="AL7" s="61"/>
      <c r="AM7" s="61"/>
      <c r="AN7" s="57" t="s">
        <v>118</v>
      </c>
      <c r="AO7" s="57"/>
      <c r="AP7" s="57"/>
      <c r="AQ7" s="63" t="s">
        <v>119</v>
      </c>
      <c r="AR7" s="63"/>
      <c r="AS7" s="63"/>
      <c r="AT7" s="64" t="s">
        <v>120</v>
      </c>
      <c r="AU7" s="64"/>
      <c r="AV7" s="64"/>
      <c r="AW7" s="65" t="s">
        <v>121</v>
      </c>
      <c r="AX7" s="65"/>
      <c r="AY7" s="65"/>
      <c r="AZ7" s="66" t="s">
        <v>134</v>
      </c>
      <c r="BA7" s="66"/>
      <c r="BB7" s="66"/>
      <c r="BC7" s="35" t="s">
        <v>125</v>
      </c>
      <c r="BD7" s="35"/>
      <c r="BE7" s="62" t="s">
        <v>122</v>
      </c>
      <c r="BF7" s="62"/>
      <c r="BG7" s="62"/>
      <c r="BH7" s="28">
        <v>7389246150</v>
      </c>
    </row>
    <row r="8" spans="1:61" ht="25.5" x14ac:dyDescent="0.25">
      <c r="A8" s="6" t="s">
        <v>0</v>
      </c>
      <c r="B8" s="7" t="s">
        <v>1</v>
      </c>
      <c r="C8" s="7" t="s">
        <v>2</v>
      </c>
      <c r="D8" s="7" t="s">
        <v>3</v>
      </c>
      <c r="E8" s="16" t="s">
        <v>4</v>
      </c>
      <c r="F8" s="11" t="s">
        <v>99</v>
      </c>
      <c r="G8" s="11" t="s">
        <v>100</v>
      </c>
      <c r="H8" s="11" t="s">
        <v>107</v>
      </c>
      <c r="I8" s="11" t="s">
        <v>110</v>
      </c>
      <c r="J8" s="11" t="s">
        <v>109</v>
      </c>
      <c r="K8" s="11" t="s">
        <v>111</v>
      </c>
      <c r="L8" s="11" t="s">
        <v>112</v>
      </c>
      <c r="M8" s="11" t="s">
        <v>107</v>
      </c>
      <c r="N8" s="11" t="s">
        <v>99</v>
      </c>
      <c r="O8" s="11" t="s">
        <v>100</v>
      </c>
      <c r="P8" s="11" t="s">
        <v>107</v>
      </c>
      <c r="Q8" s="11" t="s">
        <v>99</v>
      </c>
      <c r="R8" s="11" t="s">
        <v>100</v>
      </c>
      <c r="S8" s="11" t="s">
        <v>107</v>
      </c>
      <c r="T8" s="11" t="s">
        <v>110</v>
      </c>
      <c r="U8" s="11" t="s">
        <v>109</v>
      </c>
      <c r="V8" s="11" t="s">
        <v>111</v>
      </c>
      <c r="W8" s="11" t="s">
        <v>112</v>
      </c>
      <c r="X8" s="11" t="s">
        <v>114</v>
      </c>
      <c r="Y8" s="11" t="s">
        <v>113</v>
      </c>
      <c r="Z8" s="11" t="s">
        <v>110</v>
      </c>
      <c r="AA8" s="11" t="s">
        <v>109</v>
      </c>
      <c r="AB8" s="11" t="s">
        <v>111</v>
      </c>
      <c r="AC8" s="11" t="s">
        <v>112</v>
      </c>
      <c r="AD8" s="11" t="s">
        <v>107</v>
      </c>
      <c r="AE8" s="19" t="s">
        <v>109</v>
      </c>
      <c r="AF8" s="19" t="s">
        <v>112</v>
      </c>
      <c r="AG8" s="19" t="s">
        <v>107</v>
      </c>
      <c r="AH8" s="19" t="s">
        <v>109</v>
      </c>
      <c r="AI8" s="19" t="s">
        <v>112</v>
      </c>
      <c r="AJ8" s="19" t="s">
        <v>113</v>
      </c>
      <c r="AK8" s="19" t="s">
        <v>109</v>
      </c>
      <c r="AL8" s="19" t="s">
        <v>112</v>
      </c>
      <c r="AM8" s="19" t="s">
        <v>113</v>
      </c>
      <c r="AN8" s="19" t="s">
        <v>109</v>
      </c>
      <c r="AO8" s="19" t="s">
        <v>112</v>
      </c>
      <c r="AP8" s="19" t="s">
        <v>113</v>
      </c>
      <c r="AQ8" s="19" t="s">
        <v>109</v>
      </c>
      <c r="AR8" s="19" t="s">
        <v>112</v>
      </c>
      <c r="AS8" s="19" t="s">
        <v>113</v>
      </c>
      <c r="AT8" s="19" t="s">
        <v>109</v>
      </c>
      <c r="AU8" s="19" t="s">
        <v>112</v>
      </c>
      <c r="AV8" s="19" t="s">
        <v>113</v>
      </c>
      <c r="AW8" s="19" t="s">
        <v>109</v>
      </c>
      <c r="AX8" s="19" t="s">
        <v>112</v>
      </c>
      <c r="AY8" s="19" t="s">
        <v>113</v>
      </c>
      <c r="AZ8" s="19" t="s">
        <v>110</v>
      </c>
      <c r="BA8" s="19" t="s">
        <v>111</v>
      </c>
      <c r="BB8" s="19" t="s">
        <v>114</v>
      </c>
      <c r="BE8" s="63" t="s">
        <v>123</v>
      </c>
      <c r="BF8" s="63"/>
      <c r="BG8" s="63"/>
      <c r="BH8" s="38">
        <f>+BH7/3800</f>
        <v>1944538.4605263157</v>
      </c>
    </row>
    <row r="9" spans="1:61" x14ac:dyDescent="0.25">
      <c r="A9" s="2">
        <v>1</v>
      </c>
      <c r="B9" s="3" t="s">
        <v>8</v>
      </c>
      <c r="C9" s="4" t="s">
        <v>9</v>
      </c>
      <c r="D9" s="4" t="s">
        <v>10</v>
      </c>
      <c r="E9" s="14">
        <v>4</v>
      </c>
      <c r="F9" s="8">
        <v>55080</v>
      </c>
      <c r="G9" s="8">
        <v>0</v>
      </c>
      <c r="H9" s="8">
        <v>0</v>
      </c>
      <c r="I9" s="8">
        <v>100</v>
      </c>
      <c r="J9" s="8">
        <f>+I9*3141.36</f>
        <v>314136</v>
      </c>
      <c r="K9" s="8">
        <v>0</v>
      </c>
      <c r="L9" s="8">
        <f>+K9*3141.36</f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f>+T9*3141.36</f>
        <v>0</v>
      </c>
      <c r="V9" s="8">
        <v>0</v>
      </c>
      <c r="W9" s="8">
        <f>+V9*3141.36</f>
        <v>0</v>
      </c>
      <c r="X9" s="8">
        <v>0</v>
      </c>
      <c r="Y9" s="8">
        <f>+X9*3141.36</f>
        <v>0</v>
      </c>
      <c r="Z9" s="8">
        <v>15</v>
      </c>
      <c r="AA9" s="8">
        <f>+Z9*3141.36</f>
        <v>47120.4</v>
      </c>
      <c r="AB9" s="8">
        <v>0</v>
      </c>
      <c r="AC9" s="8">
        <f>+AB9*3141.36</f>
        <v>0</v>
      </c>
      <c r="AD9" s="8">
        <v>0</v>
      </c>
      <c r="AE9" s="18">
        <f>+MIN(F9,J9,AA9)</f>
        <v>47120.4</v>
      </c>
      <c r="AF9" s="8">
        <v>0</v>
      </c>
      <c r="AG9" s="8">
        <v>0</v>
      </c>
      <c r="AH9" s="18">
        <f>+MEDIAN(F9,J9,AA9)</f>
        <v>55080</v>
      </c>
      <c r="AI9" s="8">
        <f>+MEDIAN(G9,L9,O9,R9,W9,AC9)</f>
        <v>0</v>
      </c>
      <c r="AJ9" s="8">
        <v>0</v>
      </c>
      <c r="AK9" s="8">
        <f>+GEOMEAN(F9,J9,AA9)</f>
        <v>93420.07318113817</v>
      </c>
      <c r="AL9" s="8">
        <v>0</v>
      </c>
      <c r="AM9" s="8">
        <v>0</v>
      </c>
      <c r="AN9" s="8">
        <f>+AVERAGE(F9,J9,AA9)</f>
        <v>138778.80000000002</v>
      </c>
      <c r="AO9" s="8">
        <v>0</v>
      </c>
      <c r="AP9" s="8">
        <v>0</v>
      </c>
      <c r="AQ9" s="8">
        <f>+_xlfn.STDEV.P(F9,J9,AA9)</f>
        <v>124038.83666529607</v>
      </c>
      <c r="AR9" s="8">
        <v>0</v>
      </c>
      <c r="AS9" s="8">
        <v>0</v>
      </c>
      <c r="AT9" s="23">
        <f>+AQ9/AH9</f>
        <v>2.2519759743154695</v>
      </c>
      <c r="AU9" s="8">
        <v>0</v>
      </c>
      <c r="AV9" s="8">
        <v>0</v>
      </c>
      <c r="AW9" s="8">
        <f>+IF(AT9&lt;100%,AE9,AH9)</f>
        <v>55080</v>
      </c>
      <c r="AX9" s="8">
        <v>0</v>
      </c>
      <c r="AY9" s="8">
        <v>0</v>
      </c>
      <c r="AZ9" s="8">
        <f>+AW9/3141.36</f>
        <v>17.533807013522804</v>
      </c>
      <c r="BA9" s="8">
        <v>0</v>
      </c>
      <c r="BB9" s="8">
        <v>0</v>
      </c>
      <c r="BD9" s="17"/>
    </row>
    <row r="10" spans="1:61" x14ac:dyDescent="0.25">
      <c r="A10" s="2">
        <v>2</v>
      </c>
      <c r="B10" s="39" t="s">
        <v>11</v>
      </c>
      <c r="C10" s="4" t="s">
        <v>12</v>
      </c>
      <c r="D10" s="4" t="s">
        <v>10</v>
      </c>
      <c r="E10" s="14">
        <v>30</v>
      </c>
      <c r="F10" s="8">
        <v>0</v>
      </c>
      <c r="G10" s="8">
        <v>0</v>
      </c>
      <c r="H10" s="8">
        <v>0</v>
      </c>
      <c r="I10" s="8">
        <v>0</v>
      </c>
      <c r="J10" s="8">
        <f t="shared" ref="J10:J55" si="0">+I10*3141.36</f>
        <v>0</v>
      </c>
      <c r="K10" s="8">
        <v>0</v>
      </c>
      <c r="L10" s="8">
        <f t="shared" ref="L10:L55" si="1">+K10*3141.36</f>
        <v>0</v>
      </c>
      <c r="M10" s="8">
        <v>0</v>
      </c>
      <c r="N10" s="8">
        <v>724000</v>
      </c>
      <c r="O10" s="8">
        <v>0</v>
      </c>
      <c r="P10" s="8">
        <v>0</v>
      </c>
      <c r="Q10" s="8">
        <v>1104000</v>
      </c>
      <c r="R10" s="8">
        <v>0</v>
      </c>
      <c r="S10" s="8">
        <v>0</v>
      </c>
      <c r="T10" s="8">
        <v>0</v>
      </c>
      <c r="U10" s="8">
        <f t="shared" ref="U10:U55" si="2">+T10*3141.36</f>
        <v>0</v>
      </c>
      <c r="V10" s="8">
        <v>0</v>
      </c>
      <c r="W10" s="8">
        <f t="shared" ref="W10:W55" si="3">+V10*3141.36</f>
        <v>0</v>
      </c>
      <c r="X10" s="8">
        <v>0</v>
      </c>
      <c r="Y10" s="8">
        <f t="shared" ref="Y10:Y55" si="4">+X10*3141.36</f>
        <v>0</v>
      </c>
      <c r="Z10" s="8">
        <v>120</v>
      </c>
      <c r="AA10" s="8">
        <f t="shared" ref="AA10:AA55" si="5">+Z10*3141.36</f>
        <v>376963.2</v>
      </c>
      <c r="AB10" s="8">
        <v>0</v>
      </c>
      <c r="AC10" s="8">
        <f t="shared" ref="AC10:AC55" si="6">+AB10*3141.36</f>
        <v>0</v>
      </c>
      <c r="AD10" s="8">
        <v>0</v>
      </c>
      <c r="AE10" s="18">
        <f>+MIN(N10,Q10,AA10)</f>
        <v>376963.2</v>
      </c>
      <c r="AF10" s="8">
        <v>0</v>
      </c>
      <c r="AG10" s="8">
        <v>0</v>
      </c>
      <c r="AH10" s="18">
        <f>+MEDIAN(N10,Q10,AA10)</f>
        <v>724000</v>
      </c>
      <c r="AI10" s="8">
        <f>+MEDIAN(G10,L10,O10,R10,W10,AC10)</f>
        <v>0</v>
      </c>
      <c r="AJ10" s="8">
        <v>0</v>
      </c>
      <c r="AK10" s="8">
        <f>+GEOMEAN(N10,Q10,AA10)</f>
        <v>670402.35571613337</v>
      </c>
      <c r="AL10" s="8">
        <v>0</v>
      </c>
      <c r="AM10" s="8">
        <v>0</v>
      </c>
      <c r="AN10" s="8">
        <f>+AVERAGE(AA10,Q10,N10)</f>
        <v>734987.7333333334</v>
      </c>
      <c r="AO10" s="8">
        <v>0</v>
      </c>
      <c r="AP10" s="8">
        <v>0</v>
      </c>
      <c r="AQ10" s="8">
        <f>+_xlfn.STDEV.P(AA10,Q10,N10)</f>
        <v>296913.20263831661</v>
      </c>
      <c r="AR10" s="8">
        <v>0</v>
      </c>
      <c r="AS10" s="8">
        <v>0</v>
      </c>
      <c r="AT10" s="23">
        <f t="shared" ref="AT10:AT55" si="7">+AQ10/AH10</f>
        <v>0.41010110861645943</v>
      </c>
      <c r="AU10" s="8">
        <v>0</v>
      </c>
      <c r="AV10" s="8">
        <v>0</v>
      </c>
      <c r="AW10" s="8">
        <f t="shared" ref="AW10:AW55" si="8">+IF(AT10&lt;100%,AE10,AH10)</f>
        <v>376963.2</v>
      </c>
      <c r="AX10" s="8">
        <v>0</v>
      </c>
      <c r="AY10" s="8">
        <v>0</v>
      </c>
      <c r="AZ10" s="8">
        <f t="shared" ref="AZ10:AZ55" si="9">+AW10/3141.36</f>
        <v>120</v>
      </c>
      <c r="BA10" s="8">
        <v>0</v>
      </c>
      <c r="BB10" s="8">
        <v>0</v>
      </c>
      <c r="BD10" s="22">
        <f>+E10*AZ10</f>
        <v>3600</v>
      </c>
    </row>
    <row r="11" spans="1:61" x14ac:dyDescent="0.25">
      <c r="A11" s="2">
        <v>3</v>
      </c>
      <c r="B11" s="39" t="s">
        <v>13</v>
      </c>
      <c r="C11" s="4" t="s">
        <v>14</v>
      </c>
      <c r="D11" s="4" t="s">
        <v>10</v>
      </c>
      <c r="E11" s="14">
        <v>1</v>
      </c>
      <c r="F11" s="8">
        <v>0</v>
      </c>
      <c r="G11" s="8">
        <v>642600</v>
      </c>
      <c r="H11" s="8">
        <v>0</v>
      </c>
      <c r="I11" s="8">
        <v>0</v>
      </c>
      <c r="J11" s="8">
        <f t="shared" si="0"/>
        <v>0</v>
      </c>
      <c r="K11" s="8">
        <v>0</v>
      </c>
      <c r="L11" s="8">
        <f t="shared" si="1"/>
        <v>0</v>
      </c>
      <c r="M11" s="8">
        <v>0</v>
      </c>
      <c r="N11" s="8">
        <v>0</v>
      </c>
      <c r="O11" s="8">
        <v>0</v>
      </c>
      <c r="P11" s="8">
        <v>0</v>
      </c>
      <c r="Q11" s="8">
        <v>103231100</v>
      </c>
      <c r="R11" s="8">
        <v>0</v>
      </c>
      <c r="S11" s="8">
        <v>0</v>
      </c>
      <c r="T11" s="8">
        <v>0</v>
      </c>
      <c r="U11" s="8">
        <f t="shared" si="2"/>
        <v>0</v>
      </c>
      <c r="V11" s="8">
        <v>0</v>
      </c>
      <c r="W11" s="8">
        <f t="shared" si="3"/>
        <v>0</v>
      </c>
      <c r="X11" s="8">
        <v>0</v>
      </c>
      <c r="Y11" s="8">
        <f t="shared" si="4"/>
        <v>0</v>
      </c>
      <c r="Z11" s="8">
        <v>24025</v>
      </c>
      <c r="AA11" s="8">
        <f t="shared" si="5"/>
        <v>75471174</v>
      </c>
      <c r="AB11" s="8">
        <v>0</v>
      </c>
      <c r="AC11" s="8">
        <f t="shared" si="6"/>
        <v>0</v>
      </c>
      <c r="AD11" s="8">
        <v>0</v>
      </c>
      <c r="AE11" s="18">
        <f>+MIN(Q11,AA11)</f>
        <v>75471174</v>
      </c>
      <c r="AF11" s="8">
        <f>+G11</f>
        <v>642600</v>
      </c>
      <c r="AG11" s="8">
        <v>0</v>
      </c>
      <c r="AH11" s="18">
        <f>+MEDIAN(Q11,AA11)</f>
        <v>89351137</v>
      </c>
      <c r="AI11" s="8">
        <f>+MEDIAN(G11)</f>
        <v>642600</v>
      </c>
      <c r="AJ11" s="8">
        <v>0</v>
      </c>
      <c r="AK11" s="8">
        <f>+GEOMEAN(Q11,AA11)</f>
        <v>88266484.637779698</v>
      </c>
      <c r="AL11" s="8">
        <f>+G11</f>
        <v>642600</v>
      </c>
      <c r="AM11" s="8">
        <v>0</v>
      </c>
      <c r="AN11" s="8">
        <f>+AVERAGE(AA11,Q11)</f>
        <v>89351137</v>
      </c>
      <c r="AO11" s="8">
        <f>+G11</f>
        <v>642600</v>
      </c>
      <c r="AP11" s="8">
        <v>0</v>
      </c>
      <c r="AQ11" s="8">
        <f>+_xlfn.STDEV.P(AA11,Q11)</f>
        <v>13879963</v>
      </c>
      <c r="AR11" s="8">
        <v>0</v>
      </c>
      <c r="AS11" s="8">
        <v>0</v>
      </c>
      <c r="AT11" s="23">
        <f t="shared" si="7"/>
        <v>0.15534176134770394</v>
      </c>
      <c r="AU11" s="8">
        <v>0</v>
      </c>
      <c r="AV11" s="8">
        <v>0</v>
      </c>
      <c r="AW11" s="8">
        <f t="shared" si="8"/>
        <v>75471174</v>
      </c>
      <c r="AX11" s="8">
        <v>0</v>
      </c>
      <c r="AY11" s="8">
        <v>0</v>
      </c>
      <c r="AZ11" s="8">
        <f t="shared" si="9"/>
        <v>24025</v>
      </c>
      <c r="BA11" s="8">
        <v>0</v>
      </c>
      <c r="BB11" s="8">
        <v>0</v>
      </c>
      <c r="BD11" s="18">
        <f t="shared" ref="BD11:BD12" si="10">+E11*AZ11</f>
        <v>24025</v>
      </c>
    </row>
    <row r="12" spans="1:61" x14ac:dyDescent="0.25">
      <c r="A12" s="2">
        <v>4</v>
      </c>
      <c r="B12" s="39" t="s">
        <v>15</v>
      </c>
      <c r="C12" s="3" t="s">
        <v>16</v>
      </c>
      <c r="D12" s="4" t="s">
        <v>10</v>
      </c>
      <c r="E12" s="15">
        <v>2</v>
      </c>
      <c r="F12" s="8">
        <v>54865800</v>
      </c>
      <c r="G12" s="8">
        <v>0</v>
      </c>
      <c r="H12" s="8">
        <v>0</v>
      </c>
      <c r="I12" s="8">
        <v>0</v>
      </c>
      <c r="J12" s="8">
        <f t="shared" si="0"/>
        <v>0</v>
      </c>
      <c r="K12" s="8">
        <v>0</v>
      </c>
      <c r="L12" s="8">
        <f t="shared" si="1"/>
        <v>0</v>
      </c>
      <c r="M12" s="8">
        <v>0</v>
      </c>
      <c r="N12" s="8">
        <v>0</v>
      </c>
      <c r="O12" s="8">
        <v>129600000</v>
      </c>
      <c r="P12" s="8">
        <v>0</v>
      </c>
      <c r="Q12" s="8">
        <v>61250500</v>
      </c>
      <c r="R12" s="8">
        <v>0</v>
      </c>
      <c r="S12" s="8">
        <v>0</v>
      </c>
      <c r="T12" s="8">
        <v>0</v>
      </c>
      <c r="U12" s="8">
        <f t="shared" si="2"/>
        <v>0</v>
      </c>
      <c r="V12" s="8">
        <v>0</v>
      </c>
      <c r="W12" s="8">
        <f t="shared" si="3"/>
        <v>0</v>
      </c>
      <c r="X12" s="8">
        <v>0</v>
      </c>
      <c r="Y12" s="8">
        <f t="shared" si="4"/>
        <v>0</v>
      </c>
      <c r="Z12" s="8">
        <v>0</v>
      </c>
      <c r="AA12" s="8">
        <f t="shared" si="5"/>
        <v>0</v>
      </c>
      <c r="AB12" s="8">
        <v>0</v>
      </c>
      <c r="AC12" s="8">
        <f t="shared" si="6"/>
        <v>0</v>
      </c>
      <c r="AD12" s="8">
        <v>0</v>
      </c>
      <c r="AE12" s="18">
        <f>+MIN(F12,Q12)</f>
        <v>54865800</v>
      </c>
      <c r="AF12" s="8">
        <f>+O12</f>
        <v>129600000</v>
      </c>
      <c r="AG12" s="8">
        <v>0</v>
      </c>
      <c r="AH12" s="18">
        <f>+MEDIAN(F12,Q12)</f>
        <v>58058150</v>
      </c>
      <c r="AI12" s="8">
        <f>+O12</f>
        <v>129600000</v>
      </c>
      <c r="AJ12" s="8">
        <v>0</v>
      </c>
      <c r="AK12" s="8">
        <f>+GEOMEAN(F12,Q12)</f>
        <v>57970317.257196374</v>
      </c>
      <c r="AL12" s="8">
        <f>+O12</f>
        <v>129600000</v>
      </c>
      <c r="AM12" s="8">
        <v>0</v>
      </c>
      <c r="AN12" s="8">
        <f>+AVERAGE(Q12,F12)</f>
        <v>58058150</v>
      </c>
      <c r="AO12" s="8">
        <f>+O12</f>
        <v>129600000</v>
      </c>
      <c r="AP12" s="8">
        <v>0</v>
      </c>
      <c r="AQ12" s="8">
        <f>+_xlfn.STDEV.P(Q12,F12)</f>
        <v>3192350</v>
      </c>
      <c r="AR12" s="8">
        <v>0</v>
      </c>
      <c r="AS12" s="8">
        <v>0</v>
      </c>
      <c r="AT12" s="23">
        <f t="shared" si="7"/>
        <v>5.4985389648137255E-2</v>
      </c>
      <c r="AU12" s="8">
        <v>0</v>
      </c>
      <c r="AV12" s="8">
        <v>0</v>
      </c>
      <c r="AW12" s="8">
        <f t="shared" si="8"/>
        <v>54865800</v>
      </c>
      <c r="AX12" s="8">
        <v>0</v>
      </c>
      <c r="AY12" s="8">
        <v>0</v>
      </c>
      <c r="AZ12" s="8">
        <f t="shared" si="9"/>
        <v>17465.619986247995</v>
      </c>
      <c r="BA12" s="8">
        <v>0</v>
      </c>
      <c r="BB12" s="8">
        <v>0</v>
      </c>
      <c r="BD12" s="18">
        <f t="shared" si="10"/>
        <v>34931.239972495991</v>
      </c>
    </row>
    <row r="13" spans="1:61" s="86" customFormat="1" x14ac:dyDescent="0.25">
      <c r="A13" s="83">
        <v>5</v>
      </c>
      <c r="B13" s="39" t="s">
        <v>17</v>
      </c>
      <c r="C13" s="84" t="s">
        <v>18</v>
      </c>
      <c r="D13" s="84" t="s">
        <v>10</v>
      </c>
      <c r="E13" s="85">
        <v>4</v>
      </c>
      <c r="F13" s="21">
        <v>0</v>
      </c>
      <c r="G13" s="21">
        <v>593640000</v>
      </c>
      <c r="H13" s="21">
        <v>0</v>
      </c>
      <c r="I13" s="21">
        <v>0</v>
      </c>
      <c r="J13" s="21">
        <f t="shared" si="0"/>
        <v>0</v>
      </c>
      <c r="K13" s="21">
        <v>0</v>
      </c>
      <c r="L13" s="21">
        <f t="shared" si="1"/>
        <v>0</v>
      </c>
      <c r="M13" s="21">
        <v>0</v>
      </c>
      <c r="N13" s="21">
        <v>0</v>
      </c>
      <c r="O13" s="21">
        <v>624000000</v>
      </c>
      <c r="P13" s="21">
        <v>0</v>
      </c>
      <c r="Q13" s="21">
        <v>1915053300</v>
      </c>
      <c r="R13" s="21">
        <v>0</v>
      </c>
      <c r="S13" s="21">
        <v>0</v>
      </c>
      <c r="T13" s="21">
        <v>0</v>
      </c>
      <c r="U13" s="21">
        <f t="shared" si="2"/>
        <v>0</v>
      </c>
      <c r="V13" s="21">
        <v>140000</v>
      </c>
      <c r="W13" s="21">
        <f t="shared" si="3"/>
        <v>439790400</v>
      </c>
      <c r="X13" s="21">
        <v>0</v>
      </c>
      <c r="Y13" s="21">
        <f t="shared" si="4"/>
        <v>0</v>
      </c>
      <c r="Z13" s="21">
        <v>0</v>
      </c>
      <c r="AA13" s="21">
        <f t="shared" si="5"/>
        <v>0</v>
      </c>
      <c r="AB13" s="21">
        <v>0</v>
      </c>
      <c r="AC13" s="21">
        <f t="shared" si="6"/>
        <v>0</v>
      </c>
      <c r="AD13" s="21">
        <v>0</v>
      </c>
      <c r="AE13" s="22">
        <f>+Q13</f>
        <v>1915053300</v>
      </c>
      <c r="AF13" s="21">
        <f>+MIN(G13,O13,W13)</f>
        <v>439790400</v>
      </c>
      <c r="AG13" s="21">
        <v>0</v>
      </c>
      <c r="AH13" s="22">
        <f>+MEDIAN(Q13)</f>
        <v>1915053300</v>
      </c>
      <c r="AI13" s="21">
        <f>+MEDIAN(G13,O13,W13)</f>
        <v>593640000</v>
      </c>
      <c r="AJ13" s="21">
        <v>0</v>
      </c>
      <c r="AK13" s="21">
        <f>+Q13</f>
        <v>1915053300</v>
      </c>
      <c r="AL13" s="21">
        <f>+GEOMEAN(W13,O13,G13)</f>
        <v>546157410.08733201</v>
      </c>
      <c r="AM13" s="21">
        <v>0</v>
      </c>
      <c r="AN13" s="21">
        <f>+AVERAGE(Q13)</f>
        <v>1915053300</v>
      </c>
      <c r="AO13" s="21">
        <f>+AVERAGE(W13,O13,G13)</f>
        <v>552476800</v>
      </c>
      <c r="AP13" s="21">
        <v>0</v>
      </c>
      <c r="AQ13" s="21">
        <f>+_xlfn.STDEV.P(Q13)</f>
        <v>0</v>
      </c>
      <c r="AR13" s="21">
        <f>+_xlfn.STDEV.P(W13,O13,)</f>
        <v>261772754.00713497</v>
      </c>
      <c r="AS13" s="21">
        <v>0</v>
      </c>
      <c r="AT13" s="26">
        <f t="shared" si="7"/>
        <v>0</v>
      </c>
      <c r="AU13" s="26">
        <f t="shared" ref="AU13:AU47" si="11">+AR13/AI13</f>
        <v>0.44096212183669392</v>
      </c>
      <c r="AV13" s="21">
        <v>0</v>
      </c>
      <c r="AW13" s="21">
        <f t="shared" si="8"/>
        <v>1915053300</v>
      </c>
      <c r="AX13" s="21">
        <f>+AF13</f>
        <v>439790400</v>
      </c>
      <c r="AY13" s="21">
        <v>0</v>
      </c>
      <c r="AZ13" s="21">
        <f t="shared" si="9"/>
        <v>609625.54435021768</v>
      </c>
      <c r="BA13" s="21">
        <f>+AX13/3141.36</f>
        <v>140000</v>
      </c>
      <c r="BB13" s="21">
        <v>0</v>
      </c>
      <c r="BC13" s="86">
        <v>3</v>
      </c>
      <c r="BD13" s="22">
        <f>+BA13*BC13</f>
        <v>420000</v>
      </c>
      <c r="BF13" s="87">
        <f>+BF4-BD13</f>
        <v>-155461.53947368427</v>
      </c>
    </row>
    <row r="14" spans="1:61" x14ac:dyDescent="0.25">
      <c r="A14" s="2">
        <v>6</v>
      </c>
      <c r="B14" s="39" t="s">
        <v>19</v>
      </c>
      <c r="C14" s="4" t="s">
        <v>20</v>
      </c>
      <c r="D14" s="4" t="s">
        <v>10</v>
      </c>
      <c r="E14" s="14">
        <v>1</v>
      </c>
      <c r="F14" s="8">
        <v>0</v>
      </c>
      <c r="G14" s="8">
        <v>5814000</v>
      </c>
      <c r="H14" s="8">
        <v>0</v>
      </c>
      <c r="I14" s="8">
        <v>0</v>
      </c>
      <c r="J14" s="8">
        <f t="shared" si="0"/>
        <v>0</v>
      </c>
      <c r="K14" s="8">
        <v>0</v>
      </c>
      <c r="L14" s="8">
        <f t="shared" si="1"/>
        <v>0</v>
      </c>
      <c r="M14" s="8">
        <v>0</v>
      </c>
      <c r="N14" s="8">
        <v>30600000</v>
      </c>
      <c r="O14" s="8">
        <v>0</v>
      </c>
      <c r="P14" s="8">
        <v>0</v>
      </c>
      <c r="Q14" s="8">
        <v>35786800</v>
      </c>
      <c r="R14" s="8">
        <v>0</v>
      </c>
      <c r="S14" s="8">
        <v>0</v>
      </c>
      <c r="T14" s="8">
        <v>0</v>
      </c>
      <c r="U14" s="8">
        <f t="shared" si="2"/>
        <v>0</v>
      </c>
      <c r="V14" s="8">
        <v>0</v>
      </c>
      <c r="W14" s="8">
        <f t="shared" si="3"/>
        <v>0</v>
      </c>
      <c r="X14" s="8">
        <v>0</v>
      </c>
      <c r="Y14" s="8">
        <f t="shared" si="4"/>
        <v>0</v>
      </c>
      <c r="Z14" s="8">
        <v>0</v>
      </c>
      <c r="AA14" s="8">
        <f t="shared" si="5"/>
        <v>0</v>
      </c>
      <c r="AB14" s="8">
        <v>0</v>
      </c>
      <c r="AC14" s="8">
        <f t="shared" si="6"/>
        <v>0</v>
      </c>
      <c r="AD14" s="8">
        <v>0</v>
      </c>
      <c r="AE14" s="18">
        <f>+MIN(N14,Q14)</f>
        <v>30600000</v>
      </c>
      <c r="AF14" s="8">
        <f>+G14</f>
        <v>5814000</v>
      </c>
      <c r="AG14" s="8">
        <v>0</v>
      </c>
      <c r="AH14" s="18">
        <f>+MEDIAN(Q14,N14)</f>
        <v>33193400</v>
      </c>
      <c r="AI14" s="8">
        <f>+G14</f>
        <v>5814000</v>
      </c>
      <c r="AJ14" s="8">
        <v>0</v>
      </c>
      <c r="AK14" s="8">
        <f>+GEOMEAN(Q14,N14)</f>
        <v>33091933.760359187</v>
      </c>
      <c r="AL14" s="8">
        <f>+G14</f>
        <v>5814000</v>
      </c>
      <c r="AM14" s="8">
        <v>0</v>
      </c>
      <c r="AN14" s="8">
        <f>+AVERAGE(Q14,N14)</f>
        <v>33193400</v>
      </c>
      <c r="AO14" s="8">
        <f>+G14</f>
        <v>5814000</v>
      </c>
      <c r="AP14" s="8">
        <v>0</v>
      </c>
      <c r="AQ14" s="8">
        <f>+_xlfn.STDEV.P(Q14,N14)</f>
        <v>2593400</v>
      </c>
      <c r="AR14" s="8">
        <v>0</v>
      </c>
      <c r="AS14" s="8">
        <v>0</v>
      </c>
      <c r="AT14" s="23">
        <f t="shared" si="7"/>
        <v>7.8129989696746949E-2</v>
      </c>
      <c r="AU14" s="8">
        <v>0</v>
      </c>
      <c r="AV14" s="8">
        <v>0</v>
      </c>
      <c r="AW14" s="8">
        <f t="shared" si="8"/>
        <v>30600000</v>
      </c>
      <c r="AX14" s="8">
        <v>0</v>
      </c>
      <c r="AY14" s="8">
        <v>0</v>
      </c>
      <c r="AZ14" s="8">
        <f t="shared" si="9"/>
        <v>9741.0038964015584</v>
      </c>
      <c r="BA14" s="8">
        <v>0</v>
      </c>
      <c r="BB14" s="8">
        <v>0</v>
      </c>
      <c r="BD14" s="18"/>
    </row>
    <row r="15" spans="1:61" x14ac:dyDescent="0.25">
      <c r="A15" s="2">
        <v>7</v>
      </c>
      <c r="B15" s="39" t="s">
        <v>21</v>
      </c>
      <c r="C15" s="4" t="s">
        <v>22</v>
      </c>
      <c r="D15" s="4" t="s">
        <v>10</v>
      </c>
      <c r="E15" s="14">
        <v>8</v>
      </c>
      <c r="F15" s="8">
        <v>0</v>
      </c>
      <c r="G15" s="8">
        <v>0</v>
      </c>
      <c r="H15" s="8">
        <v>0</v>
      </c>
      <c r="I15" s="8">
        <v>0</v>
      </c>
      <c r="J15" s="8">
        <f t="shared" si="0"/>
        <v>0</v>
      </c>
      <c r="K15" s="8">
        <v>0</v>
      </c>
      <c r="L15" s="8">
        <f t="shared" si="1"/>
        <v>0</v>
      </c>
      <c r="M15" s="8">
        <v>0</v>
      </c>
      <c r="N15" s="8">
        <v>0</v>
      </c>
      <c r="O15" s="8">
        <v>0</v>
      </c>
      <c r="P15" s="8">
        <v>0</v>
      </c>
      <c r="Q15" s="8">
        <v>130071200</v>
      </c>
      <c r="R15" s="8">
        <v>0</v>
      </c>
      <c r="S15" s="8">
        <v>0</v>
      </c>
      <c r="T15" s="8">
        <v>0</v>
      </c>
      <c r="U15" s="8">
        <f t="shared" si="2"/>
        <v>0</v>
      </c>
      <c r="V15" s="8">
        <v>0</v>
      </c>
      <c r="W15" s="8">
        <f t="shared" si="3"/>
        <v>0</v>
      </c>
      <c r="X15" s="8">
        <v>0</v>
      </c>
      <c r="Y15" s="8">
        <f t="shared" si="4"/>
        <v>0</v>
      </c>
      <c r="Z15" s="8">
        <v>0</v>
      </c>
      <c r="AA15" s="8">
        <f t="shared" si="5"/>
        <v>0</v>
      </c>
      <c r="AB15" s="8">
        <v>0</v>
      </c>
      <c r="AC15" s="8">
        <f t="shared" si="6"/>
        <v>0</v>
      </c>
      <c r="AD15" s="8">
        <v>0</v>
      </c>
      <c r="AE15" s="18">
        <f>+Q15</f>
        <v>130071200</v>
      </c>
      <c r="AF15" s="8">
        <v>0</v>
      </c>
      <c r="AG15" s="8">
        <v>0</v>
      </c>
      <c r="AH15" s="18">
        <f>+MEDIAN(Q15)</f>
        <v>130071200</v>
      </c>
      <c r="AI15" s="8">
        <f t="shared" ref="AI15:AI19" si="12">+MEDIAN(G15,L15,O15,R15,W15,AC15)</f>
        <v>0</v>
      </c>
      <c r="AJ15" s="8">
        <v>0</v>
      </c>
      <c r="AK15" s="8">
        <f>+GEOMEAN(Q15)</f>
        <v>130071200</v>
      </c>
      <c r="AL15" s="8">
        <v>0</v>
      </c>
      <c r="AM15" s="8">
        <v>0</v>
      </c>
      <c r="AN15" s="8">
        <f>+Q15</f>
        <v>130071200</v>
      </c>
      <c r="AO15" s="8">
        <v>0</v>
      </c>
      <c r="AP15" s="8">
        <v>0</v>
      </c>
      <c r="AQ15" s="8">
        <f>+_xlfn.STDEV.P(Q15)</f>
        <v>0</v>
      </c>
      <c r="AR15" s="8">
        <v>0</v>
      </c>
      <c r="AS15" s="8">
        <v>0</v>
      </c>
      <c r="AT15" s="23">
        <f t="shared" si="7"/>
        <v>0</v>
      </c>
      <c r="AU15" s="8">
        <v>0</v>
      </c>
      <c r="AV15" s="8">
        <v>0</v>
      </c>
      <c r="AW15" s="8">
        <f t="shared" si="8"/>
        <v>130071200</v>
      </c>
      <c r="AX15" s="8">
        <v>0</v>
      </c>
      <c r="AY15" s="8">
        <v>0</v>
      </c>
      <c r="AZ15" s="8">
        <f t="shared" si="9"/>
        <v>41406.015229072756</v>
      </c>
      <c r="BA15" s="8">
        <v>0</v>
      </c>
      <c r="BB15" s="8">
        <v>0</v>
      </c>
      <c r="BD15" s="18">
        <f>+E15*AZ15</f>
        <v>331248.12183258205</v>
      </c>
    </row>
    <row r="16" spans="1:61" x14ac:dyDescent="0.25">
      <c r="A16" s="2">
        <v>8</v>
      </c>
      <c r="B16" s="39" t="s">
        <v>23</v>
      </c>
      <c r="C16" s="4" t="s">
        <v>24</v>
      </c>
      <c r="D16" s="4" t="s">
        <v>10</v>
      </c>
      <c r="E16" s="14">
        <v>10</v>
      </c>
      <c r="F16" s="8">
        <v>4773600</v>
      </c>
      <c r="G16" s="8">
        <v>0</v>
      </c>
      <c r="H16" s="8">
        <v>0</v>
      </c>
      <c r="I16" s="9">
        <v>1295</v>
      </c>
      <c r="J16" s="8">
        <f t="shared" si="0"/>
        <v>4068061.2</v>
      </c>
      <c r="K16" s="8">
        <v>0</v>
      </c>
      <c r="L16" s="8">
        <f t="shared" si="1"/>
        <v>0</v>
      </c>
      <c r="M16" s="8">
        <v>0</v>
      </c>
      <c r="N16" s="9">
        <v>10360000</v>
      </c>
      <c r="O16" s="8">
        <v>0</v>
      </c>
      <c r="P16" s="8">
        <v>0</v>
      </c>
      <c r="Q16" s="9">
        <v>4679800</v>
      </c>
      <c r="R16" s="8">
        <v>0</v>
      </c>
      <c r="S16" s="8">
        <v>0</v>
      </c>
      <c r="T16" s="8">
        <v>0</v>
      </c>
      <c r="U16" s="8">
        <f t="shared" si="2"/>
        <v>0</v>
      </c>
      <c r="V16" s="8">
        <v>0</v>
      </c>
      <c r="W16" s="8">
        <f t="shared" si="3"/>
        <v>0</v>
      </c>
      <c r="X16" s="8">
        <v>0</v>
      </c>
      <c r="Y16" s="8">
        <f t="shared" si="4"/>
        <v>0</v>
      </c>
      <c r="Z16" s="8">
        <v>785</v>
      </c>
      <c r="AA16" s="8">
        <f t="shared" si="5"/>
        <v>2465967.6</v>
      </c>
      <c r="AB16" s="8">
        <v>0</v>
      </c>
      <c r="AC16" s="8">
        <f t="shared" si="6"/>
        <v>0</v>
      </c>
      <c r="AD16" s="8">
        <v>0</v>
      </c>
      <c r="AE16" s="18">
        <f>+MIN(F16,J16,N16,Q16,AA16)</f>
        <v>2465967.6</v>
      </c>
      <c r="AF16" s="8">
        <v>0</v>
      </c>
      <c r="AG16" s="8">
        <v>0</v>
      </c>
      <c r="AH16" s="18">
        <f>+MEDIAN(F16,J16,N16,Q16,AA16)</f>
        <v>4679800</v>
      </c>
      <c r="AI16" s="8">
        <f t="shared" si="12"/>
        <v>0</v>
      </c>
      <c r="AJ16" s="8">
        <v>0</v>
      </c>
      <c r="AK16" s="8">
        <f>+GEOMEAN(AA16,Q16,N16,J16,F16)</f>
        <v>4711525.9067232413</v>
      </c>
      <c r="AL16" s="8">
        <v>0</v>
      </c>
      <c r="AM16" s="8">
        <v>0</v>
      </c>
      <c r="AN16" s="8">
        <f>+AVERAGE(AA16,Q16,N16,J16,F16)</f>
        <v>5269485.76</v>
      </c>
      <c r="AO16" s="8">
        <v>0</v>
      </c>
      <c r="AP16" s="8">
        <v>0</v>
      </c>
      <c r="AQ16" s="8">
        <f>+_xlfn.STDEV.P(AA16,Q16,N16,J16,F16)</f>
        <v>2676195.1444908245</v>
      </c>
      <c r="AR16" s="8">
        <v>0</v>
      </c>
      <c r="AS16" s="8">
        <v>0</v>
      </c>
      <c r="AT16" s="23">
        <f t="shared" si="7"/>
        <v>0.57186100784025484</v>
      </c>
      <c r="AU16" s="8">
        <v>0</v>
      </c>
      <c r="AV16" s="8">
        <v>0</v>
      </c>
      <c r="AW16" s="8">
        <f t="shared" si="8"/>
        <v>2465967.6</v>
      </c>
      <c r="AX16" s="8">
        <v>0</v>
      </c>
      <c r="AY16" s="8">
        <v>0</v>
      </c>
      <c r="AZ16" s="8">
        <f t="shared" si="9"/>
        <v>785</v>
      </c>
      <c r="BA16" s="8">
        <v>0</v>
      </c>
      <c r="BB16" s="8">
        <v>0</v>
      </c>
    </row>
    <row r="17" spans="1:58" s="86" customFormat="1" x14ac:dyDescent="0.25">
      <c r="A17" s="83">
        <v>9</v>
      </c>
      <c r="B17" s="39" t="s">
        <v>25</v>
      </c>
      <c r="C17" s="84" t="s">
        <v>26</v>
      </c>
      <c r="D17" s="84" t="s">
        <v>10</v>
      </c>
      <c r="E17" s="85">
        <v>4</v>
      </c>
      <c r="F17" s="21">
        <v>25704000</v>
      </c>
      <c r="G17" s="21">
        <v>0</v>
      </c>
      <c r="H17" s="21">
        <v>0</v>
      </c>
      <c r="I17" s="21">
        <v>0</v>
      </c>
      <c r="J17" s="21">
        <f t="shared" si="0"/>
        <v>0</v>
      </c>
      <c r="K17" s="21">
        <v>0</v>
      </c>
      <c r="L17" s="21">
        <f t="shared" si="1"/>
        <v>0</v>
      </c>
      <c r="M17" s="21">
        <v>0</v>
      </c>
      <c r="N17" s="21">
        <v>13600888</v>
      </c>
      <c r="O17" s="21">
        <v>0</v>
      </c>
      <c r="P17" s="21">
        <v>0</v>
      </c>
      <c r="Q17" s="21">
        <v>14452300</v>
      </c>
      <c r="R17" s="21">
        <v>0</v>
      </c>
      <c r="S17" s="21">
        <v>0</v>
      </c>
      <c r="T17" s="21">
        <v>0</v>
      </c>
      <c r="U17" s="21">
        <f t="shared" si="2"/>
        <v>0</v>
      </c>
      <c r="V17" s="21">
        <v>0</v>
      </c>
      <c r="W17" s="21">
        <f t="shared" si="3"/>
        <v>0</v>
      </c>
      <c r="X17" s="21">
        <v>0</v>
      </c>
      <c r="Y17" s="21">
        <f t="shared" si="4"/>
        <v>0</v>
      </c>
      <c r="Z17" s="21">
        <v>1821.59</v>
      </c>
      <c r="AA17" s="21">
        <f t="shared" si="5"/>
        <v>5722269.9623999996</v>
      </c>
      <c r="AB17" s="21">
        <v>0</v>
      </c>
      <c r="AC17" s="21">
        <f t="shared" si="6"/>
        <v>0</v>
      </c>
      <c r="AD17" s="21">
        <v>0</v>
      </c>
      <c r="AE17" s="22">
        <f>+MIN(F17,N17,Q17,AA17)</f>
        <v>5722269.9623999996</v>
      </c>
      <c r="AF17" s="21">
        <v>0</v>
      </c>
      <c r="AG17" s="21">
        <v>0</v>
      </c>
      <c r="AH17" s="22">
        <f>+MEDIAN(F17,N17,Q17,AA17)</f>
        <v>14026594</v>
      </c>
      <c r="AI17" s="21">
        <f t="shared" si="12"/>
        <v>0</v>
      </c>
      <c r="AJ17" s="21">
        <v>0</v>
      </c>
      <c r="AK17" s="21">
        <f>+GEOMEAN(AA17,Q17,N17,F17)</f>
        <v>13039721.681228001</v>
      </c>
      <c r="AL17" s="21">
        <v>0</v>
      </c>
      <c r="AM17" s="21">
        <v>0</v>
      </c>
      <c r="AN17" s="21">
        <f>+AVERAGE(AA17,Q17,N17,F17)</f>
        <v>14869864.490600001</v>
      </c>
      <c r="AO17" s="21">
        <v>0</v>
      </c>
      <c r="AP17" s="21">
        <v>0</v>
      </c>
      <c r="AQ17" s="21">
        <f>+_xlfn.STDEV.P(AA17,Q17,N17,F17)</f>
        <v>7121124.1971668676</v>
      </c>
      <c r="AR17" s="21">
        <v>0</v>
      </c>
      <c r="AS17" s="21">
        <v>0</v>
      </c>
      <c r="AT17" s="26">
        <f t="shared" si="7"/>
        <v>0.50768734000334415</v>
      </c>
      <c r="AU17" s="21">
        <v>0</v>
      </c>
      <c r="AV17" s="21">
        <v>0</v>
      </c>
      <c r="AW17" s="21">
        <f t="shared" si="8"/>
        <v>5722269.9623999996</v>
      </c>
      <c r="AX17" s="21">
        <v>0</v>
      </c>
      <c r="AY17" s="21">
        <v>0</v>
      </c>
      <c r="AZ17" s="21">
        <f t="shared" si="9"/>
        <v>1821.5899999999997</v>
      </c>
      <c r="BA17" s="21">
        <v>0</v>
      </c>
      <c r="BB17" s="21">
        <v>0</v>
      </c>
    </row>
    <row r="18" spans="1:58" x14ac:dyDescent="0.25">
      <c r="A18" s="2">
        <v>10</v>
      </c>
      <c r="B18" s="39" t="s">
        <v>27</v>
      </c>
      <c r="C18" s="4" t="s">
        <v>28</v>
      </c>
      <c r="D18" s="4" t="s">
        <v>10</v>
      </c>
      <c r="E18" s="14">
        <v>2</v>
      </c>
      <c r="F18" s="8">
        <v>7344000</v>
      </c>
      <c r="G18" s="8">
        <v>0</v>
      </c>
      <c r="H18" s="8">
        <v>0</v>
      </c>
      <c r="I18" s="8">
        <v>0</v>
      </c>
      <c r="J18" s="8">
        <f t="shared" si="0"/>
        <v>0</v>
      </c>
      <c r="K18" s="8">
        <v>0</v>
      </c>
      <c r="L18" s="8">
        <f t="shared" si="1"/>
        <v>0</v>
      </c>
      <c r="M18" s="8">
        <v>0</v>
      </c>
      <c r="N18" s="8">
        <v>13600888</v>
      </c>
      <c r="O18" s="8">
        <v>0</v>
      </c>
      <c r="P18" s="8">
        <v>0</v>
      </c>
      <c r="Q18" s="8">
        <v>68029300</v>
      </c>
      <c r="R18" s="8">
        <v>0</v>
      </c>
      <c r="S18" s="8">
        <v>0</v>
      </c>
      <c r="T18" s="8">
        <v>0</v>
      </c>
      <c r="U18" s="8">
        <f t="shared" si="2"/>
        <v>0</v>
      </c>
      <c r="V18" s="8">
        <v>0</v>
      </c>
      <c r="W18" s="8">
        <f t="shared" si="3"/>
        <v>0</v>
      </c>
      <c r="X18" s="8">
        <v>0</v>
      </c>
      <c r="Y18" s="8">
        <f t="shared" si="4"/>
        <v>0</v>
      </c>
      <c r="Z18" s="8">
        <v>2351</v>
      </c>
      <c r="AA18" s="8">
        <f t="shared" si="5"/>
        <v>7385337.3600000003</v>
      </c>
      <c r="AB18" s="8">
        <v>0</v>
      </c>
      <c r="AC18" s="8">
        <f t="shared" si="6"/>
        <v>0</v>
      </c>
      <c r="AD18" s="8">
        <v>0</v>
      </c>
      <c r="AE18" s="18">
        <f>+MIN(AA18,Q18,N18,F18)</f>
        <v>7344000</v>
      </c>
      <c r="AF18" s="8">
        <v>0</v>
      </c>
      <c r="AG18" s="8">
        <v>0</v>
      </c>
      <c r="AH18" s="18">
        <f t="shared" ref="AH18:AH19" si="13">+MEDIAN(F18,N18,Q18,AA18)</f>
        <v>10493112.68</v>
      </c>
      <c r="AI18" s="8">
        <f t="shared" si="12"/>
        <v>0</v>
      </c>
      <c r="AJ18" s="8">
        <v>0</v>
      </c>
      <c r="AK18" s="8">
        <f>+GEOMEAN(AA18,Q18,N18,F18)</f>
        <v>14967234.681823714</v>
      </c>
      <c r="AL18" s="8">
        <v>0</v>
      </c>
      <c r="AM18" s="8">
        <v>0</v>
      </c>
      <c r="AN18" s="8">
        <f t="shared" ref="AN18:AN19" si="14">+AVERAGE(AA18,Q18,N18,F18)</f>
        <v>24089881.34</v>
      </c>
      <c r="AO18" s="8">
        <v>0</v>
      </c>
      <c r="AP18" s="8">
        <v>0</v>
      </c>
      <c r="AQ18" s="8">
        <f>+_xlfn.STDEV.P(AA18,Q18,N18,F18)</f>
        <v>25495871.356449239</v>
      </c>
      <c r="AR18" s="8">
        <v>0</v>
      </c>
      <c r="AS18" s="8">
        <v>0</v>
      </c>
      <c r="AT18" s="23">
        <f t="shared" si="7"/>
        <v>2.4297719974974328</v>
      </c>
      <c r="AU18" s="8">
        <v>0</v>
      </c>
      <c r="AV18" s="8">
        <v>0</v>
      </c>
      <c r="AW18" s="8">
        <f t="shared" si="8"/>
        <v>10493112.68</v>
      </c>
      <c r="AX18" s="8">
        <v>0</v>
      </c>
      <c r="AY18" s="8">
        <v>0</v>
      </c>
      <c r="AZ18" s="8">
        <f t="shared" si="9"/>
        <v>3340.3088725902153</v>
      </c>
      <c r="BA18" s="8">
        <v>0</v>
      </c>
      <c r="BB18" s="8">
        <v>0</v>
      </c>
      <c r="BD18" s="22">
        <f t="shared" ref="BD18" si="15">+E18*AZ18</f>
        <v>6680.6177451804306</v>
      </c>
    </row>
    <row r="19" spans="1:58" s="81" customFormat="1" x14ac:dyDescent="0.25">
      <c r="A19" s="74">
        <v>11</v>
      </c>
      <c r="B19" s="75" t="s">
        <v>29</v>
      </c>
      <c r="C19" s="76" t="s">
        <v>30</v>
      </c>
      <c r="D19" s="76" t="s">
        <v>10</v>
      </c>
      <c r="E19" s="77">
        <v>8</v>
      </c>
      <c r="F19" s="78">
        <v>9180000</v>
      </c>
      <c r="G19" s="78">
        <v>0</v>
      </c>
      <c r="H19" s="78">
        <v>0</v>
      </c>
      <c r="I19" s="78">
        <v>0</v>
      </c>
      <c r="J19" s="78">
        <f t="shared" si="0"/>
        <v>0</v>
      </c>
      <c r="K19" s="78">
        <v>0</v>
      </c>
      <c r="L19" s="78">
        <f t="shared" si="1"/>
        <v>0</v>
      </c>
      <c r="M19" s="78">
        <v>0</v>
      </c>
      <c r="N19" s="78">
        <v>13600888</v>
      </c>
      <c r="O19" s="78">
        <v>0</v>
      </c>
      <c r="P19" s="78">
        <v>0</v>
      </c>
      <c r="Q19" s="78">
        <v>13764100</v>
      </c>
      <c r="R19" s="78">
        <v>0</v>
      </c>
      <c r="S19" s="78">
        <v>0</v>
      </c>
      <c r="T19" s="78">
        <v>0</v>
      </c>
      <c r="U19" s="78">
        <f t="shared" si="2"/>
        <v>0</v>
      </c>
      <c r="V19" s="78">
        <v>0</v>
      </c>
      <c r="W19" s="78">
        <f t="shared" si="3"/>
        <v>0</v>
      </c>
      <c r="X19" s="78">
        <v>0</v>
      </c>
      <c r="Y19" s="78">
        <f t="shared" si="4"/>
        <v>0</v>
      </c>
      <c r="Z19" s="78">
        <v>1680</v>
      </c>
      <c r="AA19" s="78">
        <f t="shared" si="5"/>
        <v>5277484.8</v>
      </c>
      <c r="AB19" s="78">
        <v>0</v>
      </c>
      <c r="AC19" s="78">
        <f t="shared" si="6"/>
        <v>0</v>
      </c>
      <c r="AD19" s="78">
        <v>0</v>
      </c>
      <c r="AE19" s="79">
        <f>+MIN(F19,N19,Q19,AA19)</f>
        <v>5277484.8</v>
      </c>
      <c r="AF19" s="78">
        <v>0</v>
      </c>
      <c r="AG19" s="78">
        <v>0</v>
      </c>
      <c r="AH19" s="79">
        <f t="shared" si="13"/>
        <v>11390444</v>
      </c>
      <c r="AI19" s="78">
        <f t="shared" si="12"/>
        <v>0</v>
      </c>
      <c r="AJ19" s="78">
        <v>0</v>
      </c>
      <c r="AK19" s="78">
        <f>+GEOMEAN(AA19,Q19,N19,F19)</f>
        <v>9758794.8644297924</v>
      </c>
      <c r="AL19" s="78">
        <v>0</v>
      </c>
      <c r="AM19" s="78">
        <v>0</v>
      </c>
      <c r="AN19" s="78">
        <f t="shared" si="14"/>
        <v>10455618.199999999</v>
      </c>
      <c r="AO19" s="78">
        <v>0</v>
      </c>
      <c r="AP19" s="78">
        <v>0</v>
      </c>
      <c r="AQ19" s="78">
        <f>+_xlfn.STDEV.P(AA19,Q19,N19,F19)</f>
        <v>3509951.610638319</v>
      </c>
      <c r="AR19" s="78">
        <v>0</v>
      </c>
      <c r="AS19" s="78">
        <v>0</v>
      </c>
      <c r="AT19" s="80">
        <f t="shared" si="7"/>
        <v>0.30814879653842459</v>
      </c>
      <c r="AU19" s="78">
        <v>0</v>
      </c>
      <c r="AV19" s="78">
        <v>0</v>
      </c>
      <c r="AW19" s="78">
        <f t="shared" si="8"/>
        <v>5277484.8</v>
      </c>
      <c r="AX19" s="78">
        <v>0</v>
      </c>
      <c r="AY19" s="78">
        <v>0</v>
      </c>
      <c r="AZ19" s="78">
        <f t="shared" si="9"/>
        <v>1679.9999999999998</v>
      </c>
      <c r="BA19" s="78">
        <v>0</v>
      </c>
      <c r="BB19" s="78">
        <v>0</v>
      </c>
      <c r="BC19" s="81">
        <v>8</v>
      </c>
      <c r="BD19" s="79">
        <f>+BC19*AZ19</f>
        <v>13439.999999999998</v>
      </c>
      <c r="BF19" s="82">
        <f>+BF13-BD19</f>
        <v>-168901.53947368427</v>
      </c>
    </row>
    <row r="20" spans="1:58" x14ac:dyDescent="0.25">
      <c r="A20" s="2">
        <v>12</v>
      </c>
      <c r="B20" s="39" t="s">
        <v>31</v>
      </c>
      <c r="C20" s="4" t="s">
        <v>32</v>
      </c>
      <c r="D20" s="4" t="s">
        <v>10</v>
      </c>
      <c r="E20" s="14">
        <v>1</v>
      </c>
      <c r="F20" s="8">
        <v>0</v>
      </c>
      <c r="G20" s="8">
        <v>44982000</v>
      </c>
      <c r="H20" s="8">
        <v>0</v>
      </c>
      <c r="I20" s="8">
        <v>12500</v>
      </c>
      <c r="J20" s="8">
        <f t="shared" si="0"/>
        <v>39267000</v>
      </c>
      <c r="K20" s="8">
        <v>0</v>
      </c>
      <c r="L20" s="8">
        <f t="shared" si="1"/>
        <v>0</v>
      </c>
      <c r="M20" s="8">
        <v>0</v>
      </c>
      <c r="N20" s="8">
        <v>35888000</v>
      </c>
      <c r="O20" s="8">
        <v>0</v>
      </c>
      <c r="P20" s="8">
        <v>0</v>
      </c>
      <c r="Q20" s="8">
        <v>70197100</v>
      </c>
      <c r="R20" s="8">
        <v>0</v>
      </c>
      <c r="S20" s="8">
        <v>0</v>
      </c>
      <c r="T20" s="8">
        <v>0</v>
      </c>
      <c r="U20" s="8">
        <f t="shared" si="2"/>
        <v>0</v>
      </c>
      <c r="V20" s="8">
        <v>0</v>
      </c>
      <c r="W20" s="8">
        <f t="shared" si="3"/>
        <v>0</v>
      </c>
      <c r="X20" s="8">
        <v>0</v>
      </c>
      <c r="Y20" s="8">
        <f t="shared" si="4"/>
        <v>0</v>
      </c>
      <c r="Z20" s="8">
        <v>0</v>
      </c>
      <c r="AA20" s="8">
        <f t="shared" si="5"/>
        <v>0</v>
      </c>
      <c r="AB20" s="8">
        <v>0</v>
      </c>
      <c r="AC20" s="8">
        <f t="shared" si="6"/>
        <v>0</v>
      </c>
      <c r="AD20" s="8">
        <v>0</v>
      </c>
      <c r="AE20" s="18">
        <f>+MIN(J20,N20,Q20)</f>
        <v>35888000</v>
      </c>
      <c r="AF20" s="8">
        <f>+G20</f>
        <v>44982000</v>
      </c>
      <c r="AG20" s="8">
        <v>0</v>
      </c>
      <c r="AH20" s="22">
        <f>+MEDIAN(Q20,N20,J20)</f>
        <v>39267000</v>
      </c>
      <c r="AI20" s="8">
        <f>+G20</f>
        <v>44982000</v>
      </c>
      <c r="AJ20" s="8">
        <v>0</v>
      </c>
      <c r="AK20" s="21">
        <f>+GEOMEAN(Q20,N20,J20)</f>
        <v>46248613.399804071</v>
      </c>
      <c r="AL20" s="8">
        <f>+G20</f>
        <v>44982000</v>
      </c>
      <c r="AM20" s="8">
        <v>0</v>
      </c>
      <c r="AN20" s="8">
        <f>+AVERAGE(Q20,N20,J20)</f>
        <v>48450700</v>
      </c>
      <c r="AO20" s="8">
        <f>+G20</f>
        <v>44982000</v>
      </c>
      <c r="AP20" s="8">
        <v>0</v>
      </c>
      <c r="AQ20" s="8">
        <f>+_xlfn.STDEV.P(Q20,N20,J20)</f>
        <v>15438778.988205858</v>
      </c>
      <c r="AR20" s="8">
        <v>0</v>
      </c>
      <c r="AS20" s="8">
        <v>0</v>
      </c>
      <c r="AT20" s="23">
        <f t="shared" si="7"/>
        <v>0.39317439550273403</v>
      </c>
      <c r="AU20" s="8">
        <v>0</v>
      </c>
      <c r="AV20" s="8">
        <v>0</v>
      </c>
      <c r="AW20" s="8">
        <f t="shared" si="8"/>
        <v>35888000</v>
      </c>
      <c r="AX20" s="8">
        <v>0</v>
      </c>
      <c r="AY20" s="8">
        <v>0</v>
      </c>
      <c r="AZ20" s="8">
        <f t="shared" si="9"/>
        <v>11424.351236407161</v>
      </c>
      <c r="BA20" s="8">
        <v>0</v>
      </c>
      <c r="BB20" s="8">
        <v>0</v>
      </c>
    </row>
    <row r="21" spans="1:58" x14ac:dyDescent="0.25">
      <c r="A21" s="2">
        <v>13</v>
      </c>
      <c r="B21" s="39" t="s">
        <v>33</v>
      </c>
      <c r="C21" s="4" t="s">
        <v>34</v>
      </c>
      <c r="D21" s="4" t="s">
        <v>10</v>
      </c>
      <c r="E21" s="14">
        <v>8</v>
      </c>
      <c r="F21" s="8">
        <v>312120</v>
      </c>
      <c r="G21" s="8">
        <v>0</v>
      </c>
      <c r="H21" s="8">
        <v>0</v>
      </c>
      <c r="I21" s="8">
        <v>90</v>
      </c>
      <c r="J21" s="8">
        <f t="shared" si="0"/>
        <v>282722.40000000002</v>
      </c>
      <c r="K21" s="8">
        <v>0</v>
      </c>
      <c r="L21" s="8">
        <f t="shared" si="1"/>
        <v>0</v>
      </c>
      <c r="M21" s="8">
        <v>0</v>
      </c>
      <c r="N21" s="8">
        <v>2016000</v>
      </c>
      <c r="O21" s="8">
        <v>0</v>
      </c>
      <c r="P21" s="8">
        <v>0</v>
      </c>
      <c r="Q21" s="8">
        <v>1376500</v>
      </c>
      <c r="R21" s="8">
        <v>0</v>
      </c>
      <c r="S21" s="8">
        <v>0</v>
      </c>
      <c r="T21" s="8">
        <v>0</v>
      </c>
      <c r="U21" s="8">
        <f t="shared" si="2"/>
        <v>0</v>
      </c>
      <c r="V21" s="8">
        <v>0</v>
      </c>
      <c r="W21" s="8">
        <f t="shared" si="3"/>
        <v>0</v>
      </c>
      <c r="X21" s="8">
        <v>0</v>
      </c>
      <c r="Y21" s="8">
        <f t="shared" si="4"/>
        <v>0</v>
      </c>
      <c r="Z21" s="8">
        <v>0</v>
      </c>
      <c r="AA21" s="8">
        <f t="shared" si="5"/>
        <v>0</v>
      </c>
      <c r="AB21" s="8">
        <v>0</v>
      </c>
      <c r="AC21" s="8">
        <f t="shared" si="6"/>
        <v>0</v>
      </c>
      <c r="AD21" s="8">
        <v>0</v>
      </c>
      <c r="AE21" s="18">
        <f>+MIN(F21,J21,N21,Q21)</f>
        <v>282722.40000000002</v>
      </c>
      <c r="AF21" s="8">
        <v>0</v>
      </c>
      <c r="AG21" s="8">
        <v>0</v>
      </c>
      <c r="AH21" s="18">
        <f>+MEDIAN(F21,J21,N21,AE21)</f>
        <v>297421.2</v>
      </c>
      <c r="AI21" s="8">
        <f t="shared" ref="AI21:AI46" si="16">+MEDIAN(G21,L21,O21,R21,W21,AC21)</f>
        <v>0</v>
      </c>
      <c r="AJ21" s="8">
        <v>0</v>
      </c>
      <c r="AK21" s="8">
        <f>+GEOMEAN(Q21,N21,J21,F21)</f>
        <v>703456.32707394054</v>
      </c>
      <c r="AL21" s="8">
        <v>0</v>
      </c>
      <c r="AM21" s="8">
        <v>0</v>
      </c>
      <c r="AN21" s="8">
        <f>+AVERAGE(F21,J21,N21,Q21)</f>
        <v>996835.6</v>
      </c>
      <c r="AO21" s="8">
        <v>0</v>
      </c>
      <c r="AP21" s="8">
        <v>0</v>
      </c>
      <c r="AQ21" s="8">
        <f>+_xlfn.STDEV.P(Q21,N21,J21,F21)</f>
        <v>735124.86118895467</v>
      </c>
      <c r="AR21" s="8">
        <v>0</v>
      </c>
      <c r="AS21" s="8">
        <v>0</v>
      </c>
      <c r="AT21" s="23">
        <f t="shared" si="7"/>
        <v>2.4716626158086736</v>
      </c>
      <c r="AU21" s="8">
        <v>0</v>
      </c>
      <c r="AV21" s="8">
        <v>0</v>
      </c>
      <c r="AW21" s="8">
        <f t="shared" si="8"/>
        <v>297421.2</v>
      </c>
      <c r="AX21" s="8">
        <v>0</v>
      </c>
      <c r="AY21" s="8">
        <v>0</v>
      </c>
      <c r="AZ21" s="8">
        <f t="shared" si="9"/>
        <v>94.679119871647956</v>
      </c>
      <c r="BA21" s="8">
        <v>0</v>
      </c>
      <c r="BB21" s="8">
        <v>0</v>
      </c>
    </row>
    <row r="22" spans="1:58" x14ac:dyDescent="0.25">
      <c r="A22" s="2">
        <v>14</v>
      </c>
      <c r="B22" s="39" t="s">
        <v>35</v>
      </c>
      <c r="C22" s="4" t="s">
        <v>36</v>
      </c>
      <c r="D22" s="4" t="s">
        <v>10</v>
      </c>
      <c r="E22" s="14">
        <v>32</v>
      </c>
      <c r="F22" s="8">
        <v>1040400</v>
      </c>
      <c r="G22" s="8">
        <v>0</v>
      </c>
      <c r="H22" s="8">
        <v>0</v>
      </c>
      <c r="I22" s="8">
        <v>225</v>
      </c>
      <c r="J22" s="8">
        <f t="shared" si="0"/>
        <v>706806</v>
      </c>
      <c r="K22" s="8">
        <v>0</v>
      </c>
      <c r="L22" s="8">
        <f t="shared" si="1"/>
        <v>0</v>
      </c>
      <c r="M22" s="8">
        <v>0</v>
      </c>
      <c r="N22" s="8">
        <v>0</v>
      </c>
      <c r="O22" s="8">
        <v>0</v>
      </c>
      <c r="P22" s="8">
        <v>0</v>
      </c>
      <c r="Q22" s="8">
        <v>1720500</v>
      </c>
      <c r="R22" s="8">
        <v>0</v>
      </c>
      <c r="S22" s="8">
        <v>0</v>
      </c>
      <c r="T22" s="8">
        <v>0</v>
      </c>
      <c r="U22" s="8">
        <f t="shared" si="2"/>
        <v>0</v>
      </c>
      <c r="V22" s="8">
        <v>0</v>
      </c>
      <c r="W22" s="8">
        <f t="shared" si="3"/>
        <v>0</v>
      </c>
      <c r="X22" s="8">
        <v>0</v>
      </c>
      <c r="Y22" s="8">
        <f t="shared" si="4"/>
        <v>0</v>
      </c>
      <c r="Z22" s="8">
        <v>320</v>
      </c>
      <c r="AA22" s="8">
        <f t="shared" si="5"/>
        <v>1005235.2000000001</v>
      </c>
      <c r="AB22" s="8">
        <v>0</v>
      </c>
      <c r="AC22" s="8">
        <f t="shared" si="6"/>
        <v>0</v>
      </c>
      <c r="AD22" s="8">
        <v>0</v>
      </c>
      <c r="AE22" s="18">
        <f>+MIN(AA22,Q22,J22,F22)</f>
        <v>706806</v>
      </c>
      <c r="AF22" s="8">
        <v>0</v>
      </c>
      <c r="AG22" s="8">
        <v>0</v>
      </c>
      <c r="AH22" s="18">
        <f>+MEDIAN(F22,J22,Q22,AA22,AE22,)</f>
        <v>856020.60000000009</v>
      </c>
      <c r="AI22" s="8">
        <f t="shared" si="16"/>
        <v>0</v>
      </c>
      <c r="AJ22" s="8">
        <v>0</v>
      </c>
      <c r="AK22" s="8">
        <f>+GEOMEAN(AA22,Q22,J22,F22)</f>
        <v>1061954.0705396933</v>
      </c>
      <c r="AL22" s="8">
        <v>0</v>
      </c>
      <c r="AM22" s="8">
        <v>0</v>
      </c>
      <c r="AN22" s="8">
        <f>+AVERAGE(AA22,Q22,J22,F22)</f>
        <v>1118235.3</v>
      </c>
      <c r="AO22" s="8">
        <v>0</v>
      </c>
      <c r="AP22" s="8">
        <v>0</v>
      </c>
      <c r="AQ22" s="8">
        <f>+_xlfn.STDEV.P(AA22,Q22,J22,F22)</f>
        <v>371087.65618472127</v>
      </c>
      <c r="AR22" s="8">
        <v>0</v>
      </c>
      <c r="AS22" s="8">
        <v>0</v>
      </c>
      <c r="AT22" s="23">
        <f t="shared" si="7"/>
        <v>0.43350318460177389</v>
      </c>
      <c r="AU22" s="8">
        <v>0</v>
      </c>
      <c r="AV22" s="8">
        <v>0</v>
      </c>
      <c r="AW22" s="8">
        <f t="shared" si="8"/>
        <v>706806</v>
      </c>
      <c r="AX22" s="8">
        <v>0</v>
      </c>
      <c r="AY22" s="8">
        <v>0</v>
      </c>
      <c r="AZ22" s="8">
        <f t="shared" si="9"/>
        <v>225</v>
      </c>
      <c r="BA22" s="8">
        <v>0</v>
      </c>
      <c r="BB22" s="8">
        <v>0</v>
      </c>
    </row>
    <row r="23" spans="1:58" x14ac:dyDescent="0.25">
      <c r="A23" s="2">
        <v>15</v>
      </c>
      <c r="B23" s="39" t="s">
        <v>37</v>
      </c>
      <c r="C23" s="4" t="s">
        <v>38</v>
      </c>
      <c r="D23" s="4" t="s">
        <v>10</v>
      </c>
      <c r="E23" s="14">
        <v>30</v>
      </c>
      <c r="F23" s="8">
        <v>183600</v>
      </c>
      <c r="G23" s="8">
        <v>0</v>
      </c>
      <c r="H23" s="8">
        <v>0</v>
      </c>
      <c r="I23" s="8">
        <v>165</v>
      </c>
      <c r="J23" s="8">
        <f t="shared" si="0"/>
        <v>518324.4</v>
      </c>
      <c r="K23" s="8">
        <v>0</v>
      </c>
      <c r="L23" s="8">
        <f t="shared" si="1"/>
        <v>0</v>
      </c>
      <c r="M23" s="8">
        <v>0</v>
      </c>
      <c r="N23" s="8">
        <v>1260000</v>
      </c>
      <c r="O23" s="8">
        <v>0</v>
      </c>
      <c r="P23" s="8">
        <v>0</v>
      </c>
      <c r="Q23" s="8">
        <v>2202200</v>
      </c>
      <c r="R23" s="8">
        <v>0</v>
      </c>
      <c r="S23" s="8">
        <v>0</v>
      </c>
      <c r="T23" s="8">
        <v>0</v>
      </c>
      <c r="U23" s="8">
        <f t="shared" si="2"/>
        <v>0</v>
      </c>
      <c r="V23" s="8">
        <v>0</v>
      </c>
      <c r="W23" s="8">
        <f t="shared" si="3"/>
        <v>0</v>
      </c>
      <c r="X23" s="8">
        <v>0</v>
      </c>
      <c r="Y23" s="8">
        <f t="shared" si="4"/>
        <v>0</v>
      </c>
      <c r="Z23" s="8">
        <v>0</v>
      </c>
      <c r="AA23" s="8">
        <f t="shared" si="5"/>
        <v>0</v>
      </c>
      <c r="AB23" s="8">
        <v>0</v>
      </c>
      <c r="AC23" s="8">
        <f t="shared" si="6"/>
        <v>0</v>
      </c>
      <c r="AD23" s="8">
        <v>0</v>
      </c>
      <c r="AE23" s="18">
        <f>+MIN(Q23,N23,J23,F23)</f>
        <v>183600</v>
      </c>
      <c r="AF23" s="8">
        <v>0</v>
      </c>
      <c r="AG23" s="8">
        <v>0</v>
      </c>
      <c r="AH23" s="18">
        <f>+MEDIAN(F23,J23,N23,Q23,AE23)</f>
        <v>518324.4</v>
      </c>
      <c r="AI23" s="8">
        <f t="shared" si="16"/>
        <v>0</v>
      </c>
      <c r="AJ23" s="8">
        <v>0</v>
      </c>
      <c r="AK23" s="8">
        <f>+GEOMEAN(Q23,N23,J23,F23)</f>
        <v>716845.24445300212</v>
      </c>
      <c r="AL23" s="8">
        <v>0</v>
      </c>
      <c r="AM23" s="8">
        <v>0</v>
      </c>
      <c r="AN23" s="8">
        <f>+AVERAGE(Q23,N23,J23,F23)</f>
        <v>1041031.1</v>
      </c>
      <c r="AO23" s="8">
        <v>0</v>
      </c>
      <c r="AP23" s="8">
        <v>0</v>
      </c>
      <c r="AQ23" s="8">
        <f>+_xlfn.STDEV.P(Q23,N23,J23,F23)</f>
        <v>775350.07882996323</v>
      </c>
      <c r="AR23" s="8">
        <v>0</v>
      </c>
      <c r="AS23" s="8">
        <v>0</v>
      </c>
      <c r="AT23" s="23">
        <f t="shared" si="7"/>
        <v>1.4958780231645725</v>
      </c>
      <c r="AU23" s="8">
        <v>0</v>
      </c>
      <c r="AV23" s="8">
        <v>0</v>
      </c>
      <c r="AW23" s="8">
        <f t="shared" si="8"/>
        <v>518324.4</v>
      </c>
      <c r="AX23" s="8">
        <v>0</v>
      </c>
      <c r="AY23" s="8">
        <v>0</v>
      </c>
      <c r="AZ23" s="8">
        <f t="shared" si="9"/>
        <v>165</v>
      </c>
      <c r="BA23" s="8">
        <v>0</v>
      </c>
      <c r="BB23" s="8">
        <v>0</v>
      </c>
    </row>
    <row r="24" spans="1:58" x14ac:dyDescent="0.25">
      <c r="A24" s="2">
        <v>16</v>
      </c>
      <c r="B24" s="39" t="s">
        <v>39</v>
      </c>
      <c r="C24" s="4" t="s">
        <v>40</v>
      </c>
      <c r="D24" s="4" t="s">
        <v>10</v>
      </c>
      <c r="E24" s="14">
        <v>8</v>
      </c>
      <c r="F24" s="8">
        <v>1101600</v>
      </c>
      <c r="G24" s="8">
        <v>0</v>
      </c>
      <c r="H24" s="8">
        <v>0</v>
      </c>
      <c r="I24" s="8">
        <v>300</v>
      </c>
      <c r="J24" s="8">
        <f t="shared" si="0"/>
        <v>942408</v>
      </c>
      <c r="K24" s="8">
        <v>0</v>
      </c>
      <c r="L24" s="8">
        <f t="shared" si="1"/>
        <v>0</v>
      </c>
      <c r="M24" s="8">
        <v>0</v>
      </c>
      <c r="N24" s="8">
        <v>2016000</v>
      </c>
      <c r="O24" s="8">
        <v>0</v>
      </c>
      <c r="P24" s="8">
        <v>0</v>
      </c>
      <c r="Q24" s="8">
        <v>8086400</v>
      </c>
      <c r="R24" s="8">
        <v>0</v>
      </c>
      <c r="S24" s="8">
        <v>0</v>
      </c>
      <c r="T24" s="8">
        <v>0</v>
      </c>
      <c r="U24" s="8">
        <f t="shared" si="2"/>
        <v>0</v>
      </c>
      <c r="V24" s="8">
        <v>0</v>
      </c>
      <c r="W24" s="8">
        <f t="shared" si="3"/>
        <v>0</v>
      </c>
      <c r="X24" s="8">
        <v>0</v>
      </c>
      <c r="Y24" s="8">
        <f t="shared" si="4"/>
        <v>0</v>
      </c>
      <c r="Z24" s="8">
        <v>0</v>
      </c>
      <c r="AA24" s="8">
        <f t="shared" si="5"/>
        <v>0</v>
      </c>
      <c r="AB24" s="8">
        <v>0</v>
      </c>
      <c r="AC24" s="8">
        <f t="shared" si="6"/>
        <v>0</v>
      </c>
      <c r="AD24" s="8">
        <v>0</v>
      </c>
      <c r="AE24" s="18">
        <f>+MIN(Q24,N24,J24,F24)</f>
        <v>942408</v>
      </c>
      <c r="AF24" s="8">
        <v>0</v>
      </c>
      <c r="AG24" s="8">
        <v>0</v>
      </c>
      <c r="AH24" s="18">
        <f>+MEDIAN(F24,J24,N24,Q24,AE24)</f>
        <v>1101600</v>
      </c>
      <c r="AI24" s="8">
        <f t="shared" si="16"/>
        <v>0</v>
      </c>
      <c r="AJ24" s="8">
        <v>0</v>
      </c>
      <c r="AK24" s="8">
        <f>+GEOMEAN(Q24,N24,J24,F24)</f>
        <v>2028276.504596015</v>
      </c>
      <c r="AL24" s="8">
        <v>0</v>
      </c>
      <c r="AM24" s="8">
        <v>0</v>
      </c>
      <c r="AN24" s="8">
        <f>+AVERAGE(Q24,N24,J24,F24)</f>
        <v>3036602</v>
      </c>
      <c r="AO24" s="8">
        <v>0</v>
      </c>
      <c r="AP24" s="8">
        <v>0</v>
      </c>
      <c r="AQ24" s="8">
        <f>+_xlfn.STDEV.P(Q24,N24,J24,F24)</f>
        <v>2944145.4419257212</v>
      </c>
      <c r="AR24" s="8">
        <v>0</v>
      </c>
      <c r="AS24" s="8">
        <v>0</v>
      </c>
      <c r="AT24" s="23">
        <f t="shared" si="7"/>
        <v>2.6726084258584977</v>
      </c>
      <c r="AU24" s="8">
        <v>0</v>
      </c>
      <c r="AV24" s="8">
        <v>0</v>
      </c>
      <c r="AW24" s="8">
        <f t="shared" si="8"/>
        <v>1101600</v>
      </c>
      <c r="AX24" s="8">
        <v>0</v>
      </c>
      <c r="AY24" s="8">
        <v>0</v>
      </c>
      <c r="AZ24" s="8">
        <f t="shared" si="9"/>
        <v>350.67614027045607</v>
      </c>
      <c r="BA24" s="8">
        <v>0</v>
      </c>
      <c r="BB24" s="8">
        <v>0</v>
      </c>
    </row>
    <row r="25" spans="1:58" x14ac:dyDescent="0.25">
      <c r="A25" s="2">
        <v>17</v>
      </c>
      <c r="B25" s="39" t="s">
        <v>41</v>
      </c>
      <c r="C25" s="4" t="s">
        <v>42</v>
      </c>
      <c r="D25" s="4" t="s">
        <v>10</v>
      </c>
      <c r="E25" s="14">
        <v>4</v>
      </c>
      <c r="F25" s="8">
        <v>489600</v>
      </c>
      <c r="G25" s="8">
        <v>0</v>
      </c>
      <c r="H25" s="8">
        <v>0</v>
      </c>
      <c r="I25" s="8">
        <v>150</v>
      </c>
      <c r="J25" s="8">
        <f t="shared" si="0"/>
        <v>471204</v>
      </c>
      <c r="K25" s="8">
        <v>0</v>
      </c>
      <c r="L25" s="8">
        <f t="shared" si="1"/>
        <v>0</v>
      </c>
      <c r="M25" s="8">
        <v>0</v>
      </c>
      <c r="N25" s="8">
        <v>2016000</v>
      </c>
      <c r="O25" s="8">
        <v>0</v>
      </c>
      <c r="P25" s="8">
        <v>0</v>
      </c>
      <c r="Q25" s="8">
        <v>468000</v>
      </c>
      <c r="R25" s="8">
        <v>0</v>
      </c>
      <c r="S25" s="8">
        <v>0</v>
      </c>
      <c r="T25" s="8">
        <v>0</v>
      </c>
      <c r="U25" s="8">
        <f t="shared" si="2"/>
        <v>0</v>
      </c>
      <c r="V25" s="8">
        <v>0</v>
      </c>
      <c r="W25" s="8">
        <f t="shared" si="3"/>
        <v>0</v>
      </c>
      <c r="X25" s="8">
        <v>0</v>
      </c>
      <c r="Y25" s="8">
        <f t="shared" si="4"/>
        <v>0</v>
      </c>
      <c r="Z25" s="8">
        <v>108.7</v>
      </c>
      <c r="AA25" s="8">
        <f t="shared" si="5"/>
        <v>341465.83199999999</v>
      </c>
      <c r="AB25" s="8">
        <v>0</v>
      </c>
      <c r="AC25" s="8">
        <f t="shared" si="6"/>
        <v>0</v>
      </c>
      <c r="AD25" s="8">
        <v>0</v>
      </c>
      <c r="AE25" s="18">
        <f>+MIN(AA25,Q25,N25,J25,F25)</f>
        <v>341465.83199999999</v>
      </c>
      <c r="AF25" s="8">
        <v>0</v>
      </c>
      <c r="AG25" s="8">
        <v>0</v>
      </c>
      <c r="AH25" s="18">
        <f>+MEDIAN(F25,J25,N25,Q25,AA25,AE25)</f>
        <v>469602</v>
      </c>
      <c r="AI25" s="8">
        <f t="shared" si="16"/>
        <v>0</v>
      </c>
      <c r="AJ25" s="8">
        <v>0</v>
      </c>
      <c r="AK25" s="8">
        <f>+GEOMEAN(AA25,Q25,N25,J25,F25)</f>
        <v>594602.59793786157</v>
      </c>
      <c r="AL25" s="8">
        <v>0</v>
      </c>
      <c r="AM25" s="8">
        <v>0</v>
      </c>
      <c r="AN25" s="8">
        <f>+AVERAGE(AA25,Q25,N25,J25,F25)</f>
        <v>757253.96640000003</v>
      </c>
      <c r="AO25" s="8">
        <v>0</v>
      </c>
      <c r="AP25" s="8">
        <v>0</v>
      </c>
      <c r="AQ25" s="8">
        <f>+_xlfn.STDEV.P(AA25,Q25,N25,J25,F25)</f>
        <v>631577.77603344957</v>
      </c>
      <c r="AR25" s="8">
        <v>0</v>
      </c>
      <c r="AS25" s="8">
        <v>0</v>
      </c>
      <c r="AT25" s="23">
        <f t="shared" si="7"/>
        <v>1.344921393080629</v>
      </c>
      <c r="AU25" s="8">
        <v>0</v>
      </c>
      <c r="AV25" s="8">
        <v>0</v>
      </c>
      <c r="AW25" s="8">
        <f t="shared" si="8"/>
        <v>469602</v>
      </c>
      <c r="AX25" s="8">
        <v>0</v>
      </c>
      <c r="AY25" s="8">
        <v>0</v>
      </c>
      <c r="AZ25" s="8">
        <f t="shared" si="9"/>
        <v>149.49002979601192</v>
      </c>
      <c r="BA25" s="8">
        <v>0</v>
      </c>
      <c r="BB25" s="8">
        <v>0</v>
      </c>
    </row>
    <row r="26" spans="1:58" x14ac:dyDescent="0.25">
      <c r="A26" s="2">
        <v>18</v>
      </c>
      <c r="B26" s="39" t="s">
        <v>43</v>
      </c>
      <c r="C26" s="4" t="s">
        <v>44</v>
      </c>
      <c r="D26" s="4" t="s">
        <v>10</v>
      </c>
      <c r="E26" s="14">
        <v>16</v>
      </c>
      <c r="F26" s="8">
        <v>2142000</v>
      </c>
      <c r="G26" s="8">
        <v>0</v>
      </c>
      <c r="H26" s="8">
        <v>0</v>
      </c>
      <c r="I26" s="8">
        <v>275</v>
      </c>
      <c r="J26" s="8">
        <f t="shared" si="0"/>
        <v>863874</v>
      </c>
      <c r="K26" s="8">
        <v>0</v>
      </c>
      <c r="L26" s="8">
        <f t="shared" si="1"/>
        <v>0</v>
      </c>
      <c r="M26" s="8">
        <v>0</v>
      </c>
      <c r="N26" s="8">
        <v>2016000</v>
      </c>
      <c r="O26" s="8">
        <v>0</v>
      </c>
      <c r="P26" s="8">
        <v>0</v>
      </c>
      <c r="Q26" s="8">
        <v>3303400</v>
      </c>
      <c r="R26" s="8">
        <v>0</v>
      </c>
      <c r="S26" s="8">
        <v>0</v>
      </c>
      <c r="T26" s="8">
        <v>0</v>
      </c>
      <c r="U26" s="8">
        <f t="shared" si="2"/>
        <v>0</v>
      </c>
      <c r="V26" s="8">
        <v>0</v>
      </c>
      <c r="W26" s="8">
        <f t="shared" si="3"/>
        <v>0</v>
      </c>
      <c r="X26" s="8">
        <v>0</v>
      </c>
      <c r="Y26" s="8">
        <f t="shared" si="4"/>
        <v>0</v>
      </c>
      <c r="Z26" s="8">
        <v>0</v>
      </c>
      <c r="AA26" s="8">
        <f t="shared" si="5"/>
        <v>0</v>
      </c>
      <c r="AB26" s="8">
        <v>0</v>
      </c>
      <c r="AC26" s="8">
        <f t="shared" si="6"/>
        <v>0</v>
      </c>
      <c r="AD26" s="8">
        <v>0</v>
      </c>
      <c r="AE26" s="18">
        <f>+MIN(Q26,N26,J26,F26)</f>
        <v>863874</v>
      </c>
      <c r="AF26" s="8">
        <v>0</v>
      </c>
      <c r="AG26" s="8">
        <v>0</v>
      </c>
      <c r="AH26" s="18">
        <f>+MEDIAN(F26,J26,N26,Q26,AE26)</f>
        <v>2016000</v>
      </c>
      <c r="AI26" s="8">
        <f t="shared" si="16"/>
        <v>0</v>
      </c>
      <c r="AJ26" s="8">
        <v>0</v>
      </c>
      <c r="AK26" s="8">
        <f>+GEOMEAN(Q26,N26,J26,F26)</f>
        <v>1873615.1545569168</v>
      </c>
      <c r="AL26" s="8">
        <v>0</v>
      </c>
      <c r="AM26" s="8">
        <v>0</v>
      </c>
      <c r="AN26" s="8">
        <f>+AVERAGE(Q26,N26,J26,F26)</f>
        <v>2081318.5</v>
      </c>
      <c r="AO26" s="8">
        <v>0</v>
      </c>
      <c r="AP26" s="8">
        <v>0</v>
      </c>
      <c r="AQ26" s="8">
        <f>+_xlfn.STDEV.P(Q26,N26,J26,F26)</f>
        <v>863655.465753995</v>
      </c>
      <c r="AR26" s="8">
        <v>0</v>
      </c>
      <c r="AS26" s="8">
        <v>0</v>
      </c>
      <c r="AT26" s="23">
        <f t="shared" si="7"/>
        <v>0.42840052864781497</v>
      </c>
      <c r="AU26" s="8">
        <v>0</v>
      </c>
      <c r="AV26" s="8">
        <v>0</v>
      </c>
      <c r="AW26" s="8">
        <f t="shared" si="8"/>
        <v>863874</v>
      </c>
      <c r="AX26" s="8">
        <v>0</v>
      </c>
      <c r="AY26" s="8">
        <v>0</v>
      </c>
      <c r="AZ26" s="8">
        <f t="shared" si="9"/>
        <v>275</v>
      </c>
      <c r="BA26" s="8">
        <v>0</v>
      </c>
      <c r="BB26" s="8">
        <v>0</v>
      </c>
    </row>
    <row r="27" spans="1:58" x14ac:dyDescent="0.25">
      <c r="A27" s="2">
        <v>19</v>
      </c>
      <c r="B27" s="39" t="s">
        <v>45</v>
      </c>
      <c r="C27" s="4" t="s">
        <v>46</v>
      </c>
      <c r="D27" s="4" t="s">
        <v>10</v>
      </c>
      <c r="E27" s="14">
        <v>4</v>
      </c>
      <c r="F27" s="8">
        <v>19584000</v>
      </c>
      <c r="G27" s="8">
        <v>0</v>
      </c>
      <c r="H27" s="8">
        <v>0</v>
      </c>
      <c r="I27" s="8">
        <v>0</v>
      </c>
      <c r="J27" s="8">
        <f t="shared" si="0"/>
        <v>0</v>
      </c>
      <c r="K27" s="8">
        <v>0</v>
      </c>
      <c r="L27" s="8">
        <f t="shared" si="1"/>
        <v>0</v>
      </c>
      <c r="M27" s="8">
        <v>0</v>
      </c>
      <c r="N27" s="8">
        <v>0</v>
      </c>
      <c r="O27" s="8">
        <v>0</v>
      </c>
      <c r="P27" s="8">
        <v>0</v>
      </c>
      <c r="Q27" s="8">
        <v>37851400</v>
      </c>
      <c r="R27" s="8">
        <v>0</v>
      </c>
      <c r="S27" s="8">
        <v>0</v>
      </c>
      <c r="T27" s="8">
        <v>0</v>
      </c>
      <c r="U27" s="8">
        <f t="shared" si="2"/>
        <v>0</v>
      </c>
      <c r="V27" s="8">
        <v>0</v>
      </c>
      <c r="W27" s="8">
        <f t="shared" si="3"/>
        <v>0</v>
      </c>
      <c r="X27" s="8">
        <v>0</v>
      </c>
      <c r="Y27" s="8">
        <f t="shared" si="4"/>
        <v>0</v>
      </c>
      <c r="Z27" s="8">
        <v>0</v>
      </c>
      <c r="AA27" s="8">
        <f t="shared" si="5"/>
        <v>0</v>
      </c>
      <c r="AB27" s="8">
        <v>0</v>
      </c>
      <c r="AC27" s="8">
        <f t="shared" si="6"/>
        <v>0</v>
      </c>
      <c r="AD27" s="8">
        <v>0</v>
      </c>
      <c r="AE27" s="18">
        <f>+MIN(Q27,F27)</f>
        <v>19584000</v>
      </c>
      <c r="AF27" s="8">
        <v>0</v>
      </c>
      <c r="AG27" s="8">
        <v>0</v>
      </c>
      <c r="AH27" s="18">
        <f>+MEDIAN(F27,Q27,AE27)</f>
        <v>19584000</v>
      </c>
      <c r="AI27" s="8">
        <f t="shared" si="16"/>
        <v>0</v>
      </c>
      <c r="AJ27" s="8">
        <v>0</v>
      </c>
      <c r="AK27" s="8">
        <f>+GEOMEAN(Q27,F27)</f>
        <v>27226491.099662475</v>
      </c>
      <c r="AL27" s="8">
        <v>0</v>
      </c>
      <c r="AM27" s="8">
        <v>0</v>
      </c>
      <c r="AN27" s="8">
        <f>+AVERAGE(Q27,F27)</f>
        <v>28717700</v>
      </c>
      <c r="AO27" s="8">
        <v>0</v>
      </c>
      <c r="AP27" s="8">
        <v>0</v>
      </c>
      <c r="AQ27" s="8">
        <f>+_xlfn.STDEV.P(Q27,F27)</f>
        <v>9133700</v>
      </c>
      <c r="AR27" s="8">
        <v>0</v>
      </c>
      <c r="AS27" s="8">
        <v>0</v>
      </c>
      <c r="AT27" s="23">
        <f t="shared" si="7"/>
        <v>0.46638582516339872</v>
      </c>
      <c r="AU27" s="8">
        <v>0</v>
      </c>
      <c r="AV27" s="8">
        <v>0</v>
      </c>
      <c r="AW27" s="8">
        <f t="shared" si="8"/>
        <v>19584000</v>
      </c>
      <c r="AX27" s="8">
        <v>0</v>
      </c>
      <c r="AY27" s="8">
        <v>0</v>
      </c>
      <c r="AZ27" s="8">
        <f t="shared" si="9"/>
        <v>6234.2424936969974</v>
      </c>
      <c r="BA27" s="8">
        <v>0</v>
      </c>
      <c r="BB27" s="8">
        <v>0</v>
      </c>
    </row>
    <row r="28" spans="1:58" x14ac:dyDescent="0.25">
      <c r="A28" s="2">
        <v>20</v>
      </c>
      <c r="B28" s="39" t="s">
        <v>47</v>
      </c>
      <c r="C28" s="4" t="s">
        <v>48</v>
      </c>
      <c r="D28" s="4" t="s">
        <v>10</v>
      </c>
      <c r="E28" s="14">
        <v>4</v>
      </c>
      <c r="F28" s="8">
        <v>244800</v>
      </c>
      <c r="G28" s="8">
        <v>0</v>
      </c>
      <c r="H28" s="8">
        <v>0</v>
      </c>
      <c r="I28" s="8">
        <v>100</v>
      </c>
      <c r="J28" s="8">
        <f t="shared" si="0"/>
        <v>314136</v>
      </c>
      <c r="K28" s="8">
        <v>0</v>
      </c>
      <c r="L28" s="8">
        <f t="shared" si="1"/>
        <v>0</v>
      </c>
      <c r="M28" s="8">
        <v>0</v>
      </c>
      <c r="N28" s="8">
        <v>0</v>
      </c>
      <c r="O28" s="8">
        <v>0</v>
      </c>
      <c r="P28" s="8">
        <v>0</v>
      </c>
      <c r="Q28" s="8">
        <v>1376500</v>
      </c>
      <c r="R28" s="8">
        <v>0</v>
      </c>
      <c r="S28" s="8">
        <v>0</v>
      </c>
      <c r="T28" s="8">
        <v>0</v>
      </c>
      <c r="U28" s="8">
        <f t="shared" si="2"/>
        <v>0</v>
      </c>
      <c r="V28" s="8">
        <v>0</v>
      </c>
      <c r="W28" s="8">
        <f t="shared" si="3"/>
        <v>0</v>
      </c>
      <c r="X28" s="8">
        <v>0</v>
      </c>
      <c r="Y28" s="8">
        <f t="shared" si="4"/>
        <v>0</v>
      </c>
      <c r="Z28" s="8">
        <v>54</v>
      </c>
      <c r="AA28" s="8">
        <f t="shared" si="5"/>
        <v>169633.44</v>
      </c>
      <c r="AB28" s="8">
        <v>0</v>
      </c>
      <c r="AC28" s="8">
        <f t="shared" si="6"/>
        <v>0</v>
      </c>
      <c r="AD28" s="8">
        <v>0</v>
      </c>
      <c r="AE28" s="18">
        <f>+MIN(AA28,Q28,F28)</f>
        <v>169633.44</v>
      </c>
      <c r="AF28" s="8">
        <v>0</v>
      </c>
      <c r="AG28" s="8">
        <v>0</v>
      </c>
      <c r="AH28" s="18">
        <f>+MEDIAN(F28,J28,Q28,AA28,AE28)</f>
        <v>244800</v>
      </c>
      <c r="AI28" s="8">
        <f t="shared" si="16"/>
        <v>0</v>
      </c>
      <c r="AJ28" s="8">
        <v>0</v>
      </c>
      <c r="AK28" s="8">
        <f>+GEOMEAN(AA28,Q28,J28,F28)</f>
        <v>366061.62389562</v>
      </c>
      <c r="AL28" s="8">
        <v>0</v>
      </c>
      <c r="AM28" s="8">
        <v>0</v>
      </c>
      <c r="AN28" s="8">
        <f>+AVERAGE(AA28,Q28,J28,F28)</f>
        <v>526267.36</v>
      </c>
      <c r="AO28" s="8">
        <v>0</v>
      </c>
      <c r="AP28" s="8">
        <v>0</v>
      </c>
      <c r="AQ28" s="8">
        <f>+_xlfn.STDEV.P(AA28,Q28,J28,F28)</f>
        <v>493534.92370265839</v>
      </c>
      <c r="AR28" s="8">
        <v>0</v>
      </c>
      <c r="AS28" s="8">
        <v>0</v>
      </c>
      <c r="AT28" s="23">
        <f t="shared" si="7"/>
        <v>2.0160740347330814</v>
      </c>
      <c r="AU28" s="8">
        <v>0</v>
      </c>
      <c r="AV28" s="8">
        <v>0</v>
      </c>
      <c r="AW28" s="8">
        <f t="shared" si="8"/>
        <v>244800</v>
      </c>
      <c r="AX28" s="8">
        <v>0</v>
      </c>
      <c r="AY28" s="8">
        <v>0</v>
      </c>
      <c r="AZ28" s="8">
        <f t="shared" si="9"/>
        <v>77.928031171212467</v>
      </c>
      <c r="BA28" s="8">
        <v>0</v>
      </c>
      <c r="BB28" s="8">
        <v>0</v>
      </c>
    </row>
    <row r="29" spans="1:58" x14ac:dyDescent="0.25">
      <c r="A29" s="2">
        <v>21</v>
      </c>
      <c r="B29" s="39" t="s">
        <v>49</v>
      </c>
      <c r="C29" s="4" t="s">
        <v>50</v>
      </c>
      <c r="D29" s="4" t="s">
        <v>10</v>
      </c>
      <c r="E29" s="14">
        <v>8</v>
      </c>
      <c r="F29" s="8">
        <v>367200</v>
      </c>
      <c r="G29" s="8">
        <v>0</v>
      </c>
      <c r="H29" s="8">
        <v>0</v>
      </c>
      <c r="I29" s="8">
        <v>0</v>
      </c>
      <c r="J29" s="8">
        <f t="shared" si="0"/>
        <v>0</v>
      </c>
      <c r="K29" s="8">
        <v>0</v>
      </c>
      <c r="L29" s="8">
        <f t="shared" si="1"/>
        <v>0</v>
      </c>
      <c r="M29" s="8">
        <v>0</v>
      </c>
      <c r="N29" s="8">
        <v>0</v>
      </c>
      <c r="O29" s="8">
        <v>0</v>
      </c>
      <c r="P29" s="8">
        <v>0</v>
      </c>
      <c r="Q29" s="8">
        <v>688200</v>
      </c>
      <c r="R29" s="8">
        <v>0</v>
      </c>
      <c r="S29" s="8">
        <v>0</v>
      </c>
      <c r="T29" s="8">
        <v>0</v>
      </c>
      <c r="U29" s="8">
        <f t="shared" si="2"/>
        <v>0</v>
      </c>
      <c r="V29" s="8">
        <v>0</v>
      </c>
      <c r="W29" s="8">
        <f t="shared" si="3"/>
        <v>0</v>
      </c>
      <c r="X29" s="8">
        <v>0</v>
      </c>
      <c r="Y29" s="8">
        <f t="shared" si="4"/>
        <v>0</v>
      </c>
      <c r="Z29" s="8">
        <v>132</v>
      </c>
      <c r="AA29" s="8">
        <f t="shared" si="5"/>
        <v>414659.52</v>
      </c>
      <c r="AB29" s="8">
        <v>0</v>
      </c>
      <c r="AC29" s="8">
        <f t="shared" si="6"/>
        <v>0</v>
      </c>
      <c r="AD29" s="8">
        <v>0</v>
      </c>
      <c r="AE29" s="18">
        <f>+MIN(AA29,Q29,F29)</f>
        <v>367200</v>
      </c>
      <c r="AF29" s="8">
        <v>0</v>
      </c>
      <c r="AG29" s="8">
        <v>0</v>
      </c>
      <c r="AH29" s="18">
        <f>+MEDIAN(F28,J28,Q28,AA28,AE28)</f>
        <v>244800</v>
      </c>
      <c r="AI29" s="8">
        <f t="shared" si="16"/>
        <v>0</v>
      </c>
      <c r="AJ29" s="8">
        <v>0</v>
      </c>
      <c r="AK29" s="8">
        <f>+GEOMEAN(AA29,Q29,F29)</f>
        <v>471450.74585499236</v>
      </c>
      <c r="AL29" s="8">
        <v>0</v>
      </c>
      <c r="AM29" s="8">
        <v>0</v>
      </c>
      <c r="AN29" s="8">
        <f>+AVERAGE(AA29,Q29,F29)</f>
        <v>490019.84000000003</v>
      </c>
      <c r="AO29" s="8">
        <v>0</v>
      </c>
      <c r="AP29" s="8">
        <v>0</v>
      </c>
      <c r="AQ29" s="8">
        <f>+_xlfn.STDEV.P(AA29,Q29,F29)</f>
        <v>141467.62497211577</v>
      </c>
      <c r="AR29" s="8">
        <v>0</v>
      </c>
      <c r="AS29" s="8">
        <v>0</v>
      </c>
      <c r="AT29" s="23">
        <f t="shared" si="7"/>
        <v>0.57789062488609377</v>
      </c>
      <c r="AU29" s="8">
        <v>0</v>
      </c>
      <c r="AV29" s="8">
        <v>0</v>
      </c>
      <c r="AW29" s="8">
        <f t="shared" si="8"/>
        <v>367200</v>
      </c>
      <c r="AX29" s="8">
        <v>0</v>
      </c>
      <c r="AY29" s="8">
        <v>0</v>
      </c>
      <c r="AZ29" s="8">
        <f t="shared" si="9"/>
        <v>116.8920467568187</v>
      </c>
      <c r="BA29" s="8">
        <v>0</v>
      </c>
      <c r="BB29" s="8">
        <v>0</v>
      </c>
    </row>
    <row r="30" spans="1:58" x14ac:dyDescent="0.25">
      <c r="A30" s="2">
        <v>22</v>
      </c>
      <c r="B30" s="39" t="s">
        <v>51</v>
      </c>
      <c r="C30" s="4" t="s">
        <v>52</v>
      </c>
      <c r="D30" s="4" t="s">
        <v>10</v>
      </c>
      <c r="E30" s="14">
        <v>4</v>
      </c>
      <c r="F30" s="8">
        <v>0</v>
      </c>
      <c r="G30" s="8">
        <v>0</v>
      </c>
      <c r="H30" s="8">
        <v>0</v>
      </c>
      <c r="I30" s="8">
        <v>26500</v>
      </c>
      <c r="J30" s="8">
        <f t="shared" si="0"/>
        <v>83246040</v>
      </c>
      <c r="K30" s="8">
        <v>0</v>
      </c>
      <c r="L30" s="8">
        <f t="shared" si="1"/>
        <v>0</v>
      </c>
      <c r="M30" s="8">
        <v>0</v>
      </c>
      <c r="N30" s="8">
        <v>0</v>
      </c>
      <c r="O30" s="8">
        <v>0</v>
      </c>
      <c r="P30" s="8">
        <v>0</v>
      </c>
      <c r="Q30" s="8">
        <v>199417300</v>
      </c>
      <c r="R30" s="8">
        <v>0</v>
      </c>
      <c r="S30" s="8">
        <v>0</v>
      </c>
      <c r="T30" s="8">
        <v>0</v>
      </c>
      <c r="U30" s="8">
        <f t="shared" si="2"/>
        <v>0</v>
      </c>
      <c r="V30" s="8">
        <v>0</v>
      </c>
      <c r="W30" s="8">
        <f t="shared" si="3"/>
        <v>0</v>
      </c>
      <c r="X30" s="8">
        <v>0</v>
      </c>
      <c r="Y30" s="8">
        <f t="shared" si="4"/>
        <v>0</v>
      </c>
      <c r="Z30" s="8">
        <v>0</v>
      </c>
      <c r="AA30" s="8">
        <f t="shared" si="5"/>
        <v>0</v>
      </c>
      <c r="AB30" s="8">
        <v>0</v>
      </c>
      <c r="AC30" s="8">
        <f t="shared" si="6"/>
        <v>0</v>
      </c>
      <c r="AD30" s="8">
        <v>0</v>
      </c>
      <c r="AE30" s="18">
        <f>+MIN(Q30,J30)</f>
        <v>83246040</v>
      </c>
      <c r="AF30" s="8">
        <v>0</v>
      </c>
      <c r="AG30" s="8">
        <v>0</v>
      </c>
      <c r="AH30" s="18">
        <f>+MEDIAN(J30,Q30,AE30)</f>
        <v>83246040</v>
      </c>
      <c r="AI30" s="8">
        <f t="shared" si="16"/>
        <v>0</v>
      </c>
      <c r="AJ30" s="8">
        <v>0</v>
      </c>
      <c r="AK30" s="8">
        <f>+GEOMEAN(Q30,J30)</f>
        <v>128843705.83187988</v>
      </c>
      <c r="AL30" s="8">
        <v>0</v>
      </c>
      <c r="AM30" s="8">
        <v>0</v>
      </c>
      <c r="AN30" s="8">
        <f>+AVERAGE(Q30,J30)</f>
        <v>141331670</v>
      </c>
      <c r="AO30" s="8">
        <v>0</v>
      </c>
      <c r="AP30" s="8">
        <v>0</v>
      </c>
      <c r="AQ30" s="8">
        <f>+_xlfn.STDEV.P(Q30,J30)</f>
        <v>58085630</v>
      </c>
      <c r="AR30" s="8">
        <v>0</v>
      </c>
      <c r="AS30" s="8">
        <v>0</v>
      </c>
      <c r="AT30" s="23">
        <f t="shared" si="7"/>
        <v>0.6977584759587363</v>
      </c>
      <c r="AU30" s="8">
        <v>0</v>
      </c>
      <c r="AV30" s="8">
        <v>0</v>
      </c>
      <c r="AW30" s="8">
        <f t="shared" si="8"/>
        <v>83246040</v>
      </c>
      <c r="AX30" s="8">
        <v>0</v>
      </c>
      <c r="AY30" s="8">
        <v>0</v>
      </c>
      <c r="AZ30" s="8">
        <f t="shared" si="9"/>
        <v>26500</v>
      </c>
      <c r="BA30" s="8">
        <v>0</v>
      </c>
      <c r="BB30" s="8">
        <v>0</v>
      </c>
    </row>
    <row r="31" spans="1:58" x14ac:dyDescent="0.25">
      <c r="A31" s="2">
        <v>23</v>
      </c>
      <c r="B31" s="40" t="s">
        <v>53</v>
      </c>
      <c r="C31" s="4" t="s">
        <v>54</v>
      </c>
      <c r="D31" s="4" t="s">
        <v>10</v>
      </c>
      <c r="E31" s="14">
        <v>4</v>
      </c>
      <c r="F31" s="8">
        <v>183600</v>
      </c>
      <c r="G31" s="8">
        <v>0</v>
      </c>
      <c r="H31" s="8">
        <v>0</v>
      </c>
      <c r="I31" s="8">
        <v>150</v>
      </c>
      <c r="J31" s="8">
        <f t="shared" si="0"/>
        <v>471204</v>
      </c>
      <c r="K31" s="8">
        <v>0</v>
      </c>
      <c r="L31" s="8">
        <f t="shared" si="1"/>
        <v>0</v>
      </c>
      <c r="M31" s="8">
        <v>0</v>
      </c>
      <c r="N31" s="8">
        <v>0</v>
      </c>
      <c r="O31" s="8">
        <v>0</v>
      </c>
      <c r="P31" s="8">
        <v>0</v>
      </c>
      <c r="Q31" s="8">
        <v>1032300</v>
      </c>
      <c r="R31" s="8">
        <v>0</v>
      </c>
      <c r="S31" s="8">
        <v>0</v>
      </c>
      <c r="T31" s="8">
        <v>0</v>
      </c>
      <c r="U31" s="8">
        <f t="shared" si="2"/>
        <v>0</v>
      </c>
      <c r="V31" s="8">
        <v>0</v>
      </c>
      <c r="W31" s="8">
        <f t="shared" si="3"/>
        <v>0</v>
      </c>
      <c r="X31" s="8">
        <v>0</v>
      </c>
      <c r="Y31" s="8">
        <f t="shared" si="4"/>
        <v>0</v>
      </c>
      <c r="Z31" s="8">
        <v>45</v>
      </c>
      <c r="AA31" s="8">
        <f t="shared" si="5"/>
        <v>141361.20000000001</v>
      </c>
      <c r="AB31" s="8">
        <v>0</v>
      </c>
      <c r="AC31" s="8">
        <f t="shared" si="6"/>
        <v>0</v>
      </c>
      <c r="AD31" s="8">
        <v>0</v>
      </c>
      <c r="AE31" s="18">
        <f>+MIN(AA31,Q31,J31,F31)</f>
        <v>141361.20000000001</v>
      </c>
      <c r="AF31" s="8">
        <v>0</v>
      </c>
      <c r="AG31" s="8">
        <v>0</v>
      </c>
      <c r="AH31" s="18">
        <f>+MEDIAN(F31,J31,Q31,AA31,AE31)</f>
        <v>183600</v>
      </c>
      <c r="AI31" s="8">
        <f t="shared" si="16"/>
        <v>0</v>
      </c>
      <c r="AJ31" s="8">
        <v>0</v>
      </c>
      <c r="AK31" s="8">
        <f>+GEOMEAN(AA31,Q31,J31,F31)</f>
        <v>335200.33883974527</v>
      </c>
      <c r="AL31" s="8">
        <v>0</v>
      </c>
      <c r="AM31" s="8">
        <v>0</v>
      </c>
      <c r="AN31" s="8">
        <f>+AVERAGE(AA31,Q31,J31,F31)</f>
        <v>457116.3</v>
      </c>
      <c r="AO31" s="8">
        <v>0</v>
      </c>
      <c r="AP31" s="8">
        <v>0</v>
      </c>
      <c r="AQ31" s="8">
        <f>+_xlfn.STDEV.P(Q31,AA31,J31,F31)</f>
        <v>355509.2128126499</v>
      </c>
      <c r="AR31" s="8">
        <v>0</v>
      </c>
      <c r="AS31" s="8">
        <v>0</v>
      </c>
      <c r="AT31" s="23">
        <f t="shared" si="7"/>
        <v>1.9363246885220582</v>
      </c>
      <c r="AU31" s="8">
        <v>0</v>
      </c>
      <c r="AV31" s="8">
        <v>0</v>
      </c>
      <c r="AW31" s="8">
        <f t="shared" si="8"/>
        <v>183600</v>
      </c>
      <c r="AX31" s="8">
        <v>0</v>
      </c>
      <c r="AY31" s="8">
        <v>0</v>
      </c>
      <c r="AZ31" s="8">
        <f t="shared" si="9"/>
        <v>58.44602337840935</v>
      </c>
      <c r="BA31" s="8">
        <v>0</v>
      </c>
      <c r="BB31" s="8">
        <v>0</v>
      </c>
    </row>
    <row r="32" spans="1:58" x14ac:dyDescent="0.25">
      <c r="A32" s="2">
        <v>24</v>
      </c>
      <c r="B32" s="39" t="s">
        <v>55</v>
      </c>
      <c r="C32" s="4" t="s">
        <v>56</v>
      </c>
      <c r="D32" s="4" t="s">
        <v>10</v>
      </c>
      <c r="E32" s="14">
        <v>8</v>
      </c>
      <c r="F32" s="8">
        <v>11016000</v>
      </c>
      <c r="G32" s="8">
        <v>0</v>
      </c>
      <c r="H32" s="8">
        <v>0</v>
      </c>
      <c r="I32" s="8">
        <v>0</v>
      </c>
      <c r="J32" s="8">
        <f t="shared" si="0"/>
        <v>0</v>
      </c>
      <c r="K32" s="8">
        <v>0</v>
      </c>
      <c r="L32" s="8">
        <f t="shared" si="1"/>
        <v>0</v>
      </c>
      <c r="M32" s="8">
        <v>0</v>
      </c>
      <c r="N32" s="8">
        <v>15000000</v>
      </c>
      <c r="O32" s="8">
        <v>0</v>
      </c>
      <c r="P32" s="8">
        <v>0</v>
      </c>
      <c r="Q32" s="8">
        <v>33033900</v>
      </c>
      <c r="R32" s="8">
        <v>0</v>
      </c>
      <c r="S32" s="8">
        <v>0</v>
      </c>
      <c r="T32" s="8">
        <v>0</v>
      </c>
      <c r="U32" s="8">
        <f t="shared" si="2"/>
        <v>0</v>
      </c>
      <c r="V32" s="8">
        <v>0</v>
      </c>
      <c r="W32" s="8">
        <f t="shared" si="3"/>
        <v>0</v>
      </c>
      <c r="X32" s="8">
        <v>0</v>
      </c>
      <c r="Y32" s="8">
        <f t="shared" si="4"/>
        <v>0</v>
      </c>
      <c r="Z32" s="8">
        <v>2973</v>
      </c>
      <c r="AA32" s="8">
        <f t="shared" si="5"/>
        <v>9339263.2800000012</v>
      </c>
      <c r="AB32" s="8">
        <v>0</v>
      </c>
      <c r="AC32" s="8">
        <f t="shared" si="6"/>
        <v>0</v>
      </c>
      <c r="AD32" s="8">
        <v>0</v>
      </c>
      <c r="AE32" s="18">
        <f>+MIN(AA32,Q32,N32,F32)</f>
        <v>9339263.2800000012</v>
      </c>
      <c r="AF32" s="8">
        <v>0</v>
      </c>
      <c r="AG32" s="8">
        <v>0</v>
      </c>
      <c r="AH32" s="18">
        <f>+MEDIAN(F32,N32,Q32,AA32,AE32)</f>
        <v>11016000</v>
      </c>
      <c r="AI32" s="8">
        <f t="shared" si="16"/>
        <v>0</v>
      </c>
      <c r="AJ32" s="8">
        <v>0</v>
      </c>
      <c r="AK32" s="8">
        <f>+GEOMEAN(AA32,Q32,N32,F32)</f>
        <v>15026122.104913643</v>
      </c>
      <c r="AL32" s="8">
        <v>0</v>
      </c>
      <c r="AM32" s="8">
        <v>0</v>
      </c>
      <c r="AN32" s="8">
        <f>+AVERAGE(AA32,Q32,N32,F32)</f>
        <v>17097290.82</v>
      </c>
      <c r="AO32" s="8">
        <v>0</v>
      </c>
      <c r="AP32" s="8">
        <v>0</v>
      </c>
      <c r="AQ32" s="8">
        <f>+_xlfn.STDEV.P(AA32,Q32,N32,F32)</f>
        <v>9427927.0029064622</v>
      </c>
      <c r="AR32" s="8">
        <v>0</v>
      </c>
      <c r="AS32" s="8">
        <v>0</v>
      </c>
      <c r="AT32" s="23">
        <f t="shared" si="7"/>
        <v>0.85583941565962807</v>
      </c>
      <c r="AU32" s="8">
        <v>0</v>
      </c>
      <c r="AV32" s="8">
        <v>0</v>
      </c>
      <c r="AW32" s="8">
        <f t="shared" si="8"/>
        <v>9339263.2800000012</v>
      </c>
      <c r="AX32" s="8">
        <v>0</v>
      </c>
      <c r="AY32" s="8">
        <v>0</v>
      </c>
      <c r="AZ32" s="8">
        <f t="shared" si="9"/>
        <v>2973.0000000000005</v>
      </c>
      <c r="BA32" s="8">
        <v>0</v>
      </c>
      <c r="BB32" s="8">
        <v>0</v>
      </c>
    </row>
    <row r="33" spans="1:54" x14ac:dyDescent="0.25">
      <c r="A33" s="2">
        <v>25</v>
      </c>
      <c r="B33" s="39" t="s">
        <v>57</v>
      </c>
      <c r="C33" s="4" t="s">
        <v>58</v>
      </c>
      <c r="D33" s="4" t="s">
        <v>10</v>
      </c>
      <c r="E33" s="14">
        <v>4</v>
      </c>
      <c r="F33" s="8">
        <v>30600000</v>
      </c>
      <c r="G33" s="8">
        <v>0</v>
      </c>
      <c r="H33" s="8">
        <v>0</v>
      </c>
      <c r="I33" s="8">
        <v>7450</v>
      </c>
      <c r="J33" s="8">
        <f t="shared" si="0"/>
        <v>23403132</v>
      </c>
      <c r="K33" s="8">
        <v>0</v>
      </c>
      <c r="L33" s="8">
        <f t="shared" si="1"/>
        <v>0</v>
      </c>
      <c r="M33" s="8">
        <v>0</v>
      </c>
      <c r="N33" s="8">
        <v>38000000</v>
      </c>
      <c r="O33" s="8">
        <v>0</v>
      </c>
      <c r="P33" s="8">
        <v>0</v>
      </c>
      <c r="Q33" s="8">
        <v>30969300</v>
      </c>
      <c r="R33" s="8">
        <v>0</v>
      </c>
      <c r="S33" s="8">
        <v>0</v>
      </c>
      <c r="T33" s="8">
        <v>0</v>
      </c>
      <c r="U33" s="8">
        <f t="shared" si="2"/>
        <v>0</v>
      </c>
      <c r="V33" s="8">
        <v>0</v>
      </c>
      <c r="W33" s="8">
        <f t="shared" si="3"/>
        <v>0</v>
      </c>
      <c r="X33" s="8">
        <v>0</v>
      </c>
      <c r="Y33" s="8">
        <f t="shared" si="4"/>
        <v>0</v>
      </c>
      <c r="Z33" s="8">
        <v>2650</v>
      </c>
      <c r="AA33" s="8">
        <f t="shared" si="5"/>
        <v>8324604</v>
      </c>
      <c r="AB33" s="8">
        <v>0</v>
      </c>
      <c r="AC33" s="8">
        <f t="shared" si="6"/>
        <v>0</v>
      </c>
      <c r="AD33" s="8">
        <v>0</v>
      </c>
      <c r="AE33" s="18">
        <f>+MIN(AA33,Q33,N33,J33,F33)</f>
        <v>8324604</v>
      </c>
      <c r="AF33" s="8">
        <v>0</v>
      </c>
      <c r="AG33" s="8">
        <v>0</v>
      </c>
      <c r="AH33" s="18">
        <f>+MEDIAN(F33,J33,N33,Q33,AA33,AE33)</f>
        <v>27001566</v>
      </c>
      <c r="AI33" s="8">
        <f t="shared" si="16"/>
        <v>0</v>
      </c>
      <c r="AJ33" s="8">
        <v>0</v>
      </c>
      <c r="AK33" s="8">
        <f>+GEOMEAN(AA33,Q33,N33,J33,F33)</f>
        <v>23399942.786162112</v>
      </c>
      <c r="AL33" s="8">
        <v>0</v>
      </c>
      <c r="AM33" s="8">
        <v>0</v>
      </c>
      <c r="AN33" s="8">
        <f>+AVERAGE(AA33,Q33,N33,J33,F33)</f>
        <v>26259407.199999999</v>
      </c>
      <c r="AO33" s="8">
        <v>0</v>
      </c>
      <c r="AP33" s="8">
        <v>0</v>
      </c>
      <c r="AQ33" s="8">
        <f>+_xlfn.STDEV.P(AA33,Q33,N33,J33,F33)</f>
        <v>10086434.743547205</v>
      </c>
      <c r="AR33" s="8">
        <v>0</v>
      </c>
      <c r="AS33" s="8">
        <v>0</v>
      </c>
      <c r="AT33" s="23">
        <f t="shared" si="7"/>
        <v>0.37354999126892141</v>
      </c>
      <c r="AU33" s="8">
        <v>0</v>
      </c>
      <c r="AV33" s="8">
        <v>0</v>
      </c>
      <c r="AW33" s="8">
        <f t="shared" si="8"/>
        <v>8324604</v>
      </c>
      <c r="AX33" s="8">
        <v>0</v>
      </c>
      <c r="AY33" s="8">
        <v>0</v>
      </c>
      <c r="AZ33" s="8">
        <f t="shared" si="9"/>
        <v>2650</v>
      </c>
      <c r="BA33" s="8">
        <v>0</v>
      </c>
      <c r="BB33" s="8">
        <v>0</v>
      </c>
    </row>
    <row r="34" spans="1:54" x14ac:dyDescent="0.25">
      <c r="A34" s="2">
        <v>26</v>
      </c>
      <c r="B34" s="39" t="s">
        <v>59</v>
      </c>
      <c r="C34" s="4" t="s">
        <v>60</v>
      </c>
      <c r="D34" s="4" t="s">
        <v>10</v>
      </c>
      <c r="E34" s="14">
        <v>2</v>
      </c>
      <c r="F34" s="8">
        <v>79560000</v>
      </c>
      <c r="G34" s="8">
        <v>0</v>
      </c>
      <c r="H34" s="8">
        <v>0</v>
      </c>
      <c r="I34" s="8">
        <v>20000</v>
      </c>
      <c r="J34" s="8">
        <f t="shared" si="0"/>
        <v>62827200</v>
      </c>
      <c r="K34" s="8">
        <v>0</v>
      </c>
      <c r="L34" s="8">
        <f t="shared" si="1"/>
        <v>0</v>
      </c>
      <c r="M34" s="8">
        <v>0</v>
      </c>
      <c r="N34" s="8">
        <v>0</v>
      </c>
      <c r="O34" s="8">
        <v>0</v>
      </c>
      <c r="P34" s="8">
        <v>0</v>
      </c>
      <c r="Q34" s="8">
        <v>41292400</v>
      </c>
      <c r="R34" s="8">
        <v>0</v>
      </c>
      <c r="S34" s="8">
        <v>0</v>
      </c>
      <c r="T34" s="8">
        <v>0</v>
      </c>
      <c r="U34" s="8">
        <f t="shared" si="2"/>
        <v>0</v>
      </c>
      <c r="V34" s="8">
        <v>0</v>
      </c>
      <c r="W34" s="8">
        <f t="shared" si="3"/>
        <v>0</v>
      </c>
      <c r="X34" s="8">
        <v>0</v>
      </c>
      <c r="Y34" s="8">
        <f t="shared" si="4"/>
        <v>0</v>
      </c>
      <c r="Z34" s="8">
        <v>0</v>
      </c>
      <c r="AA34" s="8">
        <f t="shared" si="5"/>
        <v>0</v>
      </c>
      <c r="AB34" s="8">
        <v>0</v>
      </c>
      <c r="AC34" s="8">
        <f t="shared" si="6"/>
        <v>0</v>
      </c>
      <c r="AD34" s="8">
        <v>0</v>
      </c>
      <c r="AE34" s="18">
        <f>+MIN(Q34,J34,F34)</f>
        <v>41292400</v>
      </c>
      <c r="AF34" s="8">
        <v>0</v>
      </c>
      <c r="AG34" s="8">
        <v>0</v>
      </c>
      <c r="AH34" s="18">
        <f>+MEDIAN(F34,J34,Q34,AE34)</f>
        <v>52059800</v>
      </c>
      <c r="AI34" s="8">
        <f t="shared" si="16"/>
        <v>0</v>
      </c>
      <c r="AJ34" s="8">
        <v>0</v>
      </c>
      <c r="AK34" s="8">
        <f>+GEOMEAN(Q34,J34,F34)</f>
        <v>59097739.372414358</v>
      </c>
      <c r="AL34" s="8">
        <v>0</v>
      </c>
      <c r="AM34" s="8">
        <v>0</v>
      </c>
      <c r="AN34" s="8">
        <f>+AVERAGE(Q34,J34,F34)</f>
        <v>61226533.333333336</v>
      </c>
      <c r="AO34" s="8">
        <v>0</v>
      </c>
      <c r="AP34" s="8">
        <v>0</v>
      </c>
      <c r="AQ34" s="8">
        <f>+_xlfn.STDEV.P(Q34,J34,F34)</f>
        <v>15663628.842498649</v>
      </c>
      <c r="AR34" s="8">
        <v>0</v>
      </c>
      <c r="AS34" s="8">
        <v>0</v>
      </c>
      <c r="AT34" s="23">
        <f t="shared" si="7"/>
        <v>0.30087762232084353</v>
      </c>
      <c r="AU34" s="8">
        <v>0</v>
      </c>
      <c r="AV34" s="8">
        <v>0</v>
      </c>
      <c r="AW34" s="8">
        <f t="shared" si="8"/>
        <v>41292400</v>
      </c>
      <c r="AX34" s="8">
        <v>0</v>
      </c>
      <c r="AY34" s="8">
        <v>0</v>
      </c>
      <c r="AZ34" s="8">
        <f t="shared" si="9"/>
        <v>13144.75259123437</v>
      </c>
      <c r="BA34" s="8">
        <v>0</v>
      </c>
      <c r="BB34" s="8">
        <v>0</v>
      </c>
    </row>
    <row r="35" spans="1:54" x14ac:dyDescent="0.25">
      <c r="A35" s="2">
        <v>27</v>
      </c>
      <c r="B35" s="39" t="s">
        <v>61</v>
      </c>
      <c r="C35" s="4" t="s">
        <v>62</v>
      </c>
      <c r="D35" s="4" t="s">
        <v>10</v>
      </c>
      <c r="E35" s="14">
        <v>7</v>
      </c>
      <c r="F35" s="8">
        <v>97920000</v>
      </c>
      <c r="G35" s="8">
        <v>0</v>
      </c>
      <c r="H35" s="8">
        <v>0</v>
      </c>
      <c r="I35" s="8">
        <v>0</v>
      </c>
      <c r="J35" s="8">
        <f t="shared" si="0"/>
        <v>0</v>
      </c>
      <c r="K35" s="8">
        <v>0</v>
      </c>
      <c r="L35" s="8">
        <f t="shared" si="1"/>
        <v>0</v>
      </c>
      <c r="M35" s="8">
        <v>0</v>
      </c>
      <c r="N35" s="8">
        <v>0</v>
      </c>
      <c r="O35" s="8">
        <v>0</v>
      </c>
      <c r="P35" s="8">
        <v>0</v>
      </c>
      <c r="Q35" s="8">
        <v>107360300</v>
      </c>
      <c r="R35" s="8">
        <v>0</v>
      </c>
      <c r="S35" s="8">
        <v>0</v>
      </c>
      <c r="T35" s="8">
        <v>0</v>
      </c>
      <c r="U35" s="8">
        <f t="shared" si="2"/>
        <v>0</v>
      </c>
      <c r="V35" s="8">
        <v>0</v>
      </c>
      <c r="W35" s="8">
        <f t="shared" si="3"/>
        <v>0</v>
      </c>
      <c r="X35" s="8">
        <v>0</v>
      </c>
      <c r="Y35" s="8">
        <f t="shared" si="4"/>
        <v>0</v>
      </c>
      <c r="Z35" s="8">
        <v>0</v>
      </c>
      <c r="AA35" s="8">
        <f t="shared" si="5"/>
        <v>0</v>
      </c>
      <c r="AB35" s="8">
        <v>0</v>
      </c>
      <c r="AC35" s="8">
        <f t="shared" si="6"/>
        <v>0</v>
      </c>
      <c r="AD35" s="8">
        <v>0</v>
      </c>
      <c r="AE35" s="18">
        <f>+MIN(Q35,F35)</f>
        <v>97920000</v>
      </c>
      <c r="AF35" s="8">
        <v>0</v>
      </c>
      <c r="AG35" s="8">
        <v>0</v>
      </c>
      <c r="AH35" s="18">
        <f>+MEDIAN(F35,Q35,AE35)</f>
        <v>97920000</v>
      </c>
      <c r="AI35" s="8">
        <f t="shared" si="16"/>
        <v>0</v>
      </c>
      <c r="AJ35" s="8">
        <v>0</v>
      </c>
      <c r="AK35" s="8">
        <f>+GEOMEAN(Q35,F35)</f>
        <v>102531558.92699574</v>
      </c>
      <c r="AL35" s="8">
        <v>0</v>
      </c>
      <c r="AM35" s="8">
        <v>0</v>
      </c>
      <c r="AN35" s="8">
        <f>+AVERAGE(Q35,F35)</f>
        <v>102640150</v>
      </c>
      <c r="AO35" s="8">
        <v>0</v>
      </c>
      <c r="AP35" s="8">
        <v>0</v>
      </c>
      <c r="AQ35" s="8">
        <f>+_xlfn.STDEV.P(Q35,F35)</f>
        <v>4720150</v>
      </c>
      <c r="AR35" s="8">
        <v>0</v>
      </c>
      <c r="AS35" s="8">
        <v>0</v>
      </c>
      <c r="AT35" s="23">
        <f t="shared" si="7"/>
        <v>4.8204146241830066E-2</v>
      </c>
      <c r="AU35" s="8">
        <v>0</v>
      </c>
      <c r="AV35" s="8">
        <v>0</v>
      </c>
      <c r="AW35" s="8">
        <f t="shared" si="8"/>
        <v>97920000</v>
      </c>
      <c r="AX35" s="8">
        <v>0</v>
      </c>
      <c r="AY35" s="8">
        <v>0</v>
      </c>
      <c r="AZ35" s="8">
        <f t="shared" si="9"/>
        <v>31171.212468484988</v>
      </c>
      <c r="BA35" s="8">
        <v>0</v>
      </c>
      <c r="BB35" s="8">
        <v>0</v>
      </c>
    </row>
    <row r="36" spans="1:54" x14ac:dyDescent="0.25">
      <c r="A36" s="2">
        <v>28</v>
      </c>
      <c r="B36" s="39" t="s">
        <v>63</v>
      </c>
      <c r="C36" s="4" t="s">
        <v>64</v>
      </c>
      <c r="D36" s="4" t="s">
        <v>10</v>
      </c>
      <c r="E36" s="14">
        <v>4</v>
      </c>
      <c r="F36" s="8">
        <v>0</v>
      </c>
      <c r="G36" s="8">
        <v>0</v>
      </c>
      <c r="H36" s="8">
        <v>0</v>
      </c>
      <c r="I36" s="8">
        <v>26500</v>
      </c>
      <c r="J36" s="8">
        <f t="shared" si="0"/>
        <v>83246040</v>
      </c>
      <c r="K36" s="8">
        <v>0</v>
      </c>
      <c r="L36" s="8">
        <f t="shared" si="1"/>
        <v>0</v>
      </c>
      <c r="M36" s="8">
        <v>0</v>
      </c>
      <c r="N36" s="8">
        <v>0</v>
      </c>
      <c r="O36" s="8">
        <v>0</v>
      </c>
      <c r="P36" s="8">
        <v>0</v>
      </c>
      <c r="Q36" s="8">
        <v>310613900</v>
      </c>
      <c r="R36" s="8">
        <v>0</v>
      </c>
      <c r="S36" s="8">
        <v>0</v>
      </c>
      <c r="T36" s="8">
        <v>0</v>
      </c>
      <c r="U36" s="8">
        <f t="shared" si="2"/>
        <v>0</v>
      </c>
      <c r="V36" s="8">
        <v>0</v>
      </c>
      <c r="W36" s="8">
        <f t="shared" si="3"/>
        <v>0</v>
      </c>
      <c r="X36" s="8">
        <v>0</v>
      </c>
      <c r="Y36" s="8">
        <f t="shared" si="4"/>
        <v>0</v>
      </c>
      <c r="Z36" s="8">
        <v>0</v>
      </c>
      <c r="AA36" s="8">
        <f t="shared" si="5"/>
        <v>0</v>
      </c>
      <c r="AB36" s="8">
        <v>0</v>
      </c>
      <c r="AC36" s="8">
        <f t="shared" si="6"/>
        <v>0</v>
      </c>
      <c r="AD36" s="8">
        <v>0</v>
      </c>
      <c r="AE36" s="18">
        <f>+MIN(Q36,J36)</f>
        <v>83246040</v>
      </c>
      <c r="AF36" s="8">
        <v>0</v>
      </c>
      <c r="AG36" s="8">
        <v>0</v>
      </c>
      <c r="AH36" s="18">
        <f>+MEDIAN(J36,Q36,AE36,)</f>
        <v>83246040</v>
      </c>
      <c r="AI36" s="8">
        <f t="shared" si="16"/>
        <v>0</v>
      </c>
      <c r="AJ36" s="8">
        <v>0</v>
      </c>
      <c r="AK36" s="8">
        <f>+GEOMEAN(Q36,J36)</f>
        <v>160802292.09795487</v>
      </c>
      <c r="AL36" s="8">
        <v>0</v>
      </c>
      <c r="AM36" s="8">
        <v>0</v>
      </c>
      <c r="AN36" s="8">
        <f>+AVERAGE(Q36,J36)</f>
        <v>196929970</v>
      </c>
      <c r="AO36" s="8">
        <v>0</v>
      </c>
      <c r="AP36" s="8">
        <v>0</v>
      </c>
      <c r="AQ36" s="8">
        <f>+_xlfn.STDEV.P(Q36,J36)</f>
        <v>113683930.00000001</v>
      </c>
      <c r="AR36" s="8">
        <v>0</v>
      </c>
      <c r="AS36" s="8">
        <v>0</v>
      </c>
      <c r="AT36" s="23">
        <f t="shared" si="7"/>
        <v>1.3656376927959577</v>
      </c>
      <c r="AU36" s="8">
        <v>0</v>
      </c>
      <c r="AV36" s="8">
        <v>0</v>
      </c>
      <c r="AW36" s="8">
        <f t="shared" si="8"/>
        <v>83246040</v>
      </c>
      <c r="AX36" s="8">
        <v>0</v>
      </c>
      <c r="AY36" s="8">
        <v>0</v>
      </c>
      <c r="AZ36" s="8">
        <f t="shared" si="9"/>
        <v>26500</v>
      </c>
      <c r="BA36" s="8">
        <v>0</v>
      </c>
      <c r="BB36" s="8">
        <v>0</v>
      </c>
    </row>
    <row r="37" spans="1:54" x14ac:dyDescent="0.25">
      <c r="A37" s="2">
        <v>29</v>
      </c>
      <c r="B37" s="39" t="s">
        <v>65</v>
      </c>
      <c r="C37" s="4" t="s">
        <v>66</v>
      </c>
      <c r="D37" s="4" t="s">
        <v>10</v>
      </c>
      <c r="E37" s="14">
        <v>28</v>
      </c>
      <c r="F37" s="8">
        <v>0</v>
      </c>
      <c r="G37" s="8">
        <v>0</v>
      </c>
      <c r="H37" s="8">
        <v>0</v>
      </c>
      <c r="I37" s="8">
        <v>0</v>
      </c>
      <c r="J37" s="8">
        <f t="shared" si="0"/>
        <v>0</v>
      </c>
      <c r="K37" s="8">
        <v>0</v>
      </c>
      <c r="L37" s="8">
        <f t="shared" si="1"/>
        <v>0</v>
      </c>
      <c r="M37" s="8">
        <v>0</v>
      </c>
      <c r="N37" s="8">
        <v>15000000</v>
      </c>
      <c r="O37" s="8">
        <v>0</v>
      </c>
      <c r="P37" s="8">
        <v>0</v>
      </c>
      <c r="Q37" s="8">
        <v>6331500</v>
      </c>
      <c r="R37" s="8">
        <v>0</v>
      </c>
      <c r="S37" s="8">
        <v>0</v>
      </c>
      <c r="T37" s="8">
        <v>0</v>
      </c>
      <c r="U37" s="8">
        <f t="shared" si="2"/>
        <v>0</v>
      </c>
      <c r="V37" s="8">
        <v>0</v>
      </c>
      <c r="W37" s="8">
        <f t="shared" si="3"/>
        <v>0</v>
      </c>
      <c r="X37" s="8">
        <v>0</v>
      </c>
      <c r="Y37" s="8">
        <f t="shared" si="4"/>
        <v>0</v>
      </c>
      <c r="Z37" s="8">
        <v>3182.32</v>
      </c>
      <c r="AA37" s="8">
        <f t="shared" si="5"/>
        <v>9996812.7552000005</v>
      </c>
      <c r="AB37" s="8">
        <v>0</v>
      </c>
      <c r="AC37" s="8">
        <f t="shared" si="6"/>
        <v>0</v>
      </c>
      <c r="AD37" s="8">
        <v>0</v>
      </c>
      <c r="AE37" s="18">
        <f>+MIN(AA37,Q37,N37)</f>
        <v>6331500</v>
      </c>
      <c r="AF37" s="8">
        <v>0</v>
      </c>
      <c r="AG37" s="8">
        <v>0</v>
      </c>
      <c r="AH37" s="18">
        <f>+MEDIAN(N37,Q37,AA37,AE37)</f>
        <v>8164156.3776000002</v>
      </c>
      <c r="AI37" s="8">
        <f t="shared" si="16"/>
        <v>0</v>
      </c>
      <c r="AJ37" s="8">
        <v>0</v>
      </c>
      <c r="AK37" s="8">
        <f>+GEOMEAN(AA37,Q37,N37)</f>
        <v>9828482.6640948169</v>
      </c>
      <c r="AL37" s="8">
        <v>0</v>
      </c>
      <c r="AM37" s="8">
        <v>0</v>
      </c>
      <c r="AN37" s="8">
        <f>+AVERAGE(AA37,Q37,N37)</f>
        <v>10442770.918399999</v>
      </c>
      <c r="AO37" s="8">
        <v>0</v>
      </c>
      <c r="AP37" s="8">
        <v>0</v>
      </c>
      <c r="AQ37" s="8">
        <f>+_xlfn.STDEV.P(AA37,Q37,N37)</f>
        <v>3552921.9969853512</v>
      </c>
      <c r="AR37" s="8">
        <v>0</v>
      </c>
      <c r="AS37" s="8">
        <v>0</v>
      </c>
      <c r="AT37" s="23">
        <f t="shared" si="7"/>
        <v>0.43518544141725468</v>
      </c>
      <c r="AU37" s="8">
        <v>0</v>
      </c>
      <c r="AV37" s="8">
        <v>0</v>
      </c>
      <c r="AW37" s="8">
        <f t="shared" si="8"/>
        <v>6331500</v>
      </c>
      <c r="AX37" s="8">
        <v>0</v>
      </c>
      <c r="AY37" s="8">
        <v>0</v>
      </c>
      <c r="AZ37" s="8">
        <f t="shared" si="9"/>
        <v>2015.5283062113224</v>
      </c>
      <c r="BA37" s="8">
        <v>0</v>
      </c>
      <c r="BB37" s="8">
        <v>0</v>
      </c>
    </row>
    <row r="38" spans="1:54" x14ac:dyDescent="0.25">
      <c r="A38" s="2">
        <v>30</v>
      </c>
      <c r="B38" s="39" t="s">
        <v>67</v>
      </c>
      <c r="C38" s="4" t="s">
        <v>68</v>
      </c>
      <c r="D38" s="4" t="s">
        <v>10</v>
      </c>
      <c r="E38" s="14">
        <v>29</v>
      </c>
      <c r="F38" s="8">
        <v>27846000</v>
      </c>
      <c r="G38" s="8">
        <v>0</v>
      </c>
      <c r="H38" s="8">
        <v>0</v>
      </c>
      <c r="I38" s="8">
        <v>7250</v>
      </c>
      <c r="J38" s="8">
        <f t="shared" si="0"/>
        <v>22774860</v>
      </c>
      <c r="K38" s="8">
        <v>0</v>
      </c>
      <c r="L38" s="8">
        <f t="shared" si="1"/>
        <v>0</v>
      </c>
      <c r="M38" s="8">
        <v>0</v>
      </c>
      <c r="N38" s="8">
        <v>65000000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f t="shared" si="2"/>
        <v>0</v>
      </c>
      <c r="V38" s="8">
        <v>0</v>
      </c>
      <c r="W38" s="8">
        <f t="shared" si="3"/>
        <v>0</v>
      </c>
      <c r="X38" s="8">
        <v>0</v>
      </c>
      <c r="Y38" s="8">
        <f t="shared" si="4"/>
        <v>0</v>
      </c>
      <c r="Z38" s="8">
        <v>0</v>
      </c>
      <c r="AA38" s="8">
        <f t="shared" si="5"/>
        <v>0</v>
      </c>
      <c r="AB38" s="8">
        <v>0</v>
      </c>
      <c r="AC38" s="8">
        <f t="shared" si="6"/>
        <v>0</v>
      </c>
      <c r="AD38" s="8">
        <v>0</v>
      </c>
      <c r="AE38" s="18">
        <f>+MIN(N38,J38,F38)</f>
        <v>22774860</v>
      </c>
      <c r="AF38" s="8">
        <v>0</v>
      </c>
      <c r="AG38" s="8">
        <v>0</v>
      </c>
      <c r="AH38" s="18">
        <f>+MEDIAN(F38,J38,N38,AE38)</f>
        <v>25310430</v>
      </c>
      <c r="AI38" s="8">
        <f t="shared" si="16"/>
        <v>0</v>
      </c>
      <c r="AJ38" s="8">
        <v>0</v>
      </c>
      <c r="AK38" s="8">
        <f>+GEOMEAN(N38,J38,F38)</f>
        <v>34544371.627518527</v>
      </c>
      <c r="AL38" s="8">
        <v>0</v>
      </c>
      <c r="AM38" s="8">
        <v>0</v>
      </c>
      <c r="AN38" s="8">
        <f>+AVERAGE(N38,J38,F38)</f>
        <v>38540286.666666664</v>
      </c>
      <c r="AO38" s="8">
        <v>0</v>
      </c>
      <c r="AP38" s="8">
        <v>0</v>
      </c>
      <c r="AQ38" s="8">
        <f>+_xlfn.STDEV.P(N38,J38,F38)</f>
        <v>18824034.946251266</v>
      </c>
      <c r="AR38" s="8">
        <v>0</v>
      </c>
      <c r="AS38" s="8">
        <v>0</v>
      </c>
      <c r="AT38" s="23">
        <f t="shared" si="7"/>
        <v>0.74372639841564392</v>
      </c>
      <c r="AU38" s="8">
        <v>0</v>
      </c>
      <c r="AV38" s="8">
        <v>0</v>
      </c>
      <c r="AW38" s="8">
        <f t="shared" si="8"/>
        <v>22774860</v>
      </c>
      <c r="AX38" s="8">
        <v>0</v>
      </c>
      <c r="AY38" s="8">
        <v>0</v>
      </c>
      <c r="AZ38" s="8">
        <f t="shared" si="9"/>
        <v>7250</v>
      </c>
      <c r="BA38" s="8">
        <v>0</v>
      </c>
      <c r="BB38" s="8">
        <v>0</v>
      </c>
    </row>
    <row r="39" spans="1:54" x14ac:dyDescent="0.25">
      <c r="A39" s="2">
        <v>31</v>
      </c>
      <c r="B39" s="39" t="s">
        <v>69</v>
      </c>
      <c r="C39" s="4" t="s">
        <v>70</v>
      </c>
      <c r="D39" s="4" t="s">
        <v>10</v>
      </c>
      <c r="E39" s="14">
        <v>6</v>
      </c>
      <c r="F39" s="8">
        <v>1101600</v>
      </c>
      <c r="G39" s="8">
        <v>0</v>
      </c>
      <c r="H39" s="8">
        <v>0</v>
      </c>
      <c r="I39" s="8">
        <v>0</v>
      </c>
      <c r="J39" s="8">
        <f t="shared" si="0"/>
        <v>0</v>
      </c>
      <c r="K39" s="8">
        <v>0</v>
      </c>
      <c r="L39" s="8">
        <f t="shared" si="1"/>
        <v>0</v>
      </c>
      <c r="M39" s="8">
        <v>0</v>
      </c>
      <c r="N39" s="8">
        <v>5600000</v>
      </c>
      <c r="O39" s="8">
        <v>0</v>
      </c>
      <c r="P39" s="8">
        <v>0</v>
      </c>
      <c r="Q39" s="8">
        <v>3441000</v>
      </c>
      <c r="R39" s="8">
        <v>0</v>
      </c>
      <c r="S39" s="8">
        <v>0</v>
      </c>
      <c r="T39" s="8">
        <v>0</v>
      </c>
      <c r="U39" s="8">
        <f t="shared" si="2"/>
        <v>0</v>
      </c>
      <c r="V39" s="8">
        <v>0</v>
      </c>
      <c r="W39" s="8">
        <f t="shared" si="3"/>
        <v>0</v>
      </c>
      <c r="X39" s="8">
        <v>0</v>
      </c>
      <c r="Y39" s="8">
        <f t="shared" si="4"/>
        <v>0</v>
      </c>
      <c r="Z39" s="8">
        <v>256</v>
      </c>
      <c r="AA39" s="8">
        <f t="shared" si="5"/>
        <v>804188.16000000003</v>
      </c>
      <c r="AB39" s="8">
        <v>0</v>
      </c>
      <c r="AC39" s="8">
        <f t="shared" si="6"/>
        <v>0</v>
      </c>
      <c r="AD39" s="8">
        <v>0</v>
      </c>
      <c r="AE39" s="18">
        <f>+MIN(AA39,Q39,N39,F39)</f>
        <v>804188.16000000003</v>
      </c>
      <c r="AF39" s="8">
        <v>0</v>
      </c>
      <c r="AG39" s="8">
        <v>0</v>
      </c>
      <c r="AH39" s="18">
        <f>+MEDIAN(F39,N39,Q39,AA39,AE39)</f>
        <v>1101600</v>
      </c>
      <c r="AI39" s="8">
        <f t="shared" si="16"/>
        <v>0</v>
      </c>
      <c r="AJ39" s="8">
        <v>0</v>
      </c>
      <c r="AK39" s="8">
        <f>+GEOMEAN(AA39,Q39,N39,F39)</f>
        <v>2032654.5449275665</v>
      </c>
      <c r="AL39" s="8">
        <v>0</v>
      </c>
      <c r="AM39" s="8">
        <v>0</v>
      </c>
      <c r="AN39" s="8">
        <f>+AVERAGE(AA39,Q39,F39)</f>
        <v>1782262.72</v>
      </c>
      <c r="AO39" s="8">
        <v>0</v>
      </c>
      <c r="AP39" s="8">
        <v>0</v>
      </c>
      <c r="AQ39" s="8">
        <f>+_xlfn.STDEV.P(AA39,Q39,N39,F39)</f>
        <v>1943108.2961138026</v>
      </c>
      <c r="AR39" s="8">
        <v>0</v>
      </c>
      <c r="AS39" s="8">
        <v>0</v>
      </c>
      <c r="AT39" s="23">
        <f t="shared" si="7"/>
        <v>1.7638964198563931</v>
      </c>
      <c r="AU39" s="8">
        <v>0</v>
      </c>
      <c r="AV39" s="8">
        <v>0</v>
      </c>
      <c r="AW39" s="8">
        <f t="shared" si="8"/>
        <v>1101600</v>
      </c>
      <c r="AX39" s="8">
        <v>0</v>
      </c>
      <c r="AY39" s="8">
        <v>0</v>
      </c>
      <c r="AZ39" s="8">
        <f t="shared" si="9"/>
        <v>350.67614027045607</v>
      </c>
      <c r="BA39" s="8">
        <v>0</v>
      </c>
      <c r="BB39" s="8">
        <v>0</v>
      </c>
    </row>
    <row r="40" spans="1:54" x14ac:dyDescent="0.25">
      <c r="A40" s="2">
        <v>32</v>
      </c>
      <c r="B40" s="39" t="s">
        <v>71</v>
      </c>
      <c r="C40" s="4" t="s">
        <v>72</v>
      </c>
      <c r="D40" s="4" t="s">
        <v>10</v>
      </c>
      <c r="E40" s="14">
        <v>4</v>
      </c>
      <c r="F40" s="8">
        <v>18360</v>
      </c>
      <c r="G40" s="8">
        <v>0</v>
      </c>
      <c r="H40" s="8">
        <v>0</v>
      </c>
      <c r="I40" s="8">
        <v>100</v>
      </c>
      <c r="J40" s="8">
        <f t="shared" si="0"/>
        <v>314136</v>
      </c>
      <c r="K40" s="8">
        <v>0</v>
      </c>
      <c r="L40" s="8">
        <f t="shared" si="1"/>
        <v>0</v>
      </c>
      <c r="M40" s="8">
        <v>0</v>
      </c>
      <c r="N40" s="8">
        <v>2016000</v>
      </c>
      <c r="O40" s="8">
        <v>0</v>
      </c>
      <c r="P40" s="8">
        <v>0</v>
      </c>
      <c r="Q40" s="8">
        <v>68000</v>
      </c>
      <c r="R40" s="8">
        <v>0</v>
      </c>
      <c r="S40" s="8">
        <v>0</v>
      </c>
      <c r="T40" s="8">
        <v>0</v>
      </c>
      <c r="U40" s="8">
        <f t="shared" si="2"/>
        <v>0</v>
      </c>
      <c r="V40" s="8">
        <v>0</v>
      </c>
      <c r="W40" s="8">
        <f t="shared" si="3"/>
        <v>0</v>
      </c>
      <c r="X40" s="8">
        <v>0</v>
      </c>
      <c r="Y40" s="8">
        <f t="shared" si="4"/>
        <v>0</v>
      </c>
      <c r="Z40" s="8">
        <v>15</v>
      </c>
      <c r="AA40" s="8">
        <f t="shared" si="5"/>
        <v>47120.4</v>
      </c>
      <c r="AB40" s="8">
        <v>0</v>
      </c>
      <c r="AC40" s="8">
        <f t="shared" si="6"/>
        <v>0</v>
      </c>
      <c r="AD40" s="8">
        <v>0</v>
      </c>
      <c r="AE40" s="18">
        <f>+MIN(AA40,Q40,N40,J40,F40)</f>
        <v>18360</v>
      </c>
      <c r="AF40" s="8">
        <v>0</v>
      </c>
      <c r="AG40" s="8">
        <v>0</v>
      </c>
      <c r="AH40" s="18">
        <f>+MEDIAN(F40,J40,N40,AA40,AE40)</f>
        <v>47120.4</v>
      </c>
      <c r="AI40" s="8">
        <f t="shared" si="16"/>
        <v>0</v>
      </c>
      <c r="AJ40" s="8">
        <v>0</v>
      </c>
      <c r="AK40" s="8">
        <f>+GEOMEAN(AA40,Q40,N40,J40,F40)</f>
        <v>130088.75551093547</v>
      </c>
      <c r="AL40" s="8">
        <v>0</v>
      </c>
      <c r="AM40" s="8">
        <v>0</v>
      </c>
      <c r="AN40" s="8">
        <f>+AVERAGE(AA40,Q40,N40,J40,F40)</f>
        <v>492723.27999999997</v>
      </c>
      <c r="AO40" s="8">
        <v>0</v>
      </c>
      <c r="AP40" s="8">
        <v>0</v>
      </c>
      <c r="AQ40" s="8">
        <f>+_xlfn.STDEV.P(AA40,Q40,N40,J40,F40)</f>
        <v>768926.22466948908</v>
      </c>
      <c r="AR40" s="8">
        <v>0</v>
      </c>
      <c r="AS40" s="8">
        <v>0</v>
      </c>
      <c r="AT40" s="23">
        <f t="shared" si="7"/>
        <v>16.318329739762163</v>
      </c>
      <c r="AU40" s="8">
        <v>0</v>
      </c>
      <c r="AV40" s="8">
        <v>0</v>
      </c>
      <c r="AW40" s="8">
        <f t="shared" si="8"/>
        <v>47120.4</v>
      </c>
      <c r="AX40" s="8">
        <v>0</v>
      </c>
      <c r="AY40" s="8">
        <v>0</v>
      </c>
      <c r="AZ40" s="8">
        <f t="shared" si="9"/>
        <v>15</v>
      </c>
      <c r="BA40" s="8">
        <v>0</v>
      </c>
      <c r="BB40" s="8">
        <v>0</v>
      </c>
    </row>
    <row r="41" spans="1:54" x14ac:dyDescent="0.25">
      <c r="A41" s="2">
        <v>33</v>
      </c>
      <c r="B41" s="39" t="s">
        <v>73</v>
      </c>
      <c r="C41" s="4" t="s">
        <v>74</v>
      </c>
      <c r="D41" s="4" t="s">
        <v>10</v>
      </c>
      <c r="E41" s="14">
        <v>1</v>
      </c>
      <c r="F41" s="8">
        <v>3060000</v>
      </c>
      <c r="G41" s="8">
        <v>0</v>
      </c>
      <c r="H41" s="8">
        <v>0</v>
      </c>
      <c r="I41" s="8">
        <v>0</v>
      </c>
      <c r="J41" s="8">
        <f t="shared" si="0"/>
        <v>0</v>
      </c>
      <c r="K41" s="8">
        <v>0</v>
      </c>
      <c r="L41" s="8">
        <f t="shared" si="1"/>
        <v>0</v>
      </c>
      <c r="M41" s="8">
        <v>0</v>
      </c>
      <c r="N41" s="8">
        <v>0</v>
      </c>
      <c r="O41" s="8">
        <v>0</v>
      </c>
      <c r="P41" s="8">
        <v>0</v>
      </c>
      <c r="Q41" s="8">
        <v>757100</v>
      </c>
      <c r="R41" s="8">
        <v>0</v>
      </c>
      <c r="S41" s="8">
        <v>0</v>
      </c>
      <c r="T41" s="8">
        <v>0</v>
      </c>
      <c r="U41" s="8">
        <f t="shared" si="2"/>
        <v>0</v>
      </c>
      <c r="V41" s="8">
        <v>0</v>
      </c>
      <c r="W41" s="8">
        <f t="shared" si="3"/>
        <v>0</v>
      </c>
      <c r="X41" s="8">
        <v>0</v>
      </c>
      <c r="Y41" s="8">
        <f t="shared" si="4"/>
        <v>0</v>
      </c>
      <c r="Z41" s="8">
        <v>0</v>
      </c>
      <c r="AA41" s="8">
        <f t="shared" si="5"/>
        <v>0</v>
      </c>
      <c r="AB41" s="8">
        <v>0</v>
      </c>
      <c r="AC41" s="8">
        <f t="shared" si="6"/>
        <v>0</v>
      </c>
      <c r="AD41" s="8">
        <v>0</v>
      </c>
      <c r="AE41" s="18">
        <f>+MIN(Q41,F41)</f>
        <v>757100</v>
      </c>
      <c r="AF41" s="8">
        <v>0</v>
      </c>
      <c r="AG41" s="8">
        <v>0</v>
      </c>
      <c r="AH41" s="18">
        <f>+MEDIAN(F40,J40,N40,Q40,AA40,AE40)</f>
        <v>57560.2</v>
      </c>
      <c r="AI41" s="8">
        <f t="shared" si="16"/>
        <v>0</v>
      </c>
      <c r="AJ41" s="8">
        <v>0</v>
      </c>
      <c r="AK41" s="8">
        <f>+GEOMEAN(Q41,F41)</f>
        <v>1522079.4985808067</v>
      </c>
      <c r="AL41" s="8">
        <v>0</v>
      </c>
      <c r="AM41" s="8">
        <v>0</v>
      </c>
      <c r="AN41" s="8">
        <f>+AVERAGE(Q41,F41)</f>
        <v>1908550</v>
      </c>
      <c r="AO41" s="8">
        <v>0</v>
      </c>
      <c r="AP41" s="8">
        <v>0</v>
      </c>
      <c r="AQ41" s="8">
        <f>+_xlfn.STDEV.P(Q41,F41)</f>
        <v>1151450</v>
      </c>
      <c r="AR41" s="8">
        <v>0</v>
      </c>
      <c r="AS41" s="8">
        <v>0</v>
      </c>
      <c r="AT41" s="23">
        <f t="shared" si="7"/>
        <v>20.004273786401022</v>
      </c>
      <c r="AU41" s="8">
        <v>0</v>
      </c>
      <c r="AV41" s="8">
        <v>0</v>
      </c>
      <c r="AW41" s="8">
        <f t="shared" si="8"/>
        <v>57560.2</v>
      </c>
      <c r="AX41" s="8">
        <v>0</v>
      </c>
      <c r="AY41" s="8">
        <v>0</v>
      </c>
      <c r="AZ41" s="8">
        <f t="shared" si="9"/>
        <v>18.323337662668397</v>
      </c>
      <c r="BA41" s="8">
        <v>0</v>
      </c>
      <c r="BB41" s="8">
        <v>0</v>
      </c>
    </row>
    <row r="42" spans="1:54" x14ac:dyDescent="0.25">
      <c r="A42" s="2">
        <v>34</v>
      </c>
      <c r="B42" s="39" t="s">
        <v>75</v>
      </c>
      <c r="C42" s="4" t="s">
        <v>76</v>
      </c>
      <c r="D42" s="4" t="s">
        <v>10</v>
      </c>
      <c r="E42" s="14">
        <v>1</v>
      </c>
      <c r="F42" s="8">
        <v>0</v>
      </c>
      <c r="G42" s="8">
        <v>0</v>
      </c>
      <c r="H42" s="8">
        <v>0</v>
      </c>
      <c r="I42" s="8">
        <v>0</v>
      </c>
      <c r="J42" s="8">
        <f t="shared" si="0"/>
        <v>0</v>
      </c>
      <c r="K42" s="8">
        <v>0</v>
      </c>
      <c r="L42" s="8">
        <f t="shared" si="1"/>
        <v>0</v>
      </c>
      <c r="M42" s="8">
        <v>0</v>
      </c>
      <c r="N42" s="8">
        <v>0</v>
      </c>
      <c r="O42" s="8">
        <v>0</v>
      </c>
      <c r="P42" s="8">
        <v>0</v>
      </c>
      <c r="Q42" s="8">
        <v>767990500</v>
      </c>
      <c r="R42" s="8">
        <v>0</v>
      </c>
      <c r="S42" s="8">
        <v>0</v>
      </c>
      <c r="T42" s="8">
        <v>0</v>
      </c>
      <c r="U42" s="8">
        <f t="shared" si="2"/>
        <v>0</v>
      </c>
      <c r="V42" s="8">
        <v>0</v>
      </c>
      <c r="W42" s="8">
        <f t="shared" si="3"/>
        <v>0</v>
      </c>
      <c r="X42" s="8">
        <v>0</v>
      </c>
      <c r="Y42" s="8">
        <f t="shared" si="4"/>
        <v>0</v>
      </c>
      <c r="Z42" s="8">
        <v>0</v>
      </c>
      <c r="AA42" s="8">
        <f t="shared" si="5"/>
        <v>0</v>
      </c>
      <c r="AB42" s="8">
        <v>0</v>
      </c>
      <c r="AC42" s="8">
        <f t="shared" si="6"/>
        <v>0</v>
      </c>
      <c r="AD42" s="8">
        <v>0</v>
      </c>
      <c r="AE42" s="18">
        <f>+MIN(Q42)</f>
        <v>767990500</v>
      </c>
      <c r="AF42" s="8">
        <v>0</v>
      </c>
      <c r="AG42" s="8">
        <v>0</v>
      </c>
      <c r="AH42" s="18">
        <f>+MEDIAN(Q42,AE42)</f>
        <v>767990500</v>
      </c>
      <c r="AI42" s="8">
        <f t="shared" si="16"/>
        <v>0</v>
      </c>
      <c r="AJ42" s="8">
        <v>0</v>
      </c>
      <c r="AK42" s="8">
        <f>+GEOMEAN(Q42)</f>
        <v>767990500</v>
      </c>
      <c r="AL42" s="8">
        <v>0</v>
      </c>
      <c r="AM42" s="8">
        <v>0</v>
      </c>
      <c r="AN42" s="8">
        <f>+Q42</f>
        <v>767990500</v>
      </c>
      <c r="AO42" s="8">
        <v>0</v>
      </c>
      <c r="AP42" s="8">
        <v>0</v>
      </c>
      <c r="AQ42" s="8">
        <f t="shared" ref="AQ42" si="17">+AP42*3141.36</f>
        <v>0</v>
      </c>
      <c r="AR42" s="8">
        <v>0</v>
      </c>
      <c r="AS42" s="8">
        <v>0</v>
      </c>
      <c r="AT42" s="23">
        <f t="shared" si="7"/>
        <v>0</v>
      </c>
      <c r="AU42" s="8">
        <v>0</v>
      </c>
      <c r="AV42" s="8">
        <v>0</v>
      </c>
      <c r="AW42" s="8">
        <f t="shared" si="8"/>
        <v>767990500</v>
      </c>
      <c r="AX42" s="8">
        <v>0</v>
      </c>
      <c r="AY42" s="8">
        <v>0</v>
      </c>
      <c r="AZ42" s="8">
        <f t="shared" si="9"/>
        <v>244477.07362416276</v>
      </c>
      <c r="BA42" s="8">
        <v>0</v>
      </c>
      <c r="BB42" s="8">
        <v>0</v>
      </c>
    </row>
    <row r="43" spans="1:54" x14ac:dyDescent="0.25">
      <c r="A43" s="2">
        <v>35</v>
      </c>
      <c r="B43" s="39" t="s">
        <v>77</v>
      </c>
      <c r="C43" s="4" t="s">
        <v>78</v>
      </c>
      <c r="D43" s="4" t="s">
        <v>10</v>
      </c>
      <c r="E43" s="14">
        <v>2</v>
      </c>
      <c r="F43" s="21">
        <v>0</v>
      </c>
      <c r="G43" s="21">
        <v>0</v>
      </c>
      <c r="H43" s="21">
        <v>0</v>
      </c>
      <c r="I43" s="21">
        <v>0</v>
      </c>
      <c r="J43" s="21">
        <f t="shared" si="0"/>
        <v>0</v>
      </c>
      <c r="K43" s="21">
        <v>0</v>
      </c>
      <c r="L43" s="21">
        <f t="shared" si="1"/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f t="shared" si="2"/>
        <v>0</v>
      </c>
      <c r="V43" s="21">
        <v>0</v>
      </c>
      <c r="W43" s="21">
        <f t="shared" si="3"/>
        <v>0</v>
      </c>
      <c r="X43" s="21">
        <v>0</v>
      </c>
      <c r="Y43" s="21">
        <f t="shared" si="4"/>
        <v>0</v>
      </c>
      <c r="Z43" s="21">
        <v>0</v>
      </c>
      <c r="AA43" s="21">
        <f t="shared" si="5"/>
        <v>0</v>
      </c>
      <c r="AB43" s="21">
        <v>0</v>
      </c>
      <c r="AC43" s="21">
        <f t="shared" si="6"/>
        <v>0</v>
      </c>
      <c r="AD43" s="21">
        <v>0</v>
      </c>
      <c r="AE43" s="22">
        <v>0</v>
      </c>
      <c r="AF43" s="21">
        <v>0</v>
      </c>
      <c r="AG43" s="21">
        <v>0</v>
      </c>
      <c r="AH43" s="18">
        <f>+MEDIAN(Q42,AE42)</f>
        <v>767990500</v>
      </c>
      <c r="AI43" s="21">
        <f t="shared" si="16"/>
        <v>0</v>
      </c>
      <c r="AJ43" s="21">
        <v>0</v>
      </c>
      <c r="AK43" s="8">
        <v>0</v>
      </c>
      <c r="AL43" s="21">
        <v>0</v>
      </c>
      <c r="AM43" s="21">
        <v>0</v>
      </c>
      <c r="AN43" s="21">
        <v>0</v>
      </c>
      <c r="AO43" s="21">
        <v>0</v>
      </c>
      <c r="AP43" s="21">
        <v>0</v>
      </c>
      <c r="AQ43" s="21">
        <f t="shared" ref="AQ43" si="18">+AP43*3141.36</f>
        <v>0</v>
      </c>
      <c r="AR43" s="21">
        <v>0</v>
      </c>
      <c r="AS43" s="21">
        <v>0</v>
      </c>
      <c r="AT43" s="23">
        <f t="shared" si="7"/>
        <v>0</v>
      </c>
      <c r="AU43" s="8">
        <v>0</v>
      </c>
      <c r="AV43" s="8">
        <v>0</v>
      </c>
      <c r="AW43" s="8">
        <f t="shared" si="8"/>
        <v>0</v>
      </c>
      <c r="AX43" s="8">
        <v>0</v>
      </c>
      <c r="AY43" s="8">
        <v>0</v>
      </c>
      <c r="AZ43" s="8">
        <f t="shared" si="9"/>
        <v>0</v>
      </c>
      <c r="BA43" s="8">
        <v>0</v>
      </c>
      <c r="BB43" s="8">
        <v>0</v>
      </c>
    </row>
    <row r="44" spans="1:54" x14ac:dyDescent="0.25">
      <c r="A44" s="2">
        <v>36</v>
      </c>
      <c r="B44" s="39" t="s">
        <v>79</v>
      </c>
      <c r="C44" s="4" t="s">
        <v>80</v>
      </c>
      <c r="D44" s="4" t="s">
        <v>10</v>
      </c>
      <c r="E44" s="14">
        <v>2</v>
      </c>
      <c r="F44" s="8">
        <v>159200000</v>
      </c>
      <c r="G44" s="8">
        <v>0</v>
      </c>
      <c r="H44" s="8">
        <v>0</v>
      </c>
      <c r="I44" s="8">
        <v>0</v>
      </c>
      <c r="J44" s="8">
        <f t="shared" si="0"/>
        <v>0</v>
      </c>
      <c r="K44" s="8">
        <v>0</v>
      </c>
      <c r="L44" s="8">
        <f t="shared" si="1"/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f t="shared" si="2"/>
        <v>0</v>
      </c>
      <c r="V44" s="8">
        <v>0</v>
      </c>
      <c r="W44" s="8">
        <f t="shared" si="3"/>
        <v>0</v>
      </c>
      <c r="X44" s="8">
        <v>0</v>
      </c>
      <c r="Y44" s="8">
        <f t="shared" si="4"/>
        <v>0</v>
      </c>
      <c r="Z44" s="8">
        <v>0</v>
      </c>
      <c r="AA44" s="8">
        <f t="shared" si="5"/>
        <v>0</v>
      </c>
      <c r="AB44" s="8">
        <v>0</v>
      </c>
      <c r="AC44" s="8">
        <f t="shared" si="6"/>
        <v>0</v>
      </c>
      <c r="AD44" s="8">
        <v>0</v>
      </c>
      <c r="AE44" s="18">
        <f>+F44</f>
        <v>159200000</v>
      </c>
      <c r="AF44" s="8">
        <v>0</v>
      </c>
      <c r="AG44" s="8">
        <v>0</v>
      </c>
      <c r="AH44" s="18">
        <f>+MEDIAN(F44,AE44)</f>
        <v>159200000</v>
      </c>
      <c r="AI44" s="8">
        <f t="shared" si="16"/>
        <v>0</v>
      </c>
      <c r="AJ44" s="8">
        <v>0</v>
      </c>
      <c r="AK44" s="25">
        <f>+GEOMEAN(F44)</f>
        <v>159200000</v>
      </c>
      <c r="AL44" s="8">
        <v>0</v>
      </c>
      <c r="AM44" s="8">
        <v>0</v>
      </c>
      <c r="AN44" s="8">
        <f>+J44</f>
        <v>0</v>
      </c>
      <c r="AO44" s="8">
        <v>0</v>
      </c>
      <c r="AP44" s="8">
        <v>0</v>
      </c>
      <c r="AQ44" s="8">
        <f t="shared" ref="AQ44:AQ45" si="19">+AP44*3141.36</f>
        <v>0</v>
      </c>
      <c r="AR44" s="8">
        <v>0</v>
      </c>
      <c r="AS44" s="8">
        <v>0</v>
      </c>
      <c r="AT44" s="23">
        <f t="shared" si="7"/>
        <v>0</v>
      </c>
      <c r="AU44" s="8">
        <v>0</v>
      </c>
      <c r="AV44" s="8">
        <v>0</v>
      </c>
      <c r="AW44" s="8">
        <f t="shared" si="8"/>
        <v>159200000</v>
      </c>
      <c r="AX44" s="8">
        <v>0</v>
      </c>
      <c r="AY44" s="8">
        <v>0</v>
      </c>
      <c r="AZ44" s="8">
        <f t="shared" si="9"/>
        <v>50678.686938141436</v>
      </c>
      <c r="BA44" s="8">
        <v>0</v>
      </c>
      <c r="BB44" s="8">
        <v>0</v>
      </c>
    </row>
    <row r="45" spans="1:54" x14ac:dyDescent="0.25">
      <c r="A45" s="2">
        <v>37</v>
      </c>
      <c r="B45" s="39" t="s">
        <v>81</v>
      </c>
      <c r="C45" s="4" t="s">
        <v>82</v>
      </c>
      <c r="D45" s="4" t="s">
        <v>10</v>
      </c>
      <c r="E45" s="14">
        <v>2</v>
      </c>
      <c r="F45" s="8">
        <v>0</v>
      </c>
      <c r="G45" s="8">
        <v>0</v>
      </c>
      <c r="H45" s="8">
        <v>0</v>
      </c>
      <c r="I45" s="8">
        <v>0</v>
      </c>
      <c r="J45" s="8">
        <f t="shared" si="0"/>
        <v>0</v>
      </c>
      <c r="K45" s="8">
        <v>0</v>
      </c>
      <c r="L45" s="8">
        <f t="shared" si="1"/>
        <v>0</v>
      </c>
      <c r="M45" s="8">
        <v>0</v>
      </c>
      <c r="N45" s="8">
        <v>0</v>
      </c>
      <c r="O45" s="8">
        <v>0</v>
      </c>
      <c r="P45" s="8">
        <v>0</v>
      </c>
      <c r="Q45" s="8">
        <v>193386200</v>
      </c>
      <c r="R45" s="8">
        <v>0</v>
      </c>
      <c r="S45" s="8">
        <v>0</v>
      </c>
      <c r="T45" s="8">
        <v>0</v>
      </c>
      <c r="U45" s="8">
        <f t="shared" si="2"/>
        <v>0</v>
      </c>
      <c r="V45" s="8">
        <v>0</v>
      </c>
      <c r="W45" s="8">
        <f t="shared" si="3"/>
        <v>0</v>
      </c>
      <c r="X45" s="8">
        <v>0</v>
      </c>
      <c r="Y45" s="8">
        <f t="shared" si="4"/>
        <v>0</v>
      </c>
      <c r="Z45" s="8">
        <v>0</v>
      </c>
      <c r="AA45" s="8">
        <f t="shared" si="5"/>
        <v>0</v>
      </c>
      <c r="AB45" s="8">
        <v>0</v>
      </c>
      <c r="AC45" s="8">
        <f t="shared" si="6"/>
        <v>0</v>
      </c>
      <c r="AD45" s="8">
        <v>0</v>
      </c>
      <c r="AE45" s="18">
        <f>+Q45</f>
        <v>193386200</v>
      </c>
      <c r="AF45" s="8">
        <v>0</v>
      </c>
      <c r="AG45" s="8">
        <v>0</v>
      </c>
      <c r="AH45" s="18">
        <f>+MEDIAN(Q45,AE45)</f>
        <v>193386200</v>
      </c>
      <c r="AI45" s="8">
        <f t="shared" si="16"/>
        <v>0</v>
      </c>
      <c r="AJ45" s="8">
        <v>0</v>
      </c>
      <c r="AK45" s="8">
        <f>+Q45</f>
        <v>193386200</v>
      </c>
      <c r="AL45" s="8">
        <v>0</v>
      </c>
      <c r="AM45" s="8">
        <v>0</v>
      </c>
      <c r="AN45" s="8">
        <f>+Q45</f>
        <v>193386200</v>
      </c>
      <c r="AO45" s="8">
        <v>0</v>
      </c>
      <c r="AP45" s="8">
        <v>0</v>
      </c>
      <c r="AQ45" s="8">
        <f t="shared" si="19"/>
        <v>0</v>
      </c>
      <c r="AR45" s="8">
        <v>0</v>
      </c>
      <c r="AS45" s="8">
        <v>0</v>
      </c>
      <c r="AT45" s="23">
        <f t="shared" si="7"/>
        <v>0</v>
      </c>
      <c r="AU45" s="8">
        <v>0</v>
      </c>
      <c r="AV45" s="8">
        <v>0</v>
      </c>
      <c r="AW45" s="8">
        <f t="shared" si="8"/>
        <v>193386200</v>
      </c>
      <c r="AX45" s="8">
        <v>0</v>
      </c>
      <c r="AY45" s="8">
        <v>0</v>
      </c>
      <c r="AZ45" s="8">
        <f t="shared" si="9"/>
        <v>61561.29829118598</v>
      </c>
      <c r="BA45" s="8">
        <v>0</v>
      </c>
      <c r="BB45" s="8">
        <v>0</v>
      </c>
    </row>
    <row r="46" spans="1:54" x14ac:dyDescent="0.25">
      <c r="A46" s="2">
        <v>38</v>
      </c>
      <c r="B46" s="39" t="s">
        <v>83</v>
      </c>
      <c r="C46" s="4" t="s">
        <v>84</v>
      </c>
      <c r="D46" s="4" t="s">
        <v>10</v>
      </c>
      <c r="E46" s="14">
        <v>4</v>
      </c>
      <c r="F46" s="8">
        <v>4167720</v>
      </c>
      <c r="G46" s="8">
        <v>0</v>
      </c>
      <c r="H46" s="8">
        <v>0</v>
      </c>
      <c r="I46" s="8">
        <v>1350</v>
      </c>
      <c r="J46" s="8">
        <f t="shared" si="0"/>
        <v>4240836</v>
      </c>
      <c r="K46" s="8">
        <v>0</v>
      </c>
      <c r="L46" s="8">
        <f t="shared" si="1"/>
        <v>0</v>
      </c>
      <c r="M46" s="8">
        <v>0</v>
      </c>
      <c r="N46" s="8">
        <v>0</v>
      </c>
      <c r="O46" s="8">
        <v>0</v>
      </c>
      <c r="P46" s="8">
        <v>0</v>
      </c>
      <c r="Q46" s="8">
        <v>15484600</v>
      </c>
      <c r="R46" s="8">
        <v>0</v>
      </c>
      <c r="S46" s="8">
        <v>0</v>
      </c>
      <c r="T46" s="8">
        <v>0</v>
      </c>
      <c r="U46" s="8">
        <f t="shared" si="2"/>
        <v>0</v>
      </c>
      <c r="V46" s="8">
        <v>0</v>
      </c>
      <c r="W46" s="8">
        <f t="shared" si="3"/>
        <v>0</v>
      </c>
      <c r="X46" s="8">
        <v>0</v>
      </c>
      <c r="Y46" s="8">
        <f t="shared" si="4"/>
        <v>0</v>
      </c>
      <c r="Z46" s="21">
        <v>1357</v>
      </c>
      <c r="AA46" s="8">
        <f t="shared" si="5"/>
        <v>4262825.5200000005</v>
      </c>
      <c r="AB46" s="8">
        <v>0</v>
      </c>
      <c r="AC46" s="8">
        <f t="shared" si="6"/>
        <v>0</v>
      </c>
      <c r="AD46" s="8">
        <v>0</v>
      </c>
      <c r="AE46" s="18">
        <f>+MIN(AA46,Q46,J46,F46)</f>
        <v>4167720</v>
      </c>
      <c r="AF46" s="8">
        <v>0</v>
      </c>
      <c r="AG46" s="8">
        <v>0</v>
      </c>
      <c r="AH46" s="18">
        <f>+MEDIAN(F46,J46,Q46,AA46,AE46)</f>
        <v>4240836</v>
      </c>
      <c r="AI46" s="8">
        <f t="shared" si="16"/>
        <v>0</v>
      </c>
      <c r="AJ46" s="8">
        <v>0</v>
      </c>
      <c r="AK46" s="8">
        <f>+GEOMEAN(AA46,Q46,J46,F46)</f>
        <v>5844359.0626229569</v>
      </c>
      <c r="AL46" s="8">
        <v>0</v>
      </c>
      <c r="AM46" s="8">
        <v>0</v>
      </c>
      <c r="AN46" s="8">
        <f>+AVERAGE(AA46,Q46,J46,F46)</f>
        <v>7038995.3799999999</v>
      </c>
      <c r="AO46" s="8">
        <v>0</v>
      </c>
      <c r="AP46" s="8">
        <v>0</v>
      </c>
      <c r="AQ46" s="8">
        <f>+_xlfn.STDEV.P(AA46,Q46,J46,F46)</f>
        <v>4876199.2041090233</v>
      </c>
      <c r="AR46" s="8">
        <v>0</v>
      </c>
      <c r="AS46" s="8">
        <v>0</v>
      </c>
      <c r="AT46" s="23">
        <f t="shared" si="7"/>
        <v>1.1498202722550515</v>
      </c>
      <c r="AU46" s="8">
        <v>0</v>
      </c>
      <c r="AV46" s="8">
        <v>0</v>
      </c>
      <c r="AW46" s="8">
        <f t="shared" si="8"/>
        <v>4240836</v>
      </c>
      <c r="AX46" s="8">
        <v>0</v>
      </c>
      <c r="AY46" s="8">
        <v>0</v>
      </c>
      <c r="AZ46" s="8">
        <f t="shared" si="9"/>
        <v>1350</v>
      </c>
      <c r="BA46" s="8">
        <v>0</v>
      </c>
      <c r="BB46" s="8">
        <v>0</v>
      </c>
    </row>
    <row r="47" spans="1:54" s="81" customFormat="1" x14ac:dyDescent="0.25">
      <c r="A47" s="74">
        <v>39</v>
      </c>
      <c r="B47" s="75" t="s">
        <v>85</v>
      </c>
      <c r="C47" s="76" t="s">
        <v>86</v>
      </c>
      <c r="D47" s="76" t="s">
        <v>10</v>
      </c>
      <c r="E47" s="77">
        <v>1</v>
      </c>
      <c r="F47" s="78">
        <v>642600000</v>
      </c>
      <c r="G47" s="78">
        <v>0</v>
      </c>
      <c r="H47" s="78">
        <v>0</v>
      </c>
      <c r="I47" s="78">
        <v>210000</v>
      </c>
      <c r="J47" s="78">
        <f t="shared" si="0"/>
        <v>659685600</v>
      </c>
      <c r="K47" s="78">
        <v>0</v>
      </c>
      <c r="L47" s="78">
        <f t="shared" si="1"/>
        <v>0</v>
      </c>
      <c r="M47" s="78">
        <v>0</v>
      </c>
      <c r="N47" s="78">
        <v>0</v>
      </c>
      <c r="O47" s="78">
        <v>0</v>
      </c>
      <c r="P47" s="78">
        <v>0</v>
      </c>
      <c r="Q47" s="78">
        <v>0</v>
      </c>
      <c r="R47" s="78">
        <v>0</v>
      </c>
      <c r="S47" s="78">
        <v>0</v>
      </c>
      <c r="T47" s="78">
        <v>0</v>
      </c>
      <c r="U47" s="78">
        <f t="shared" si="2"/>
        <v>0</v>
      </c>
      <c r="V47" s="78">
        <v>0</v>
      </c>
      <c r="W47" s="78">
        <f t="shared" si="3"/>
        <v>0</v>
      </c>
      <c r="X47" s="78">
        <v>40000</v>
      </c>
      <c r="Y47" s="78">
        <f t="shared" si="4"/>
        <v>125654400</v>
      </c>
      <c r="Z47" s="78">
        <v>0</v>
      </c>
      <c r="AA47" s="78">
        <f t="shared" si="5"/>
        <v>0</v>
      </c>
      <c r="AB47" s="78">
        <v>134230</v>
      </c>
      <c r="AC47" s="78">
        <f t="shared" si="6"/>
        <v>421664752.80000001</v>
      </c>
      <c r="AD47" s="78">
        <v>0</v>
      </c>
      <c r="AE47" s="79">
        <f>+MIN(J47,F47)</f>
        <v>642600000</v>
      </c>
      <c r="AF47" s="78">
        <f>+AC47</f>
        <v>421664752.80000001</v>
      </c>
      <c r="AG47" s="78">
        <f>+Y47</f>
        <v>125654400</v>
      </c>
      <c r="AH47" s="79">
        <f>+MEDIAN(F47,J47,AE47,AF47,AG47)</f>
        <v>642600000</v>
      </c>
      <c r="AI47" s="78">
        <f>+AC47</f>
        <v>421664752.80000001</v>
      </c>
      <c r="AJ47" s="78">
        <f>+Y47</f>
        <v>125654400</v>
      </c>
      <c r="AK47" s="78">
        <f>+GEOMEAN(J47,F47)</f>
        <v>651086758.08988774</v>
      </c>
      <c r="AL47" s="78">
        <f>+AC47</f>
        <v>421664752.80000001</v>
      </c>
      <c r="AM47" s="78"/>
      <c r="AN47" s="78">
        <f>+AVERAGE(J47,F47)</f>
        <v>651142800</v>
      </c>
      <c r="AO47" s="78">
        <f>+AC47</f>
        <v>421664752.80000001</v>
      </c>
      <c r="AP47" s="78">
        <f>+Y47</f>
        <v>125654400</v>
      </c>
      <c r="AQ47" s="78">
        <f>+_xlfn.STDEV.P(J47,F47)</f>
        <v>8542800</v>
      </c>
      <c r="AR47" s="78">
        <f>+_xlfn.STDEV.P(AC47,AB47)</f>
        <v>210765261.40000001</v>
      </c>
      <c r="AS47" s="78">
        <v>0</v>
      </c>
      <c r="AT47" s="80">
        <f t="shared" si="7"/>
        <v>1.3294117647058824E-2</v>
      </c>
      <c r="AU47" s="80">
        <f t="shared" si="11"/>
        <v>0.49984083326966666</v>
      </c>
      <c r="AV47" s="78">
        <v>0</v>
      </c>
      <c r="AW47" s="78">
        <f t="shared" si="8"/>
        <v>642600000</v>
      </c>
      <c r="AX47" s="78">
        <f>+AF47</f>
        <v>421664752.80000001</v>
      </c>
      <c r="AY47" s="78">
        <v>0</v>
      </c>
      <c r="AZ47" s="78">
        <f t="shared" si="9"/>
        <v>204561.08182443271</v>
      </c>
      <c r="BA47" s="78">
        <f>+AX47/3141.36</f>
        <v>134230</v>
      </c>
      <c r="BB47" s="78">
        <v>0</v>
      </c>
    </row>
    <row r="48" spans="1:54" x14ac:dyDescent="0.25">
      <c r="A48" s="2">
        <v>40</v>
      </c>
      <c r="B48" s="39" t="s">
        <v>87</v>
      </c>
      <c r="C48" s="4">
        <v>500233</v>
      </c>
      <c r="D48" s="4" t="s">
        <v>10</v>
      </c>
      <c r="E48" s="14">
        <v>8</v>
      </c>
      <c r="F48" s="8">
        <v>195840</v>
      </c>
      <c r="G48" s="8">
        <v>0</v>
      </c>
      <c r="H48" s="8">
        <v>0</v>
      </c>
      <c r="I48" s="8">
        <v>0</v>
      </c>
      <c r="J48" s="8">
        <f t="shared" si="0"/>
        <v>0</v>
      </c>
      <c r="K48" s="8">
        <v>0</v>
      </c>
      <c r="L48" s="8">
        <f t="shared" si="1"/>
        <v>0</v>
      </c>
      <c r="M48" s="8">
        <v>0</v>
      </c>
      <c r="N48" s="8">
        <v>0</v>
      </c>
      <c r="O48" s="8">
        <v>0</v>
      </c>
      <c r="P48" s="8">
        <v>0</v>
      </c>
      <c r="Q48" s="8">
        <v>412900</v>
      </c>
      <c r="R48" s="8">
        <v>0</v>
      </c>
      <c r="S48" s="8">
        <v>0</v>
      </c>
      <c r="T48" s="8">
        <v>0</v>
      </c>
      <c r="U48" s="8">
        <f t="shared" si="2"/>
        <v>0</v>
      </c>
      <c r="V48" s="8">
        <v>0</v>
      </c>
      <c r="W48" s="8">
        <f t="shared" si="3"/>
        <v>0</v>
      </c>
      <c r="X48" s="8">
        <v>0</v>
      </c>
      <c r="Y48" s="8">
        <f t="shared" si="4"/>
        <v>0</v>
      </c>
      <c r="Z48" s="8">
        <v>97.65</v>
      </c>
      <c r="AA48" s="8">
        <f t="shared" si="5"/>
        <v>306753.804</v>
      </c>
      <c r="AB48" s="8">
        <v>0</v>
      </c>
      <c r="AC48" s="8">
        <f t="shared" si="6"/>
        <v>0</v>
      </c>
      <c r="AD48" s="8">
        <v>0</v>
      </c>
      <c r="AE48" s="18">
        <f>+MIN(AA48,Q48,F48)</f>
        <v>195840</v>
      </c>
      <c r="AF48" s="8">
        <v>0</v>
      </c>
      <c r="AG48" s="8">
        <v>0</v>
      </c>
      <c r="AH48" s="18">
        <f>+MEDIAN(AE48,AA48,Q48,F48)</f>
        <v>251296.902</v>
      </c>
      <c r="AI48" s="8">
        <f t="shared" ref="AI48:AI49" si="20">+MEDIAN(G48,L48,O48,R48,W48,AC48)</f>
        <v>0</v>
      </c>
      <c r="AJ48" s="8">
        <v>0</v>
      </c>
      <c r="AK48" s="8">
        <f>+GEOMEAN(AA48,Q48,F48)</f>
        <v>291638.87445583969</v>
      </c>
      <c r="AL48" s="8">
        <v>0</v>
      </c>
      <c r="AM48" s="8">
        <v>0</v>
      </c>
      <c r="AN48" s="8">
        <f>+AVERAGE(AA48,Q48,F48)</f>
        <v>305164.60133333335</v>
      </c>
      <c r="AO48" s="8">
        <v>0</v>
      </c>
      <c r="AP48" s="8">
        <v>0</v>
      </c>
      <c r="AQ48" s="8">
        <f>+_xlfn.STDEV.P(AA48,Q48,F48)</f>
        <v>88621.498798116299</v>
      </c>
      <c r="AR48" s="8">
        <v>0</v>
      </c>
      <c r="AS48" s="8">
        <v>0</v>
      </c>
      <c r="AT48" s="23">
        <f t="shared" si="7"/>
        <v>0.35265655124596917</v>
      </c>
      <c r="AU48" s="8">
        <v>0</v>
      </c>
      <c r="AV48" s="8">
        <v>0</v>
      </c>
      <c r="AW48" s="8">
        <f t="shared" si="8"/>
        <v>195840</v>
      </c>
      <c r="AX48" s="8">
        <v>0</v>
      </c>
      <c r="AY48" s="8">
        <v>0</v>
      </c>
      <c r="AZ48" s="8">
        <f t="shared" si="9"/>
        <v>62.342424936969969</v>
      </c>
      <c r="BA48" s="8">
        <v>0</v>
      </c>
      <c r="BB48" s="8">
        <v>0</v>
      </c>
    </row>
    <row r="49" spans="1:54" x14ac:dyDescent="0.25">
      <c r="A49" s="2">
        <v>41</v>
      </c>
      <c r="B49" s="39" t="s">
        <v>104</v>
      </c>
      <c r="C49" s="4" t="s">
        <v>88</v>
      </c>
      <c r="D49" s="4" t="s">
        <v>10</v>
      </c>
      <c r="E49" s="14">
        <v>24</v>
      </c>
      <c r="F49" s="8">
        <v>0</v>
      </c>
      <c r="G49" s="8">
        <v>0</v>
      </c>
      <c r="H49" s="8">
        <v>0</v>
      </c>
      <c r="I49" s="8">
        <v>0</v>
      </c>
      <c r="J49" s="8">
        <f t="shared" si="0"/>
        <v>0</v>
      </c>
      <c r="K49" s="8">
        <v>0</v>
      </c>
      <c r="L49" s="8">
        <f t="shared" si="1"/>
        <v>0</v>
      </c>
      <c r="M49" s="8">
        <v>0</v>
      </c>
      <c r="N49" s="8">
        <v>0</v>
      </c>
      <c r="O49" s="8">
        <v>0</v>
      </c>
      <c r="P49" s="8">
        <v>0</v>
      </c>
      <c r="Q49" s="8">
        <v>74326300</v>
      </c>
      <c r="R49" s="8">
        <v>0</v>
      </c>
      <c r="S49" s="8">
        <v>0</v>
      </c>
      <c r="T49" s="8">
        <v>0</v>
      </c>
      <c r="U49" s="8">
        <f t="shared" si="2"/>
        <v>0</v>
      </c>
      <c r="V49" s="8">
        <v>0</v>
      </c>
      <c r="W49" s="8">
        <f t="shared" si="3"/>
        <v>0</v>
      </c>
      <c r="X49" s="8">
        <v>0</v>
      </c>
      <c r="Y49" s="8">
        <f t="shared" si="4"/>
        <v>0</v>
      </c>
      <c r="Z49" s="8">
        <v>10075</v>
      </c>
      <c r="AA49" s="8">
        <f t="shared" si="5"/>
        <v>31649202</v>
      </c>
      <c r="AB49" s="8">
        <v>0</v>
      </c>
      <c r="AC49" s="8">
        <f t="shared" si="6"/>
        <v>0</v>
      </c>
      <c r="AD49" s="8">
        <v>0</v>
      </c>
      <c r="AE49" s="18">
        <f>+MIN(AA49,Q49)</f>
        <v>31649202</v>
      </c>
      <c r="AF49" s="8">
        <v>0</v>
      </c>
      <c r="AG49" s="8">
        <v>0</v>
      </c>
      <c r="AH49" s="18">
        <f>+MEDIAN(AE49,AA49,Q49,)</f>
        <v>31649202</v>
      </c>
      <c r="AI49" s="8">
        <f t="shared" si="20"/>
        <v>0</v>
      </c>
      <c r="AJ49" s="8">
        <v>0</v>
      </c>
      <c r="AK49" s="8">
        <f>+GEOMEAN(AA49,Q49)</f>
        <v>48501217.331244379</v>
      </c>
      <c r="AL49" s="8">
        <v>0</v>
      </c>
      <c r="AM49" s="8">
        <v>0</v>
      </c>
      <c r="AN49" s="8">
        <f>+AVERAGE(AA49,Q49,)</f>
        <v>35325167.333333336</v>
      </c>
      <c r="AO49" s="8">
        <v>0</v>
      </c>
      <c r="AP49" s="8">
        <v>0</v>
      </c>
      <c r="AQ49" s="8">
        <f>+_xlfn.STDEV.P(AA49,Q49,)</f>
        <v>30454712.375059478</v>
      </c>
      <c r="AR49" s="8">
        <v>0</v>
      </c>
      <c r="AS49" s="8">
        <v>0</v>
      </c>
      <c r="AT49" s="23">
        <f t="shared" si="7"/>
        <v>0.96225845994661974</v>
      </c>
      <c r="AU49" s="8">
        <v>0</v>
      </c>
      <c r="AV49" s="8">
        <v>0</v>
      </c>
      <c r="AW49" s="8">
        <f t="shared" si="8"/>
        <v>31649202</v>
      </c>
      <c r="AX49" s="8">
        <v>0</v>
      </c>
      <c r="AY49" s="8">
        <v>0</v>
      </c>
      <c r="AZ49" s="8">
        <f t="shared" si="9"/>
        <v>10075</v>
      </c>
      <c r="BA49" s="8">
        <v>0</v>
      </c>
      <c r="BB49" s="8">
        <v>0</v>
      </c>
    </row>
    <row r="50" spans="1:54" x14ac:dyDescent="0.25">
      <c r="A50" s="2">
        <v>42</v>
      </c>
      <c r="B50" s="39" t="s">
        <v>89</v>
      </c>
      <c r="C50" s="4" t="s">
        <v>90</v>
      </c>
      <c r="D50" s="4" t="s">
        <v>10</v>
      </c>
      <c r="E50" s="14">
        <v>2</v>
      </c>
      <c r="F50" s="8">
        <v>0</v>
      </c>
      <c r="G50" s="8">
        <v>0</v>
      </c>
      <c r="H50" s="8">
        <v>0</v>
      </c>
      <c r="I50" s="8">
        <v>0</v>
      </c>
      <c r="J50" s="8">
        <f t="shared" si="0"/>
        <v>0</v>
      </c>
      <c r="K50" s="8">
        <v>0</v>
      </c>
      <c r="L50" s="8">
        <f t="shared" si="1"/>
        <v>0</v>
      </c>
      <c r="M50" s="8">
        <v>0</v>
      </c>
      <c r="N50" s="8">
        <v>0</v>
      </c>
      <c r="O50" s="8">
        <v>415000000</v>
      </c>
      <c r="P50" s="8">
        <v>0</v>
      </c>
      <c r="Q50" s="8">
        <v>1559074500</v>
      </c>
      <c r="R50" s="8">
        <v>0</v>
      </c>
      <c r="S50" s="8">
        <v>0</v>
      </c>
      <c r="T50" s="8">
        <v>0</v>
      </c>
      <c r="U50" s="8">
        <f t="shared" si="2"/>
        <v>0</v>
      </c>
      <c r="V50" s="8">
        <v>0</v>
      </c>
      <c r="W50" s="8">
        <f t="shared" si="3"/>
        <v>0</v>
      </c>
      <c r="X50" s="8">
        <v>80000</v>
      </c>
      <c r="Y50" s="8">
        <f t="shared" si="4"/>
        <v>251308800</v>
      </c>
      <c r="Z50" s="8">
        <v>0</v>
      </c>
      <c r="AA50" s="8">
        <f t="shared" si="5"/>
        <v>0</v>
      </c>
      <c r="AB50" s="8">
        <v>0</v>
      </c>
      <c r="AC50" s="8">
        <f t="shared" si="6"/>
        <v>0</v>
      </c>
      <c r="AD50" s="8">
        <v>0</v>
      </c>
      <c r="AE50" s="18">
        <f>+Q50</f>
        <v>1559074500</v>
      </c>
      <c r="AF50" s="8">
        <f>+O50</f>
        <v>415000000</v>
      </c>
      <c r="AG50" s="8">
        <f>+Y50</f>
        <v>251308800</v>
      </c>
      <c r="AH50" s="18">
        <f>+MEDIAN(AG50,AF50,AE50,Q50,)</f>
        <v>415000000</v>
      </c>
      <c r="AI50" s="8">
        <f>+O50</f>
        <v>415000000</v>
      </c>
      <c r="AJ50" s="8">
        <f>+Y50</f>
        <v>251308800</v>
      </c>
      <c r="AK50" s="8">
        <f>+Q50</f>
        <v>1559074500</v>
      </c>
      <c r="AL50" s="8">
        <f>+O50</f>
        <v>415000000</v>
      </c>
      <c r="AM50" s="8"/>
      <c r="AN50" s="8">
        <f>+Q50</f>
        <v>1559074500</v>
      </c>
      <c r="AO50" s="8">
        <f>+O50</f>
        <v>415000000</v>
      </c>
      <c r="AP50" s="8">
        <f>+Y50</f>
        <v>251308800</v>
      </c>
      <c r="AQ50" s="8">
        <f>+_xlfn.STDEV.P(Q50)</f>
        <v>0</v>
      </c>
      <c r="AR50" s="8">
        <v>0</v>
      </c>
      <c r="AS50" s="8">
        <v>0</v>
      </c>
      <c r="AT50" s="23">
        <f t="shared" si="7"/>
        <v>0</v>
      </c>
      <c r="AU50" s="8">
        <v>0</v>
      </c>
      <c r="AV50" s="8">
        <v>0</v>
      </c>
      <c r="AW50" s="8">
        <f t="shared" si="8"/>
        <v>1559074500</v>
      </c>
      <c r="AX50" s="8">
        <v>0</v>
      </c>
      <c r="AY50" s="8">
        <v>0</v>
      </c>
      <c r="AZ50" s="8">
        <f t="shared" si="9"/>
        <v>496305.58102223236</v>
      </c>
      <c r="BA50" s="8">
        <v>0</v>
      </c>
      <c r="BB50" s="8">
        <v>0</v>
      </c>
    </row>
    <row r="51" spans="1:54" x14ac:dyDescent="0.25">
      <c r="A51" s="2">
        <v>43</v>
      </c>
      <c r="B51" s="39" t="s">
        <v>91</v>
      </c>
      <c r="C51" s="4" t="s">
        <v>92</v>
      </c>
      <c r="D51" s="4" t="s">
        <v>10</v>
      </c>
      <c r="E51" s="14">
        <v>6</v>
      </c>
      <c r="F51" s="8">
        <v>73440</v>
      </c>
      <c r="G51" s="8">
        <v>0</v>
      </c>
      <c r="H51" s="8">
        <v>0</v>
      </c>
      <c r="I51" s="8">
        <v>70</v>
      </c>
      <c r="J51" s="8">
        <f t="shared" si="0"/>
        <v>219895.2</v>
      </c>
      <c r="K51" s="8">
        <v>0</v>
      </c>
      <c r="L51" s="8">
        <f t="shared" si="1"/>
        <v>0</v>
      </c>
      <c r="M51" s="8">
        <v>0</v>
      </c>
      <c r="N51" s="8">
        <v>0</v>
      </c>
      <c r="O51" s="8">
        <v>0</v>
      </c>
      <c r="P51" s="8">
        <v>0</v>
      </c>
      <c r="Q51" s="8">
        <v>41300</v>
      </c>
      <c r="R51" s="8">
        <v>0</v>
      </c>
      <c r="S51" s="8">
        <v>0</v>
      </c>
      <c r="T51" s="8">
        <v>0</v>
      </c>
      <c r="U51" s="8">
        <f t="shared" si="2"/>
        <v>0</v>
      </c>
      <c r="V51" s="8">
        <v>0</v>
      </c>
      <c r="W51" s="8">
        <f t="shared" si="3"/>
        <v>0</v>
      </c>
      <c r="X51" s="8">
        <v>0</v>
      </c>
      <c r="Y51" s="8">
        <f t="shared" si="4"/>
        <v>0</v>
      </c>
      <c r="Z51" s="8">
        <v>11</v>
      </c>
      <c r="AA51" s="8">
        <f t="shared" si="5"/>
        <v>34554.959999999999</v>
      </c>
      <c r="AB51" s="8">
        <v>0</v>
      </c>
      <c r="AC51" s="8">
        <f t="shared" si="6"/>
        <v>0</v>
      </c>
      <c r="AD51" s="8">
        <v>0</v>
      </c>
      <c r="AE51" s="18">
        <f>+MIN(AA51,Q51,J51,F51)</f>
        <v>34554.959999999999</v>
      </c>
      <c r="AF51" s="8">
        <v>0</v>
      </c>
      <c r="AG51" s="8">
        <v>0</v>
      </c>
      <c r="AH51" s="18">
        <f>+MEDIAN(AE51,AA51,Q51,J51,F51)</f>
        <v>41300</v>
      </c>
      <c r="AI51" s="8">
        <f>+MEDIAN(G51,L51,O51,R51,W51,AC51)</f>
        <v>0</v>
      </c>
      <c r="AJ51" s="8">
        <v>0</v>
      </c>
      <c r="AK51" s="8">
        <f>+GEOMEAN(AA51,Q51,J51,F51)</f>
        <v>69287.073129378885</v>
      </c>
      <c r="AL51" s="8">
        <v>0</v>
      </c>
      <c r="AM51" s="8">
        <v>0</v>
      </c>
      <c r="AN51" s="8">
        <f>+AVERAGE(AA51,Q51,J51,F51)</f>
        <v>92297.540000000008</v>
      </c>
      <c r="AO51" s="8">
        <v>0</v>
      </c>
      <c r="AP51" s="8">
        <v>0</v>
      </c>
      <c r="AQ51" s="8">
        <f>+_xlfn.STDEV.P(AA51,Q51,J51,F51)</f>
        <v>75119.445357768724</v>
      </c>
      <c r="AR51" s="8">
        <v>0</v>
      </c>
      <c r="AS51" s="8">
        <v>0</v>
      </c>
      <c r="AT51" s="23">
        <f t="shared" si="7"/>
        <v>1.8188727689532378</v>
      </c>
      <c r="AU51" s="8">
        <v>0</v>
      </c>
      <c r="AV51" s="8">
        <v>0</v>
      </c>
      <c r="AW51" s="8">
        <f t="shared" si="8"/>
        <v>41300</v>
      </c>
      <c r="AX51" s="8">
        <v>0</v>
      </c>
      <c r="AY51" s="8">
        <v>0</v>
      </c>
      <c r="AZ51" s="8">
        <f t="shared" si="9"/>
        <v>13.147171925535437</v>
      </c>
      <c r="BA51" s="8">
        <v>0</v>
      </c>
      <c r="BB51" s="8">
        <v>0</v>
      </c>
    </row>
    <row r="52" spans="1:54" s="81" customFormat="1" x14ac:dyDescent="0.25">
      <c r="A52" s="74">
        <v>44</v>
      </c>
      <c r="B52" s="75" t="s">
        <v>93</v>
      </c>
      <c r="C52" s="76" t="s">
        <v>94</v>
      </c>
      <c r="D52" s="76" t="s">
        <v>10</v>
      </c>
      <c r="E52" s="77">
        <v>1</v>
      </c>
      <c r="F52" s="78">
        <v>0</v>
      </c>
      <c r="G52" s="78">
        <v>0</v>
      </c>
      <c r="H52" s="78">
        <v>0</v>
      </c>
      <c r="I52" s="78">
        <v>0</v>
      </c>
      <c r="J52" s="78">
        <f t="shared" si="0"/>
        <v>0</v>
      </c>
      <c r="K52" s="78">
        <v>15100</v>
      </c>
      <c r="L52" s="78">
        <f t="shared" si="1"/>
        <v>47434536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f t="shared" si="2"/>
        <v>0</v>
      </c>
      <c r="V52" s="78">
        <v>0</v>
      </c>
      <c r="W52" s="78">
        <f t="shared" si="3"/>
        <v>0</v>
      </c>
      <c r="X52" s="78">
        <v>0</v>
      </c>
      <c r="Y52" s="78">
        <f t="shared" si="4"/>
        <v>0</v>
      </c>
      <c r="Z52" s="78">
        <v>0</v>
      </c>
      <c r="AA52" s="78">
        <f t="shared" si="5"/>
        <v>0</v>
      </c>
      <c r="AB52" s="78">
        <v>0</v>
      </c>
      <c r="AC52" s="78">
        <f t="shared" si="6"/>
        <v>0</v>
      </c>
      <c r="AD52" s="78">
        <v>0</v>
      </c>
      <c r="AE52" s="79">
        <v>0</v>
      </c>
      <c r="AF52" s="78">
        <f>+L52</f>
        <v>47434536</v>
      </c>
      <c r="AG52" s="78">
        <v>0</v>
      </c>
      <c r="AH52" s="79">
        <f>+MEDIAN(AF52)</f>
        <v>47434536</v>
      </c>
      <c r="AI52" s="78">
        <f>+L52</f>
        <v>47434536</v>
      </c>
      <c r="AJ52" s="78">
        <v>0</v>
      </c>
      <c r="AK52" s="78">
        <v>0</v>
      </c>
      <c r="AL52" s="78">
        <f>+L52</f>
        <v>47434536</v>
      </c>
      <c r="AM52" s="78">
        <v>0</v>
      </c>
      <c r="AN52" s="78">
        <v>0</v>
      </c>
      <c r="AO52" s="78">
        <f>+L52</f>
        <v>47434536</v>
      </c>
      <c r="AP52" s="78">
        <v>0</v>
      </c>
      <c r="AQ52" s="78">
        <v>0</v>
      </c>
      <c r="AR52" s="78">
        <v>0</v>
      </c>
      <c r="AS52" s="78">
        <v>0</v>
      </c>
      <c r="AT52" s="80">
        <f t="shared" si="7"/>
        <v>0</v>
      </c>
      <c r="AU52" s="78">
        <v>0</v>
      </c>
      <c r="AV52" s="78">
        <v>0</v>
      </c>
      <c r="AW52" s="78">
        <f t="shared" si="8"/>
        <v>0</v>
      </c>
      <c r="AX52" s="78">
        <f>+AF52</f>
        <v>47434536</v>
      </c>
      <c r="AY52" s="78">
        <v>0</v>
      </c>
      <c r="AZ52" s="78">
        <f t="shared" si="9"/>
        <v>0</v>
      </c>
      <c r="BA52" s="78">
        <f>+AX52/3141.36</f>
        <v>15100</v>
      </c>
      <c r="BB52" s="78">
        <v>0</v>
      </c>
    </row>
    <row r="53" spans="1:54" x14ac:dyDescent="0.25">
      <c r="A53" s="2">
        <v>45</v>
      </c>
      <c r="B53" s="39" t="s">
        <v>71</v>
      </c>
      <c r="C53" s="4" t="s">
        <v>95</v>
      </c>
      <c r="D53" s="4" t="s">
        <v>10</v>
      </c>
      <c r="E53" s="14">
        <v>4</v>
      </c>
      <c r="F53" s="8">
        <v>97920</v>
      </c>
      <c r="G53" s="8">
        <v>0</v>
      </c>
      <c r="H53" s="8">
        <v>0</v>
      </c>
      <c r="I53" s="8">
        <v>0</v>
      </c>
      <c r="J53" s="8">
        <f t="shared" si="0"/>
        <v>0</v>
      </c>
      <c r="K53" s="8">
        <v>0</v>
      </c>
      <c r="L53" s="8">
        <f t="shared" si="1"/>
        <v>0</v>
      </c>
      <c r="M53" s="8">
        <v>0</v>
      </c>
      <c r="N53" s="8">
        <v>2016000</v>
      </c>
      <c r="O53" s="8">
        <v>0</v>
      </c>
      <c r="P53" s="8">
        <v>0</v>
      </c>
      <c r="Q53" s="8">
        <v>240900</v>
      </c>
      <c r="R53" s="8">
        <v>0</v>
      </c>
      <c r="S53" s="8">
        <v>0</v>
      </c>
      <c r="T53" s="8">
        <v>0</v>
      </c>
      <c r="U53" s="8">
        <f t="shared" si="2"/>
        <v>0</v>
      </c>
      <c r="V53" s="8">
        <v>0</v>
      </c>
      <c r="W53" s="8">
        <f t="shared" si="3"/>
        <v>0</v>
      </c>
      <c r="X53" s="8">
        <v>0</v>
      </c>
      <c r="Y53" s="8">
        <f t="shared" si="4"/>
        <v>0</v>
      </c>
      <c r="Z53" s="8">
        <v>15</v>
      </c>
      <c r="AA53" s="8">
        <f t="shared" si="5"/>
        <v>47120.4</v>
      </c>
      <c r="AB53" s="8">
        <v>0</v>
      </c>
      <c r="AC53" s="8">
        <f t="shared" si="6"/>
        <v>0</v>
      </c>
      <c r="AD53" s="8">
        <v>0</v>
      </c>
      <c r="AE53" s="18">
        <f>+MIN(AA53,Q53,N53,F53)</f>
        <v>47120.4</v>
      </c>
      <c r="AF53" s="8">
        <v>0</v>
      </c>
      <c r="AG53" s="8">
        <v>0</v>
      </c>
      <c r="AH53" s="21">
        <f>+MEDIAN(AE53,AA53,Q53,N53,F53)</f>
        <v>97920</v>
      </c>
      <c r="AI53" s="8">
        <f t="shared" ref="AI53:AI55" si="21">+MEDIAN(G53,L53,O53,R53,W53,AC53)</f>
        <v>0</v>
      </c>
      <c r="AJ53" s="8">
        <v>0</v>
      </c>
      <c r="AK53" s="8">
        <f>+GEOMEAN(AA53,Q53,N53,F53)</f>
        <v>217571.45960192228</v>
      </c>
      <c r="AL53" s="8">
        <v>0</v>
      </c>
      <c r="AM53" s="8">
        <v>0</v>
      </c>
      <c r="AN53" s="8">
        <f>+AVERAGE(AA53,Q53,N53,F53)</f>
        <v>600485.1</v>
      </c>
      <c r="AO53" s="8">
        <v>0</v>
      </c>
      <c r="AP53" s="8">
        <v>0</v>
      </c>
      <c r="AQ53" s="8">
        <f>+_xlfn.STDEV.P(AA53,Q53,N53,F53)</f>
        <v>820330.42842627142</v>
      </c>
      <c r="AR53" s="8">
        <v>0</v>
      </c>
      <c r="AS53" s="8">
        <v>0</v>
      </c>
      <c r="AT53" s="23">
        <f t="shared" si="7"/>
        <v>8.3775574798434587</v>
      </c>
      <c r="AU53" s="8">
        <v>0</v>
      </c>
      <c r="AV53" s="8">
        <v>0</v>
      </c>
      <c r="AW53" s="8">
        <f t="shared" si="8"/>
        <v>97920</v>
      </c>
      <c r="AX53" s="8">
        <v>0</v>
      </c>
      <c r="AY53" s="8">
        <v>0</v>
      </c>
      <c r="AZ53" s="8">
        <f t="shared" si="9"/>
        <v>31.171212468484985</v>
      </c>
      <c r="BA53" s="8">
        <v>0</v>
      </c>
      <c r="BB53" s="8">
        <v>0</v>
      </c>
    </row>
    <row r="54" spans="1:54" x14ac:dyDescent="0.25">
      <c r="A54" s="2">
        <v>46</v>
      </c>
      <c r="B54" s="39" t="s">
        <v>96</v>
      </c>
      <c r="C54" s="4" t="s">
        <v>97</v>
      </c>
      <c r="D54" s="4" t="s">
        <v>10</v>
      </c>
      <c r="E54" s="14">
        <v>40</v>
      </c>
      <c r="F54" s="8">
        <v>538560</v>
      </c>
      <c r="G54" s="8">
        <v>0</v>
      </c>
      <c r="H54" s="8">
        <v>0</v>
      </c>
      <c r="I54" s="8">
        <v>350</v>
      </c>
      <c r="J54" s="8">
        <f t="shared" si="0"/>
        <v>1099476</v>
      </c>
      <c r="K54" s="8">
        <v>0</v>
      </c>
      <c r="L54" s="8">
        <f t="shared" si="1"/>
        <v>0</v>
      </c>
      <c r="M54" s="8">
        <v>0</v>
      </c>
      <c r="N54" s="8">
        <v>4200000</v>
      </c>
      <c r="O54" s="8">
        <v>0</v>
      </c>
      <c r="P54" s="8">
        <v>0</v>
      </c>
      <c r="Q54" s="8">
        <v>412900</v>
      </c>
      <c r="R54" s="8">
        <v>0</v>
      </c>
      <c r="S54" s="8">
        <v>0</v>
      </c>
      <c r="T54" s="8">
        <v>0</v>
      </c>
      <c r="U54" s="8">
        <f t="shared" si="2"/>
        <v>0</v>
      </c>
      <c r="V54" s="8">
        <v>0</v>
      </c>
      <c r="W54" s="8">
        <f t="shared" si="3"/>
        <v>0</v>
      </c>
      <c r="X54" s="8">
        <v>0</v>
      </c>
      <c r="Y54" s="8">
        <f t="shared" si="4"/>
        <v>0</v>
      </c>
      <c r="Z54" s="8">
        <v>15.5</v>
      </c>
      <c r="AA54" s="8">
        <f t="shared" si="5"/>
        <v>48691.08</v>
      </c>
      <c r="AB54" s="8">
        <v>0</v>
      </c>
      <c r="AC54" s="8">
        <f t="shared" si="6"/>
        <v>0</v>
      </c>
      <c r="AD54" s="8">
        <v>0</v>
      </c>
      <c r="AE54" s="18">
        <f>+MIN(AA54,Q54,N54,J54,F54)</f>
        <v>48691.08</v>
      </c>
      <c r="AF54" s="8">
        <v>0</v>
      </c>
      <c r="AG54" s="8">
        <v>0</v>
      </c>
      <c r="AH54" s="21">
        <f>+MEDIAN(AE54,AA54,Q54,N54,J54,F54)</f>
        <v>475730</v>
      </c>
      <c r="AI54" s="8">
        <f t="shared" si="21"/>
        <v>0</v>
      </c>
      <c r="AJ54" s="8">
        <v>0</v>
      </c>
      <c r="AK54" s="8">
        <f>+GEOMEAN(AA54,Q54,N54,J54,F54)</f>
        <v>549278.60838622472</v>
      </c>
      <c r="AL54" s="8">
        <v>0</v>
      </c>
      <c r="AM54" s="8">
        <v>0</v>
      </c>
      <c r="AN54" s="8">
        <f>+AVERAGE(AA54,Q54,N54,J54,F54)</f>
        <v>1259925.416</v>
      </c>
      <c r="AO54" s="8">
        <v>0</v>
      </c>
      <c r="AP54" s="8">
        <v>0</v>
      </c>
      <c r="AQ54" s="8">
        <f>+_xlfn.STDEV.P(AA54,Q54,N54,J54,F54)</f>
        <v>1508289.8468155053</v>
      </c>
      <c r="AR54" s="8">
        <v>0</v>
      </c>
      <c r="AS54" s="8">
        <v>0</v>
      </c>
      <c r="AT54" s="23">
        <f t="shared" si="7"/>
        <v>3.1704745271803447</v>
      </c>
      <c r="AU54" s="8">
        <v>0</v>
      </c>
      <c r="AV54" s="8">
        <v>0</v>
      </c>
      <c r="AW54" s="8">
        <f t="shared" si="8"/>
        <v>475730</v>
      </c>
      <c r="AX54" s="8">
        <v>0</v>
      </c>
      <c r="AY54" s="8">
        <v>0</v>
      </c>
      <c r="AZ54" s="8">
        <f t="shared" si="9"/>
        <v>151.44077724297756</v>
      </c>
      <c r="BA54" s="8">
        <v>0</v>
      </c>
      <c r="BB54" s="8">
        <v>0</v>
      </c>
    </row>
    <row r="55" spans="1:54" x14ac:dyDescent="0.25">
      <c r="A55" s="2">
        <v>47</v>
      </c>
      <c r="B55" s="39" t="s">
        <v>73</v>
      </c>
      <c r="C55" s="4" t="s">
        <v>98</v>
      </c>
      <c r="D55" s="4" t="s">
        <v>10</v>
      </c>
      <c r="E55" s="14">
        <v>1</v>
      </c>
      <c r="F55" s="8">
        <v>3304800</v>
      </c>
      <c r="G55" s="8">
        <v>0</v>
      </c>
      <c r="H55" s="8">
        <v>0</v>
      </c>
      <c r="I55" s="8">
        <v>0</v>
      </c>
      <c r="J55" s="8">
        <f t="shared" si="0"/>
        <v>0</v>
      </c>
      <c r="K55" s="8">
        <v>0</v>
      </c>
      <c r="L55" s="8">
        <f t="shared" si="1"/>
        <v>0</v>
      </c>
      <c r="M55" s="8">
        <v>0</v>
      </c>
      <c r="N55" s="8">
        <v>0</v>
      </c>
      <c r="O55" s="8">
        <v>0</v>
      </c>
      <c r="P55" s="8">
        <v>0</v>
      </c>
      <c r="Q55" s="8">
        <v>17893400</v>
      </c>
      <c r="R55" s="8">
        <v>0</v>
      </c>
      <c r="S55" s="8">
        <v>0</v>
      </c>
      <c r="T55" s="8">
        <v>0</v>
      </c>
      <c r="U55" s="8">
        <f t="shared" si="2"/>
        <v>0</v>
      </c>
      <c r="V55" s="8">
        <v>0</v>
      </c>
      <c r="W55" s="8">
        <f t="shared" si="3"/>
        <v>0</v>
      </c>
      <c r="X55" s="8">
        <v>0</v>
      </c>
      <c r="Y55" s="8">
        <f t="shared" si="4"/>
        <v>0</v>
      </c>
      <c r="Z55" s="8">
        <v>0</v>
      </c>
      <c r="AA55" s="8">
        <f t="shared" si="5"/>
        <v>0</v>
      </c>
      <c r="AB55" s="8">
        <v>0</v>
      </c>
      <c r="AC55" s="8">
        <f t="shared" si="6"/>
        <v>0</v>
      </c>
      <c r="AD55" s="8">
        <v>0</v>
      </c>
      <c r="AE55" s="18">
        <f>+MIN(Q55,F55)</f>
        <v>3304800</v>
      </c>
      <c r="AF55" s="8">
        <v>0</v>
      </c>
      <c r="AG55" s="8">
        <v>0</v>
      </c>
      <c r="AH55" s="21">
        <f>+MEDIAN(AE55,Q55,F55)</f>
        <v>3304800</v>
      </c>
      <c r="AI55" s="8">
        <f t="shared" si="21"/>
        <v>0</v>
      </c>
      <c r="AJ55" s="8">
        <v>0</v>
      </c>
      <c r="AK55" s="8">
        <f>+GEOMEAN(Q55,F55)</f>
        <v>7689870.5008602068</v>
      </c>
      <c r="AL55" s="8">
        <v>0</v>
      </c>
      <c r="AM55" s="8">
        <v>0</v>
      </c>
      <c r="AN55" s="8">
        <f>+AVERAGE(Q55,F55)</f>
        <v>10599100</v>
      </c>
      <c r="AO55" s="8">
        <v>0</v>
      </c>
      <c r="AP55" s="8">
        <v>0</v>
      </c>
      <c r="AQ55" s="8">
        <f>+_xlfn.STDEV.P(Q55,F55)</f>
        <v>7294300</v>
      </c>
      <c r="AR55" s="8">
        <v>0</v>
      </c>
      <c r="AS55" s="8">
        <v>0</v>
      </c>
      <c r="AT55" s="23">
        <f t="shared" si="7"/>
        <v>2.2071834906802228</v>
      </c>
      <c r="AU55" s="8">
        <v>0</v>
      </c>
      <c r="AV55" s="8">
        <v>0</v>
      </c>
      <c r="AW55" s="8">
        <f t="shared" si="8"/>
        <v>3304800</v>
      </c>
      <c r="AX55" s="8">
        <v>0</v>
      </c>
      <c r="AY55" s="8">
        <v>0</v>
      </c>
      <c r="AZ55" s="8">
        <f t="shared" si="9"/>
        <v>1052.0284208113683</v>
      </c>
      <c r="BA55" s="8">
        <v>0</v>
      </c>
      <c r="BB55" s="8">
        <v>0</v>
      </c>
    </row>
    <row r="56" spans="1:54" x14ac:dyDescent="0.25">
      <c r="AH56" s="17"/>
      <c r="AK56" s="17"/>
      <c r="AT56" s="24"/>
    </row>
  </sheetData>
  <mergeCells count="32">
    <mergeCell ref="BE7:BG7"/>
    <mergeCell ref="BE8:BG8"/>
    <mergeCell ref="AQ2:AS2"/>
    <mergeCell ref="AQ7:AS7"/>
    <mergeCell ref="AT2:AV2"/>
    <mergeCell ref="AT7:AV7"/>
    <mergeCell ref="AW7:AY7"/>
    <mergeCell ref="AZ7:BB7"/>
    <mergeCell ref="AW2:AY2"/>
    <mergeCell ref="AZ2:BB2"/>
    <mergeCell ref="AN2:AP2"/>
    <mergeCell ref="AN7:AP7"/>
    <mergeCell ref="Z2:AD2"/>
    <mergeCell ref="T2:Y2"/>
    <mergeCell ref="AE2:AG2"/>
    <mergeCell ref="AH2:AJ2"/>
    <mergeCell ref="Z7:AD7"/>
    <mergeCell ref="AE7:AG7"/>
    <mergeCell ref="AH7:AJ7"/>
    <mergeCell ref="AK2:AM2"/>
    <mergeCell ref="AK7:AM7"/>
    <mergeCell ref="F7:H7"/>
    <mergeCell ref="I7:M7"/>
    <mergeCell ref="N7:P7"/>
    <mergeCell ref="Q7:S7"/>
    <mergeCell ref="T7:Y7"/>
    <mergeCell ref="Q2:S2"/>
    <mergeCell ref="A1:H1"/>
    <mergeCell ref="A6:H6"/>
    <mergeCell ref="F2:H2"/>
    <mergeCell ref="I2:M2"/>
    <mergeCell ref="N2:P2"/>
  </mergeCells>
  <pageMargins left="0.7" right="0.7" top="0.75" bottom="0.75" header="0.3" footer="0.3"/>
  <pageSetup orientation="portrait" r:id="rId1"/>
  <ignoredErrors>
    <ignoredError sqref="AE18 AE25 AH25 AI47 AI20 AI50:AJ50 AI52 AQ25 AQ22 AK22 AK25 AN25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B4BDD"/>
  </sheetPr>
  <dimension ref="A1:BE16"/>
  <sheetViews>
    <sheetView topLeftCell="AO1" workbookViewId="0">
      <selection activeCell="AZ13" sqref="AZ13"/>
    </sheetView>
  </sheetViews>
  <sheetFormatPr baseColWidth="10" defaultRowHeight="15" x14ac:dyDescent="0.25"/>
  <cols>
    <col min="1" max="1" width="6.140625" customWidth="1"/>
    <col min="2" max="2" width="34" customWidth="1"/>
    <col min="3" max="4" width="0" hidden="1" customWidth="1"/>
    <col min="5" max="6" width="11.42578125" customWidth="1"/>
    <col min="7" max="7" width="12.5703125" bestFit="1" customWidth="1"/>
    <col min="8" max="14" width="11.42578125" customWidth="1"/>
    <col min="15" max="15" width="12.5703125" bestFit="1" customWidth="1"/>
    <col min="16" max="17" width="13.85546875" bestFit="1" customWidth="1"/>
    <col min="18" max="22" width="11.42578125" customWidth="1"/>
    <col min="23" max="23" width="12.5703125" bestFit="1" customWidth="1"/>
    <col min="24" max="24" width="11.42578125" customWidth="1"/>
    <col min="25" max="25" width="12.5703125" bestFit="1" customWidth="1"/>
    <col min="26" max="28" width="11.42578125" customWidth="1"/>
    <col min="29" max="29" width="13.85546875" bestFit="1" customWidth="1"/>
    <col min="30" max="30" width="11.42578125" customWidth="1"/>
    <col min="31" max="31" width="13.85546875" bestFit="1" customWidth="1"/>
    <col min="32" max="33" width="12.5703125" bestFit="1" customWidth="1"/>
    <col min="34" max="34" width="13.85546875" bestFit="1" customWidth="1"/>
    <col min="35" max="36" width="12.5703125" bestFit="1" customWidth="1"/>
    <col min="37" max="37" width="13.85546875" bestFit="1" customWidth="1"/>
    <col min="38" max="39" width="12.5703125" bestFit="1" customWidth="1"/>
    <col min="40" max="40" width="13.85546875" bestFit="1" customWidth="1"/>
    <col min="41" max="41" width="12.5703125" bestFit="1" customWidth="1"/>
    <col min="42" max="42" width="13.85546875" bestFit="1" customWidth="1"/>
    <col min="43" max="43" width="11.42578125" customWidth="1"/>
    <col min="44" max="45" width="12.5703125" bestFit="1" customWidth="1"/>
    <col min="46" max="48" width="11.42578125" customWidth="1"/>
    <col min="49" max="49" width="13.85546875" bestFit="1" customWidth="1"/>
    <col min="50" max="50" width="12.5703125" customWidth="1"/>
    <col min="51" max="51" width="14.7109375" customWidth="1"/>
    <col min="52" max="52" width="11.42578125" customWidth="1"/>
    <col min="53" max="53" width="12.5703125" customWidth="1"/>
    <col min="54" max="54" width="14.7109375" customWidth="1"/>
    <col min="55" max="55" width="14" customWidth="1"/>
    <col min="56" max="56" width="16.42578125" bestFit="1" customWidth="1"/>
    <col min="57" max="57" width="16.7109375" customWidth="1"/>
  </cols>
  <sheetData>
    <row r="1" spans="1:57" ht="15.75" thickBot="1" x14ac:dyDescent="0.3"/>
    <row r="2" spans="1:57" ht="58.5" customHeight="1" thickBot="1" x14ac:dyDescent="0.3">
      <c r="A2" s="73" t="s">
        <v>135</v>
      </c>
      <c r="B2" s="73"/>
      <c r="C2" s="73"/>
      <c r="D2" s="73"/>
      <c r="E2" s="73"/>
      <c r="F2" s="73"/>
      <c r="G2" s="73"/>
      <c r="H2" s="73"/>
      <c r="I2" s="51" t="s">
        <v>102</v>
      </c>
      <c r="J2" s="51"/>
      <c r="K2" s="51"/>
      <c r="L2" s="51"/>
      <c r="M2" s="52"/>
      <c r="N2" s="53" t="s">
        <v>103</v>
      </c>
      <c r="O2" s="53"/>
      <c r="P2" s="54"/>
      <c r="Q2" s="45" t="s">
        <v>105</v>
      </c>
      <c r="R2" s="45"/>
      <c r="S2" s="46"/>
      <c r="T2" s="55" t="s">
        <v>106</v>
      </c>
      <c r="U2" s="56"/>
      <c r="V2" s="56"/>
      <c r="W2" s="56"/>
      <c r="X2" s="56"/>
      <c r="Y2" s="56"/>
      <c r="Z2" s="58" t="s">
        <v>108</v>
      </c>
      <c r="AA2" s="58"/>
      <c r="AB2" s="58"/>
      <c r="AC2" s="58"/>
      <c r="AD2" s="58"/>
      <c r="AE2" s="59" t="s">
        <v>115</v>
      </c>
      <c r="AF2" s="59"/>
      <c r="AG2" s="59"/>
      <c r="AH2" s="60" t="s">
        <v>116</v>
      </c>
      <c r="AI2" s="60"/>
      <c r="AJ2" s="60"/>
      <c r="AK2" s="61" t="s">
        <v>117</v>
      </c>
      <c r="AL2" s="61"/>
      <c r="AM2" s="61"/>
      <c r="AN2" s="57" t="s">
        <v>118</v>
      </c>
      <c r="AO2" s="57"/>
      <c r="AP2" s="57"/>
      <c r="AQ2" s="63" t="s">
        <v>119</v>
      </c>
      <c r="AR2" s="63"/>
      <c r="AS2" s="63"/>
      <c r="AT2" s="64" t="s">
        <v>120</v>
      </c>
      <c r="AU2" s="64"/>
      <c r="AV2" s="64"/>
      <c r="AW2" s="67" t="s">
        <v>121</v>
      </c>
      <c r="AX2" s="69"/>
      <c r="AY2" s="68"/>
      <c r="AZ2" s="67" t="s">
        <v>121</v>
      </c>
      <c r="BA2" s="69"/>
      <c r="BB2" s="69"/>
      <c r="BC2" s="70" t="s">
        <v>125</v>
      </c>
      <c r="BD2" s="71" t="s">
        <v>129</v>
      </c>
      <c r="BE2" s="71" t="s">
        <v>128</v>
      </c>
    </row>
    <row r="3" spans="1:57" ht="26.25" thickBot="1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99</v>
      </c>
      <c r="G3" s="11" t="s">
        <v>100</v>
      </c>
      <c r="H3" s="11" t="s">
        <v>107</v>
      </c>
      <c r="I3" s="11" t="s">
        <v>110</v>
      </c>
      <c r="J3" s="11" t="s">
        <v>109</v>
      </c>
      <c r="K3" s="11" t="s">
        <v>111</v>
      </c>
      <c r="L3" s="11" t="s">
        <v>112</v>
      </c>
      <c r="M3" s="11" t="s">
        <v>107</v>
      </c>
      <c r="N3" s="11" t="s">
        <v>99</v>
      </c>
      <c r="O3" s="11" t="s">
        <v>100</v>
      </c>
      <c r="P3" s="11" t="s">
        <v>107</v>
      </c>
      <c r="Q3" s="11" t="s">
        <v>99</v>
      </c>
      <c r="R3" s="11" t="s">
        <v>100</v>
      </c>
      <c r="S3" s="11" t="s">
        <v>107</v>
      </c>
      <c r="T3" s="11" t="s">
        <v>110</v>
      </c>
      <c r="U3" s="11" t="s">
        <v>109</v>
      </c>
      <c r="V3" s="11" t="s">
        <v>111</v>
      </c>
      <c r="W3" s="11" t="s">
        <v>112</v>
      </c>
      <c r="X3" s="11" t="s">
        <v>114</v>
      </c>
      <c r="Y3" s="11" t="s">
        <v>113</v>
      </c>
      <c r="Z3" s="11" t="s">
        <v>110</v>
      </c>
      <c r="AA3" s="11" t="s">
        <v>109</v>
      </c>
      <c r="AB3" s="11" t="s">
        <v>111</v>
      </c>
      <c r="AC3" s="11" t="s">
        <v>112</v>
      </c>
      <c r="AD3" s="11" t="s">
        <v>113</v>
      </c>
      <c r="AE3" s="19" t="s">
        <v>109</v>
      </c>
      <c r="AF3" s="19" t="s">
        <v>112</v>
      </c>
      <c r="AG3" s="19" t="s">
        <v>113</v>
      </c>
      <c r="AH3" s="19" t="s">
        <v>109</v>
      </c>
      <c r="AI3" s="19" t="s">
        <v>112</v>
      </c>
      <c r="AJ3" s="19" t="s">
        <v>113</v>
      </c>
      <c r="AK3" s="19" t="s">
        <v>109</v>
      </c>
      <c r="AL3" s="19" t="s">
        <v>112</v>
      </c>
      <c r="AM3" s="19" t="s">
        <v>113</v>
      </c>
      <c r="AN3" s="19" t="s">
        <v>109</v>
      </c>
      <c r="AO3" s="19" t="s">
        <v>112</v>
      </c>
      <c r="AP3" s="19" t="s">
        <v>113</v>
      </c>
      <c r="AQ3" s="19" t="s">
        <v>109</v>
      </c>
      <c r="AR3" s="19" t="s">
        <v>112</v>
      </c>
      <c r="AS3" s="19" t="s">
        <v>113</v>
      </c>
      <c r="AT3" s="19" t="s">
        <v>109</v>
      </c>
      <c r="AU3" s="19" t="s">
        <v>112</v>
      </c>
      <c r="AV3" s="19" t="s">
        <v>113</v>
      </c>
      <c r="AW3" s="19" t="s">
        <v>127</v>
      </c>
      <c r="AX3" s="19" t="s">
        <v>112</v>
      </c>
      <c r="AY3" s="19" t="s">
        <v>113</v>
      </c>
      <c r="AZ3" s="19" t="s">
        <v>110</v>
      </c>
      <c r="BA3" s="19" t="s">
        <v>111</v>
      </c>
      <c r="BB3" s="41" t="s">
        <v>114</v>
      </c>
      <c r="BC3" s="70"/>
      <c r="BD3" s="72"/>
      <c r="BE3" s="72"/>
    </row>
    <row r="4" spans="1:57" ht="26.25" thickBot="1" x14ac:dyDescent="0.3">
      <c r="A4" s="5">
        <v>1</v>
      </c>
      <c r="B4" s="12" t="s">
        <v>5</v>
      </c>
      <c r="C4" s="2" t="s">
        <v>6</v>
      </c>
      <c r="D4" s="5" t="s">
        <v>7</v>
      </c>
      <c r="E4" s="13">
        <v>16</v>
      </c>
      <c r="F4" s="8">
        <v>0</v>
      </c>
      <c r="G4" s="30">
        <v>765000000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31">
        <v>1352000000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210000</v>
      </c>
      <c r="Y4" s="31">
        <f>+X4*3141.36</f>
        <v>659685600</v>
      </c>
      <c r="Z4" s="8">
        <v>0</v>
      </c>
      <c r="AA4" s="8">
        <v>0</v>
      </c>
      <c r="AB4" s="8">
        <v>387500</v>
      </c>
      <c r="AC4" s="20">
        <f>+AB4*3141.36</f>
        <v>1217277000</v>
      </c>
      <c r="AD4" s="8">
        <v>0</v>
      </c>
      <c r="AE4" s="8">
        <f>+MIN(F4,J4,N4,Q4,U4,AA4)</f>
        <v>0</v>
      </c>
      <c r="AF4" s="20">
        <f>+MIN(G4,AC4)</f>
        <v>765000000</v>
      </c>
      <c r="AG4" s="31">
        <f>+MIN(P4,Y4)</f>
        <v>659685600</v>
      </c>
      <c r="AH4" s="8">
        <f>+MEDIAN(F4:AA4)</f>
        <v>0</v>
      </c>
      <c r="AI4" s="32">
        <f>+MEDIAN(G4,AC4)</f>
        <v>991138500</v>
      </c>
      <c r="AJ4" s="31">
        <f>+MEDIAN(AG4,Y4)</f>
        <v>659685600</v>
      </c>
      <c r="AK4" s="8">
        <f>+MEDIAN(I4:AD4)</f>
        <v>0</v>
      </c>
      <c r="AL4" s="20">
        <f>+GEOMEAN(AC4,G4)</f>
        <v>964995805.69036674</v>
      </c>
      <c r="AM4" s="31">
        <f>+GEOMEAN(Y4,P4)</f>
        <v>944401890.7223767</v>
      </c>
      <c r="AN4" s="8">
        <f>+MEDIAN(L4:AG4)</f>
        <v>0</v>
      </c>
      <c r="AO4" s="32">
        <f>+AVERAGE(G4,AC4)</f>
        <v>991138500</v>
      </c>
      <c r="AP4" s="31">
        <f>+AVERAGE(Y4,P4)</f>
        <v>1005842800</v>
      </c>
      <c r="AQ4" s="8">
        <f>+MEDIAN(O4:AJ4)</f>
        <v>0</v>
      </c>
      <c r="AR4" s="20">
        <f>+_xlfn.STDEV.P(G4,AC4)</f>
        <v>226138499.99999997</v>
      </c>
      <c r="AS4" s="31">
        <f>+_xlfn.STDEV.P(P4,Y4)</f>
        <v>346157200</v>
      </c>
      <c r="AT4" s="8">
        <f>+MEDIAN(R4:AM4)</f>
        <v>0</v>
      </c>
      <c r="AU4" s="33">
        <f>+AR4/AI4</f>
        <v>0.22816034287841705</v>
      </c>
      <c r="AV4" s="33">
        <f>+AS4/AJ4</f>
        <v>0.52473056862238621</v>
      </c>
      <c r="AW4" s="42" t="s">
        <v>107</v>
      </c>
      <c r="AX4" s="32">
        <f>+AI4</f>
        <v>991138500</v>
      </c>
      <c r="AY4" s="22">
        <f>+AJ4</f>
        <v>659685600</v>
      </c>
      <c r="AZ4" s="22">
        <v>0</v>
      </c>
      <c r="BA4" s="22">
        <f>+AX4/3141.36</f>
        <v>315512.54870501946</v>
      </c>
      <c r="BB4" s="22">
        <f>+AY4/3141.36</f>
        <v>210000</v>
      </c>
      <c r="BC4" s="13">
        <v>4</v>
      </c>
      <c r="BD4" s="43">
        <f>+BC4*AY4</f>
        <v>2638742400</v>
      </c>
      <c r="BE4" s="22">
        <f>+BC4*BB4</f>
        <v>840000</v>
      </c>
    </row>
    <row r="6" spans="1:57" ht="15.75" thickBot="1" x14ac:dyDescent="0.3"/>
    <row r="7" spans="1:57" ht="52.5" customHeight="1" thickBot="1" x14ac:dyDescent="0.3">
      <c r="A7" s="73" t="s">
        <v>136</v>
      </c>
      <c r="B7" s="73"/>
      <c r="C7" s="73"/>
      <c r="D7" s="73"/>
      <c r="E7" s="73"/>
      <c r="F7" s="73"/>
      <c r="G7" s="73"/>
      <c r="H7" s="73"/>
      <c r="I7" s="51" t="s">
        <v>102</v>
      </c>
      <c r="J7" s="51"/>
      <c r="K7" s="51"/>
      <c r="L7" s="51"/>
      <c r="M7" s="52"/>
      <c r="N7" s="53" t="s">
        <v>103</v>
      </c>
      <c r="O7" s="53"/>
      <c r="P7" s="54"/>
      <c r="Q7" s="45" t="s">
        <v>105</v>
      </c>
      <c r="R7" s="45"/>
      <c r="S7" s="46"/>
      <c r="T7" s="55" t="s">
        <v>106</v>
      </c>
      <c r="U7" s="56"/>
      <c r="V7" s="56"/>
      <c r="W7" s="56"/>
      <c r="X7" s="56"/>
      <c r="Y7" s="56"/>
      <c r="Z7" s="58" t="s">
        <v>108</v>
      </c>
      <c r="AA7" s="58"/>
      <c r="AB7" s="58"/>
      <c r="AC7" s="58"/>
      <c r="AD7" s="58"/>
      <c r="AE7" s="59" t="s">
        <v>115</v>
      </c>
      <c r="AF7" s="59"/>
      <c r="AG7" s="59"/>
      <c r="AH7" s="60" t="s">
        <v>116</v>
      </c>
      <c r="AI7" s="60"/>
      <c r="AJ7" s="60"/>
      <c r="AK7" s="61" t="s">
        <v>117</v>
      </c>
      <c r="AL7" s="61"/>
      <c r="AM7" s="61"/>
      <c r="AN7" s="57" t="s">
        <v>118</v>
      </c>
      <c r="AO7" s="57"/>
      <c r="AP7" s="57"/>
      <c r="AQ7" s="63" t="s">
        <v>119</v>
      </c>
      <c r="AR7" s="63"/>
      <c r="AS7" s="63"/>
      <c r="AT7" s="64" t="s">
        <v>120</v>
      </c>
      <c r="AU7" s="64"/>
      <c r="AV7" s="64"/>
      <c r="AW7" s="67" t="s">
        <v>121</v>
      </c>
      <c r="AX7" s="69"/>
      <c r="AY7" s="68"/>
      <c r="AZ7" s="67" t="s">
        <v>121</v>
      </c>
      <c r="BA7" s="69"/>
      <c r="BB7" s="69"/>
      <c r="BC7" s="70" t="s">
        <v>125</v>
      </c>
      <c r="BD7" s="71" t="s">
        <v>129</v>
      </c>
      <c r="BE7" s="71" t="s">
        <v>128</v>
      </c>
    </row>
    <row r="8" spans="1:57" ht="36" x14ac:dyDescent="0.25">
      <c r="A8" s="10" t="s">
        <v>0</v>
      </c>
      <c r="B8" s="11" t="s">
        <v>1</v>
      </c>
      <c r="C8" s="11" t="s">
        <v>2</v>
      </c>
      <c r="D8" s="11" t="s">
        <v>3</v>
      </c>
      <c r="E8" s="11" t="s">
        <v>4</v>
      </c>
      <c r="F8" s="11" t="s">
        <v>99</v>
      </c>
      <c r="G8" s="11" t="s">
        <v>100</v>
      </c>
      <c r="H8" s="11" t="s">
        <v>107</v>
      </c>
      <c r="I8" s="11" t="s">
        <v>110</v>
      </c>
      <c r="J8" s="11" t="s">
        <v>109</v>
      </c>
      <c r="K8" s="11" t="s">
        <v>111</v>
      </c>
      <c r="L8" s="11" t="s">
        <v>112</v>
      </c>
      <c r="M8" s="11" t="s">
        <v>107</v>
      </c>
      <c r="N8" s="11" t="s">
        <v>99</v>
      </c>
      <c r="O8" s="11" t="s">
        <v>100</v>
      </c>
      <c r="P8" s="11" t="s">
        <v>107</v>
      </c>
      <c r="Q8" s="11" t="s">
        <v>99</v>
      </c>
      <c r="R8" s="11" t="s">
        <v>100</v>
      </c>
      <c r="S8" s="11" t="s">
        <v>107</v>
      </c>
      <c r="T8" s="11" t="s">
        <v>110</v>
      </c>
      <c r="U8" s="11" t="s">
        <v>109</v>
      </c>
      <c r="V8" s="11" t="s">
        <v>111</v>
      </c>
      <c r="W8" s="11" t="s">
        <v>112</v>
      </c>
      <c r="X8" s="11" t="s">
        <v>114</v>
      </c>
      <c r="Y8" s="11" t="s">
        <v>113</v>
      </c>
      <c r="Z8" s="11" t="s">
        <v>110</v>
      </c>
      <c r="AA8" s="11" t="s">
        <v>109</v>
      </c>
      <c r="AB8" s="11" t="s">
        <v>111</v>
      </c>
      <c r="AC8" s="11" t="s">
        <v>112</v>
      </c>
      <c r="AD8" s="11" t="s">
        <v>113</v>
      </c>
      <c r="AE8" s="19" t="s">
        <v>109</v>
      </c>
      <c r="AF8" s="19" t="s">
        <v>112</v>
      </c>
      <c r="AG8" s="19" t="s">
        <v>113</v>
      </c>
      <c r="AH8" s="19" t="s">
        <v>109</v>
      </c>
      <c r="AI8" s="19" t="s">
        <v>112</v>
      </c>
      <c r="AJ8" s="19" t="s">
        <v>113</v>
      </c>
      <c r="AK8" s="19" t="s">
        <v>109</v>
      </c>
      <c r="AL8" s="19" t="s">
        <v>112</v>
      </c>
      <c r="AM8" s="19" t="s">
        <v>113</v>
      </c>
      <c r="AN8" s="19" t="s">
        <v>109</v>
      </c>
      <c r="AO8" s="19" t="s">
        <v>112</v>
      </c>
      <c r="AP8" s="19" t="s">
        <v>113</v>
      </c>
      <c r="AQ8" s="19" t="s">
        <v>109</v>
      </c>
      <c r="AR8" s="19" t="s">
        <v>112</v>
      </c>
      <c r="AS8" s="19" t="s">
        <v>113</v>
      </c>
      <c r="AT8" s="19" t="s">
        <v>109</v>
      </c>
      <c r="AU8" s="19" t="s">
        <v>112</v>
      </c>
      <c r="AV8" s="19" t="s">
        <v>113</v>
      </c>
      <c r="AW8" s="19" t="s">
        <v>127</v>
      </c>
      <c r="AX8" s="19" t="s">
        <v>112</v>
      </c>
      <c r="AY8" s="19" t="s">
        <v>130</v>
      </c>
      <c r="AZ8" s="19" t="s">
        <v>110</v>
      </c>
      <c r="BA8" s="19" t="s">
        <v>111</v>
      </c>
      <c r="BB8" s="41" t="s">
        <v>114</v>
      </c>
      <c r="BC8" s="70"/>
      <c r="BD8" s="72"/>
      <c r="BE8" s="72"/>
    </row>
    <row r="9" spans="1:57" x14ac:dyDescent="0.25">
      <c r="A9" s="2">
        <v>1</v>
      </c>
      <c r="B9" s="39" t="s">
        <v>17</v>
      </c>
      <c r="C9" s="4" t="s">
        <v>18</v>
      </c>
      <c r="D9" s="4" t="s">
        <v>10</v>
      </c>
      <c r="E9" s="14">
        <v>4</v>
      </c>
      <c r="F9" s="8">
        <v>0</v>
      </c>
      <c r="G9" s="21">
        <v>593640000</v>
      </c>
      <c r="H9" s="21">
        <v>0</v>
      </c>
      <c r="I9" s="21">
        <v>0</v>
      </c>
      <c r="J9" s="21">
        <f t="shared" ref="J9:J10" si="0">+I9*3141.36</f>
        <v>0</v>
      </c>
      <c r="K9" s="21">
        <v>0</v>
      </c>
      <c r="L9" s="21">
        <f t="shared" ref="L9:L10" si="1">+K9*3141.36</f>
        <v>0</v>
      </c>
      <c r="M9" s="21">
        <v>0</v>
      </c>
      <c r="N9" s="21">
        <v>0</v>
      </c>
      <c r="O9" s="21">
        <v>624000000</v>
      </c>
      <c r="P9" s="21">
        <v>0</v>
      </c>
      <c r="Q9" s="21">
        <v>1915053300</v>
      </c>
      <c r="R9" s="21">
        <v>0</v>
      </c>
      <c r="S9" s="21">
        <v>0</v>
      </c>
      <c r="T9" s="21">
        <v>0</v>
      </c>
      <c r="U9" s="21">
        <f t="shared" ref="U9:U10" si="2">+T9*3141.36</f>
        <v>0</v>
      </c>
      <c r="V9" s="21">
        <v>140000</v>
      </c>
      <c r="W9" s="21">
        <f t="shared" ref="W9:W10" si="3">+V9*3141.36</f>
        <v>439790400</v>
      </c>
      <c r="X9" s="21">
        <v>0</v>
      </c>
      <c r="Y9" s="21">
        <f t="shared" ref="Y9:Y10" si="4">+X9*3141.36</f>
        <v>0</v>
      </c>
      <c r="Z9" s="21">
        <v>0</v>
      </c>
      <c r="AA9" s="21">
        <f t="shared" ref="AA9:AA10" si="5">+Z9*3141.36</f>
        <v>0</v>
      </c>
      <c r="AB9" s="21">
        <v>0</v>
      </c>
      <c r="AC9" s="21">
        <f t="shared" ref="AC9:AC10" si="6">+AB9*3141.36</f>
        <v>0</v>
      </c>
      <c r="AD9" s="21">
        <v>0</v>
      </c>
      <c r="AE9" s="22">
        <f>+Q9</f>
        <v>1915053300</v>
      </c>
      <c r="AF9" s="21">
        <f>+MIN(G9,O9,W9)</f>
        <v>439790400</v>
      </c>
      <c r="AG9" s="21">
        <v>0</v>
      </c>
      <c r="AH9" s="22">
        <f>+MEDIAN(Q9)</f>
        <v>1915053300</v>
      </c>
      <c r="AI9" s="21">
        <f>+MEDIAN(G9,O9,W9)</f>
        <v>593640000</v>
      </c>
      <c r="AJ9" s="21">
        <v>0</v>
      </c>
      <c r="AK9" s="21">
        <f>+Q9</f>
        <v>1915053300</v>
      </c>
      <c r="AL9" s="21">
        <f>+GEOMEAN(W9,O9,G9)</f>
        <v>546157410.08733201</v>
      </c>
      <c r="AM9" s="21">
        <v>0</v>
      </c>
      <c r="AN9" s="21">
        <f>+AVERAGE(Q9)</f>
        <v>1915053300</v>
      </c>
      <c r="AO9" s="21">
        <f>+AVERAGE(W9,O9,G9)</f>
        <v>552476800</v>
      </c>
      <c r="AP9" s="21">
        <v>0</v>
      </c>
      <c r="AQ9" s="21">
        <f>+_xlfn.STDEV.P(Q9)</f>
        <v>0</v>
      </c>
      <c r="AR9" s="21">
        <f>+_xlfn.STDEV.P(W9,O9,)</f>
        <v>261772754.00713497</v>
      </c>
      <c r="AS9" s="21">
        <v>0</v>
      </c>
      <c r="AT9" s="26">
        <f t="shared" ref="AT9:AU10" si="7">+AQ9/AH9</f>
        <v>0</v>
      </c>
      <c r="AU9" s="26">
        <f t="shared" si="7"/>
        <v>0.44096212183669392</v>
      </c>
      <c r="AV9" s="21">
        <v>0</v>
      </c>
      <c r="AW9" s="42" t="s">
        <v>100</v>
      </c>
      <c r="AX9" s="21">
        <f>+AF9</f>
        <v>439790400</v>
      </c>
      <c r="AY9" s="21">
        <v>0</v>
      </c>
      <c r="AZ9" s="27"/>
      <c r="BA9" s="27">
        <f>+AX9/3141.36</f>
        <v>140000</v>
      </c>
      <c r="BB9" s="21">
        <v>0</v>
      </c>
      <c r="BC9" s="13">
        <v>3</v>
      </c>
      <c r="BD9" s="43">
        <f>+BC9*AX9</f>
        <v>1319371200</v>
      </c>
      <c r="BE9" s="22">
        <f>+BC9*BA9</f>
        <v>420000</v>
      </c>
    </row>
    <row r="10" spans="1:57" x14ac:dyDescent="0.25">
      <c r="A10" s="2">
        <v>2</v>
      </c>
      <c r="B10" s="39" t="s">
        <v>29</v>
      </c>
      <c r="C10" s="4" t="s">
        <v>30</v>
      </c>
      <c r="D10" s="4" t="s">
        <v>10</v>
      </c>
      <c r="E10" s="14">
        <v>8</v>
      </c>
      <c r="F10" s="78">
        <v>9180000</v>
      </c>
      <c r="G10" s="78">
        <v>0</v>
      </c>
      <c r="H10" s="78">
        <v>0</v>
      </c>
      <c r="I10" s="78">
        <v>0</v>
      </c>
      <c r="J10" s="78">
        <v>0</v>
      </c>
      <c r="K10" s="78">
        <v>0</v>
      </c>
      <c r="L10" s="78">
        <v>0</v>
      </c>
      <c r="M10" s="78">
        <v>0</v>
      </c>
      <c r="N10" s="78">
        <v>13600888</v>
      </c>
      <c r="O10" s="78">
        <v>0</v>
      </c>
      <c r="P10" s="78">
        <v>0</v>
      </c>
      <c r="Q10" s="78">
        <v>13764100</v>
      </c>
      <c r="R10" s="78">
        <v>0</v>
      </c>
      <c r="S10" s="78">
        <v>0</v>
      </c>
      <c r="T10" s="78">
        <v>0</v>
      </c>
      <c r="U10" s="78">
        <v>0</v>
      </c>
      <c r="V10" s="78">
        <v>0</v>
      </c>
      <c r="W10" s="78">
        <v>0</v>
      </c>
      <c r="X10" s="78">
        <v>0</v>
      </c>
      <c r="Y10" s="78">
        <v>0</v>
      </c>
      <c r="Z10" s="78">
        <v>1680</v>
      </c>
      <c r="AA10" s="78">
        <v>5277484.8</v>
      </c>
      <c r="AB10" s="78">
        <v>0</v>
      </c>
      <c r="AC10" s="78">
        <v>0</v>
      </c>
      <c r="AD10" s="78">
        <v>0</v>
      </c>
      <c r="AE10" s="79">
        <v>5277484.8</v>
      </c>
      <c r="AF10" s="78">
        <v>0</v>
      </c>
      <c r="AG10" s="78">
        <v>0</v>
      </c>
      <c r="AH10" s="79">
        <v>11390444</v>
      </c>
      <c r="AI10" s="78">
        <v>0</v>
      </c>
      <c r="AJ10" s="78">
        <v>0</v>
      </c>
      <c r="AK10" s="78">
        <v>9758794.8644297924</v>
      </c>
      <c r="AL10" s="78">
        <v>0</v>
      </c>
      <c r="AM10" s="78">
        <v>0</v>
      </c>
      <c r="AN10" s="78">
        <v>10455618.199999999</v>
      </c>
      <c r="AO10" s="78">
        <v>0</v>
      </c>
      <c r="AP10" s="78">
        <v>0</v>
      </c>
      <c r="AQ10" s="78">
        <v>3509951.610638319</v>
      </c>
      <c r="AR10" s="78">
        <v>0</v>
      </c>
      <c r="AS10" s="78">
        <v>0</v>
      </c>
      <c r="AT10" s="80">
        <v>0.30814879653842459</v>
      </c>
      <c r="AU10" s="78">
        <v>0</v>
      </c>
      <c r="AV10" s="78">
        <v>0</v>
      </c>
      <c r="AW10" s="42" t="s">
        <v>99</v>
      </c>
      <c r="AX10" s="78">
        <v>0</v>
      </c>
      <c r="AY10" s="78">
        <f>+AE10</f>
        <v>5277484.8</v>
      </c>
      <c r="AZ10" s="78">
        <v>1679.9999999999998</v>
      </c>
      <c r="BA10" s="78">
        <v>0</v>
      </c>
      <c r="BB10" s="78">
        <v>0</v>
      </c>
      <c r="BC10" s="13">
        <v>8</v>
      </c>
      <c r="BD10" s="43">
        <f>+AY10*BC10</f>
        <v>42219878.399999999</v>
      </c>
      <c r="BE10" s="22">
        <v>13439.999999999998</v>
      </c>
    </row>
    <row r="12" spans="1:57" x14ac:dyDescent="0.25">
      <c r="BB12" s="67" t="s">
        <v>131</v>
      </c>
      <c r="BC12" s="68"/>
      <c r="BD12" s="44">
        <f>+BD10+BD9+BD4</f>
        <v>4000333478.4000001</v>
      </c>
      <c r="BE12" s="44">
        <f>+BE10+BE9+BE4</f>
        <v>1273440</v>
      </c>
    </row>
    <row r="14" spans="1:57" x14ac:dyDescent="0.25">
      <c r="BB14" s="67" t="s">
        <v>132</v>
      </c>
      <c r="BC14" s="68"/>
      <c r="BD14" s="44">
        <v>7389246150</v>
      </c>
      <c r="BE14" s="44">
        <v>1944538.4605263157</v>
      </c>
    </row>
    <row r="16" spans="1:57" x14ac:dyDescent="0.25">
      <c r="BB16" s="67" t="s">
        <v>133</v>
      </c>
      <c r="BC16" s="68"/>
      <c r="BD16" s="44">
        <f>+BD14-BD12</f>
        <v>3388912671.5999999</v>
      </c>
      <c r="BE16" s="44">
        <f>+BE14-BE12</f>
        <v>671098.46052631573</v>
      </c>
    </row>
  </sheetData>
  <mergeCells count="37">
    <mergeCell ref="Z2:AD2"/>
    <mergeCell ref="A2:H2"/>
    <mergeCell ref="I2:M2"/>
    <mergeCell ref="N2:P2"/>
    <mergeCell ref="Q2:S2"/>
    <mergeCell ref="T2:Y2"/>
    <mergeCell ref="BC2:BC3"/>
    <mergeCell ref="BE2:BE3"/>
    <mergeCell ref="BD2:BD3"/>
    <mergeCell ref="I7:M7"/>
    <mergeCell ref="N7:P7"/>
    <mergeCell ref="Q7:S7"/>
    <mergeCell ref="T7:Y7"/>
    <mergeCell ref="Z7:AD7"/>
    <mergeCell ref="AW2:AY2"/>
    <mergeCell ref="AZ2:BB2"/>
    <mergeCell ref="AE2:AG2"/>
    <mergeCell ref="AH2:AJ2"/>
    <mergeCell ref="AK2:AM2"/>
    <mergeCell ref="AN2:AP2"/>
    <mergeCell ref="AQ2:AS2"/>
    <mergeCell ref="AT2:AV2"/>
    <mergeCell ref="BD7:BD8"/>
    <mergeCell ref="BE7:BE8"/>
    <mergeCell ref="A7:H7"/>
    <mergeCell ref="AE7:AG7"/>
    <mergeCell ref="AH7:AJ7"/>
    <mergeCell ref="AK7:AM7"/>
    <mergeCell ref="AN7:AP7"/>
    <mergeCell ref="AQ7:AS7"/>
    <mergeCell ref="AT7:AV7"/>
    <mergeCell ref="BB12:BC12"/>
    <mergeCell ref="BB14:BC14"/>
    <mergeCell ref="BB16:BC16"/>
    <mergeCell ref="AW7:AY7"/>
    <mergeCell ref="AZ7:BB7"/>
    <mergeCell ref="BC7:BC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NECESIDAD</vt:lpstr>
      <vt:lpstr>ITEMS PRINCIPALES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Acuña</dc:creator>
  <cp:lastModifiedBy>wilson Acuña</cp:lastModifiedBy>
  <dcterms:created xsi:type="dcterms:W3CDTF">2026-09-16T18:54:49Z</dcterms:created>
  <dcterms:modified xsi:type="dcterms:W3CDTF">2026-10-16T02:13:42Z</dcterms:modified>
</cp:coreProperties>
</file>